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nxt\Downloads\"/>
    </mc:Choice>
  </mc:AlternateContent>
  <xr:revisionPtr revIDLastSave="0" documentId="8_{251DA313-EAC1-4E6E-8B29-4D34E24805F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op 25" sheetId="1" r:id="rId1"/>
    <sheet name="School Search" sheetId="2" r:id="rId2"/>
    <sheet name="School Profile" sheetId="3" r:id="rId3"/>
    <sheet name="Staff Review" sheetId="4" r:id="rId4"/>
    <sheet name="Master_rankableSchools" sheetId="6" r:id="rId5"/>
    <sheet name="Data" sheetId="5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550" i="5" l="1"/>
  <c r="AF2550" i="5"/>
  <c r="G2550" i="5"/>
  <c r="O2550" i="5" s="1"/>
  <c r="F2550" i="5"/>
  <c r="R2550" i="5" s="1"/>
  <c r="A2550" i="5"/>
  <c r="AG2549" i="5"/>
  <c r="AF2549" i="5"/>
  <c r="G2549" i="5"/>
  <c r="O2549" i="5" s="1"/>
  <c r="F2549" i="5"/>
  <c r="R2549" i="5" s="1"/>
  <c r="A2549" i="5"/>
  <c r="AG2548" i="5"/>
  <c r="AF2548" i="5"/>
  <c r="G2548" i="5"/>
  <c r="O2548" i="5" s="1"/>
  <c r="F2548" i="5"/>
  <c r="R2548" i="5" s="1"/>
  <c r="A2548" i="5"/>
  <c r="AG2547" i="5"/>
  <c r="AF2547" i="5"/>
  <c r="G2547" i="5"/>
  <c r="O2547" i="5" s="1"/>
  <c r="F2547" i="5"/>
  <c r="R2547" i="5" s="1"/>
  <c r="A2547" i="5"/>
  <c r="AG2546" i="5"/>
  <c r="AF2546" i="5"/>
  <c r="G2546" i="5"/>
  <c r="O2546" i="5" s="1"/>
  <c r="F2546" i="5"/>
  <c r="R2546" i="5" s="1"/>
  <c r="A2546" i="5"/>
  <c r="AG2545" i="5"/>
  <c r="AF2545" i="5"/>
  <c r="G2545" i="5"/>
  <c r="O2545" i="5" s="1"/>
  <c r="F2545" i="5"/>
  <c r="R2545" i="5" s="1"/>
  <c r="A2545" i="5"/>
  <c r="AG2544" i="5"/>
  <c r="AF2544" i="5"/>
  <c r="G2544" i="5"/>
  <c r="O2544" i="5" s="1"/>
  <c r="F2544" i="5"/>
  <c r="R2544" i="5" s="1"/>
  <c r="A2544" i="5"/>
  <c r="AG2543" i="5"/>
  <c r="AF2543" i="5"/>
  <c r="G2543" i="5"/>
  <c r="O2543" i="5" s="1"/>
  <c r="F2543" i="5"/>
  <c r="R2543" i="5" s="1"/>
  <c r="A2543" i="5"/>
  <c r="AG2542" i="5"/>
  <c r="AF2542" i="5"/>
  <c r="G2542" i="5"/>
  <c r="O2542" i="5" s="1"/>
  <c r="F2542" i="5"/>
  <c r="R2542" i="5" s="1"/>
  <c r="A2542" i="5"/>
  <c r="AG2541" i="5"/>
  <c r="AF2541" i="5"/>
  <c r="G2541" i="5"/>
  <c r="O2541" i="5" s="1"/>
  <c r="F2541" i="5"/>
  <c r="R2541" i="5" s="1"/>
  <c r="A2541" i="5"/>
  <c r="AG2540" i="5"/>
  <c r="AF2540" i="5"/>
  <c r="G2540" i="5"/>
  <c r="O2540" i="5" s="1"/>
  <c r="F2540" i="5"/>
  <c r="R2540" i="5" s="1"/>
  <c r="A2540" i="5"/>
  <c r="AG2539" i="5"/>
  <c r="AF2539" i="5"/>
  <c r="G2539" i="5"/>
  <c r="O2539" i="5" s="1"/>
  <c r="F2539" i="5"/>
  <c r="R2539" i="5" s="1"/>
  <c r="A2539" i="5"/>
  <c r="AG2538" i="5"/>
  <c r="AF2538" i="5"/>
  <c r="G2538" i="5"/>
  <c r="O2538" i="5" s="1"/>
  <c r="F2538" i="5"/>
  <c r="R2538" i="5" s="1"/>
  <c r="A2538" i="5"/>
  <c r="AG2537" i="5"/>
  <c r="AF2537" i="5"/>
  <c r="G2537" i="5"/>
  <c r="O2537" i="5" s="1"/>
  <c r="F2537" i="5"/>
  <c r="R2537" i="5" s="1"/>
  <c r="A2537" i="5"/>
  <c r="AG2536" i="5"/>
  <c r="AF2536" i="5"/>
  <c r="G2536" i="5"/>
  <c r="O2536" i="5" s="1"/>
  <c r="F2536" i="5"/>
  <c r="R2536" i="5" s="1"/>
  <c r="A2536" i="5"/>
  <c r="AG2535" i="5"/>
  <c r="AF2535" i="5"/>
  <c r="G2535" i="5"/>
  <c r="O2535" i="5" s="1"/>
  <c r="F2535" i="5"/>
  <c r="R2535" i="5" s="1"/>
  <c r="A2535" i="5"/>
  <c r="AG2534" i="5"/>
  <c r="AF2534" i="5"/>
  <c r="G2534" i="5"/>
  <c r="O2534" i="5" s="1"/>
  <c r="F2534" i="5"/>
  <c r="R2534" i="5" s="1"/>
  <c r="A2534" i="5"/>
  <c r="AG2533" i="5"/>
  <c r="AF2533" i="5"/>
  <c r="G2533" i="5"/>
  <c r="O2533" i="5" s="1"/>
  <c r="F2533" i="5"/>
  <c r="R2533" i="5" s="1"/>
  <c r="A2533" i="5"/>
  <c r="AG2532" i="5"/>
  <c r="AF2532" i="5"/>
  <c r="G2532" i="5"/>
  <c r="O2532" i="5" s="1"/>
  <c r="F2532" i="5"/>
  <c r="R2532" i="5" s="1"/>
  <c r="A2532" i="5"/>
  <c r="AG2531" i="5"/>
  <c r="AF2531" i="5"/>
  <c r="G2531" i="5"/>
  <c r="O2531" i="5" s="1"/>
  <c r="F2531" i="5"/>
  <c r="R2531" i="5" s="1"/>
  <c r="A2531" i="5"/>
  <c r="AG2530" i="5"/>
  <c r="AF2530" i="5"/>
  <c r="G2530" i="5"/>
  <c r="O2530" i="5" s="1"/>
  <c r="F2530" i="5"/>
  <c r="R2530" i="5" s="1"/>
  <c r="A2530" i="5"/>
  <c r="AG2529" i="5"/>
  <c r="AF2529" i="5"/>
  <c r="G2529" i="5"/>
  <c r="O2529" i="5" s="1"/>
  <c r="F2529" i="5"/>
  <c r="R2529" i="5" s="1"/>
  <c r="A2529" i="5"/>
  <c r="AG2528" i="5"/>
  <c r="AF2528" i="5"/>
  <c r="G2528" i="5"/>
  <c r="O2528" i="5" s="1"/>
  <c r="F2528" i="5"/>
  <c r="R2528" i="5" s="1"/>
  <c r="A2528" i="5"/>
  <c r="AG2527" i="5"/>
  <c r="AF2527" i="5"/>
  <c r="G2527" i="5"/>
  <c r="O2527" i="5" s="1"/>
  <c r="F2527" i="5"/>
  <c r="R2527" i="5" s="1"/>
  <c r="A2527" i="5"/>
  <c r="AG2526" i="5"/>
  <c r="AF2526" i="5"/>
  <c r="G2526" i="5"/>
  <c r="O2526" i="5" s="1"/>
  <c r="F2526" i="5"/>
  <c r="R2526" i="5" s="1"/>
  <c r="A2526" i="5"/>
  <c r="AG2525" i="5"/>
  <c r="AF2525" i="5"/>
  <c r="G2525" i="5"/>
  <c r="O2525" i="5" s="1"/>
  <c r="F2525" i="5"/>
  <c r="R2525" i="5" s="1"/>
  <c r="A2525" i="5"/>
  <c r="AG2524" i="5"/>
  <c r="AF2524" i="5"/>
  <c r="G2524" i="5"/>
  <c r="O2524" i="5" s="1"/>
  <c r="F2524" i="5"/>
  <c r="R2524" i="5" s="1"/>
  <c r="A2524" i="5"/>
  <c r="AG2523" i="5"/>
  <c r="AF2523" i="5"/>
  <c r="G2523" i="5"/>
  <c r="O2523" i="5" s="1"/>
  <c r="F2523" i="5"/>
  <c r="R2523" i="5" s="1"/>
  <c r="A2523" i="5"/>
  <c r="AG2522" i="5"/>
  <c r="AF2522" i="5"/>
  <c r="G2522" i="5"/>
  <c r="O2522" i="5" s="1"/>
  <c r="F2522" i="5"/>
  <c r="R2522" i="5" s="1"/>
  <c r="A2522" i="5"/>
  <c r="AG2521" i="5"/>
  <c r="AF2521" i="5"/>
  <c r="G2521" i="5"/>
  <c r="O2521" i="5" s="1"/>
  <c r="F2521" i="5"/>
  <c r="R2521" i="5" s="1"/>
  <c r="A2521" i="5"/>
  <c r="AG2520" i="5"/>
  <c r="AF2520" i="5"/>
  <c r="G2520" i="5"/>
  <c r="O2520" i="5" s="1"/>
  <c r="F2520" i="5"/>
  <c r="R2520" i="5" s="1"/>
  <c r="A2520" i="5"/>
  <c r="AG2519" i="5"/>
  <c r="AF2519" i="5"/>
  <c r="G2519" i="5"/>
  <c r="O2519" i="5" s="1"/>
  <c r="F2519" i="5"/>
  <c r="R2519" i="5" s="1"/>
  <c r="A2519" i="5"/>
  <c r="AG2518" i="5"/>
  <c r="AF2518" i="5"/>
  <c r="G2518" i="5"/>
  <c r="O2518" i="5" s="1"/>
  <c r="F2518" i="5"/>
  <c r="R2518" i="5" s="1"/>
  <c r="A2518" i="5"/>
  <c r="AG2517" i="5"/>
  <c r="AF2517" i="5"/>
  <c r="G2517" i="5"/>
  <c r="O2517" i="5" s="1"/>
  <c r="F2517" i="5"/>
  <c r="R2517" i="5" s="1"/>
  <c r="A2517" i="5"/>
  <c r="AG2516" i="5"/>
  <c r="AF2516" i="5"/>
  <c r="G2516" i="5"/>
  <c r="O2516" i="5" s="1"/>
  <c r="F2516" i="5"/>
  <c r="R2516" i="5" s="1"/>
  <c r="A2516" i="5"/>
  <c r="AG2515" i="5"/>
  <c r="AF2515" i="5"/>
  <c r="G2515" i="5"/>
  <c r="O2515" i="5" s="1"/>
  <c r="F2515" i="5"/>
  <c r="R2515" i="5" s="1"/>
  <c r="A2515" i="5"/>
  <c r="AG2514" i="5"/>
  <c r="AF2514" i="5"/>
  <c r="G2514" i="5"/>
  <c r="O2514" i="5" s="1"/>
  <c r="F2514" i="5"/>
  <c r="R2514" i="5" s="1"/>
  <c r="A2514" i="5"/>
  <c r="AG2513" i="5"/>
  <c r="AF2513" i="5"/>
  <c r="G2513" i="5"/>
  <c r="O2513" i="5" s="1"/>
  <c r="F2513" i="5"/>
  <c r="R2513" i="5" s="1"/>
  <c r="A2513" i="5"/>
  <c r="AG2512" i="5"/>
  <c r="AF2512" i="5"/>
  <c r="G2512" i="5"/>
  <c r="O2512" i="5" s="1"/>
  <c r="F2512" i="5"/>
  <c r="R2512" i="5" s="1"/>
  <c r="A2512" i="5"/>
  <c r="AG2511" i="5"/>
  <c r="AF2511" i="5"/>
  <c r="G2511" i="5"/>
  <c r="O2511" i="5" s="1"/>
  <c r="F2511" i="5"/>
  <c r="R2511" i="5" s="1"/>
  <c r="A2511" i="5"/>
  <c r="AG2510" i="5"/>
  <c r="AF2510" i="5"/>
  <c r="G2510" i="5"/>
  <c r="O2510" i="5" s="1"/>
  <c r="F2510" i="5"/>
  <c r="R2510" i="5" s="1"/>
  <c r="A2510" i="5"/>
  <c r="AG2509" i="5"/>
  <c r="AF2509" i="5"/>
  <c r="G2509" i="5"/>
  <c r="O2509" i="5" s="1"/>
  <c r="F2509" i="5"/>
  <c r="R2509" i="5" s="1"/>
  <c r="A2509" i="5"/>
  <c r="AG2508" i="5"/>
  <c r="AF2508" i="5"/>
  <c r="G2508" i="5"/>
  <c r="O2508" i="5" s="1"/>
  <c r="F2508" i="5"/>
  <c r="R2508" i="5" s="1"/>
  <c r="A2508" i="5"/>
  <c r="AG2507" i="5"/>
  <c r="AF2507" i="5"/>
  <c r="G2507" i="5"/>
  <c r="O2507" i="5" s="1"/>
  <c r="F2507" i="5"/>
  <c r="R2507" i="5" s="1"/>
  <c r="A2507" i="5"/>
  <c r="AG2506" i="5"/>
  <c r="AF2506" i="5"/>
  <c r="G2506" i="5"/>
  <c r="O2506" i="5" s="1"/>
  <c r="F2506" i="5"/>
  <c r="R2506" i="5" s="1"/>
  <c r="A2506" i="5"/>
  <c r="AG2505" i="5"/>
  <c r="AF2505" i="5"/>
  <c r="G2505" i="5"/>
  <c r="O2505" i="5" s="1"/>
  <c r="F2505" i="5"/>
  <c r="R2505" i="5" s="1"/>
  <c r="A2505" i="5"/>
  <c r="AG2504" i="5"/>
  <c r="AF2504" i="5"/>
  <c r="G2504" i="5"/>
  <c r="O2504" i="5" s="1"/>
  <c r="F2504" i="5"/>
  <c r="R2504" i="5" s="1"/>
  <c r="A2504" i="5"/>
  <c r="AG2503" i="5"/>
  <c r="AF2503" i="5"/>
  <c r="G2503" i="5"/>
  <c r="O2503" i="5" s="1"/>
  <c r="F2503" i="5"/>
  <c r="R2503" i="5" s="1"/>
  <c r="A2503" i="5"/>
  <c r="AG2502" i="5"/>
  <c r="AF2502" i="5"/>
  <c r="G2502" i="5"/>
  <c r="O2502" i="5" s="1"/>
  <c r="F2502" i="5"/>
  <c r="R2502" i="5" s="1"/>
  <c r="A2502" i="5"/>
  <c r="AG2501" i="5"/>
  <c r="AF2501" i="5"/>
  <c r="G2501" i="5"/>
  <c r="O2501" i="5" s="1"/>
  <c r="F2501" i="5"/>
  <c r="R2501" i="5" s="1"/>
  <c r="A2501" i="5"/>
  <c r="AG2500" i="5"/>
  <c r="AF2500" i="5"/>
  <c r="G2500" i="5"/>
  <c r="O2500" i="5" s="1"/>
  <c r="F2500" i="5"/>
  <c r="R2500" i="5" s="1"/>
  <c r="A2500" i="5"/>
  <c r="AG2499" i="5"/>
  <c r="AF2499" i="5"/>
  <c r="G2499" i="5"/>
  <c r="O2499" i="5" s="1"/>
  <c r="F2499" i="5"/>
  <c r="R2499" i="5" s="1"/>
  <c r="A2499" i="5"/>
  <c r="AG2498" i="5"/>
  <c r="AF2498" i="5"/>
  <c r="G2498" i="5"/>
  <c r="O2498" i="5" s="1"/>
  <c r="F2498" i="5"/>
  <c r="R2498" i="5" s="1"/>
  <c r="A2498" i="5"/>
  <c r="AG2497" i="5"/>
  <c r="AF2497" i="5"/>
  <c r="G2497" i="5"/>
  <c r="O2497" i="5" s="1"/>
  <c r="F2497" i="5"/>
  <c r="R2497" i="5" s="1"/>
  <c r="A2497" i="5"/>
  <c r="AG2496" i="5"/>
  <c r="AF2496" i="5"/>
  <c r="G2496" i="5"/>
  <c r="O2496" i="5" s="1"/>
  <c r="F2496" i="5"/>
  <c r="R2496" i="5" s="1"/>
  <c r="A2496" i="5"/>
  <c r="AG2495" i="5"/>
  <c r="AF2495" i="5"/>
  <c r="G2495" i="5"/>
  <c r="O2495" i="5" s="1"/>
  <c r="F2495" i="5"/>
  <c r="R2495" i="5" s="1"/>
  <c r="A2495" i="5"/>
  <c r="AG2494" i="5"/>
  <c r="AF2494" i="5"/>
  <c r="G2494" i="5"/>
  <c r="O2494" i="5" s="1"/>
  <c r="F2494" i="5"/>
  <c r="R2494" i="5" s="1"/>
  <c r="A2494" i="5"/>
  <c r="AG2493" i="5"/>
  <c r="AF2493" i="5"/>
  <c r="G2493" i="5"/>
  <c r="O2493" i="5" s="1"/>
  <c r="F2493" i="5"/>
  <c r="R2493" i="5" s="1"/>
  <c r="A2493" i="5"/>
  <c r="AG2492" i="5"/>
  <c r="AF2492" i="5"/>
  <c r="G2492" i="5"/>
  <c r="O2492" i="5" s="1"/>
  <c r="F2492" i="5"/>
  <c r="R2492" i="5" s="1"/>
  <c r="A2492" i="5"/>
  <c r="AG2491" i="5"/>
  <c r="AF2491" i="5"/>
  <c r="G2491" i="5"/>
  <c r="O2491" i="5" s="1"/>
  <c r="F2491" i="5"/>
  <c r="R2491" i="5" s="1"/>
  <c r="A2491" i="5"/>
  <c r="AG2490" i="5"/>
  <c r="AF2490" i="5"/>
  <c r="G2490" i="5"/>
  <c r="O2490" i="5" s="1"/>
  <c r="F2490" i="5"/>
  <c r="R2490" i="5" s="1"/>
  <c r="A2490" i="5"/>
  <c r="AG2489" i="5"/>
  <c r="AF2489" i="5"/>
  <c r="G2489" i="5"/>
  <c r="O2489" i="5" s="1"/>
  <c r="F2489" i="5"/>
  <c r="R2489" i="5" s="1"/>
  <c r="A2489" i="5"/>
  <c r="AG2488" i="5"/>
  <c r="AF2488" i="5"/>
  <c r="G2488" i="5"/>
  <c r="O2488" i="5" s="1"/>
  <c r="F2488" i="5"/>
  <c r="R2488" i="5" s="1"/>
  <c r="A2488" i="5"/>
  <c r="AG2487" i="5"/>
  <c r="AF2487" i="5"/>
  <c r="G2487" i="5"/>
  <c r="O2487" i="5" s="1"/>
  <c r="F2487" i="5"/>
  <c r="R2487" i="5" s="1"/>
  <c r="A2487" i="5"/>
  <c r="AG2486" i="5"/>
  <c r="AF2486" i="5"/>
  <c r="G2486" i="5"/>
  <c r="O2486" i="5" s="1"/>
  <c r="F2486" i="5"/>
  <c r="R2486" i="5" s="1"/>
  <c r="A2486" i="5"/>
  <c r="AG2485" i="5"/>
  <c r="AF2485" i="5"/>
  <c r="G2485" i="5"/>
  <c r="O2485" i="5" s="1"/>
  <c r="F2485" i="5"/>
  <c r="R2485" i="5" s="1"/>
  <c r="A2485" i="5"/>
  <c r="AG2484" i="5"/>
  <c r="AF2484" i="5"/>
  <c r="G2484" i="5"/>
  <c r="O2484" i="5" s="1"/>
  <c r="F2484" i="5"/>
  <c r="R2484" i="5" s="1"/>
  <c r="A2484" i="5"/>
  <c r="AG2483" i="5"/>
  <c r="AF2483" i="5"/>
  <c r="G2483" i="5"/>
  <c r="O2483" i="5" s="1"/>
  <c r="F2483" i="5"/>
  <c r="R2483" i="5" s="1"/>
  <c r="A2483" i="5"/>
  <c r="AG2482" i="5"/>
  <c r="AF2482" i="5"/>
  <c r="G2482" i="5"/>
  <c r="O2482" i="5" s="1"/>
  <c r="F2482" i="5"/>
  <c r="R2482" i="5" s="1"/>
  <c r="A2482" i="5"/>
  <c r="AG2481" i="5"/>
  <c r="AF2481" i="5"/>
  <c r="G2481" i="5"/>
  <c r="O2481" i="5" s="1"/>
  <c r="F2481" i="5"/>
  <c r="R2481" i="5" s="1"/>
  <c r="A2481" i="5"/>
  <c r="AG2480" i="5"/>
  <c r="AF2480" i="5"/>
  <c r="G2480" i="5"/>
  <c r="O2480" i="5" s="1"/>
  <c r="F2480" i="5"/>
  <c r="R2480" i="5" s="1"/>
  <c r="A2480" i="5"/>
  <c r="AG2479" i="5"/>
  <c r="AF2479" i="5"/>
  <c r="G2479" i="5"/>
  <c r="O2479" i="5" s="1"/>
  <c r="F2479" i="5"/>
  <c r="R2479" i="5" s="1"/>
  <c r="A2479" i="5"/>
  <c r="AG2478" i="5"/>
  <c r="AF2478" i="5"/>
  <c r="G2478" i="5"/>
  <c r="O2478" i="5" s="1"/>
  <c r="F2478" i="5"/>
  <c r="R2478" i="5" s="1"/>
  <c r="A2478" i="5"/>
  <c r="AG2477" i="5"/>
  <c r="AF2477" i="5"/>
  <c r="G2477" i="5"/>
  <c r="O2477" i="5" s="1"/>
  <c r="F2477" i="5"/>
  <c r="R2477" i="5" s="1"/>
  <c r="A2477" i="5"/>
  <c r="AG2476" i="5"/>
  <c r="AF2476" i="5"/>
  <c r="G2476" i="5"/>
  <c r="O2476" i="5" s="1"/>
  <c r="F2476" i="5"/>
  <c r="R2476" i="5" s="1"/>
  <c r="A2476" i="5"/>
  <c r="AG2475" i="5"/>
  <c r="AF2475" i="5"/>
  <c r="G2475" i="5"/>
  <c r="O2475" i="5" s="1"/>
  <c r="F2475" i="5"/>
  <c r="R2475" i="5" s="1"/>
  <c r="A2475" i="5"/>
  <c r="AG2474" i="5"/>
  <c r="AF2474" i="5"/>
  <c r="G2474" i="5"/>
  <c r="O2474" i="5" s="1"/>
  <c r="F2474" i="5"/>
  <c r="R2474" i="5" s="1"/>
  <c r="A2474" i="5"/>
  <c r="AG2473" i="5"/>
  <c r="AF2473" i="5"/>
  <c r="G2473" i="5"/>
  <c r="O2473" i="5" s="1"/>
  <c r="F2473" i="5"/>
  <c r="R2473" i="5" s="1"/>
  <c r="A2473" i="5"/>
  <c r="AG2472" i="5"/>
  <c r="AF2472" i="5"/>
  <c r="G2472" i="5"/>
  <c r="O2472" i="5" s="1"/>
  <c r="F2472" i="5"/>
  <c r="R2472" i="5" s="1"/>
  <c r="A2472" i="5"/>
  <c r="AG2471" i="5"/>
  <c r="AF2471" i="5"/>
  <c r="G2471" i="5"/>
  <c r="O2471" i="5" s="1"/>
  <c r="F2471" i="5"/>
  <c r="R2471" i="5" s="1"/>
  <c r="A2471" i="5"/>
  <c r="AG2470" i="5"/>
  <c r="AF2470" i="5"/>
  <c r="G2470" i="5"/>
  <c r="O2470" i="5" s="1"/>
  <c r="F2470" i="5"/>
  <c r="R2470" i="5" s="1"/>
  <c r="A2470" i="5"/>
  <c r="AG2469" i="5"/>
  <c r="AF2469" i="5"/>
  <c r="G2469" i="5"/>
  <c r="O2469" i="5" s="1"/>
  <c r="F2469" i="5"/>
  <c r="R2469" i="5" s="1"/>
  <c r="A2469" i="5"/>
  <c r="AG2468" i="5"/>
  <c r="AF2468" i="5"/>
  <c r="G2468" i="5"/>
  <c r="O2468" i="5" s="1"/>
  <c r="F2468" i="5"/>
  <c r="R2468" i="5" s="1"/>
  <c r="A2468" i="5"/>
  <c r="AG2467" i="5"/>
  <c r="AF2467" i="5"/>
  <c r="G2467" i="5"/>
  <c r="O2467" i="5" s="1"/>
  <c r="F2467" i="5"/>
  <c r="R2467" i="5" s="1"/>
  <c r="A2467" i="5"/>
  <c r="AG2466" i="5"/>
  <c r="AF2466" i="5"/>
  <c r="G2466" i="5"/>
  <c r="O2466" i="5" s="1"/>
  <c r="F2466" i="5"/>
  <c r="R2466" i="5" s="1"/>
  <c r="A2466" i="5"/>
  <c r="AG2465" i="5"/>
  <c r="AF2465" i="5"/>
  <c r="G2465" i="5"/>
  <c r="O2465" i="5" s="1"/>
  <c r="F2465" i="5"/>
  <c r="R2465" i="5" s="1"/>
  <c r="A2465" i="5"/>
  <c r="AG2464" i="5"/>
  <c r="AF2464" i="5"/>
  <c r="G2464" i="5"/>
  <c r="O2464" i="5" s="1"/>
  <c r="F2464" i="5"/>
  <c r="R2464" i="5" s="1"/>
  <c r="A2464" i="5"/>
  <c r="AG2463" i="5"/>
  <c r="AF2463" i="5"/>
  <c r="G2463" i="5"/>
  <c r="O2463" i="5" s="1"/>
  <c r="F2463" i="5"/>
  <c r="R2463" i="5" s="1"/>
  <c r="A2463" i="5"/>
  <c r="AG2462" i="5"/>
  <c r="AF2462" i="5"/>
  <c r="G2462" i="5"/>
  <c r="O2462" i="5" s="1"/>
  <c r="F2462" i="5"/>
  <c r="R2462" i="5" s="1"/>
  <c r="A2462" i="5"/>
  <c r="AG2461" i="5"/>
  <c r="AF2461" i="5"/>
  <c r="G2461" i="5"/>
  <c r="O2461" i="5" s="1"/>
  <c r="F2461" i="5"/>
  <c r="R2461" i="5" s="1"/>
  <c r="A2461" i="5"/>
  <c r="AG2460" i="5"/>
  <c r="AF2460" i="5"/>
  <c r="G2460" i="5"/>
  <c r="O2460" i="5" s="1"/>
  <c r="F2460" i="5"/>
  <c r="R2460" i="5" s="1"/>
  <c r="A2460" i="5"/>
  <c r="AG2459" i="5"/>
  <c r="AF2459" i="5"/>
  <c r="G2459" i="5"/>
  <c r="O2459" i="5" s="1"/>
  <c r="F2459" i="5"/>
  <c r="R2459" i="5" s="1"/>
  <c r="A2459" i="5"/>
  <c r="AG2458" i="5"/>
  <c r="AF2458" i="5"/>
  <c r="G2458" i="5"/>
  <c r="O2458" i="5" s="1"/>
  <c r="F2458" i="5"/>
  <c r="R2458" i="5" s="1"/>
  <c r="A2458" i="5"/>
  <c r="AG2457" i="5"/>
  <c r="AF2457" i="5"/>
  <c r="G2457" i="5"/>
  <c r="O2457" i="5" s="1"/>
  <c r="F2457" i="5"/>
  <c r="R2457" i="5" s="1"/>
  <c r="A2457" i="5"/>
  <c r="AG2456" i="5"/>
  <c r="AF2456" i="5"/>
  <c r="G2456" i="5"/>
  <c r="O2456" i="5" s="1"/>
  <c r="F2456" i="5"/>
  <c r="R2456" i="5" s="1"/>
  <c r="A2456" i="5"/>
  <c r="AG2455" i="5"/>
  <c r="AF2455" i="5"/>
  <c r="G2455" i="5"/>
  <c r="O2455" i="5" s="1"/>
  <c r="F2455" i="5"/>
  <c r="R2455" i="5" s="1"/>
  <c r="A2455" i="5"/>
  <c r="AG2454" i="5"/>
  <c r="AF2454" i="5"/>
  <c r="G2454" i="5"/>
  <c r="O2454" i="5" s="1"/>
  <c r="F2454" i="5"/>
  <c r="R2454" i="5" s="1"/>
  <c r="A2454" i="5"/>
  <c r="AG2453" i="5"/>
  <c r="AF2453" i="5"/>
  <c r="G2453" i="5"/>
  <c r="O2453" i="5" s="1"/>
  <c r="F2453" i="5"/>
  <c r="R2453" i="5" s="1"/>
  <c r="A2453" i="5"/>
  <c r="AG2452" i="5"/>
  <c r="AF2452" i="5"/>
  <c r="G2452" i="5"/>
  <c r="O2452" i="5" s="1"/>
  <c r="F2452" i="5"/>
  <c r="R2452" i="5" s="1"/>
  <c r="A2452" i="5"/>
  <c r="AG2451" i="5"/>
  <c r="AF2451" i="5"/>
  <c r="G2451" i="5"/>
  <c r="O2451" i="5" s="1"/>
  <c r="F2451" i="5"/>
  <c r="R2451" i="5" s="1"/>
  <c r="A2451" i="5"/>
  <c r="AG2450" i="5"/>
  <c r="AF2450" i="5"/>
  <c r="G2450" i="5"/>
  <c r="O2450" i="5" s="1"/>
  <c r="F2450" i="5"/>
  <c r="R2450" i="5" s="1"/>
  <c r="A2450" i="5"/>
  <c r="AG2449" i="5"/>
  <c r="AF2449" i="5"/>
  <c r="G2449" i="5"/>
  <c r="O2449" i="5" s="1"/>
  <c r="F2449" i="5"/>
  <c r="R2449" i="5" s="1"/>
  <c r="A2449" i="5"/>
  <c r="AG2448" i="5"/>
  <c r="AF2448" i="5"/>
  <c r="G2448" i="5"/>
  <c r="O2448" i="5" s="1"/>
  <c r="F2448" i="5"/>
  <c r="R2448" i="5" s="1"/>
  <c r="A2448" i="5"/>
  <c r="AG2447" i="5"/>
  <c r="AF2447" i="5"/>
  <c r="G2447" i="5"/>
  <c r="O2447" i="5" s="1"/>
  <c r="F2447" i="5"/>
  <c r="R2447" i="5" s="1"/>
  <c r="A2447" i="5"/>
  <c r="AG2446" i="5"/>
  <c r="AF2446" i="5"/>
  <c r="G2446" i="5"/>
  <c r="O2446" i="5" s="1"/>
  <c r="F2446" i="5"/>
  <c r="R2446" i="5" s="1"/>
  <c r="A2446" i="5"/>
  <c r="AG2445" i="5"/>
  <c r="AF2445" i="5"/>
  <c r="G2445" i="5"/>
  <c r="O2445" i="5" s="1"/>
  <c r="F2445" i="5"/>
  <c r="R2445" i="5" s="1"/>
  <c r="A2445" i="5"/>
  <c r="AG2444" i="5"/>
  <c r="AF2444" i="5"/>
  <c r="G2444" i="5"/>
  <c r="O2444" i="5" s="1"/>
  <c r="F2444" i="5"/>
  <c r="R2444" i="5" s="1"/>
  <c r="A2444" i="5"/>
  <c r="AG2443" i="5"/>
  <c r="AF2443" i="5"/>
  <c r="G2443" i="5"/>
  <c r="O2443" i="5" s="1"/>
  <c r="F2443" i="5"/>
  <c r="R2443" i="5" s="1"/>
  <c r="A2443" i="5"/>
  <c r="AG2442" i="5"/>
  <c r="AF2442" i="5"/>
  <c r="G2442" i="5"/>
  <c r="O2442" i="5" s="1"/>
  <c r="F2442" i="5"/>
  <c r="R2442" i="5" s="1"/>
  <c r="A2442" i="5"/>
  <c r="AG2441" i="5"/>
  <c r="AF2441" i="5"/>
  <c r="G2441" i="5"/>
  <c r="O2441" i="5" s="1"/>
  <c r="F2441" i="5"/>
  <c r="R2441" i="5" s="1"/>
  <c r="A2441" i="5"/>
  <c r="AG2440" i="5"/>
  <c r="AF2440" i="5"/>
  <c r="G2440" i="5"/>
  <c r="O2440" i="5" s="1"/>
  <c r="F2440" i="5"/>
  <c r="R2440" i="5" s="1"/>
  <c r="A2440" i="5"/>
  <c r="AG2439" i="5"/>
  <c r="AF2439" i="5"/>
  <c r="G2439" i="5"/>
  <c r="O2439" i="5" s="1"/>
  <c r="F2439" i="5"/>
  <c r="R2439" i="5" s="1"/>
  <c r="A2439" i="5"/>
  <c r="AG2438" i="5"/>
  <c r="AF2438" i="5"/>
  <c r="G2438" i="5"/>
  <c r="O2438" i="5" s="1"/>
  <c r="F2438" i="5"/>
  <c r="R2438" i="5" s="1"/>
  <c r="A2438" i="5"/>
  <c r="AG2437" i="5"/>
  <c r="AF2437" i="5"/>
  <c r="G2437" i="5"/>
  <c r="O2437" i="5" s="1"/>
  <c r="F2437" i="5"/>
  <c r="R2437" i="5" s="1"/>
  <c r="A2437" i="5"/>
  <c r="AG2436" i="5"/>
  <c r="AF2436" i="5"/>
  <c r="G2436" i="5"/>
  <c r="O2436" i="5" s="1"/>
  <c r="F2436" i="5"/>
  <c r="R2436" i="5" s="1"/>
  <c r="A2436" i="5"/>
  <c r="AG2435" i="5"/>
  <c r="AF2435" i="5"/>
  <c r="G2435" i="5"/>
  <c r="O2435" i="5" s="1"/>
  <c r="F2435" i="5"/>
  <c r="R2435" i="5" s="1"/>
  <c r="A2435" i="5"/>
  <c r="AG2434" i="5"/>
  <c r="AF2434" i="5"/>
  <c r="G2434" i="5"/>
  <c r="O2434" i="5" s="1"/>
  <c r="F2434" i="5"/>
  <c r="R2434" i="5" s="1"/>
  <c r="A2434" i="5"/>
  <c r="AG2433" i="5"/>
  <c r="AF2433" i="5"/>
  <c r="G2433" i="5"/>
  <c r="O2433" i="5" s="1"/>
  <c r="F2433" i="5"/>
  <c r="R2433" i="5" s="1"/>
  <c r="A2433" i="5"/>
  <c r="AG2432" i="5"/>
  <c r="AF2432" i="5"/>
  <c r="G2432" i="5"/>
  <c r="O2432" i="5" s="1"/>
  <c r="F2432" i="5"/>
  <c r="R2432" i="5" s="1"/>
  <c r="A2432" i="5"/>
  <c r="AG2431" i="5"/>
  <c r="AF2431" i="5"/>
  <c r="G2431" i="5"/>
  <c r="O2431" i="5" s="1"/>
  <c r="F2431" i="5"/>
  <c r="R2431" i="5" s="1"/>
  <c r="A2431" i="5"/>
  <c r="AG2430" i="5"/>
  <c r="AF2430" i="5"/>
  <c r="G2430" i="5"/>
  <c r="O2430" i="5" s="1"/>
  <c r="F2430" i="5"/>
  <c r="R2430" i="5" s="1"/>
  <c r="A2430" i="5"/>
  <c r="AG2429" i="5"/>
  <c r="AF2429" i="5"/>
  <c r="G2429" i="5"/>
  <c r="O2429" i="5" s="1"/>
  <c r="F2429" i="5"/>
  <c r="R2429" i="5" s="1"/>
  <c r="A2429" i="5"/>
  <c r="AG2428" i="5"/>
  <c r="AF2428" i="5"/>
  <c r="G2428" i="5"/>
  <c r="O2428" i="5" s="1"/>
  <c r="F2428" i="5"/>
  <c r="R2428" i="5" s="1"/>
  <c r="A2428" i="5"/>
  <c r="AG2427" i="5"/>
  <c r="AF2427" i="5"/>
  <c r="G2427" i="5"/>
  <c r="O2427" i="5" s="1"/>
  <c r="F2427" i="5"/>
  <c r="R2427" i="5" s="1"/>
  <c r="A2427" i="5"/>
  <c r="AG2426" i="5"/>
  <c r="AF2426" i="5"/>
  <c r="G2426" i="5"/>
  <c r="O2426" i="5" s="1"/>
  <c r="F2426" i="5"/>
  <c r="R2426" i="5" s="1"/>
  <c r="A2426" i="5"/>
  <c r="AG2425" i="5"/>
  <c r="AF2425" i="5"/>
  <c r="G2425" i="5"/>
  <c r="O2425" i="5" s="1"/>
  <c r="F2425" i="5"/>
  <c r="R2425" i="5" s="1"/>
  <c r="A2425" i="5"/>
  <c r="AG2424" i="5"/>
  <c r="AF2424" i="5"/>
  <c r="G2424" i="5"/>
  <c r="O2424" i="5" s="1"/>
  <c r="F2424" i="5"/>
  <c r="R2424" i="5" s="1"/>
  <c r="A2424" i="5"/>
  <c r="AG2423" i="5"/>
  <c r="AF2423" i="5"/>
  <c r="G2423" i="5"/>
  <c r="O2423" i="5" s="1"/>
  <c r="F2423" i="5"/>
  <c r="R2423" i="5" s="1"/>
  <c r="A2423" i="5"/>
  <c r="AG2422" i="5"/>
  <c r="AF2422" i="5"/>
  <c r="G2422" i="5"/>
  <c r="O2422" i="5" s="1"/>
  <c r="F2422" i="5"/>
  <c r="R2422" i="5" s="1"/>
  <c r="A2422" i="5"/>
  <c r="AG2421" i="5"/>
  <c r="AF2421" i="5"/>
  <c r="G2421" i="5"/>
  <c r="O2421" i="5" s="1"/>
  <c r="F2421" i="5"/>
  <c r="R2421" i="5" s="1"/>
  <c r="A2421" i="5"/>
  <c r="AG2420" i="5"/>
  <c r="AF2420" i="5"/>
  <c r="G2420" i="5"/>
  <c r="O2420" i="5" s="1"/>
  <c r="F2420" i="5"/>
  <c r="R2420" i="5" s="1"/>
  <c r="A2420" i="5"/>
  <c r="AG2419" i="5"/>
  <c r="AF2419" i="5"/>
  <c r="G2419" i="5"/>
  <c r="O2419" i="5" s="1"/>
  <c r="F2419" i="5"/>
  <c r="R2419" i="5" s="1"/>
  <c r="A2419" i="5"/>
  <c r="AG2418" i="5"/>
  <c r="AF2418" i="5"/>
  <c r="G2418" i="5"/>
  <c r="O2418" i="5" s="1"/>
  <c r="F2418" i="5"/>
  <c r="R2418" i="5" s="1"/>
  <c r="A2418" i="5"/>
  <c r="AG2417" i="5"/>
  <c r="AF2417" i="5"/>
  <c r="G2417" i="5"/>
  <c r="O2417" i="5" s="1"/>
  <c r="F2417" i="5"/>
  <c r="R2417" i="5" s="1"/>
  <c r="A2417" i="5"/>
  <c r="AG2416" i="5"/>
  <c r="AF2416" i="5"/>
  <c r="G2416" i="5"/>
  <c r="O2416" i="5" s="1"/>
  <c r="F2416" i="5"/>
  <c r="R2416" i="5" s="1"/>
  <c r="A2416" i="5"/>
  <c r="AG2415" i="5"/>
  <c r="AF2415" i="5"/>
  <c r="G2415" i="5"/>
  <c r="O2415" i="5" s="1"/>
  <c r="F2415" i="5"/>
  <c r="R2415" i="5" s="1"/>
  <c r="A2415" i="5"/>
  <c r="AG2414" i="5"/>
  <c r="AF2414" i="5"/>
  <c r="G2414" i="5"/>
  <c r="O2414" i="5" s="1"/>
  <c r="F2414" i="5"/>
  <c r="R2414" i="5" s="1"/>
  <c r="A2414" i="5"/>
  <c r="AG2413" i="5"/>
  <c r="AF2413" i="5"/>
  <c r="G2413" i="5"/>
  <c r="O2413" i="5" s="1"/>
  <c r="F2413" i="5"/>
  <c r="R2413" i="5" s="1"/>
  <c r="A2413" i="5"/>
  <c r="AG2412" i="5"/>
  <c r="AF2412" i="5"/>
  <c r="G2412" i="5"/>
  <c r="O2412" i="5" s="1"/>
  <c r="F2412" i="5"/>
  <c r="R2412" i="5" s="1"/>
  <c r="A2412" i="5"/>
  <c r="AG2411" i="5"/>
  <c r="AF2411" i="5"/>
  <c r="G2411" i="5"/>
  <c r="O2411" i="5" s="1"/>
  <c r="F2411" i="5"/>
  <c r="R2411" i="5" s="1"/>
  <c r="A2411" i="5"/>
  <c r="AG2410" i="5"/>
  <c r="AF2410" i="5"/>
  <c r="G2410" i="5"/>
  <c r="O2410" i="5" s="1"/>
  <c r="F2410" i="5"/>
  <c r="R2410" i="5" s="1"/>
  <c r="A2410" i="5"/>
  <c r="AG2409" i="5"/>
  <c r="AF2409" i="5"/>
  <c r="G2409" i="5"/>
  <c r="O2409" i="5" s="1"/>
  <c r="F2409" i="5"/>
  <c r="R2409" i="5" s="1"/>
  <c r="A2409" i="5"/>
  <c r="AG2408" i="5"/>
  <c r="AF2408" i="5"/>
  <c r="G2408" i="5"/>
  <c r="O2408" i="5" s="1"/>
  <c r="F2408" i="5"/>
  <c r="R2408" i="5" s="1"/>
  <c r="A2408" i="5"/>
  <c r="AG2407" i="5"/>
  <c r="AF2407" i="5"/>
  <c r="G2407" i="5"/>
  <c r="O2407" i="5" s="1"/>
  <c r="F2407" i="5"/>
  <c r="R2407" i="5" s="1"/>
  <c r="A2407" i="5"/>
  <c r="AG2406" i="5"/>
  <c r="AF2406" i="5"/>
  <c r="G2406" i="5"/>
  <c r="O2406" i="5" s="1"/>
  <c r="F2406" i="5"/>
  <c r="R2406" i="5" s="1"/>
  <c r="A2406" i="5"/>
  <c r="AG2405" i="5"/>
  <c r="AF2405" i="5"/>
  <c r="G2405" i="5"/>
  <c r="O2405" i="5" s="1"/>
  <c r="F2405" i="5"/>
  <c r="R2405" i="5" s="1"/>
  <c r="A2405" i="5"/>
  <c r="AG2404" i="5"/>
  <c r="AF2404" i="5"/>
  <c r="G2404" i="5"/>
  <c r="O2404" i="5" s="1"/>
  <c r="F2404" i="5"/>
  <c r="R2404" i="5" s="1"/>
  <c r="A2404" i="5"/>
  <c r="AG2403" i="5"/>
  <c r="AF2403" i="5"/>
  <c r="G2403" i="5"/>
  <c r="O2403" i="5" s="1"/>
  <c r="F2403" i="5"/>
  <c r="R2403" i="5" s="1"/>
  <c r="A2403" i="5"/>
  <c r="AG2402" i="5"/>
  <c r="AF2402" i="5"/>
  <c r="G2402" i="5"/>
  <c r="O2402" i="5" s="1"/>
  <c r="F2402" i="5"/>
  <c r="R2402" i="5" s="1"/>
  <c r="A2402" i="5"/>
  <c r="AG2401" i="5"/>
  <c r="AF2401" i="5"/>
  <c r="G2401" i="5"/>
  <c r="O2401" i="5" s="1"/>
  <c r="F2401" i="5"/>
  <c r="R2401" i="5" s="1"/>
  <c r="A2401" i="5"/>
  <c r="AG2400" i="5"/>
  <c r="AF2400" i="5"/>
  <c r="G2400" i="5"/>
  <c r="O2400" i="5" s="1"/>
  <c r="F2400" i="5"/>
  <c r="R2400" i="5" s="1"/>
  <c r="A2400" i="5"/>
  <c r="AG2399" i="5"/>
  <c r="AF2399" i="5"/>
  <c r="G2399" i="5"/>
  <c r="O2399" i="5" s="1"/>
  <c r="F2399" i="5"/>
  <c r="R2399" i="5" s="1"/>
  <c r="A2399" i="5"/>
  <c r="AG2398" i="5"/>
  <c r="AF2398" i="5"/>
  <c r="G2398" i="5"/>
  <c r="O2398" i="5" s="1"/>
  <c r="F2398" i="5"/>
  <c r="R2398" i="5" s="1"/>
  <c r="A2398" i="5"/>
  <c r="AG2397" i="5"/>
  <c r="AF2397" i="5"/>
  <c r="G2397" i="5"/>
  <c r="O2397" i="5" s="1"/>
  <c r="F2397" i="5"/>
  <c r="R2397" i="5" s="1"/>
  <c r="A2397" i="5"/>
  <c r="AG2396" i="5"/>
  <c r="AF2396" i="5"/>
  <c r="G2396" i="5"/>
  <c r="O2396" i="5" s="1"/>
  <c r="F2396" i="5"/>
  <c r="R2396" i="5" s="1"/>
  <c r="A2396" i="5"/>
  <c r="AG2395" i="5"/>
  <c r="AF2395" i="5"/>
  <c r="G2395" i="5"/>
  <c r="O2395" i="5" s="1"/>
  <c r="F2395" i="5"/>
  <c r="R2395" i="5" s="1"/>
  <c r="A2395" i="5"/>
  <c r="AG2394" i="5"/>
  <c r="AF2394" i="5"/>
  <c r="G2394" i="5"/>
  <c r="O2394" i="5" s="1"/>
  <c r="F2394" i="5"/>
  <c r="R2394" i="5" s="1"/>
  <c r="A2394" i="5"/>
  <c r="AG2393" i="5"/>
  <c r="AF2393" i="5"/>
  <c r="G2393" i="5"/>
  <c r="O2393" i="5" s="1"/>
  <c r="F2393" i="5"/>
  <c r="R2393" i="5" s="1"/>
  <c r="A2393" i="5"/>
  <c r="AG2392" i="5"/>
  <c r="AF2392" i="5"/>
  <c r="G2392" i="5"/>
  <c r="O2392" i="5" s="1"/>
  <c r="F2392" i="5"/>
  <c r="R2392" i="5" s="1"/>
  <c r="A2392" i="5"/>
  <c r="AG2391" i="5"/>
  <c r="AF2391" i="5"/>
  <c r="G2391" i="5"/>
  <c r="O2391" i="5" s="1"/>
  <c r="F2391" i="5"/>
  <c r="R2391" i="5" s="1"/>
  <c r="A2391" i="5"/>
  <c r="AG2390" i="5"/>
  <c r="AF2390" i="5"/>
  <c r="G2390" i="5"/>
  <c r="O2390" i="5" s="1"/>
  <c r="F2390" i="5"/>
  <c r="R2390" i="5" s="1"/>
  <c r="A2390" i="5"/>
  <c r="AG2389" i="5"/>
  <c r="AF2389" i="5"/>
  <c r="G2389" i="5"/>
  <c r="O2389" i="5" s="1"/>
  <c r="F2389" i="5"/>
  <c r="R2389" i="5" s="1"/>
  <c r="A2389" i="5"/>
  <c r="AG2388" i="5"/>
  <c r="AF2388" i="5"/>
  <c r="G2388" i="5"/>
  <c r="O2388" i="5" s="1"/>
  <c r="F2388" i="5"/>
  <c r="R2388" i="5" s="1"/>
  <c r="A2388" i="5"/>
  <c r="AG2387" i="5"/>
  <c r="AF2387" i="5"/>
  <c r="G2387" i="5"/>
  <c r="O2387" i="5" s="1"/>
  <c r="F2387" i="5"/>
  <c r="R2387" i="5" s="1"/>
  <c r="A2387" i="5"/>
  <c r="AG2386" i="5"/>
  <c r="AF2386" i="5"/>
  <c r="G2386" i="5"/>
  <c r="O2386" i="5" s="1"/>
  <c r="F2386" i="5"/>
  <c r="R2386" i="5" s="1"/>
  <c r="A2386" i="5"/>
  <c r="AG2385" i="5"/>
  <c r="AF2385" i="5"/>
  <c r="G2385" i="5"/>
  <c r="O2385" i="5" s="1"/>
  <c r="F2385" i="5"/>
  <c r="R2385" i="5" s="1"/>
  <c r="A2385" i="5"/>
  <c r="AG2384" i="5"/>
  <c r="AF2384" i="5"/>
  <c r="G2384" i="5"/>
  <c r="O2384" i="5" s="1"/>
  <c r="F2384" i="5"/>
  <c r="R2384" i="5" s="1"/>
  <c r="A2384" i="5"/>
  <c r="AG2383" i="5"/>
  <c r="AF2383" i="5"/>
  <c r="G2383" i="5"/>
  <c r="O2383" i="5" s="1"/>
  <c r="F2383" i="5"/>
  <c r="R2383" i="5" s="1"/>
  <c r="A2383" i="5"/>
  <c r="AG2382" i="5"/>
  <c r="AF2382" i="5"/>
  <c r="G2382" i="5"/>
  <c r="O2382" i="5" s="1"/>
  <c r="F2382" i="5"/>
  <c r="R2382" i="5" s="1"/>
  <c r="A2382" i="5"/>
  <c r="AG2381" i="5"/>
  <c r="AF2381" i="5"/>
  <c r="G2381" i="5"/>
  <c r="O2381" i="5" s="1"/>
  <c r="F2381" i="5"/>
  <c r="R2381" i="5" s="1"/>
  <c r="A2381" i="5"/>
  <c r="AG2380" i="5"/>
  <c r="AF2380" i="5"/>
  <c r="G2380" i="5"/>
  <c r="O2380" i="5" s="1"/>
  <c r="F2380" i="5"/>
  <c r="R2380" i="5" s="1"/>
  <c r="A2380" i="5"/>
  <c r="AG2379" i="5"/>
  <c r="AF2379" i="5"/>
  <c r="G2379" i="5"/>
  <c r="O2379" i="5" s="1"/>
  <c r="F2379" i="5"/>
  <c r="R2379" i="5" s="1"/>
  <c r="A2379" i="5"/>
  <c r="AG2378" i="5"/>
  <c r="AF2378" i="5"/>
  <c r="G2378" i="5"/>
  <c r="O2378" i="5" s="1"/>
  <c r="F2378" i="5"/>
  <c r="R2378" i="5" s="1"/>
  <c r="A2378" i="5"/>
  <c r="AG2377" i="5"/>
  <c r="AF2377" i="5"/>
  <c r="G2377" i="5"/>
  <c r="O2377" i="5" s="1"/>
  <c r="F2377" i="5"/>
  <c r="R2377" i="5" s="1"/>
  <c r="A2377" i="5"/>
  <c r="AG2376" i="5"/>
  <c r="AF2376" i="5"/>
  <c r="G2376" i="5"/>
  <c r="O2376" i="5" s="1"/>
  <c r="F2376" i="5"/>
  <c r="R2376" i="5" s="1"/>
  <c r="A2376" i="5"/>
  <c r="AG2375" i="5"/>
  <c r="AF2375" i="5"/>
  <c r="G2375" i="5"/>
  <c r="O2375" i="5" s="1"/>
  <c r="F2375" i="5"/>
  <c r="R2375" i="5" s="1"/>
  <c r="A2375" i="5"/>
  <c r="AG2374" i="5"/>
  <c r="AF2374" i="5"/>
  <c r="G2374" i="5"/>
  <c r="O2374" i="5" s="1"/>
  <c r="F2374" i="5"/>
  <c r="R2374" i="5" s="1"/>
  <c r="A2374" i="5"/>
  <c r="AG2373" i="5"/>
  <c r="AF2373" i="5"/>
  <c r="G2373" i="5"/>
  <c r="O2373" i="5" s="1"/>
  <c r="F2373" i="5"/>
  <c r="R2373" i="5" s="1"/>
  <c r="A2373" i="5"/>
  <c r="AG2372" i="5"/>
  <c r="AF2372" i="5"/>
  <c r="G2372" i="5"/>
  <c r="O2372" i="5" s="1"/>
  <c r="F2372" i="5"/>
  <c r="R2372" i="5" s="1"/>
  <c r="A2372" i="5"/>
  <c r="AG2371" i="5"/>
  <c r="AF2371" i="5"/>
  <c r="G2371" i="5"/>
  <c r="O2371" i="5" s="1"/>
  <c r="F2371" i="5"/>
  <c r="R2371" i="5" s="1"/>
  <c r="A2371" i="5"/>
  <c r="AG2370" i="5"/>
  <c r="AF2370" i="5"/>
  <c r="G2370" i="5"/>
  <c r="O2370" i="5" s="1"/>
  <c r="F2370" i="5"/>
  <c r="R2370" i="5" s="1"/>
  <c r="A2370" i="5"/>
  <c r="AG2369" i="5"/>
  <c r="AF2369" i="5"/>
  <c r="G2369" i="5"/>
  <c r="O2369" i="5" s="1"/>
  <c r="F2369" i="5"/>
  <c r="R2369" i="5" s="1"/>
  <c r="A2369" i="5"/>
  <c r="AG2368" i="5"/>
  <c r="AF2368" i="5"/>
  <c r="G2368" i="5"/>
  <c r="O2368" i="5" s="1"/>
  <c r="F2368" i="5"/>
  <c r="R2368" i="5" s="1"/>
  <c r="A2368" i="5"/>
  <c r="AG2367" i="5"/>
  <c r="AF2367" i="5"/>
  <c r="G2367" i="5"/>
  <c r="O2367" i="5" s="1"/>
  <c r="F2367" i="5"/>
  <c r="R2367" i="5" s="1"/>
  <c r="A2367" i="5"/>
  <c r="AG2366" i="5"/>
  <c r="AF2366" i="5"/>
  <c r="G2366" i="5"/>
  <c r="O2366" i="5" s="1"/>
  <c r="F2366" i="5"/>
  <c r="R2366" i="5" s="1"/>
  <c r="A2366" i="5"/>
  <c r="AG2365" i="5"/>
  <c r="AF2365" i="5"/>
  <c r="G2365" i="5"/>
  <c r="O2365" i="5" s="1"/>
  <c r="F2365" i="5"/>
  <c r="R2365" i="5" s="1"/>
  <c r="A2365" i="5"/>
  <c r="AG2364" i="5"/>
  <c r="AF2364" i="5"/>
  <c r="G2364" i="5"/>
  <c r="O2364" i="5" s="1"/>
  <c r="F2364" i="5"/>
  <c r="R2364" i="5" s="1"/>
  <c r="A2364" i="5"/>
  <c r="AG2363" i="5"/>
  <c r="AF2363" i="5"/>
  <c r="G2363" i="5"/>
  <c r="O2363" i="5" s="1"/>
  <c r="F2363" i="5"/>
  <c r="R2363" i="5" s="1"/>
  <c r="A2363" i="5"/>
  <c r="AG2362" i="5"/>
  <c r="AF2362" i="5"/>
  <c r="G2362" i="5"/>
  <c r="O2362" i="5" s="1"/>
  <c r="F2362" i="5"/>
  <c r="R2362" i="5" s="1"/>
  <c r="A2362" i="5"/>
  <c r="AG2361" i="5"/>
  <c r="AF2361" i="5"/>
  <c r="G2361" i="5"/>
  <c r="O2361" i="5" s="1"/>
  <c r="F2361" i="5"/>
  <c r="R2361" i="5" s="1"/>
  <c r="A2361" i="5"/>
  <c r="AG2360" i="5"/>
  <c r="AF2360" i="5"/>
  <c r="G2360" i="5"/>
  <c r="O2360" i="5" s="1"/>
  <c r="F2360" i="5"/>
  <c r="R2360" i="5" s="1"/>
  <c r="A2360" i="5"/>
  <c r="AG2359" i="5"/>
  <c r="AF2359" i="5"/>
  <c r="G2359" i="5"/>
  <c r="O2359" i="5" s="1"/>
  <c r="F2359" i="5"/>
  <c r="R2359" i="5" s="1"/>
  <c r="A2359" i="5"/>
  <c r="AG2358" i="5"/>
  <c r="AF2358" i="5"/>
  <c r="G2358" i="5"/>
  <c r="O2358" i="5" s="1"/>
  <c r="F2358" i="5"/>
  <c r="R2358" i="5" s="1"/>
  <c r="A2358" i="5"/>
  <c r="AG2357" i="5"/>
  <c r="AF2357" i="5"/>
  <c r="G2357" i="5"/>
  <c r="O2357" i="5" s="1"/>
  <c r="F2357" i="5"/>
  <c r="R2357" i="5" s="1"/>
  <c r="A2357" i="5"/>
  <c r="AG2356" i="5"/>
  <c r="AF2356" i="5"/>
  <c r="G2356" i="5"/>
  <c r="O2356" i="5" s="1"/>
  <c r="F2356" i="5"/>
  <c r="R2356" i="5" s="1"/>
  <c r="A2356" i="5"/>
  <c r="AG2355" i="5"/>
  <c r="AF2355" i="5"/>
  <c r="G2355" i="5"/>
  <c r="O2355" i="5" s="1"/>
  <c r="F2355" i="5"/>
  <c r="R2355" i="5" s="1"/>
  <c r="A2355" i="5"/>
  <c r="AG2354" i="5"/>
  <c r="AF2354" i="5"/>
  <c r="G2354" i="5"/>
  <c r="O2354" i="5" s="1"/>
  <c r="F2354" i="5"/>
  <c r="R2354" i="5" s="1"/>
  <c r="A2354" i="5"/>
  <c r="AG2353" i="5"/>
  <c r="AF2353" i="5"/>
  <c r="G2353" i="5"/>
  <c r="O2353" i="5" s="1"/>
  <c r="F2353" i="5"/>
  <c r="R2353" i="5" s="1"/>
  <c r="A2353" i="5"/>
  <c r="AG2352" i="5"/>
  <c r="AF2352" i="5"/>
  <c r="G2352" i="5"/>
  <c r="O2352" i="5" s="1"/>
  <c r="F2352" i="5"/>
  <c r="R2352" i="5" s="1"/>
  <c r="A2352" i="5"/>
  <c r="AG2351" i="5"/>
  <c r="AF2351" i="5"/>
  <c r="G2351" i="5"/>
  <c r="O2351" i="5" s="1"/>
  <c r="F2351" i="5"/>
  <c r="R2351" i="5" s="1"/>
  <c r="A2351" i="5"/>
  <c r="AG2350" i="5"/>
  <c r="AF2350" i="5"/>
  <c r="G2350" i="5"/>
  <c r="O2350" i="5" s="1"/>
  <c r="F2350" i="5"/>
  <c r="R2350" i="5" s="1"/>
  <c r="A2350" i="5"/>
  <c r="AG2349" i="5"/>
  <c r="AF2349" i="5"/>
  <c r="G2349" i="5"/>
  <c r="O2349" i="5" s="1"/>
  <c r="F2349" i="5"/>
  <c r="R2349" i="5" s="1"/>
  <c r="A2349" i="5"/>
  <c r="AG2348" i="5"/>
  <c r="AF2348" i="5"/>
  <c r="G2348" i="5"/>
  <c r="O2348" i="5" s="1"/>
  <c r="F2348" i="5"/>
  <c r="R2348" i="5" s="1"/>
  <c r="A2348" i="5"/>
  <c r="AG2347" i="5"/>
  <c r="AF2347" i="5"/>
  <c r="G2347" i="5"/>
  <c r="O2347" i="5" s="1"/>
  <c r="F2347" i="5"/>
  <c r="R2347" i="5" s="1"/>
  <c r="A2347" i="5"/>
  <c r="AG2346" i="5"/>
  <c r="AF2346" i="5"/>
  <c r="G2346" i="5"/>
  <c r="O2346" i="5" s="1"/>
  <c r="F2346" i="5"/>
  <c r="R2346" i="5" s="1"/>
  <c r="A2346" i="5"/>
  <c r="AG2345" i="5"/>
  <c r="AF2345" i="5"/>
  <c r="G2345" i="5"/>
  <c r="O2345" i="5" s="1"/>
  <c r="F2345" i="5"/>
  <c r="R2345" i="5" s="1"/>
  <c r="A2345" i="5"/>
  <c r="AG2344" i="5"/>
  <c r="AF2344" i="5"/>
  <c r="G2344" i="5"/>
  <c r="O2344" i="5" s="1"/>
  <c r="F2344" i="5"/>
  <c r="R2344" i="5" s="1"/>
  <c r="A2344" i="5"/>
  <c r="AG2343" i="5"/>
  <c r="AF2343" i="5"/>
  <c r="G2343" i="5"/>
  <c r="O2343" i="5" s="1"/>
  <c r="F2343" i="5"/>
  <c r="R2343" i="5" s="1"/>
  <c r="A2343" i="5"/>
  <c r="AG2342" i="5"/>
  <c r="AF2342" i="5"/>
  <c r="G2342" i="5"/>
  <c r="O2342" i="5" s="1"/>
  <c r="F2342" i="5"/>
  <c r="R2342" i="5" s="1"/>
  <c r="A2342" i="5"/>
  <c r="AG2341" i="5"/>
  <c r="AF2341" i="5"/>
  <c r="G2341" i="5"/>
  <c r="O2341" i="5" s="1"/>
  <c r="F2341" i="5"/>
  <c r="R2341" i="5" s="1"/>
  <c r="A2341" i="5"/>
  <c r="AG2340" i="5"/>
  <c r="AF2340" i="5"/>
  <c r="G2340" i="5"/>
  <c r="O2340" i="5" s="1"/>
  <c r="F2340" i="5"/>
  <c r="R2340" i="5" s="1"/>
  <c r="A2340" i="5"/>
  <c r="AG2339" i="5"/>
  <c r="AF2339" i="5"/>
  <c r="G2339" i="5"/>
  <c r="O2339" i="5" s="1"/>
  <c r="F2339" i="5"/>
  <c r="R2339" i="5" s="1"/>
  <c r="A2339" i="5"/>
  <c r="AG2338" i="5"/>
  <c r="AF2338" i="5"/>
  <c r="G2338" i="5"/>
  <c r="O2338" i="5" s="1"/>
  <c r="F2338" i="5"/>
  <c r="R2338" i="5" s="1"/>
  <c r="A2338" i="5"/>
  <c r="AG2337" i="5"/>
  <c r="AF2337" i="5"/>
  <c r="G2337" i="5"/>
  <c r="O2337" i="5" s="1"/>
  <c r="F2337" i="5"/>
  <c r="R2337" i="5" s="1"/>
  <c r="A2337" i="5"/>
  <c r="AG2336" i="5"/>
  <c r="AF2336" i="5"/>
  <c r="G2336" i="5"/>
  <c r="O2336" i="5" s="1"/>
  <c r="F2336" i="5"/>
  <c r="R2336" i="5" s="1"/>
  <c r="A2336" i="5"/>
  <c r="AG2335" i="5"/>
  <c r="AF2335" i="5"/>
  <c r="G2335" i="5"/>
  <c r="O2335" i="5" s="1"/>
  <c r="F2335" i="5"/>
  <c r="R2335" i="5" s="1"/>
  <c r="A2335" i="5"/>
  <c r="AG2334" i="5"/>
  <c r="AF2334" i="5"/>
  <c r="G2334" i="5"/>
  <c r="O2334" i="5" s="1"/>
  <c r="F2334" i="5"/>
  <c r="R2334" i="5" s="1"/>
  <c r="A2334" i="5"/>
  <c r="AG2333" i="5"/>
  <c r="AF2333" i="5"/>
  <c r="G2333" i="5"/>
  <c r="O2333" i="5" s="1"/>
  <c r="F2333" i="5"/>
  <c r="R2333" i="5" s="1"/>
  <c r="A2333" i="5"/>
  <c r="AG2332" i="5"/>
  <c r="AF2332" i="5"/>
  <c r="G2332" i="5"/>
  <c r="O2332" i="5" s="1"/>
  <c r="F2332" i="5"/>
  <c r="R2332" i="5" s="1"/>
  <c r="A2332" i="5"/>
  <c r="AN2332" i="5" s="1"/>
  <c r="AG2331" i="5"/>
  <c r="AF2331" i="5"/>
  <c r="G2331" i="5"/>
  <c r="O2331" i="5" s="1"/>
  <c r="F2331" i="5"/>
  <c r="R2331" i="5" s="1"/>
  <c r="A2331" i="5"/>
  <c r="AG2330" i="5"/>
  <c r="AF2330" i="5"/>
  <c r="G2330" i="5"/>
  <c r="O2330" i="5" s="1"/>
  <c r="F2330" i="5"/>
  <c r="R2330" i="5" s="1"/>
  <c r="A2330" i="5"/>
  <c r="AG2329" i="5"/>
  <c r="AF2329" i="5"/>
  <c r="G2329" i="5"/>
  <c r="O2329" i="5" s="1"/>
  <c r="F2329" i="5"/>
  <c r="R2329" i="5" s="1"/>
  <c r="A2329" i="5"/>
  <c r="AG2328" i="5"/>
  <c r="AF2328" i="5"/>
  <c r="G2328" i="5"/>
  <c r="O2328" i="5" s="1"/>
  <c r="F2328" i="5"/>
  <c r="R2328" i="5" s="1"/>
  <c r="A2328" i="5"/>
  <c r="AG2327" i="5"/>
  <c r="AF2327" i="5"/>
  <c r="G2327" i="5"/>
  <c r="O2327" i="5" s="1"/>
  <c r="F2327" i="5"/>
  <c r="R2327" i="5" s="1"/>
  <c r="A2327" i="5"/>
  <c r="AG2326" i="5"/>
  <c r="AF2326" i="5"/>
  <c r="G2326" i="5"/>
  <c r="O2326" i="5" s="1"/>
  <c r="F2326" i="5"/>
  <c r="R2326" i="5" s="1"/>
  <c r="A2326" i="5"/>
  <c r="AG2325" i="5"/>
  <c r="AF2325" i="5"/>
  <c r="G2325" i="5"/>
  <c r="O2325" i="5" s="1"/>
  <c r="F2325" i="5"/>
  <c r="R2325" i="5" s="1"/>
  <c r="A2325" i="5"/>
  <c r="AG2324" i="5"/>
  <c r="AF2324" i="5"/>
  <c r="G2324" i="5"/>
  <c r="O2324" i="5" s="1"/>
  <c r="F2324" i="5"/>
  <c r="R2324" i="5" s="1"/>
  <c r="A2324" i="5"/>
  <c r="AG2323" i="5"/>
  <c r="AF2323" i="5"/>
  <c r="G2323" i="5"/>
  <c r="O2323" i="5" s="1"/>
  <c r="F2323" i="5"/>
  <c r="R2323" i="5" s="1"/>
  <c r="A2323" i="5"/>
  <c r="AG2322" i="5"/>
  <c r="AF2322" i="5"/>
  <c r="G2322" i="5"/>
  <c r="O2322" i="5" s="1"/>
  <c r="F2322" i="5"/>
  <c r="R2322" i="5" s="1"/>
  <c r="A2322" i="5"/>
  <c r="AG2321" i="5"/>
  <c r="AF2321" i="5"/>
  <c r="G2321" i="5"/>
  <c r="O2321" i="5" s="1"/>
  <c r="F2321" i="5"/>
  <c r="R2321" i="5" s="1"/>
  <c r="A2321" i="5"/>
  <c r="AG2320" i="5"/>
  <c r="AF2320" i="5"/>
  <c r="G2320" i="5"/>
  <c r="O2320" i="5" s="1"/>
  <c r="F2320" i="5"/>
  <c r="R2320" i="5" s="1"/>
  <c r="A2320" i="5"/>
  <c r="AG2319" i="5"/>
  <c r="AF2319" i="5"/>
  <c r="G2319" i="5"/>
  <c r="O2319" i="5" s="1"/>
  <c r="F2319" i="5"/>
  <c r="R2319" i="5" s="1"/>
  <c r="A2319" i="5"/>
  <c r="AG2318" i="5"/>
  <c r="AF2318" i="5"/>
  <c r="G2318" i="5"/>
  <c r="O2318" i="5" s="1"/>
  <c r="F2318" i="5"/>
  <c r="R2318" i="5" s="1"/>
  <c r="A2318" i="5"/>
  <c r="AG2317" i="5"/>
  <c r="AF2317" i="5"/>
  <c r="G2317" i="5"/>
  <c r="O2317" i="5" s="1"/>
  <c r="F2317" i="5"/>
  <c r="R2317" i="5" s="1"/>
  <c r="A2317" i="5"/>
  <c r="AG2316" i="5"/>
  <c r="AF2316" i="5"/>
  <c r="G2316" i="5"/>
  <c r="O2316" i="5" s="1"/>
  <c r="F2316" i="5"/>
  <c r="R2316" i="5" s="1"/>
  <c r="A2316" i="5"/>
  <c r="AG2315" i="5"/>
  <c r="AF2315" i="5"/>
  <c r="G2315" i="5"/>
  <c r="O2315" i="5" s="1"/>
  <c r="F2315" i="5"/>
  <c r="R2315" i="5" s="1"/>
  <c r="A2315" i="5"/>
  <c r="AG2314" i="5"/>
  <c r="AF2314" i="5"/>
  <c r="G2314" i="5"/>
  <c r="O2314" i="5" s="1"/>
  <c r="F2314" i="5"/>
  <c r="R2314" i="5" s="1"/>
  <c r="A2314" i="5"/>
  <c r="AG2313" i="5"/>
  <c r="AF2313" i="5"/>
  <c r="G2313" i="5"/>
  <c r="O2313" i="5" s="1"/>
  <c r="F2313" i="5"/>
  <c r="R2313" i="5" s="1"/>
  <c r="A2313" i="5"/>
  <c r="AG2312" i="5"/>
  <c r="AF2312" i="5"/>
  <c r="G2312" i="5"/>
  <c r="O2312" i="5" s="1"/>
  <c r="F2312" i="5"/>
  <c r="R2312" i="5" s="1"/>
  <c r="A2312" i="5"/>
  <c r="AG2311" i="5"/>
  <c r="AF2311" i="5"/>
  <c r="G2311" i="5"/>
  <c r="O2311" i="5" s="1"/>
  <c r="F2311" i="5"/>
  <c r="R2311" i="5" s="1"/>
  <c r="A2311" i="5"/>
  <c r="AG2310" i="5"/>
  <c r="AF2310" i="5"/>
  <c r="G2310" i="5"/>
  <c r="O2310" i="5" s="1"/>
  <c r="F2310" i="5"/>
  <c r="R2310" i="5" s="1"/>
  <c r="A2310" i="5"/>
  <c r="AG2309" i="5"/>
  <c r="AF2309" i="5"/>
  <c r="G2309" i="5"/>
  <c r="O2309" i="5" s="1"/>
  <c r="F2309" i="5"/>
  <c r="R2309" i="5" s="1"/>
  <c r="A2309" i="5"/>
  <c r="AG2308" i="5"/>
  <c r="AF2308" i="5"/>
  <c r="G2308" i="5"/>
  <c r="O2308" i="5" s="1"/>
  <c r="F2308" i="5"/>
  <c r="R2308" i="5" s="1"/>
  <c r="A2308" i="5"/>
  <c r="AG2307" i="5"/>
  <c r="AF2307" i="5"/>
  <c r="G2307" i="5"/>
  <c r="O2307" i="5" s="1"/>
  <c r="F2307" i="5"/>
  <c r="R2307" i="5" s="1"/>
  <c r="A2307" i="5"/>
  <c r="AG2306" i="5"/>
  <c r="AF2306" i="5"/>
  <c r="G2306" i="5"/>
  <c r="O2306" i="5" s="1"/>
  <c r="F2306" i="5"/>
  <c r="R2306" i="5" s="1"/>
  <c r="A2306" i="5"/>
  <c r="AG2305" i="5"/>
  <c r="AF2305" i="5"/>
  <c r="G2305" i="5"/>
  <c r="O2305" i="5" s="1"/>
  <c r="F2305" i="5"/>
  <c r="R2305" i="5" s="1"/>
  <c r="A2305" i="5"/>
  <c r="AG2304" i="5"/>
  <c r="AF2304" i="5"/>
  <c r="G2304" i="5"/>
  <c r="O2304" i="5" s="1"/>
  <c r="F2304" i="5"/>
  <c r="R2304" i="5" s="1"/>
  <c r="A2304" i="5"/>
  <c r="AG2303" i="5"/>
  <c r="AF2303" i="5"/>
  <c r="G2303" i="5"/>
  <c r="O2303" i="5" s="1"/>
  <c r="F2303" i="5"/>
  <c r="R2303" i="5" s="1"/>
  <c r="A2303" i="5"/>
  <c r="AG2302" i="5"/>
  <c r="AF2302" i="5"/>
  <c r="G2302" i="5"/>
  <c r="O2302" i="5" s="1"/>
  <c r="F2302" i="5"/>
  <c r="R2302" i="5" s="1"/>
  <c r="A2302" i="5"/>
  <c r="AG2301" i="5"/>
  <c r="AF2301" i="5"/>
  <c r="G2301" i="5"/>
  <c r="O2301" i="5" s="1"/>
  <c r="F2301" i="5"/>
  <c r="R2301" i="5" s="1"/>
  <c r="A2301" i="5"/>
  <c r="AG2300" i="5"/>
  <c r="AF2300" i="5"/>
  <c r="G2300" i="5"/>
  <c r="O2300" i="5" s="1"/>
  <c r="F2300" i="5"/>
  <c r="R2300" i="5" s="1"/>
  <c r="A2300" i="5"/>
  <c r="AG2299" i="5"/>
  <c r="AF2299" i="5"/>
  <c r="G2299" i="5"/>
  <c r="O2299" i="5" s="1"/>
  <c r="F2299" i="5"/>
  <c r="R2299" i="5" s="1"/>
  <c r="A2299" i="5"/>
  <c r="AG2298" i="5"/>
  <c r="AF2298" i="5"/>
  <c r="G2298" i="5"/>
  <c r="O2298" i="5" s="1"/>
  <c r="F2298" i="5"/>
  <c r="R2298" i="5" s="1"/>
  <c r="A2298" i="5"/>
  <c r="AG2297" i="5"/>
  <c r="AF2297" i="5"/>
  <c r="G2297" i="5"/>
  <c r="O2297" i="5" s="1"/>
  <c r="F2297" i="5"/>
  <c r="R2297" i="5" s="1"/>
  <c r="A2297" i="5"/>
  <c r="AG2296" i="5"/>
  <c r="AF2296" i="5"/>
  <c r="G2296" i="5"/>
  <c r="O2296" i="5" s="1"/>
  <c r="F2296" i="5"/>
  <c r="R2296" i="5" s="1"/>
  <c r="A2296" i="5"/>
  <c r="AG2295" i="5"/>
  <c r="AF2295" i="5"/>
  <c r="G2295" i="5"/>
  <c r="O2295" i="5" s="1"/>
  <c r="F2295" i="5"/>
  <c r="R2295" i="5" s="1"/>
  <c r="A2295" i="5"/>
  <c r="AG2294" i="5"/>
  <c r="AF2294" i="5"/>
  <c r="G2294" i="5"/>
  <c r="O2294" i="5" s="1"/>
  <c r="F2294" i="5"/>
  <c r="R2294" i="5" s="1"/>
  <c r="A2294" i="5"/>
  <c r="AG2293" i="5"/>
  <c r="AF2293" i="5"/>
  <c r="G2293" i="5"/>
  <c r="O2293" i="5" s="1"/>
  <c r="F2293" i="5"/>
  <c r="R2293" i="5" s="1"/>
  <c r="A2293" i="5"/>
  <c r="AG2292" i="5"/>
  <c r="AF2292" i="5"/>
  <c r="G2292" i="5"/>
  <c r="O2292" i="5" s="1"/>
  <c r="F2292" i="5"/>
  <c r="R2292" i="5" s="1"/>
  <c r="A2292" i="5"/>
  <c r="AG2291" i="5"/>
  <c r="AF2291" i="5"/>
  <c r="G2291" i="5"/>
  <c r="O2291" i="5" s="1"/>
  <c r="F2291" i="5"/>
  <c r="R2291" i="5" s="1"/>
  <c r="A2291" i="5"/>
  <c r="AG2290" i="5"/>
  <c r="AF2290" i="5"/>
  <c r="G2290" i="5"/>
  <c r="O2290" i="5" s="1"/>
  <c r="F2290" i="5"/>
  <c r="R2290" i="5" s="1"/>
  <c r="A2290" i="5"/>
  <c r="AG2289" i="5"/>
  <c r="AF2289" i="5"/>
  <c r="G2289" i="5"/>
  <c r="O2289" i="5" s="1"/>
  <c r="F2289" i="5"/>
  <c r="R2289" i="5" s="1"/>
  <c r="A2289" i="5"/>
  <c r="AG2288" i="5"/>
  <c r="AF2288" i="5"/>
  <c r="G2288" i="5"/>
  <c r="O2288" i="5" s="1"/>
  <c r="F2288" i="5"/>
  <c r="R2288" i="5" s="1"/>
  <c r="A2288" i="5"/>
  <c r="AG2287" i="5"/>
  <c r="AF2287" i="5"/>
  <c r="G2287" i="5"/>
  <c r="O2287" i="5" s="1"/>
  <c r="F2287" i="5"/>
  <c r="R2287" i="5" s="1"/>
  <c r="A2287" i="5"/>
  <c r="AG2286" i="5"/>
  <c r="AF2286" i="5"/>
  <c r="G2286" i="5"/>
  <c r="O2286" i="5" s="1"/>
  <c r="F2286" i="5"/>
  <c r="R2286" i="5" s="1"/>
  <c r="A2286" i="5"/>
  <c r="AG2285" i="5"/>
  <c r="AF2285" i="5"/>
  <c r="G2285" i="5"/>
  <c r="O2285" i="5" s="1"/>
  <c r="F2285" i="5"/>
  <c r="R2285" i="5" s="1"/>
  <c r="A2285" i="5"/>
  <c r="AG2284" i="5"/>
  <c r="AF2284" i="5"/>
  <c r="G2284" i="5"/>
  <c r="O2284" i="5" s="1"/>
  <c r="F2284" i="5"/>
  <c r="R2284" i="5" s="1"/>
  <c r="A2284" i="5"/>
  <c r="AG2283" i="5"/>
  <c r="AF2283" i="5"/>
  <c r="G2283" i="5"/>
  <c r="O2283" i="5" s="1"/>
  <c r="F2283" i="5"/>
  <c r="R2283" i="5" s="1"/>
  <c r="A2283" i="5"/>
  <c r="AG2282" i="5"/>
  <c r="AF2282" i="5"/>
  <c r="G2282" i="5"/>
  <c r="O2282" i="5" s="1"/>
  <c r="F2282" i="5"/>
  <c r="R2282" i="5" s="1"/>
  <c r="A2282" i="5"/>
  <c r="AG2281" i="5"/>
  <c r="AF2281" i="5"/>
  <c r="G2281" i="5"/>
  <c r="O2281" i="5" s="1"/>
  <c r="F2281" i="5"/>
  <c r="R2281" i="5" s="1"/>
  <c r="A2281" i="5"/>
  <c r="AG2280" i="5"/>
  <c r="AF2280" i="5"/>
  <c r="G2280" i="5"/>
  <c r="O2280" i="5" s="1"/>
  <c r="F2280" i="5"/>
  <c r="R2280" i="5" s="1"/>
  <c r="A2280" i="5"/>
  <c r="AG2279" i="5"/>
  <c r="AF2279" i="5"/>
  <c r="G2279" i="5"/>
  <c r="O2279" i="5" s="1"/>
  <c r="F2279" i="5"/>
  <c r="R2279" i="5" s="1"/>
  <c r="A2279" i="5"/>
  <c r="AG2278" i="5"/>
  <c r="AF2278" i="5"/>
  <c r="G2278" i="5"/>
  <c r="O2278" i="5" s="1"/>
  <c r="F2278" i="5"/>
  <c r="R2278" i="5" s="1"/>
  <c r="A2278" i="5"/>
  <c r="AG2277" i="5"/>
  <c r="AF2277" i="5"/>
  <c r="G2277" i="5"/>
  <c r="O2277" i="5" s="1"/>
  <c r="F2277" i="5"/>
  <c r="R2277" i="5" s="1"/>
  <c r="A2277" i="5"/>
  <c r="AG2276" i="5"/>
  <c r="AF2276" i="5"/>
  <c r="G2276" i="5"/>
  <c r="O2276" i="5" s="1"/>
  <c r="F2276" i="5"/>
  <c r="R2276" i="5" s="1"/>
  <c r="A2276" i="5"/>
  <c r="AG2275" i="5"/>
  <c r="AF2275" i="5"/>
  <c r="G2275" i="5"/>
  <c r="O2275" i="5" s="1"/>
  <c r="F2275" i="5"/>
  <c r="R2275" i="5" s="1"/>
  <c r="A2275" i="5"/>
  <c r="AG2274" i="5"/>
  <c r="AF2274" i="5"/>
  <c r="G2274" i="5"/>
  <c r="O2274" i="5" s="1"/>
  <c r="F2274" i="5"/>
  <c r="R2274" i="5" s="1"/>
  <c r="A2274" i="5"/>
  <c r="AG2273" i="5"/>
  <c r="AF2273" i="5"/>
  <c r="G2273" i="5"/>
  <c r="O2273" i="5" s="1"/>
  <c r="F2273" i="5"/>
  <c r="R2273" i="5" s="1"/>
  <c r="A2273" i="5"/>
  <c r="AG2272" i="5"/>
  <c r="AF2272" i="5"/>
  <c r="G2272" i="5"/>
  <c r="O2272" i="5" s="1"/>
  <c r="F2272" i="5"/>
  <c r="R2272" i="5" s="1"/>
  <c r="A2272" i="5"/>
  <c r="AG2271" i="5"/>
  <c r="AF2271" i="5"/>
  <c r="G2271" i="5"/>
  <c r="O2271" i="5" s="1"/>
  <c r="F2271" i="5"/>
  <c r="R2271" i="5" s="1"/>
  <c r="A2271" i="5"/>
  <c r="AG2270" i="5"/>
  <c r="AF2270" i="5"/>
  <c r="G2270" i="5"/>
  <c r="O2270" i="5" s="1"/>
  <c r="F2270" i="5"/>
  <c r="R2270" i="5" s="1"/>
  <c r="A2270" i="5"/>
  <c r="AG2269" i="5"/>
  <c r="AF2269" i="5"/>
  <c r="G2269" i="5"/>
  <c r="O2269" i="5" s="1"/>
  <c r="F2269" i="5"/>
  <c r="R2269" i="5" s="1"/>
  <c r="A2269" i="5"/>
  <c r="AG2268" i="5"/>
  <c r="AF2268" i="5"/>
  <c r="G2268" i="5"/>
  <c r="O2268" i="5" s="1"/>
  <c r="F2268" i="5"/>
  <c r="R2268" i="5" s="1"/>
  <c r="A2268" i="5"/>
  <c r="AG2267" i="5"/>
  <c r="AF2267" i="5"/>
  <c r="G2267" i="5"/>
  <c r="O2267" i="5" s="1"/>
  <c r="F2267" i="5"/>
  <c r="R2267" i="5" s="1"/>
  <c r="A2267" i="5"/>
  <c r="AG2266" i="5"/>
  <c r="AF2266" i="5"/>
  <c r="G2266" i="5"/>
  <c r="O2266" i="5" s="1"/>
  <c r="F2266" i="5"/>
  <c r="R2266" i="5" s="1"/>
  <c r="A2266" i="5"/>
  <c r="AG2265" i="5"/>
  <c r="AF2265" i="5"/>
  <c r="G2265" i="5"/>
  <c r="O2265" i="5" s="1"/>
  <c r="F2265" i="5"/>
  <c r="R2265" i="5" s="1"/>
  <c r="A2265" i="5"/>
  <c r="AG2264" i="5"/>
  <c r="AF2264" i="5"/>
  <c r="G2264" i="5"/>
  <c r="O2264" i="5" s="1"/>
  <c r="F2264" i="5"/>
  <c r="R2264" i="5" s="1"/>
  <c r="A2264" i="5"/>
  <c r="AG2263" i="5"/>
  <c r="AF2263" i="5"/>
  <c r="G2263" i="5"/>
  <c r="O2263" i="5" s="1"/>
  <c r="F2263" i="5"/>
  <c r="R2263" i="5" s="1"/>
  <c r="A2263" i="5"/>
  <c r="AG2262" i="5"/>
  <c r="AF2262" i="5"/>
  <c r="G2262" i="5"/>
  <c r="O2262" i="5" s="1"/>
  <c r="F2262" i="5"/>
  <c r="R2262" i="5" s="1"/>
  <c r="A2262" i="5"/>
  <c r="AG2261" i="5"/>
  <c r="AF2261" i="5"/>
  <c r="G2261" i="5"/>
  <c r="O2261" i="5" s="1"/>
  <c r="F2261" i="5"/>
  <c r="R2261" i="5" s="1"/>
  <c r="A2261" i="5"/>
  <c r="AG2260" i="5"/>
  <c r="AF2260" i="5"/>
  <c r="G2260" i="5"/>
  <c r="O2260" i="5" s="1"/>
  <c r="F2260" i="5"/>
  <c r="R2260" i="5" s="1"/>
  <c r="A2260" i="5"/>
  <c r="AG2259" i="5"/>
  <c r="AF2259" i="5"/>
  <c r="G2259" i="5"/>
  <c r="O2259" i="5" s="1"/>
  <c r="F2259" i="5"/>
  <c r="R2259" i="5" s="1"/>
  <c r="A2259" i="5"/>
  <c r="AG2258" i="5"/>
  <c r="AF2258" i="5"/>
  <c r="G2258" i="5"/>
  <c r="O2258" i="5" s="1"/>
  <c r="F2258" i="5"/>
  <c r="R2258" i="5" s="1"/>
  <c r="A2258" i="5"/>
  <c r="AG2257" i="5"/>
  <c r="AF2257" i="5"/>
  <c r="G2257" i="5"/>
  <c r="O2257" i="5" s="1"/>
  <c r="F2257" i="5"/>
  <c r="R2257" i="5" s="1"/>
  <c r="A2257" i="5"/>
  <c r="AG2256" i="5"/>
  <c r="AF2256" i="5"/>
  <c r="G2256" i="5"/>
  <c r="O2256" i="5" s="1"/>
  <c r="F2256" i="5"/>
  <c r="R2256" i="5" s="1"/>
  <c r="A2256" i="5"/>
  <c r="AG2255" i="5"/>
  <c r="AF2255" i="5"/>
  <c r="G2255" i="5"/>
  <c r="O2255" i="5" s="1"/>
  <c r="F2255" i="5"/>
  <c r="R2255" i="5" s="1"/>
  <c r="A2255" i="5"/>
  <c r="AG2254" i="5"/>
  <c r="AF2254" i="5"/>
  <c r="G2254" i="5"/>
  <c r="O2254" i="5" s="1"/>
  <c r="F2254" i="5"/>
  <c r="R2254" i="5" s="1"/>
  <c r="A2254" i="5"/>
  <c r="AG2253" i="5"/>
  <c r="AF2253" i="5"/>
  <c r="G2253" i="5"/>
  <c r="O2253" i="5" s="1"/>
  <c r="F2253" i="5"/>
  <c r="R2253" i="5" s="1"/>
  <c r="A2253" i="5"/>
  <c r="AG2252" i="5"/>
  <c r="AF2252" i="5"/>
  <c r="G2252" i="5"/>
  <c r="O2252" i="5" s="1"/>
  <c r="F2252" i="5"/>
  <c r="R2252" i="5" s="1"/>
  <c r="A2252" i="5"/>
  <c r="AG2251" i="5"/>
  <c r="AF2251" i="5"/>
  <c r="G2251" i="5"/>
  <c r="O2251" i="5" s="1"/>
  <c r="F2251" i="5"/>
  <c r="R2251" i="5" s="1"/>
  <c r="A2251" i="5"/>
  <c r="AG2250" i="5"/>
  <c r="AF2250" i="5"/>
  <c r="G2250" i="5"/>
  <c r="O2250" i="5" s="1"/>
  <c r="F2250" i="5"/>
  <c r="R2250" i="5" s="1"/>
  <c r="A2250" i="5"/>
  <c r="AG2249" i="5"/>
  <c r="AF2249" i="5"/>
  <c r="G2249" i="5"/>
  <c r="O2249" i="5" s="1"/>
  <c r="F2249" i="5"/>
  <c r="R2249" i="5" s="1"/>
  <c r="A2249" i="5"/>
  <c r="AG2248" i="5"/>
  <c r="AF2248" i="5"/>
  <c r="G2248" i="5"/>
  <c r="O2248" i="5" s="1"/>
  <c r="F2248" i="5"/>
  <c r="R2248" i="5" s="1"/>
  <c r="A2248" i="5"/>
  <c r="AG2247" i="5"/>
  <c r="AF2247" i="5"/>
  <c r="G2247" i="5"/>
  <c r="O2247" i="5" s="1"/>
  <c r="F2247" i="5"/>
  <c r="R2247" i="5" s="1"/>
  <c r="A2247" i="5"/>
  <c r="AG2246" i="5"/>
  <c r="AF2246" i="5"/>
  <c r="G2246" i="5"/>
  <c r="O2246" i="5" s="1"/>
  <c r="F2246" i="5"/>
  <c r="R2246" i="5" s="1"/>
  <c r="A2246" i="5"/>
  <c r="AG2245" i="5"/>
  <c r="AF2245" i="5"/>
  <c r="G2245" i="5"/>
  <c r="O2245" i="5" s="1"/>
  <c r="F2245" i="5"/>
  <c r="R2245" i="5" s="1"/>
  <c r="A2245" i="5"/>
  <c r="AG2244" i="5"/>
  <c r="AF2244" i="5"/>
  <c r="G2244" i="5"/>
  <c r="O2244" i="5" s="1"/>
  <c r="F2244" i="5"/>
  <c r="R2244" i="5" s="1"/>
  <c r="A2244" i="5"/>
  <c r="AG2243" i="5"/>
  <c r="AF2243" i="5"/>
  <c r="G2243" i="5"/>
  <c r="O2243" i="5" s="1"/>
  <c r="F2243" i="5"/>
  <c r="R2243" i="5" s="1"/>
  <c r="A2243" i="5"/>
  <c r="AG2242" i="5"/>
  <c r="AF2242" i="5"/>
  <c r="G2242" i="5"/>
  <c r="O2242" i="5" s="1"/>
  <c r="F2242" i="5"/>
  <c r="R2242" i="5" s="1"/>
  <c r="A2242" i="5"/>
  <c r="AG2241" i="5"/>
  <c r="AF2241" i="5"/>
  <c r="G2241" i="5"/>
  <c r="O2241" i="5" s="1"/>
  <c r="F2241" i="5"/>
  <c r="R2241" i="5" s="1"/>
  <c r="A2241" i="5"/>
  <c r="AG2240" i="5"/>
  <c r="AF2240" i="5"/>
  <c r="G2240" i="5"/>
  <c r="O2240" i="5" s="1"/>
  <c r="F2240" i="5"/>
  <c r="R2240" i="5" s="1"/>
  <c r="A2240" i="5"/>
  <c r="AG2239" i="5"/>
  <c r="AF2239" i="5"/>
  <c r="G2239" i="5"/>
  <c r="O2239" i="5" s="1"/>
  <c r="F2239" i="5"/>
  <c r="R2239" i="5" s="1"/>
  <c r="A2239" i="5"/>
  <c r="AG2238" i="5"/>
  <c r="AF2238" i="5"/>
  <c r="G2238" i="5"/>
  <c r="O2238" i="5" s="1"/>
  <c r="F2238" i="5"/>
  <c r="R2238" i="5" s="1"/>
  <c r="A2238" i="5"/>
  <c r="AG2237" i="5"/>
  <c r="AF2237" i="5"/>
  <c r="G2237" i="5"/>
  <c r="O2237" i="5" s="1"/>
  <c r="F2237" i="5"/>
  <c r="R2237" i="5" s="1"/>
  <c r="A2237" i="5"/>
  <c r="AG2236" i="5"/>
  <c r="AF2236" i="5"/>
  <c r="G2236" i="5"/>
  <c r="O2236" i="5" s="1"/>
  <c r="F2236" i="5"/>
  <c r="R2236" i="5" s="1"/>
  <c r="A2236" i="5"/>
  <c r="AG2235" i="5"/>
  <c r="AF2235" i="5"/>
  <c r="G2235" i="5"/>
  <c r="O2235" i="5" s="1"/>
  <c r="F2235" i="5"/>
  <c r="R2235" i="5" s="1"/>
  <c r="A2235" i="5"/>
  <c r="AG2234" i="5"/>
  <c r="AF2234" i="5"/>
  <c r="G2234" i="5"/>
  <c r="O2234" i="5" s="1"/>
  <c r="F2234" i="5"/>
  <c r="R2234" i="5" s="1"/>
  <c r="A2234" i="5"/>
  <c r="AG2233" i="5"/>
  <c r="AF2233" i="5"/>
  <c r="G2233" i="5"/>
  <c r="O2233" i="5" s="1"/>
  <c r="F2233" i="5"/>
  <c r="R2233" i="5" s="1"/>
  <c r="A2233" i="5"/>
  <c r="AG2232" i="5"/>
  <c r="AF2232" i="5"/>
  <c r="G2232" i="5"/>
  <c r="O2232" i="5" s="1"/>
  <c r="F2232" i="5"/>
  <c r="R2232" i="5" s="1"/>
  <c r="A2232" i="5"/>
  <c r="AG2231" i="5"/>
  <c r="AF2231" i="5"/>
  <c r="G2231" i="5"/>
  <c r="O2231" i="5" s="1"/>
  <c r="F2231" i="5"/>
  <c r="R2231" i="5" s="1"/>
  <c r="A2231" i="5"/>
  <c r="AG2230" i="5"/>
  <c r="AF2230" i="5"/>
  <c r="G2230" i="5"/>
  <c r="O2230" i="5" s="1"/>
  <c r="F2230" i="5"/>
  <c r="R2230" i="5" s="1"/>
  <c r="A2230" i="5"/>
  <c r="AG2229" i="5"/>
  <c r="AF2229" i="5"/>
  <c r="G2229" i="5"/>
  <c r="O2229" i="5" s="1"/>
  <c r="F2229" i="5"/>
  <c r="R2229" i="5" s="1"/>
  <c r="A2229" i="5"/>
  <c r="AG2228" i="5"/>
  <c r="AF2228" i="5"/>
  <c r="G2228" i="5"/>
  <c r="O2228" i="5" s="1"/>
  <c r="F2228" i="5"/>
  <c r="R2228" i="5" s="1"/>
  <c r="A2228" i="5"/>
  <c r="AG2227" i="5"/>
  <c r="AF2227" i="5"/>
  <c r="G2227" i="5"/>
  <c r="O2227" i="5" s="1"/>
  <c r="F2227" i="5"/>
  <c r="R2227" i="5" s="1"/>
  <c r="A2227" i="5"/>
  <c r="AG2226" i="5"/>
  <c r="AF2226" i="5"/>
  <c r="G2226" i="5"/>
  <c r="O2226" i="5" s="1"/>
  <c r="F2226" i="5"/>
  <c r="R2226" i="5" s="1"/>
  <c r="A2226" i="5"/>
  <c r="AG2225" i="5"/>
  <c r="AF2225" i="5"/>
  <c r="G2225" i="5"/>
  <c r="O2225" i="5" s="1"/>
  <c r="F2225" i="5"/>
  <c r="R2225" i="5" s="1"/>
  <c r="A2225" i="5"/>
  <c r="AG2224" i="5"/>
  <c r="AF2224" i="5"/>
  <c r="G2224" i="5"/>
  <c r="O2224" i="5" s="1"/>
  <c r="F2224" i="5"/>
  <c r="R2224" i="5" s="1"/>
  <c r="A2224" i="5"/>
  <c r="AG2223" i="5"/>
  <c r="AF2223" i="5"/>
  <c r="G2223" i="5"/>
  <c r="O2223" i="5" s="1"/>
  <c r="F2223" i="5"/>
  <c r="R2223" i="5" s="1"/>
  <c r="A2223" i="5"/>
  <c r="AG2222" i="5"/>
  <c r="AF2222" i="5"/>
  <c r="G2222" i="5"/>
  <c r="O2222" i="5" s="1"/>
  <c r="F2222" i="5"/>
  <c r="R2222" i="5" s="1"/>
  <c r="A2222" i="5"/>
  <c r="AG2221" i="5"/>
  <c r="AF2221" i="5"/>
  <c r="G2221" i="5"/>
  <c r="O2221" i="5" s="1"/>
  <c r="F2221" i="5"/>
  <c r="R2221" i="5" s="1"/>
  <c r="A2221" i="5"/>
  <c r="AG2220" i="5"/>
  <c r="AF2220" i="5"/>
  <c r="G2220" i="5"/>
  <c r="O2220" i="5" s="1"/>
  <c r="F2220" i="5"/>
  <c r="R2220" i="5" s="1"/>
  <c r="A2220" i="5"/>
  <c r="AG2219" i="5"/>
  <c r="AF2219" i="5"/>
  <c r="G2219" i="5"/>
  <c r="O2219" i="5" s="1"/>
  <c r="F2219" i="5"/>
  <c r="R2219" i="5" s="1"/>
  <c r="A2219" i="5"/>
  <c r="AG2218" i="5"/>
  <c r="AF2218" i="5"/>
  <c r="G2218" i="5"/>
  <c r="O2218" i="5" s="1"/>
  <c r="F2218" i="5"/>
  <c r="R2218" i="5" s="1"/>
  <c r="A2218" i="5"/>
  <c r="AG2217" i="5"/>
  <c r="AF2217" i="5"/>
  <c r="G2217" i="5"/>
  <c r="O2217" i="5" s="1"/>
  <c r="F2217" i="5"/>
  <c r="R2217" i="5" s="1"/>
  <c r="A2217" i="5"/>
  <c r="AG2216" i="5"/>
  <c r="AF2216" i="5"/>
  <c r="G2216" i="5"/>
  <c r="O2216" i="5" s="1"/>
  <c r="F2216" i="5"/>
  <c r="R2216" i="5" s="1"/>
  <c r="A2216" i="5"/>
  <c r="AG2215" i="5"/>
  <c r="AF2215" i="5"/>
  <c r="G2215" i="5"/>
  <c r="O2215" i="5" s="1"/>
  <c r="F2215" i="5"/>
  <c r="R2215" i="5" s="1"/>
  <c r="A2215" i="5"/>
  <c r="AG2214" i="5"/>
  <c r="AF2214" i="5"/>
  <c r="G2214" i="5"/>
  <c r="O2214" i="5" s="1"/>
  <c r="F2214" i="5"/>
  <c r="R2214" i="5" s="1"/>
  <c r="A2214" i="5"/>
  <c r="AG2213" i="5"/>
  <c r="AF2213" i="5"/>
  <c r="G2213" i="5"/>
  <c r="O2213" i="5" s="1"/>
  <c r="F2213" i="5"/>
  <c r="R2213" i="5" s="1"/>
  <c r="A2213" i="5"/>
  <c r="AG2212" i="5"/>
  <c r="AF2212" i="5"/>
  <c r="G2212" i="5"/>
  <c r="O2212" i="5" s="1"/>
  <c r="F2212" i="5"/>
  <c r="R2212" i="5" s="1"/>
  <c r="A2212" i="5"/>
  <c r="AG2211" i="5"/>
  <c r="AF2211" i="5"/>
  <c r="G2211" i="5"/>
  <c r="O2211" i="5" s="1"/>
  <c r="F2211" i="5"/>
  <c r="R2211" i="5" s="1"/>
  <c r="A2211" i="5"/>
  <c r="AG2210" i="5"/>
  <c r="AF2210" i="5"/>
  <c r="G2210" i="5"/>
  <c r="O2210" i="5" s="1"/>
  <c r="F2210" i="5"/>
  <c r="R2210" i="5" s="1"/>
  <c r="A2210" i="5"/>
  <c r="AG2209" i="5"/>
  <c r="AF2209" i="5"/>
  <c r="G2209" i="5"/>
  <c r="O2209" i="5" s="1"/>
  <c r="F2209" i="5"/>
  <c r="R2209" i="5" s="1"/>
  <c r="A2209" i="5"/>
  <c r="AG2208" i="5"/>
  <c r="AF2208" i="5"/>
  <c r="G2208" i="5"/>
  <c r="O2208" i="5" s="1"/>
  <c r="F2208" i="5"/>
  <c r="R2208" i="5" s="1"/>
  <c r="A2208" i="5"/>
  <c r="AG2207" i="5"/>
  <c r="AF2207" i="5"/>
  <c r="G2207" i="5"/>
  <c r="O2207" i="5" s="1"/>
  <c r="F2207" i="5"/>
  <c r="R2207" i="5" s="1"/>
  <c r="A2207" i="5"/>
  <c r="AG2206" i="5"/>
  <c r="AF2206" i="5"/>
  <c r="G2206" i="5"/>
  <c r="O2206" i="5" s="1"/>
  <c r="F2206" i="5"/>
  <c r="R2206" i="5" s="1"/>
  <c r="A2206" i="5"/>
  <c r="AG2205" i="5"/>
  <c r="AF2205" i="5"/>
  <c r="G2205" i="5"/>
  <c r="O2205" i="5" s="1"/>
  <c r="F2205" i="5"/>
  <c r="R2205" i="5" s="1"/>
  <c r="A2205" i="5"/>
  <c r="AG2204" i="5"/>
  <c r="AF2204" i="5"/>
  <c r="G2204" i="5"/>
  <c r="O2204" i="5" s="1"/>
  <c r="F2204" i="5"/>
  <c r="R2204" i="5" s="1"/>
  <c r="A2204" i="5"/>
  <c r="AG2203" i="5"/>
  <c r="AF2203" i="5"/>
  <c r="G2203" i="5"/>
  <c r="O2203" i="5" s="1"/>
  <c r="F2203" i="5"/>
  <c r="R2203" i="5" s="1"/>
  <c r="A2203" i="5"/>
  <c r="AG2202" i="5"/>
  <c r="AF2202" i="5"/>
  <c r="G2202" i="5"/>
  <c r="O2202" i="5" s="1"/>
  <c r="F2202" i="5"/>
  <c r="R2202" i="5" s="1"/>
  <c r="A2202" i="5"/>
  <c r="AG2201" i="5"/>
  <c r="AF2201" i="5"/>
  <c r="G2201" i="5"/>
  <c r="O2201" i="5" s="1"/>
  <c r="F2201" i="5"/>
  <c r="R2201" i="5" s="1"/>
  <c r="A2201" i="5"/>
  <c r="AG2200" i="5"/>
  <c r="AF2200" i="5"/>
  <c r="G2200" i="5"/>
  <c r="O2200" i="5" s="1"/>
  <c r="F2200" i="5"/>
  <c r="R2200" i="5" s="1"/>
  <c r="A2200" i="5"/>
  <c r="AG2199" i="5"/>
  <c r="AF2199" i="5"/>
  <c r="G2199" i="5"/>
  <c r="O2199" i="5" s="1"/>
  <c r="F2199" i="5"/>
  <c r="R2199" i="5" s="1"/>
  <c r="A2199" i="5"/>
  <c r="AG2198" i="5"/>
  <c r="AF2198" i="5"/>
  <c r="G2198" i="5"/>
  <c r="O2198" i="5" s="1"/>
  <c r="F2198" i="5"/>
  <c r="R2198" i="5" s="1"/>
  <c r="A2198" i="5"/>
  <c r="AG2197" i="5"/>
  <c r="AF2197" i="5"/>
  <c r="G2197" i="5"/>
  <c r="O2197" i="5" s="1"/>
  <c r="F2197" i="5"/>
  <c r="R2197" i="5" s="1"/>
  <c r="A2197" i="5"/>
  <c r="AG2196" i="5"/>
  <c r="AF2196" i="5"/>
  <c r="G2196" i="5"/>
  <c r="O2196" i="5" s="1"/>
  <c r="F2196" i="5"/>
  <c r="R2196" i="5" s="1"/>
  <c r="A2196" i="5"/>
  <c r="AG2195" i="5"/>
  <c r="AF2195" i="5"/>
  <c r="G2195" i="5"/>
  <c r="O2195" i="5" s="1"/>
  <c r="F2195" i="5"/>
  <c r="R2195" i="5" s="1"/>
  <c r="A2195" i="5"/>
  <c r="AG2194" i="5"/>
  <c r="AF2194" i="5"/>
  <c r="G2194" i="5"/>
  <c r="O2194" i="5" s="1"/>
  <c r="F2194" i="5"/>
  <c r="R2194" i="5" s="1"/>
  <c r="A2194" i="5"/>
  <c r="AG2193" i="5"/>
  <c r="AF2193" i="5"/>
  <c r="G2193" i="5"/>
  <c r="O2193" i="5" s="1"/>
  <c r="F2193" i="5"/>
  <c r="R2193" i="5" s="1"/>
  <c r="A2193" i="5"/>
  <c r="AG2192" i="5"/>
  <c r="AF2192" i="5"/>
  <c r="G2192" i="5"/>
  <c r="O2192" i="5" s="1"/>
  <c r="F2192" i="5"/>
  <c r="R2192" i="5" s="1"/>
  <c r="A2192" i="5"/>
  <c r="AG2191" i="5"/>
  <c r="AF2191" i="5"/>
  <c r="G2191" i="5"/>
  <c r="O2191" i="5" s="1"/>
  <c r="F2191" i="5"/>
  <c r="R2191" i="5" s="1"/>
  <c r="A2191" i="5"/>
  <c r="AG2190" i="5"/>
  <c r="AF2190" i="5"/>
  <c r="G2190" i="5"/>
  <c r="O2190" i="5" s="1"/>
  <c r="F2190" i="5"/>
  <c r="R2190" i="5" s="1"/>
  <c r="A2190" i="5"/>
  <c r="AG2189" i="5"/>
  <c r="AF2189" i="5"/>
  <c r="G2189" i="5"/>
  <c r="O2189" i="5" s="1"/>
  <c r="F2189" i="5"/>
  <c r="R2189" i="5" s="1"/>
  <c r="A2189" i="5"/>
  <c r="AG2188" i="5"/>
  <c r="AF2188" i="5"/>
  <c r="G2188" i="5"/>
  <c r="O2188" i="5" s="1"/>
  <c r="F2188" i="5"/>
  <c r="R2188" i="5" s="1"/>
  <c r="A2188" i="5"/>
  <c r="AG2187" i="5"/>
  <c r="AF2187" i="5"/>
  <c r="G2187" i="5"/>
  <c r="O2187" i="5" s="1"/>
  <c r="F2187" i="5"/>
  <c r="R2187" i="5" s="1"/>
  <c r="A2187" i="5"/>
  <c r="AG2186" i="5"/>
  <c r="AF2186" i="5"/>
  <c r="G2186" i="5"/>
  <c r="O2186" i="5" s="1"/>
  <c r="F2186" i="5"/>
  <c r="R2186" i="5" s="1"/>
  <c r="A2186" i="5"/>
  <c r="AG2185" i="5"/>
  <c r="AF2185" i="5"/>
  <c r="G2185" i="5"/>
  <c r="O2185" i="5" s="1"/>
  <c r="F2185" i="5"/>
  <c r="R2185" i="5" s="1"/>
  <c r="A2185" i="5"/>
  <c r="AG2184" i="5"/>
  <c r="AF2184" i="5"/>
  <c r="G2184" i="5"/>
  <c r="O2184" i="5" s="1"/>
  <c r="F2184" i="5"/>
  <c r="R2184" i="5" s="1"/>
  <c r="A2184" i="5"/>
  <c r="AG2183" i="5"/>
  <c r="AF2183" i="5"/>
  <c r="G2183" i="5"/>
  <c r="O2183" i="5" s="1"/>
  <c r="F2183" i="5"/>
  <c r="R2183" i="5" s="1"/>
  <c r="A2183" i="5"/>
  <c r="AG2182" i="5"/>
  <c r="AF2182" i="5"/>
  <c r="G2182" i="5"/>
  <c r="O2182" i="5" s="1"/>
  <c r="F2182" i="5"/>
  <c r="R2182" i="5" s="1"/>
  <c r="A2182" i="5"/>
  <c r="AG2181" i="5"/>
  <c r="AF2181" i="5"/>
  <c r="G2181" i="5"/>
  <c r="O2181" i="5" s="1"/>
  <c r="F2181" i="5"/>
  <c r="R2181" i="5" s="1"/>
  <c r="A2181" i="5"/>
  <c r="AG2180" i="5"/>
  <c r="AF2180" i="5"/>
  <c r="G2180" i="5"/>
  <c r="O2180" i="5" s="1"/>
  <c r="F2180" i="5"/>
  <c r="R2180" i="5" s="1"/>
  <c r="A2180" i="5"/>
  <c r="AG2179" i="5"/>
  <c r="AF2179" i="5"/>
  <c r="G2179" i="5"/>
  <c r="O2179" i="5" s="1"/>
  <c r="F2179" i="5"/>
  <c r="R2179" i="5" s="1"/>
  <c r="A2179" i="5"/>
  <c r="AG2178" i="5"/>
  <c r="AF2178" i="5"/>
  <c r="G2178" i="5"/>
  <c r="O2178" i="5" s="1"/>
  <c r="F2178" i="5"/>
  <c r="R2178" i="5" s="1"/>
  <c r="A2178" i="5"/>
  <c r="AG2177" i="5"/>
  <c r="AF2177" i="5"/>
  <c r="G2177" i="5"/>
  <c r="O2177" i="5" s="1"/>
  <c r="F2177" i="5"/>
  <c r="R2177" i="5" s="1"/>
  <c r="A2177" i="5"/>
  <c r="AG2176" i="5"/>
  <c r="AF2176" i="5"/>
  <c r="G2176" i="5"/>
  <c r="O2176" i="5" s="1"/>
  <c r="F2176" i="5"/>
  <c r="R2176" i="5" s="1"/>
  <c r="A2176" i="5"/>
  <c r="AG2175" i="5"/>
  <c r="AF2175" i="5"/>
  <c r="G2175" i="5"/>
  <c r="O2175" i="5" s="1"/>
  <c r="F2175" i="5"/>
  <c r="R2175" i="5" s="1"/>
  <c r="A2175" i="5"/>
  <c r="AG2174" i="5"/>
  <c r="AF2174" i="5"/>
  <c r="G2174" i="5"/>
  <c r="O2174" i="5" s="1"/>
  <c r="F2174" i="5"/>
  <c r="R2174" i="5" s="1"/>
  <c r="A2174" i="5"/>
  <c r="AG2173" i="5"/>
  <c r="AF2173" i="5"/>
  <c r="G2173" i="5"/>
  <c r="O2173" i="5" s="1"/>
  <c r="F2173" i="5"/>
  <c r="R2173" i="5" s="1"/>
  <c r="A2173" i="5"/>
  <c r="AG2172" i="5"/>
  <c r="AF2172" i="5"/>
  <c r="G2172" i="5"/>
  <c r="O2172" i="5" s="1"/>
  <c r="F2172" i="5"/>
  <c r="R2172" i="5" s="1"/>
  <c r="A2172" i="5"/>
  <c r="AG2171" i="5"/>
  <c r="AF2171" i="5"/>
  <c r="G2171" i="5"/>
  <c r="O2171" i="5" s="1"/>
  <c r="F2171" i="5"/>
  <c r="R2171" i="5" s="1"/>
  <c r="A2171" i="5"/>
  <c r="AG2170" i="5"/>
  <c r="AF2170" i="5"/>
  <c r="G2170" i="5"/>
  <c r="O2170" i="5" s="1"/>
  <c r="F2170" i="5"/>
  <c r="R2170" i="5" s="1"/>
  <c r="A2170" i="5"/>
  <c r="AG2169" i="5"/>
  <c r="AF2169" i="5"/>
  <c r="G2169" i="5"/>
  <c r="O2169" i="5" s="1"/>
  <c r="F2169" i="5"/>
  <c r="R2169" i="5" s="1"/>
  <c r="A2169" i="5"/>
  <c r="AG2168" i="5"/>
  <c r="AF2168" i="5"/>
  <c r="G2168" i="5"/>
  <c r="O2168" i="5" s="1"/>
  <c r="F2168" i="5"/>
  <c r="R2168" i="5" s="1"/>
  <c r="A2168" i="5"/>
  <c r="AG2167" i="5"/>
  <c r="AF2167" i="5"/>
  <c r="G2167" i="5"/>
  <c r="O2167" i="5" s="1"/>
  <c r="F2167" i="5"/>
  <c r="R2167" i="5" s="1"/>
  <c r="A2167" i="5"/>
  <c r="AG2166" i="5"/>
  <c r="AF2166" i="5"/>
  <c r="G2166" i="5"/>
  <c r="O2166" i="5" s="1"/>
  <c r="F2166" i="5"/>
  <c r="R2166" i="5" s="1"/>
  <c r="A2166" i="5"/>
  <c r="AG2165" i="5"/>
  <c r="AF2165" i="5"/>
  <c r="G2165" i="5"/>
  <c r="O2165" i="5" s="1"/>
  <c r="F2165" i="5"/>
  <c r="R2165" i="5" s="1"/>
  <c r="A2165" i="5"/>
  <c r="AG2164" i="5"/>
  <c r="AF2164" i="5"/>
  <c r="G2164" i="5"/>
  <c r="O2164" i="5" s="1"/>
  <c r="F2164" i="5"/>
  <c r="R2164" i="5" s="1"/>
  <c r="A2164" i="5"/>
  <c r="AG2163" i="5"/>
  <c r="AF2163" i="5"/>
  <c r="G2163" i="5"/>
  <c r="O2163" i="5" s="1"/>
  <c r="F2163" i="5"/>
  <c r="R2163" i="5" s="1"/>
  <c r="A2163" i="5"/>
  <c r="AG2162" i="5"/>
  <c r="AF2162" i="5"/>
  <c r="G2162" i="5"/>
  <c r="O2162" i="5" s="1"/>
  <c r="F2162" i="5"/>
  <c r="R2162" i="5" s="1"/>
  <c r="A2162" i="5"/>
  <c r="AG2161" i="5"/>
  <c r="AF2161" i="5"/>
  <c r="G2161" i="5"/>
  <c r="O2161" i="5" s="1"/>
  <c r="F2161" i="5"/>
  <c r="R2161" i="5" s="1"/>
  <c r="A2161" i="5"/>
  <c r="AG2160" i="5"/>
  <c r="AF2160" i="5"/>
  <c r="G2160" i="5"/>
  <c r="O2160" i="5" s="1"/>
  <c r="F2160" i="5"/>
  <c r="R2160" i="5" s="1"/>
  <c r="A2160" i="5"/>
  <c r="AG2159" i="5"/>
  <c r="AF2159" i="5"/>
  <c r="G2159" i="5"/>
  <c r="O2159" i="5" s="1"/>
  <c r="F2159" i="5"/>
  <c r="R2159" i="5" s="1"/>
  <c r="A2159" i="5"/>
  <c r="AG2158" i="5"/>
  <c r="AF2158" i="5"/>
  <c r="G2158" i="5"/>
  <c r="O2158" i="5" s="1"/>
  <c r="F2158" i="5"/>
  <c r="R2158" i="5" s="1"/>
  <c r="A2158" i="5"/>
  <c r="AG2157" i="5"/>
  <c r="AF2157" i="5"/>
  <c r="G2157" i="5"/>
  <c r="O2157" i="5" s="1"/>
  <c r="F2157" i="5"/>
  <c r="R2157" i="5" s="1"/>
  <c r="A2157" i="5"/>
  <c r="AG2156" i="5"/>
  <c r="AF2156" i="5"/>
  <c r="G2156" i="5"/>
  <c r="O2156" i="5" s="1"/>
  <c r="F2156" i="5"/>
  <c r="R2156" i="5" s="1"/>
  <c r="A2156" i="5"/>
  <c r="AG2155" i="5"/>
  <c r="AF2155" i="5"/>
  <c r="G2155" i="5"/>
  <c r="O2155" i="5" s="1"/>
  <c r="F2155" i="5"/>
  <c r="R2155" i="5" s="1"/>
  <c r="A2155" i="5"/>
  <c r="AG2154" i="5"/>
  <c r="AF2154" i="5"/>
  <c r="G2154" i="5"/>
  <c r="O2154" i="5" s="1"/>
  <c r="F2154" i="5"/>
  <c r="R2154" i="5" s="1"/>
  <c r="A2154" i="5"/>
  <c r="AG2153" i="5"/>
  <c r="AF2153" i="5"/>
  <c r="G2153" i="5"/>
  <c r="O2153" i="5" s="1"/>
  <c r="F2153" i="5"/>
  <c r="R2153" i="5" s="1"/>
  <c r="A2153" i="5"/>
  <c r="AG2152" i="5"/>
  <c r="AF2152" i="5"/>
  <c r="G2152" i="5"/>
  <c r="O2152" i="5" s="1"/>
  <c r="F2152" i="5"/>
  <c r="R2152" i="5" s="1"/>
  <c r="A2152" i="5"/>
  <c r="AG2151" i="5"/>
  <c r="AF2151" i="5"/>
  <c r="G2151" i="5"/>
  <c r="O2151" i="5" s="1"/>
  <c r="F2151" i="5"/>
  <c r="R2151" i="5" s="1"/>
  <c r="A2151" i="5"/>
  <c r="AG2150" i="5"/>
  <c r="AF2150" i="5"/>
  <c r="G2150" i="5"/>
  <c r="O2150" i="5" s="1"/>
  <c r="F2150" i="5"/>
  <c r="R2150" i="5" s="1"/>
  <c r="A2150" i="5"/>
  <c r="AG2149" i="5"/>
  <c r="AF2149" i="5"/>
  <c r="G2149" i="5"/>
  <c r="O2149" i="5" s="1"/>
  <c r="F2149" i="5"/>
  <c r="R2149" i="5" s="1"/>
  <c r="A2149" i="5"/>
  <c r="AG2148" i="5"/>
  <c r="AF2148" i="5"/>
  <c r="G2148" i="5"/>
  <c r="O2148" i="5" s="1"/>
  <c r="F2148" i="5"/>
  <c r="R2148" i="5" s="1"/>
  <c r="A2148" i="5"/>
  <c r="AG2147" i="5"/>
  <c r="AF2147" i="5"/>
  <c r="G2147" i="5"/>
  <c r="O2147" i="5" s="1"/>
  <c r="F2147" i="5"/>
  <c r="R2147" i="5" s="1"/>
  <c r="A2147" i="5"/>
  <c r="AG2146" i="5"/>
  <c r="AF2146" i="5"/>
  <c r="G2146" i="5"/>
  <c r="O2146" i="5" s="1"/>
  <c r="F2146" i="5"/>
  <c r="R2146" i="5" s="1"/>
  <c r="A2146" i="5"/>
  <c r="AG2145" i="5"/>
  <c r="AF2145" i="5"/>
  <c r="G2145" i="5"/>
  <c r="O2145" i="5" s="1"/>
  <c r="F2145" i="5"/>
  <c r="R2145" i="5" s="1"/>
  <c r="A2145" i="5"/>
  <c r="AG2144" i="5"/>
  <c r="AF2144" i="5"/>
  <c r="G2144" i="5"/>
  <c r="O2144" i="5" s="1"/>
  <c r="F2144" i="5"/>
  <c r="R2144" i="5" s="1"/>
  <c r="A2144" i="5"/>
  <c r="AG2143" i="5"/>
  <c r="AF2143" i="5"/>
  <c r="G2143" i="5"/>
  <c r="O2143" i="5" s="1"/>
  <c r="F2143" i="5"/>
  <c r="R2143" i="5" s="1"/>
  <c r="A2143" i="5"/>
  <c r="AG2142" i="5"/>
  <c r="AF2142" i="5"/>
  <c r="G2142" i="5"/>
  <c r="O2142" i="5" s="1"/>
  <c r="F2142" i="5"/>
  <c r="R2142" i="5" s="1"/>
  <c r="A2142" i="5"/>
  <c r="AG2141" i="5"/>
  <c r="AF2141" i="5"/>
  <c r="G2141" i="5"/>
  <c r="O2141" i="5" s="1"/>
  <c r="F2141" i="5"/>
  <c r="R2141" i="5" s="1"/>
  <c r="A2141" i="5"/>
  <c r="AG2140" i="5"/>
  <c r="AF2140" i="5"/>
  <c r="G2140" i="5"/>
  <c r="O2140" i="5" s="1"/>
  <c r="F2140" i="5"/>
  <c r="R2140" i="5" s="1"/>
  <c r="A2140" i="5"/>
  <c r="AG2139" i="5"/>
  <c r="AF2139" i="5"/>
  <c r="G2139" i="5"/>
  <c r="O2139" i="5" s="1"/>
  <c r="F2139" i="5"/>
  <c r="R2139" i="5" s="1"/>
  <c r="A2139" i="5"/>
  <c r="AG2138" i="5"/>
  <c r="AF2138" i="5"/>
  <c r="G2138" i="5"/>
  <c r="O2138" i="5" s="1"/>
  <c r="F2138" i="5"/>
  <c r="R2138" i="5" s="1"/>
  <c r="A2138" i="5"/>
  <c r="AG2137" i="5"/>
  <c r="AF2137" i="5"/>
  <c r="G2137" i="5"/>
  <c r="O2137" i="5" s="1"/>
  <c r="F2137" i="5"/>
  <c r="R2137" i="5" s="1"/>
  <c r="A2137" i="5"/>
  <c r="AG2136" i="5"/>
  <c r="AF2136" i="5"/>
  <c r="G2136" i="5"/>
  <c r="O2136" i="5" s="1"/>
  <c r="F2136" i="5"/>
  <c r="R2136" i="5" s="1"/>
  <c r="A2136" i="5"/>
  <c r="AG2135" i="5"/>
  <c r="AF2135" i="5"/>
  <c r="G2135" i="5"/>
  <c r="O2135" i="5" s="1"/>
  <c r="F2135" i="5"/>
  <c r="R2135" i="5" s="1"/>
  <c r="A2135" i="5"/>
  <c r="AG2134" i="5"/>
  <c r="AF2134" i="5"/>
  <c r="G2134" i="5"/>
  <c r="O2134" i="5" s="1"/>
  <c r="F2134" i="5"/>
  <c r="R2134" i="5" s="1"/>
  <c r="A2134" i="5"/>
  <c r="AG2133" i="5"/>
  <c r="AF2133" i="5"/>
  <c r="G2133" i="5"/>
  <c r="O2133" i="5" s="1"/>
  <c r="F2133" i="5"/>
  <c r="R2133" i="5" s="1"/>
  <c r="A2133" i="5"/>
  <c r="AG2132" i="5"/>
  <c r="AF2132" i="5"/>
  <c r="G2132" i="5"/>
  <c r="O2132" i="5" s="1"/>
  <c r="F2132" i="5"/>
  <c r="R2132" i="5" s="1"/>
  <c r="A2132" i="5"/>
  <c r="AG2131" i="5"/>
  <c r="AF2131" i="5"/>
  <c r="G2131" i="5"/>
  <c r="O2131" i="5" s="1"/>
  <c r="F2131" i="5"/>
  <c r="R2131" i="5" s="1"/>
  <c r="A2131" i="5"/>
  <c r="AG2130" i="5"/>
  <c r="AF2130" i="5"/>
  <c r="G2130" i="5"/>
  <c r="O2130" i="5" s="1"/>
  <c r="F2130" i="5"/>
  <c r="R2130" i="5" s="1"/>
  <c r="A2130" i="5"/>
  <c r="AG2129" i="5"/>
  <c r="AF2129" i="5"/>
  <c r="G2129" i="5"/>
  <c r="O2129" i="5" s="1"/>
  <c r="F2129" i="5"/>
  <c r="R2129" i="5" s="1"/>
  <c r="A2129" i="5"/>
  <c r="AG2128" i="5"/>
  <c r="AF2128" i="5"/>
  <c r="G2128" i="5"/>
  <c r="O2128" i="5" s="1"/>
  <c r="F2128" i="5"/>
  <c r="R2128" i="5" s="1"/>
  <c r="A2128" i="5"/>
  <c r="AG2127" i="5"/>
  <c r="AF2127" i="5"/>
  <c r="G2127" i="5"/>
  <c r="O2127" i="5" s="1"/>
  <c r="F2127" i="5"/>
  <c r="R2127" i="5" s="1"/>
  <c r="A2127" i="5"/>
  <c r="AG2126" i="5"/>
  <c r="AF2126" i="5"/>
  <c r="G2126" i="5"/>
  <c r="O2126" i="5" s="1"/>
  <c r="F2126" i="5"/>
  <c r="R2126" i="5" s="1"/>
  <c r="A2126" i="5"/>
  <c r="AG2125" i="5"/>
  <c r="AF2125" i="5"/>
  <c r="G2125" i="5"/>
  <c r="O2125" i="5" s="1"/>
  <c r="F2125" i="5"/>
  <c r="R2125" i="5" s="1"/>
  <c r="A2125" i="5"/>
  <c r="AG2124" i="5"/>
  <c r="AF2124" i="5"/>
  <c r="G2124" i="5"/>
  <c r="O2124" i="5" s="1"/>
  <c r="F2124" i="5"/>
  <c r="R2124" i="5" s="1"/>
  <c r="A2124" i="5"/>
  <c r="AG2123" i="5"/>
  <c r="AF2123" i="5"/>
  <c r="G2123" i="5"/>
  <c r="O2123" i="5" s="1"/>
  <c r="F2123" i="5"/>
  <c r="R2123" i="5" s="1"/>
  <c r="A2123" i="5"/>
  <c r="AG2122" i="5"/>
  <c r="AF2122" i="5"/>
  <c r="G2122" i="5"/>
  <c r="O2122" i="5" s="1"/>
  <c r="F2122" i="5"/>
  <c r="R2122" i="5" s="1"/>
  <c r="A2122" i="5"/>
  <c r="AG2121" i="5"/>
  <c r="AF2121" i="5"/>
  <c r="G2121" i="5"/>
  <c r="O2121" i="5" s="1"/>
  <c r="F2121" i="5"/>
  <c r="R2121" i="5" s="1"/>
  <c r="A2121" i="5"/>
  <c r="AG2120" i="5"/>
  <c r="AF2120" i="5"/>
  <c r="G2120" i="5"/>
  <c r="O2120" i="5" s="1"/>
  <c r="F2120" i="5"/>
  <c r="R2120" i="5" s="1"/>
  <c r="A2120" i="5"/>
  <c r="AG2119" i="5"/>
  <c r="AF2119" i="5"/>
  <c r="G2119" i="5"/>
  <c r="O2119" i="5" s="1"/>
  <c r="F2119" i="5"/>
  <c r="R2119" i="5" s="1"/>
  <c r="A2119" i="5"/>
  <c r="AG2118" i="5"/>
  <c r="AF2118" i="5"/>
  <c r="G2118" i="5"/>
  <c r="O2118" i="5" s="1"/>
  <c r="F2118" i="5"/>
  <c r="R2118" i="5" s="1"/>
  <c r="A2118" i="5"/>
  <c r="AG2117" i="5"/>
  <c r="AF2117" i="5"/>
  <c r="G2117" i="5"/>
  <c r="O2117" i="5" s="1"/>
  <c r="F2117" i="5"/>
  <c r="R2117" i="5" s="1"/>
  <c r="A2117" i="5"/>
  <c r="AG2116" i="5"/>
  <c r="AF2116" i="5"/>
  <c r="G2116" i="5"/>
  <c r="O2116" i="5" s="1"/>
  <c r="F2116" i="5"/>
  <c r="R2116" i="5" s="1"/>
  <c r="A2116" i="5"/>
  <c r="AG2115" i="5"/>
  <c r="AF2115" i="5"/>
  <c r="G2115" i="5"/>
  <c r="O2115" i="5" s="1"/>
  <c r="F2115" i="5"/>
  <c r="R2115" i="5" s="1"/>
  <c r="A2115" i="5"/>
  <c r="AG2114" i="5"/>
  <c r="AF2114" i="5"/>
  <c r="G2114" i="5"/>
  <c r="O2114" i="5" s="1"/>
  <c r="F2114" i="5"/>
  <c r="R2114" i="5" s="1"/>
  <c r="A2114" i="5"/>
  <c r="AG2113" i="5"/>
  <c r="AF2113" i="5"/>
  <c r="G2113" i="5"/>
  <c r="O2113" i="5" s="1"/>
  <c r="F2113" i="5"/>
  <c r="R2113" i="5" s="1"/>
  <c r="A2113" i="5"/>
  <c r="AG2112" i="5"/>
  <c r="AF2112" i="5"/>
  <c r="G2112" i="5"/>
  <c r="O2112" i="5" s="1"/>
  <c r="F2112" i="5"/>
  <c r="R2112" i="5" s="1"/>
  <c r="A2112" i="5"/>
  <c r="AG2111" i="5"/>
  <c r="AF2111" i="5"/>
  <c r="G2111" i="5"/>
  <c r="O2111" i="5" s="1"/>
  <c r="F2111" i="5"/>
  <c r="R2111" i="5" s="1"/>
  <c r="A2111" i="5"/>
  <c r="AG2110" i="5"/>
  <c r="AF2110" i="5"/>
  <c r="G2110" i="5"/>
  <c r="O2110" i="5" s="1"/>
  <c r="F2110" i="5"/>
  <c r="R2110" i="5" s="1"/>
  <c r="A2110" i="5"/>
  <c r="AG2109" i="5"/>
  <c r="AF2109" i="5"/>
  <c r="G2109" i="5"/>
  <c r="O2109" i="5" s="1"/>
  <c r="F2109" i="5"/>
  <c r="R2109" i="5" s="1"/>
  <c r="A2109" i="5"/>
  <c r="AG2108" i="5"/>
  <c r="AF2108" i="5"/>
  <c r="G2108" i="5"/>
  <c r="O2108" i="5" s="1"/>
  <c r="F2108" i="5"/>
  <c r="R2108" i="5" s="1"/>
  <c r="A2108" i="5"/>
  <c r="AG2107" i="5"/>
  <c r="AF2107" i="5"/>
  <c r="G2107" i="5"/>
  <c r="O2107" i="5" s="1"/>
  <c r="F2107" i="5"/>
  <c r="R2107" i="5" s="1"/>
  <c r="A2107" i="5"/>
  <c r="AG2106" i="5"/>
  <c r="AF2106" i="5"/>
  <c r="G2106" i="5"/>
  <c r="O2106" i="5" s="1"/>
  <c r="F2106" i="5"/>
  <c r="R2106" i="5" s="1"/>
  <c r="A2106" i="5"/>
  <c r="AG2105" i="5"/>
  <c r="AF2105" i="5"/>
  <c r="G2105" i="5"/>
  <c r="O2105" i="5" s="1"/>
  <c r="F2105" i="5"/>
  <c r="R2105" i="5" s="1"/>
  <c r="A2105" i="5"/>
  <c r="AG2104" i="5"/>
  <c r="AF2104" i="5"/>
  <c r="G2104" i="5"/>
  <c r="O2104" i="5" s="1"/>
  <c r="F2104" i="5"/>
  <c r="R2104" i="5" s="1"/>
  <c r="A2104" i="5"/>
  <c r="AG2103" i="5"/>
  <c r="AF2103" i="5"/>
  <c r="G2103" i="5"/>
  <c r="O2103" i="5" s="1"/>
  <c r="F2103" i="5"/>
  <c r="R2103" i="5" s="1"/>
  <c r="A2103" i="5"/>
  <c r="AG2102" i="5"/>
  <c r="AF2102" i="5"/>
  <c r="G2102" i="5"/>
  <c r="O2102" i="5" s="1"/>
  <c r="F2102" i="5"/>
  <c r="R2102" i="5" s="1"/>
  <c r="A2102" i="5"/>
  <c r="AG2101" i="5"/>
  <c r="AF2101" i="5"/>
  <c r="G2101" i="5"/>
  <c r="O2101" i="5" s="1"/>
  <c r="F2101" i="5"/>
  <c r="R2101" i="5" s="1"/>
  <c r="A2101" i="5"/>
  <c r="AG2100" i="5"/>
  <c r="AF2100" i="5"/>
  <c r="G2100" i="5"/>
  <c r="O2100" i="5" s="1"/>
  <c r="F2100" i="5"/>
  <c r="R2100" i="5" s="1"/>
  <c r="A2100" i="5"/>
  <c r="AG2099" i="5"/>
  <c r="AF2099" i="5"/>
  <c r="G2099" i="5"/>
  <c r="O2099" i="5" s="1"/>
  <c r="F2099" i="5"/>
  <c r="R2099" i="5" s="1"/>
  <c r="A2099" i="5"/>
  <c r="AG2098" i="5"/>
  <c r="AF2098" i="5"/>
  <c r="G2098" i="5"/>
  <c r="O2098" i="5" s="1"/>
  <c r="F2098" i="5"/>
  <c r="R2098" i="5" s="1"/>
  <c r="A2098" i="5"/>
  <c r="AG2097" i="5"/>
  <c r="AF2097" i="5"/>
  <c r="G2097" i="5"/>
  <c r="O2097" i="5" s="1"/>
  <c r="F2097" i="5"/>
  <c r="R2097" i="5" s="1"/>
  <c r="A2097" i="5"/>
  <c r="AG2096" i="5"/>
  <c r="AF2096" i="5"/>
  <c r="G2096" i="5"/>
  <c r="O2096" i="5" s="1"/>
  <c r="F2096" i="5"/>
  <c r="R2096" i="5" s="1"/>
  <c r="A2096" i="5"/>
  <c r="AG2095" i="5"/>
  <c r="AF2095" i="5"/>
  <c r="G2095" i="5"/>
  <c r="O2095" i="5" s="1"/>
  <c r="F2095" i="5"/>
  <c r="R2095" i="5" s="1"/>
  <c r="A2095" i="5"/>
  <c r="AG2094" i="5"/>
  <c r="AF2094" i="5"/>
  <c r="G2094" i="5"/>
  <c r="O2094" i="5" s="1"/>
  <c r="F2094" i="5"/>
  <c r="R2094" i="5" s="1"/>
  <c r="A2094" i="5"/>
  <c r="AG2093" i="5"/>
  <c r="AF2093" i="5"/>
  <c r="G2093" i="5"/>
  <c r="O2093" i="5" s="1"/>
  <c r="F2093" i="5"/>
  <c r="R2093" i="5" s="1"/>
  <c r="A2093" i="5"/>
  <c r="AG2092" i="5"/>
  <c r="AF2092" i="5"/>
  <c r="G2092" i="5"/>
  <c r="O2092" i="5" s="1"/>
  <c r="F2092" i="5"/>
  <c r="R2092" i="5" s="1"/>
  <c r="A2092" i="5"/>
  <c r="AG2091" i="5"/>
  <c r="AF2091" i="5"/>
  <c r="G2091" i="5"/>
  <c r="O2091" i="5" s="1"/>
  <c r="F2091" i="5"/>
  <c r="R2091" i="5" s="1"/>
  <c r="A2091" i="5"/>
  <c r="AG2090" i="5"/>
  <c r="AF2090" i="5"/>
  <c r="G2090" i="5"/>
  <c r="O2090" i="5" s="1"/>
  <c r="F2090" i="5"/>
  <c r="R2090" i="5" s="1"/>
  <c r="A2090" i="5"/>
  <c r="AG2089" i="5"/>
  <c r="AF2089" i="5"/>
  <c r="G2089" i="5"/>
  <c r="O2089" i="5" s="1"/>
  <c r="F2089" i="5"/>
  <c r="R2089" i="5" s="1"/>
  <c r="A2089" i="5"/>
  <c r="AG2088" i="5"/>
  <c r="AF2088" i="5"/>
  <c r="G2088" i="5"/>
  <c r="O2088" i="5" s="1"/>
  <c r="F2088" i="5"/>
  <c r="R2088" i="5" s="1"/>
  <c r="A2088" i="5"/>
  <c r="AG2087" i="5"/>
  <c r="AF2087" i="5"/>
  <c r="G2087" i="5"/>
  <c r="O2087" i="5" s="1"/>
  <c r="F2087" i="5"/>
  <c r="R2087" i="5" s="1"/>
  <c r="A2087" i="5"/>
  <c r="AG2086" i="5"/>
  <c r="AF2086" i="5"/>
  <c r="G2086" i="5"/>
  <c r="O2086" i="5" s="1"/>
  <c r="F2086" i="5"/>
  <c r="R2086" i="5" s="1"/>
  <c r="A2086" i="5"/>
  <c r="AG2085" i="5"/>
  <c r="AF2085" i="5"/>
  <c r="G2085" i="5"/>
  <c r="O2085" i="5" s="1"/>
  <c r="F2085" i="5"/>
  <c r="R2085" i="5" s="1"/>
  <c r="A2085" i="5"/>
  <c r="AG2084" i="5"/>
  <c r="AF2084" i="5"/>
  <c r="G2084" i="5"/>
  <c r="O2084" i="5" s="1"/>
  <c r="F2084" i="5"/>
  <c r="R2084" i="5" s="1"/>
  <c r="A2084" i="5"/>
  <c r="AG2083" i="5"/>
  <c r="AF2083" i="5"/>
  <c r="G2083" i="5"/>
  <c r="O2083" i="5" s="1"/>
  <c r="F2083" i="5"/>
  <c r="R2083" i="5" s="1"/>
  <c r="A2083" i="5"/>
  <c r="AG2082" i="5"/>
  <c r="AF2082" i="5"/>
  <c r="G2082" i="5"/>
  <c r="O2082" i="5" s="1"/>
  <c r="F2082" i="5"/>
  <c r="R2082" i="5" s="1"/>
  <c r="A2082" i="5"/>
  <c r="AG2081" i="5"/>
  <c r="AF2081" i="5"/>
  <c r="G2081" i="5"/>
  <c r="O2081" i="5" s="1"/>
  <c r="F2081" i="5"/>
  <c r="R2081" i="5" s="1"/>
  <c r="A2081" i="5"/>
  <c r="AG2080" i="5"/>
  <c r="AF2080" i="5"/>
  <c r="G2080" i="5"/>
  <c r="O2080" i="5" s="1"/>
  <c r="F2080" i="5"/>
  <c r="R2080" i="5" s="1"/>
  <c r="A2080" i="5"/>
  <c r="AG2079" i="5"/>
  <c r="AF2079" i="5"/>
  <c r="G2079" i="5"/>
  <c r="O2079" i="5" s="1"/>
  <c r="F2079" i="5"/>
  <c r="R2079" i="5" s="1"/>
  <c r="A2079" i="5"/>
  <c r="AG2078" i="5"/>
  <c r="AF2078" i="5"/>
  <c r="G2078" i="5"/>
  <c r="O2078" i="5" s="1"/>
  <c r="F2078" i="5"/>
  <c r="R2078" i="5" s="1"/>
  <c r="A2078" i="5"/>
  <c r="AG2077" i="5"/>
  <c r="AF2077" i="5"/>
  <c r="G2077" i="5"/>
  <c r="O2077" i="5" s="1"/>
  <c r="F2077" i="5"/>
  <c r="R2077" i="5" s="1"/>
  <c r="A2077" i="5"/>
  <c r="AG2076" i="5"/>
  <c r="AF2076" i="5"/>
  <c r="G2076" i="5"/>
  <c r="O2076" i="5" s="1"/>
  <c r="F2076" i="5"/>
  <c r="R2076" i="5" s="1"/>
  <c r="A2076" i="5"/>
  <c r="AG2075" i="5"/>
  <c r="AF2075" i="5"/>
  <c r="G2075" i="5"/>
  <c r="O2075" i="5" s="1"/>
  <c r="F2075" i="5"/>
  <c r="R2075" i="5" s="1"/>
  <c r="A2075" i="5"/>
  <c r="AG2074" i="5"/>
  <c r="AF2074" i="5"/>
  <c r="G2074" i="5"/>
  <c r="O2074" i="5" s="1"/>
  <c r="F2074" i="5"/>
  <c r="R2074" i="5" s="1"/>
  <c r="A2074" i="5"/>
  <c r="AG2073" i="5"/>
  <c r="AF2073" i="5"/>
  <c r="G2073" i="5"/>
  <c r="O2073" i="5" s="1"/>
  <c r="F2073" i="5"/>
  <c r="R2073" i="5" s="1"/>
  <c r="A2073" i="5"/>
  <c r="AG2072" i="5"/>
  <c r="AF2072" i="5"/>
  <c r="G2072" i="5"/>
  <c r="O2072" i="5" s="1"/>
  <c r="F2072" i="5"/>
  <c r="R2072" i="5" s="1"/>
  <c r="A2072" i="5"/>
  <c r="AG2071" i="5"/>
  <c r="AF2071" i="5"/>
  <c r="G2071" i="5"/>
  <c r="O2071" i="5" s="1"/>
  <c r="F2071" i="5"/>
  <c r="R2071" i="5" s="1"/>
  <c r="A2071" i="5"/>
  <c r="AG2070" i="5"/>
  <c r="AF2070" i="5"/>
  <c r="G2070" i="5"/>
  <c r="O2070" i="5" s="1"/>
  <c r="F2070" i="5"/>
  <c r="R2070" i="5" s="1"/>
  <c r="A2070" i="5"/>
  <c r="AG2069" i="5"/>
  <c r="AF2069" i="5"/>
  <c r="G2069" i="5"/>
  <c r="O2069" i="5" s="1"/>
  <c r="F2069" i="5"/>
  <c r="R2069" i="5" s="1"/>
  <c r="A2069" i="5"/>
  <c r="AG2068" i="5"/>
  <c r="AF2068" i="5"/>
  <c r="G2068" i="5"/>
  <c r="O2068" i="5" s="1"/>
  <c r="F2068" i="5"/>
  <c r="R2068" i="5" s="1"/>
  <c r="A2068" i="5"/>
  <c r="AG2067" i="5"/>
  <c r="AF2067" i="5"/>
  <c r="G2067" i="5"/>
  <c r="O2067" i="5" s="1"/>
  <c r="F2067" i="5"/>
  <c r="R2067" i="5" s="1"/>
  <c r="A2067" i="5"/>
  <c r="AG2066" i="5"/>
  <c r="AF2066" i="5"/>
  <c r="G2066" i="5"/>
  <c r="O2066" i="5" s="1"/>
  <c r="F2066" i="5"/>
  <c r="R2066" i="5" s="1"/>
  <c r="A2066" i="5"/>
  <c r="AG2065" i="5"/>
  <c r="AF2065" i="5"/>
  <c r="G2065" i="5"/>
  <c r="O2065" i="5" s="1"/>
  <c r="F2065" i="5"/>
  <c r="R2065" i="5" s="1"/>
  <c r="A2065" i="5"/>
  <c r="AG2064" i="5"/>
  <c r="AF2064" i="5"/>
  <c r="G2064" i="5"/>
  <c r="O2064" i="5" s="1"/>
  <c r="F2064" i="5"/>
  <c r="R2064" i="5" s="1"/>
  <c r="A2064" i="5"/>
  <c r="AG2063" i="5"/>
  <c r="AF2063" i="5"/>
  <c r="G2063" i="5"/>
  <c r="O2063" i="5" s="1"/>
  <c r="F2063" i="5"/>
  <c r="R2063" i="5" s="1"/>
  <c r="A2063" i="5"/>
  <c r="AG2062" i="5"/>
  <c r="AF2062" i="5"/>
  <c r="G2062" i="5"/>
  <c r="O2062" i="5" s="1"/>
  <c r="F2062" i="5"/>
  <c r="R2062" i="5" s="1"/>
  <c r="A2062" i="5"/>
  <c r="AG2061" i="5"/>
  <c r="AF2061" i="5"/>
  <c r="G2061" i="5"/>
  <c r="O2061" i="5" s="1"/>
  <c r="F2061" i="5"/>
  <c r="R2061" i="5" s="1"/>
  <c r="A2061" i="5"/>
  <c r="AG2060" i="5"/>
  <c r="AF2060" i="5"/>
  <c r="G2060" i="5"/>
  <c r="O2060" i="5" s="1"/>
  <c r="F2060" i="5"/>
  <c r="R2060" i="5" s="1"/>
  <c r="A2060" i="5"/>
  <c r="AG2059" i="5"/>
  <c r="AF2059" i="5"/>
  <c r="G2059" i="5"/>
  <c r="O2059" i="5" s="1"/>
  <c r="F2059" i="5"/>
  <c r="R2059" i="5" s="1"/>
  <c r="A2059" i="5"/>
  <c r="AG2058" i="5"/>
  <c r="AF2058" i="5"/>
  <c r="G2058" i="5"/>
  <c r="O2058" i="5" s="1"/>
  <c r="F2058" i="5"/>
  <c r="R2058" i="5" s="1"/>
  <c r="A2058" i="5"/>
  <c r="AG2057" i="5"/>
  <c r="AF2057" i="5"/>
  <c r="G2057" i="5"/>
  <c r="O2057" i="5" s="1"/>
  <c r="F2057" i="5"/>
  <c r="R2057" i="5" s="1"/>
  <c r="A2057" i="5"/>
  <c r="AG2056" i="5"/>
  <c r="AF2056" i="5"/>
  <c r="G2056" i="5"/>
  <c r="O2056" i="5" s="1"/>
  <c r="F2056" i="5"/>
  <c r="R2056" i="5" s="1"/>
  <c r="A2056" i="5"/>
  <c r="AG2055" i="5"/>
  <c r="AF2055" i="5"/>
  <c r="G2055" i="5"/>
  <c r="O2055" i="5" s="1"/>
  <c r="F2055" i="5"/>
  <c r="R2055" i="5" s="1"/>
  <c r="A2055" i="5"/>
  <c r="AG2054" i="5"/>
  <c r="AF2054" i="5"/>
  <c r="G2054" i="5"/>
  <c r="O2054" i="5" s="1"/>
  <c r="F2054" i="5"/>
  <c r="R2054" i="5" s="1"/>
  <c r="A2054" i="5"/>
  <c r="AG2053" i="5"/>
  <c r="AF2053" i="5"/>
  <c r="G2053" i="5"/>
  <c r="O2053" i="5" s="1"/>
  <c r="F2053" i="5"/>
  <c r="R2053" i="5" s="1"/>
  <c r="A2053" i="5"/>
  <c r="AG2052" i="5"/>
  <c r="AF2052" i="5"/>
  <c r="G2052" i="5"/>
  <c r="O2052" i="5" s="1"/>
  <c r="F2052" i="5"/>
  <c r="R2052" i="5" s="1"/>
  <c r="A2052" i="5"/>
  <c r="AG2051" i="5"/>
  <c r="AF2051" i="5"/>
  <c r="G2051" i="5"/>
  <c r="O2051" i="5" s="1"/>
  <c r="F2051" i="5"/>
  <c r="R2051" i="5" s="1"/>
  <c r="A2051" i="5"/>
  <c r="L507" i="4"/>
  <c r="B507" i="4"/>
  <c r="L506" i="4"/>
  <c r="B506" i="4"/>
  <c r="L505" i="4"/>
  <c r="B505" i="4"/>
  <c r="L504" i="4"/>
  <c r="B504" i="4"/>
  <c r="L503" i="4"/>
  <c r="B503" i="4"/>
  <c r="L502" i="4"/>
  <c r="B502" i="4"/>
  <c r="L501" i="4"/>
  <c r="B501" i="4"/>
  <c r="L500" i="4"/>
  <c r="B500" i="4"/>
  <c r="L499" i="4"/>
  <c r="B499" i="4"/>
  <c r="L498" i="4"/>
  <c r="B498" i="4"/>
  <c r="L497" i="4"/>
  <c r="B497" i="4"/>
  <c r="L496" i="4"/>
  <c r="B496" i="4"/>
  <c r="L495" i="4"/>
  <c r="B495" i="4"/>
  <c r="L494" i="4"/>
  <c r="B494" i="4"/>
  <c r="L493" i="4"/>
  <c r="B493" i="4"/>
  <c r="L492" i="4"/>
  <c r="B492" i="4"/>
  <c r="L491" i="4"/>
  <c r="B491" i="4"/>
  <c r="L490" i="4"/>
  <c r="B490" i="4"/>
  <c r="L489" i="4"/>
  <c r="B489" i="4"/>
  <c r="L488" i="4"/>
  <c r="B488" i="4"/>
  <c r="L487" i="4"/>
  <c r="B487" i="4"/>
  <c r="L486" i="4"/>
  <c r="B486" i="4"/>
  <c r="L485" i="4"/>
  <c r="B485" i="4"/>
  <c r="L484" i="4"/>
  <c r="B484" i="4"/>
  <c r="L483" i="4"/>
  <c r="B483" i="4"/>
  <c r="L482" i="4"/>
  <c r="B482" i="4"/>
  <c r="L481" i="4"/>
  <c r="B481" i="4"/>
  <c r="L480" i="4"/>
  <c r="B480" i="4"/>
  <c r="L479" i="4"/>
  <c r="B479" i="4"/>
  <c r="L478" i="4"/>
  <c r="B478" i="4"/>
  <c r="L477" i="4"/>
  <c r="B477" i="4"/>
  <c r="L476" i="4"/>
  <c r="B476" i="4"/>
  <c r="L475" i="4"/>
  <c r="B475" i="4"/>
  <c r="L474" i="4"/>
  <c r="B474" i="4"/>
  <c r="L473" i="4"/>
  <c r="B473" i="4"/>
  <c r="L472" i="4"/>
  <c r="B472" i="4"/>
  <c r="L471" i="4"/>
  <c r="B471" i="4"/>
  <c r="L470" i="4"/>
  <c r="B470" i="4"/>
  <c r="L469" i="4"/>
  <c r="B469" i="4"/>
  <c r="L468" i="4"/>
  <c r="B468" i="4"/>
  <c r="L467" i="4"/>
  <c r="B467" i="4"/>
  <c r="L466" i="4"/>
  <c r="B466" i="4"/>
  <c r="L465" i="4"/>
  <c r="B465" i="4"/>
  <c r="L464" i="4"/>
  <c r="B464" i="4"/>
  <c r="L463" i="4"/>
  <c r="B463" i="4"/>
  <c r="L462" i="4"/>
  <c r="B462" i="4"/>
  <c r="L461" i="4"/>
  <c r="B461" i="4"/>
  <c r="L460" i="4"/>
  <c r="B460" i="4"/>
  <c r="L459" i="4"/>
  <c r="B459" i="4"/>
  <c r="L458" i="4"/>
  <c r="B458" i="4"/>
  <c r="L457" i="4"/>
  <c r="B457" i="4"/>
  <c r="L456" i="4"/>
  <c r="B456" i="4"/>
  <c r="L455" i="4"/>
  <c r="B455" i="4"/>
  <c r="L454" i="4"/>
  <c r="B454" i="4"/>
  <c r="L453" i="4"/>
  <c r="B453" i="4"/>
  <c r="L452" i="4"/>
  <c r="B452" i="4"/>
  <c r="L451" i="4"/>
  <c r="B451" i="4"/>
  <c r="L450" i="4"/>
  <c r="B450" i="4"/>
  <c r="L449" i="4"/>
  <c r="B449" i="4"/>
  <c r="L448" i="4"/>
  <c r="B448" i="4"/>
  <c r="L447" i="4"/>
  <c r="B447" i="4"/>
  <c r="L446" i="4"/>
  <c r="B446" i="4"/>
  <c r="L445" i="4"/>
  <c r="B445" i="4"/>
  <c r="L444" i="4"/>
  <c r="B444" i="4"/>
  <c r="L443" i="4"/>
  <c r="B443" i="4"/>
  <c r="L442" i="4"/>
  <c r="B442" i="4"/>
  <c r="L441" i="4"/>
  <c r="B441" i="4"/>
  <c r="L440" i="4"/>
  <c r="B440" i="4"/>
  <c r="L439" i="4"/>
  <c r="B439" i="4"/>
  <c r="L438" i="4"/>
  <c r="B438" i="4"/>
  <c r="L437" i="4"/>
  <c r="B437" i="4"/>
  <c r="L436" i="4"/>
  <c r="B436" i="4"/>
  <c r="L435" i="4"/>
  <c r="B435" i="4"/>
  <c r="L434" i="4"/>
  <c r="B434" i="4"/>
  <c r="L433" i="4"/>
  <c r="B433" i="4"/>
  <c r="L432" i="4"/>
  <c r="B432" i="4"/>
  <c r="L431" i="4"/>
  <c r="B431" i="4"/>
  <c r="L430" i="4"/>
  <c r="B430" i="4"/>
  <c r="L429" i="4"/>
  <c r="B429" i="4"/>
  <c r="L428" i="4"/>
  <c r="B428" i="4"/>
  <c r="L427" i="4"/>
  <c r="B427" i="4"/>
  <c r="L426" i="4"/>
  <c r="B426" i="4"/>
  <c r="L425" i="4"/>
  <c r="B425" i="4"/>
  <c r="L424" i="4"/>
  <c r="B424" i="4"/>
  <c r="L423" i="4"/>
  <c r="B423" i="4"/>
  <c r="L422" i="4"/>
  <c r="B422" i="4"/>
  <c r="L421" i="4"/>
  <c r="B421" i="4"/>
  <c r="L420" i="4"/>
  <c r="B420" i="4"/>
  <c r="L419" i="4"/>
  <c r="B419" i="4"/>
  <c r="L418" i="4"/>
  <c r="B418" i="4"/>
  <c r="L417" i="4"/>
  <c r="B417" i="4"/>
  <c r="L416" i="4"/>
  <c r="B416" i="4"/>
  <c r="L415" i="4"/>
  <c r="B415" i="4"/>
  <c r="L414" i="4"/>
  <c r="B414" i="4"/>
  <c r="L413" i="4"/>
  <c r="B413" i="4"/>
  <c r="L412" i="4"/>
  <c r="B412" i="4"/>
  <c r="L411" i="4"/>
  <c r="B411" i="4"/>
  <c r="L410" i="4"/>
  <c r="B410" i="4"/>
  <c r="L409" i="4"/>
  <c r="B409" i="4"/>
  <c r="L408" i="4"/>
  <c r="B408" i="4"/>
  <c r="L407" i="4"/>
  <c r="B407" i="4"/>
  <c r="L406" i="4"/>
  <c r="B406" i="4"/>
  <c r="L405" i="4"/>
  <c r="B405" i="4"/>
  <c r="L404" i="4"/>
  <c r="B404" i="4"/>
  <c r="L403" i="4"/>
  <c r="B403" i="4"/>
  <c r="L402" i="4"/>
  <c r="B402" i="4"/>
  <c r="L401" i="4"/>
  <c r="B401" i="4"/>
  <c r="L400" i="4"/>
  <c r="B400" i="4"/>
  <c r="L399" i="4"/>
  <c r="B399" i="4"/>
  <c r="L398" i="4"/>
  <c r="B398" i="4"/>
  <c r="L397" i="4"/>
  <c r="B397" i="4"/>
  <c r="L396" i="4"/>
  <c r="B396" i="4"/>
  <c r="L395" i="4"/>
  <c r="B395" i="4"/>
  <c r="L394" i="4"/>
  <c r="B394" i="4"/>
  <c r="L393" i="4"/>
  <c r="B393" i="4"/>
  <c r="L392" i="4"/>
  <c r="B392" i="4"/>
  <c r="L391" i="4"/>
  <c r="B391" i="4"/>
  <c r="L390" i="4"/>
  <c r="B390" i="4"/>
  <c r="L389" i="4"/>
  <c r="B389" i="4"/>
  <c r="L388" i="4"/>
  <c r="B388" i="4"/>
  <c r="L387" i="4"/>
  <c r="B387" i="4"/>
  <c r="L386" i="4"/>
  <c r="B386" i="4"/>
  <c r="L385" i="4"/>
  <c r="B385" i="4"/>
  <c r="L384" i="4"/>
  <c r="B384" i="4"/>
  <c r="L383" i="4"/>
  <c r="B383" i="4"/>
  <c r="L382" i="4"/>
  <c r="B382" i="4"/>
  <c r="L381" i="4"/>
  <c r="B381" i="4"/>
  <c r="L380" i="4"/>
  <c r="B380" i="4"/>
  <c r="L379" i="4"/>
  <c r="B379" i="4"/>
  <c r="L378" i="4"/>
  <c r="B378" i="4"/>
  <c r="L377" i="4"/>
  <c r="B377" i="4"/>
  <c r="L376" i="4"/>
  <c r="B376" i="4"/>
  <c r="L375" i="4"/>
  <c r="B375" i="4"/>
  <c r="L374" i="4"/>
  <c r="B374" i="4"/>
  <c r="L373" i="4"/>
  <c r="B373" i="4"/>
  <c r="L372" i="4"/>
  <c r="B372" i="4"/>
  <c r="L371" i="4"/>
  <c r="B371" i="4"/>
  <c r="L370" i="4"/>
  <c r="B370" i="4"/>
  <c r="L369" i="4"/>
  <c r="B369" i="4"/>
  <c r="L368" i="4"/>
  <c r="B368" i="4"/>
  <c r="L367" i="4"/>
  <c r="B367" i="4"/>
  <c r="L366" i="4"/>
  <c r="B366" i="4"/>
  <c r="L365" i="4"/>
  <c r="B365" i="4"/>
  <c r="L364" i="4"/>
  <c r="B364" i="4"/>
  <c r="L363" i="4"/>
  <c r="B363" i="4"/>
  <c r="L362" i="4"/>
  <c r="B362" i="4"/>
  <c r="L361" i="4"/>
  <c r="B361" i="4"/>
  <c r="L360" i="4"/>
  <c r="B360" i="4"/>
  <c r="L359" i="4"/>
  <c r="B359" i="4"/>
  <c r="L358" i="4"/>
  <c r="B358" i="4"/>
  <c r="L357" i="4"/>
  <c r="B357" i="4"/>
  <c r="L356" i="4"/>
  <c r="B356" i="4"/>
  <c r="L355" i="4"/>
  <c r="B355" i="4"/>
  <c r="L354" i="4"/>
  <c r="B354" i="4"/>
  <c r="L353" i="4"/>
  <c r="B353" i="4"/>
  <c r="L352" i="4"/>
  <c r="B352" i="4"/>
  <c r="L351" i="4"/>
  <c r="B351" i="4"/>
  <c r="L350" i="4"/>
  <c r="B350" i="4"/>
  <c r="L349" i="4"/>
  <c r="B349" i="4"/>
  <c r="L348" i="4"/>
  <c r="B348" i="4"/>
  <c r="L347" i="4"/>
  <c r="B347" i="4"/>
  <c r="L346" i="4"/>
  <c r="B346" i="4"/>
  <c r="L345" i="4"/>
  <c r="B345" i="4"/>
  <c r="L344" i="4"/>
  <c r="B344" i="4"/>
  <c r="L343" i="4"/>
  <c r="B343" i="4"/>
  <c r="L342" i="4"/>
  <c r="B342" i="4"/>
  <c r="L341" i="4"/>
  <c r="B341" i="4"/>
  <c r="L340" i="4"/>
  <c r="B340" i="4"/>
  <c r="L339" i="4"/>
  <c r="B339" i="4"/>
  <c r="L338" i="4"/>
  <c r="B338" i="4"/>
  <c r="L337" i="4"/>
  <c r="B337" i="4"/>
  <c r="L336" i="4"/>
  <c r="B336" i="4"/>
  <c r="L335" i="4"/>
  <c r="B335" i="4"/>
  <c r="L334" i="4"/>
  <c r="B334" i="4"/>
  <c r="L333" i="4"/>
  <c r="B333" i="4"/>
  <c r="L332" i="4"/>
  <c r="B332" i="4"/>
  <c r="L331" i="4"/>
  <c r="B331" i="4"/>
  <c r="L330" i="4"/>
  <c r="B330" i="4"/>
  <c r="L329" i="4"/>
  <c r="B329" i="4"/>
  <c r="L328" i="4"/>
  <c r="B328" i="4"/>
  <c r="L327" i="4"/>
  <c r="B327" i="4"/>
  <c r="L326" i="4"/>
  <c r="B326" i="4"/>
  <c r="L325" i="4"/>
  <c r="B325" i="4"/>
  <c r="L324" i="4"/>
  <c r="B324" i="4"/>
  <c r="L323" i="4"/>
  <c r="B323" i="4"/>
  <c r="L322" i="4"/>
  <c r="B322" i="4"/>
  <c r="L321" i="4"/>
  <c r="B321" i="4"/>
  <c r="L320" i="4"/>
  <c r="B320" i="4"/>
  <c r="L319" i="4"/>
  <c r="B319" i="4"/>
  <c r="L318" i="4"/>
  <c r="B318" i="4"/>
  <c r="L317" i="4"/>
  <c r="B317" i="4"/>
  <c r="L316" i="4"/>
  <c r="B316" i="4"/>
  <c r="L315" i="4"/>
  <c r="B315" i="4"/>
  <c r="L314" i="4"/>
  <c r="B314" i="4"/>
  <c r="L313" i="4"/>
  <c r="B313" i="4"/>
  <c r="L312" i="4"/>
  <c r="B312" i="4"/>
  <c r="L311" i="4"/>
  <c r="B311" i="4"/>
  <c r="L310" i="4"/>
  <c r="B310" i="4"/>
  <c r="L309" i="4"/>
  <c r="B309" i="4"/>
  <c r="L308" i="4"/>
  <c r="B308" i="4"/>
  <c r="L307" i="4"/>
  <c r="B307" i="4"/>
  <c r="L306" i="4"/>
  <c r="B306" i="4"/>
  <c r="L305" i="4"/>
  <c r="B305" i="4"/>
  <c r="L304" i="4"/>
  <c r="B304" i="4"/>
  <c r="L303" i="4"/>
  <c r="B303" i="4"/>
  <c r="L302" i="4"/>
  <c r="B302" i="4"/>
  <c r="L301" i="4"/>
  <c r="B301" i="4"/>
  <c r="L300" i="4"/>
  <c r="B300" i="4"/>
  <c r="L299" i="4"/>
  <c r="B299" i="4"/>
  <c r="L298" i="4"/>
  <c r="B298" i="4"/>
  <c r="L297" i="4"/>
  <c r="B297" i="4"/>
  <c r="L296" i="4"/>
  <c r="B296" i="4"/>
  <c r="L295" i="4"/>
  <c r="B295" i="4"/>
  <c r="L294" i="4"/>
  <c r="B294" i="4"/>
  <c r="L293" i="4"/>
  <c r="B293" i="4"/>
  <c r="L292" i="4"/>
  <c r="B292" i="4"/>
  <c r="L291" i="4"/>
  <c r="B291" i="4"/>
  <c r="L290" i="4"/>
  <c r="B290" i="4"/>
  <c r="L289" i="4"/>
  <c r="B289" i="4"/>
  <c r="L288" i="4"/>
  <c r="B288" i="4"/>
  <c r="L287" i="4"/>
  <c r="B287" i="4"/>
  <c r="L286" i="4"/>
  <c r="B286" i="4"/>
  <c r="L285" i="4"/>
  <c r="B285" i="4"/>
  <c r="L284" i="4"/>
  <c r="B284" i="4"/>
  <c r="L283" i="4"/>
  <c r="B283" i="4"/>
  <c r="L282" i="4"/>
  <c r="B282" i="4"/>
  <c r="L281" i="4"/>
  <c r="B281" i="4"/>
  <c r="L280" i="4"/>
  <c r="B280" i="4"/>
  <c r="L279" i="4"/>
  <c r="B279" i="4"/>
  <c r="L278" i="4"/>
  <c r="B278" i="4"/>
  <c r="L277" i="4"/>
  <c r="B277" i="4"/>
  <c r="L276" i="4"/>
  <c r="B276" i="4"/>
  <c r="L275" i="4"/>
  <c r="B275" i="4"/>
  <c r="L274" i="4"/>
  <c r="B274" i="4"/>
  <c r="L273" i="4"/>
  <c r="B273" i="4"/>
  <c r="L272" i="4"/>
  <c r="B272" i="4"/>
  <c r="L271" i="4"/>
  <c r="B271" i="4"/>
  <c r="L270" i="4"/>
  <c r="B270" i="4"/>
  <c r="L269" i="4"/>
  <c r="B269" i="4"/>
  <c r="L268" i="4"/>
  <c r="B268" i="4"/>
  <c r="L267" i="4"/>
  <c r="B267" i="4"/>
  <c r="L266" i="4"/>
  <c r="B266" i="4"/>
  <c r="L265" i="4"/>
  <c r="B265" i="4"/>
  <c r="L264" i="4"/>
  <c r="B264" i="4"/>
  <c r="L263" i="4"/>
  <c r="B263" i="4"/>
  <c r="L262" i="4"/>
  <c r="B262" i="4"/>
  <c r="L261" i="4"/>
  <c r="B261" i="4"/>
  <c r="L260" i="4"/>
  <c r="B260" i="4"/>
  <c r="L259" i="4"/>
  <c r="B259" i="4"/>
  <c r="L258" i="4"/>
  <c r="B258" i="4"/>
  <c r="L257" i="4"/>
  <c r="B257" i="4"/>
  <c r="L256" i="4"/>
  <c r="B256" i="4"/>
  <c r="L255" i="4"/>
  <c r="B255" i="4"/>
  <c r="L254" i="4"/>
  <c r="B254" i="4"/>
  <c r="L253" i="4"/>
  <c r="B253" i="4"/>
  <c r="L252" i="4"/>
  <c r="B252" i="4"/>
  <c r="L251" i="4"/>
  <c r="B251" i="4"/>
  <c r="L250" i="4"/>
  <c r="B250" i="4"/>
  <c r="L249" i="4"/>
  <c r="B249" i="4"/>
  <c r="L248" i="4"/>
  <c r="B248" i="4"/>
  <c r="L247" i="4"/>
  <c r="B247" i="4"/>
  <c r="L246" i="4"/>
  <c r="B246" i="4"/>
  <c r="L245" i="4"/>
  <c r="B245" i="4"/>
  <c r="L244" i="4"/>
  <c r="B244" i="4"/>
  <c r="L243" i="4"/>
  <c r="B243" i="4"/>
  <c r="L242" i="4"/>
  <c r="B242" i="4"/>
  <c r="L241" i="4"/>
  <c r="B241" i="4"/>
  <c r="L240" i="4"/>
  <c r="B240" i="4"/>
  <c r="L239" i="4"/>
  <c r="B239" i="4"/>
  <c r="L238" i="4"/>
  <c r="B238" i="4"/>
  <c r="L237" i="4"/>
  <c r="B237" i="4"/>
  <c r="L236" i="4"/>
  <c r="B236" i="4"/>
  <c r="L235" i="4"/>
  <c r="B235" i="4"/>
  <c r="L234" i="4"/>
  <c r="B234" i="4"/>
  <c r="L233" i="4"/>
  <c r="B233" i="4"/>
  <c r="L232" i="4"/>
  <c r="B232" i="4"/>
  <c r="L231" i="4"/>
  <c r="B231" i="4"/>
  <c r="L230" i="4"/>
  <c r="B230" i="4"/>
  <c r="L229" i="4"/>
  <c r="B229" i="4"/>
  <c r="L228" i="4"/>
  <c r="B228" i="4"/>
  <c r="L227" i="4"/>
  <c r="B227" i="4"/>
  <c r="L226" i="4"/>
  <c r="B226" i="4"/>
  <c r="L225" i="4"/>
  <c r="B225" i="4"/>
  <c r="L224" i="4"/>
  <c r="B224" i="4"/>
  <c r="L223" i="4"/>
  <c r="B223" i="4"/>
  <c r="L222" i="4"/>
  <c r="B222" i="4"/>
  <c r="L221" i="4"/>
  <c r="B221" i="4"/>
  <c r="L220" i="4"/>
  <c r="B220" i="4"/>
  <c r="L219" i="4"/>
  <c r="B219" i="4"/>
  <c r="L218" i="4"/>
  <c r="B218" i="4"/>
  <c r="L217" i="4"/>
  <c r="B217" i="4"/>
  <c r="L216" i="4"/>
  <c r="B216" i="4"/>
  <c r="L215" i="4"/>
  <c r="B215" i="4"/>
  <c r="L214" i="4"/>
  <c r="B214" i="4"/>
  <c r="L213" i="4"/>
  <c r="B213" i="4"/>
  <c r="L212" i="4"/>
  <c r="B212" i="4"/>
  <c r="L211" i="4"/>
  <c r="B211" i="4"/>
  <c r="L210" i="4"/>
  <c r="B210" i="4"/>
  <c r="L209" i="4"/>
  <c r="B209" i="4"/>
  <c r="L208" i="4"/>
  <c r="B208" i="4"/>
  <c r="L207" i="4"/>
  <c r="B207" i="4"/>
  <c r="L206" i="4"/>
  <c r="B206" i="4"/>
  <c r="L205" i="4"/>
  <c r="B205" i="4"/>
  <c r="L204" i="4"/>
  <c r="B204" i="4"/>
  <c r="L203" i="4"/>
  <c r="B203" i="4"/>
  <c r="L202" i="4"/>
  <c r="B202" i="4"/>
  <c r="L201" i="4"/>
  <c r="B201" i="4"/>
  <c r="L200" i="4"/>
  <c r="B200" i="4"/>
  <c r="L199" i="4"/>
  <c r="B199" i="4"/>
  <c r="L198" i="4"/>
  <c r="B198" i="4"/>
  <c r="L197" i="4"/>
  <c r="B197" i="4"/>
  <c r="L196" i="4"/>
  <c r="B196" i="4"/>
  <c r="L195" i="4"/>
  <c r="B195" i="4"/>
  <c r="L194" i="4"/>
  <c r="B194" i="4"/>
  <c r="L193" i="4"/>
  <c r="B193" i="4"/>
  <c r="L192" i="4"/>
  <c r="B192" i="4"/>
  <c r="L191" i="4"/>
  <c r="B191" i="4"/>
  <c r="L190" i="4"/>
  <c r="B190" i="4"/>
  <c r="L189" i="4"/>
  <c r="B189" i="4"/>
  <c r="L188" i="4"/>
  <c r="B188" i="4"/>
  <c r="L187" i="4"/>
  <c r="B187" i="4"/>
  <c r="L186" i="4"/>
  <c r="B186" i="4"/>
  <c r="L185" i="4"/>
  <c r="B185" i="4"/>
  <c r="L184" i="4"/>
  <c r="B184" i="4"/>
  <c r="L183" i="4"/>
  <c r="B183" i="4"/>
  <c r="L182" i="4"/>
  <c r="B182" i="4"/>
  <c r="L181" i="4"/>
  <c r="B181" i="4"/>
  <c r="L180" i="4"/>
  <c r="B180" i="4"/>
  <c r="L179" i="4"/>
  <c r="B179" i="4"/>
  <c r="L178" i="4"/>
  <c r="B178" i="4"/>
  <c r="L177" i="4"/>
  <c r="B177" i="4"/>
  <c r="L176" i="4"/>
  <c r="B176" i="4"/>
  <c r="L175" i="4"/>
  <c r="B175" i="4"/>
  <c r="L174" i="4"/>
  <c r="B174" i="4"/>
  <c r="L173" i="4"/>
  <c r="B173" i="4"/>
  <c r="L172" i="4"/>
  <c r="B172" i="4"/>
  <c r="L171" i="4"/>
  <c r="B171" i="4"/>
  <c r="L170" i="4"/>
  <c r="B170" i="4"/>
  <c r="L169" i="4"/>
  <c r="B169" i="4"/>
  <c r="L168" i="4"/>
  <c r="B168" i="4"/>
  <c r="L167" i="4"/>
  <c r="B167" i="4"/>
  <c r="L166" i="4"/>
  <c r="B166" i="4"/>
  <c r="L165" i="4"/>
  <c r="B165" i="4"/>
  <c r="L164" i="4"/>
  <c r="B164" i="4"/>
  <c r="L163" i="4"/>
  <c r="B163" i="4"/>
  <c r="L162" i="4"/>
  <c r="B162" i="4"/>
  <c r="L161" i="4"/>
  <c r="B161" i="4"/>
  <c r="L160" i="4"/>
  <c r="B160" i="4"/>
  <c r="L159" i="4"/>
  <c r="B159" i="4"/>
  <c r="L158" i="4"/>
  <c r="B158" i="4"/>
  <c r="L157" i="4"/>
  <c r="B157" i="4"/>
  <c r="L156" i="4"/>
  <c r="B156" i="4"/>
  <c r="L155" i="4"/>
  <c r="B155" i="4"/>
  <c r="L154" i="4"/>
  <c r="B154" i="4"/>
  <c r="L153" i="4"/>
  <c r="B153" i="4"/>
  <c r="L152" i="4"/>
  <c r="B152" i="4"/>
  <c r="L151" i="4"/>
  <c r="B151" i="4"/>
  <c r="L150" i="4"/>
  <c r="B150" i="4"/>
  <c r="L149" i="4"/>
  <c r="B149" i="4"/>
  <c r="L148" i="4"/>
  <c r="B148" i="4"/>
  <c r="L147" i="4"/>
  <c r="B147" i="4"/>
  <c r="L146" i="4"/>
  <c r="B146" i="4"/>
  <c r="L145" i="4"/>
  <c r="B145" i="4"/>
  <c r="L144" i="4"/>
  <c r="B144" i="4"/>
  <c r="L143" i="4"/>
  <c r="B143" i="4"/>
  <c r="L142" i="4"/>
  <c r="B142" i="4"/>
  <c r="L141" i="4"/>
  <c r="B141" i="4"/>
  <c r="L140" i="4"/>
  <c r="B140" i="4"/>
  <c r="L139" i="4"/>
  <c r="B139" i="4"/>
  <c r="L138" i="4"/>
  <c r="B138" i="4"/>
  <c r="L137" i="4"/>
  <c r="B137" i="4"/>
  <c r="L136" i="4"/>
  <c r="B136" i="4"/>
  <c r="L135" i="4"/>
  <c r="B135" i="4"/>
  <c r="L134" i="4"/>
  <c r="B134" i="4"/>
  <c r="L133" i="4"/>
  <c r="B133" i="4"/>
  <c r="L132" i="4"/>
  <c r="B132" i="4"/>
  <c r="L131" i="4"/>
  <c r="B131" i="4"/>
  <c r="L130" i="4"/>
  <c r="B130" i="4"/>
  <c r="L129" i="4"/>
  <c r="B129" i="4"/>
  <c r="L128" i="4"/>
  <c r="B128" i="4"/>
  <c r="L127" i="4"/>
  <c r="B127" i="4"/>
  <c r="L126" i="4"/>
  <c r="B126" i="4"/>
  <c r="L125" i="4"/>
  <c r="B125" i="4"/>
  <c r="L124" i="4"/>
  <c r="B124" i="4"/>
  <c r="L123" i="4"/>
  <c r="B123" i="4"/>
  <c r="L122" i="4"/>
  <c r="B122" i="4"/>
  <c r="L121" i="4"/>
  <c r="B121" i="4"/>
  <c r="L120" i="4"/>
  <c r="B120" i="4"/>
  <c r="L119" i="4"/>
  <c r="B119" i="4"/>
  <c r="L118" i="4"/>
  <c r="B118" i="4"/>
  <c r="L117" i="4"/>
  <c r="B117" i="4"/>
  <c r="L116" i="4"/>
  <c r="B116" i="4"/>
  <c r="L115" i="4"/>
  <c r="B115" i="4"/>
  <c r="L114" i="4"/>
  <c r="B114" i="4"/>
  <c r="L113" i="4"/>
  <c r="B113" i="4"/>
  <c r="L112" i="4"/>
  <c r="B112" i="4"/>
  <c r="L111" i="4"/>
  <c r="B111" i="4"/>
  <c r="L110" i="4"/>
  <c r="B110" i="4"/>
  <c r="L109" i="4"/>
  <c r="B109" i="4"/>
  <c r="L108" i="4"/>
  <c r="B108" i="4"/>
  <c r="L107" i="4"/>
  <c r="B107" i="4"/>
  <c r="L106" i="4"/>
  <c r="B106" i="4"/>
  <c r="L105" i="4"/>
  <c r="B105" i="4"/>
  <c r="L104" i="4"/>
  <c r="B104" i="4"/>
  <c r="L103" i="4"/>
  <c r="B103" i="4"/>
  <c r="L102" i="4"/>
  <c r="B102" i="4"/>
  <c r="L101" i="4"/>
  <c r="B101" i="4"/>
  <c r="L100" i="4"/>
  <c r="B100" i="4"/>
  <c r="L99" i="4"/>
  <c r="B99" i="4"/>
  <c r="L98" i="4"/>
  <c r="B98" i="4"/>
  <c r="L97" i="4"/>
  <c r="B97" i="4"/>
  <c r="L96" i="4"/>
  <c r="B96" i="4"/>
  <c r="L95" i="4"/>
  <c r="B95" i="4"/>
  <c r="L94" i="4"/>
  <c r="B94" i="4"/>
  <c r="L93" i="4"/>
  <c r="B93" i="4"/>
  <c r="L92" i="4"/>
  <c r="B92" i="4"/>
  <c r="L91" i="4"/>
  <c r="B91" i="4"/>
  <c r="L90" i="4"/>
  <c r="B90" i="4"/>
  <c r="L89" i="4"/>
  <c r="B89" i="4"/>
  <c r="L88" i="4"/>
  <c r="B88" i="4"/>
  <c r="L87" i="4"/>
  <c r="B87" i="4"/>
  <c r="L86" i="4"/>
  <c r="B86" i="4"/>
  <c r="L85" i="4"/>
  <c r="B85" i="4"/>
  <c r="L84" i="4"/>
  <c r="B84" i="4"/>
  <c r="L83" i="4"/>
  <c r="B83" i="4"/>
  <c r="L82" i="4"/>
  <c r="B82" i="4"/>
  <c r="L81" i="4"/>
  <c r="B81" i="4"/>
  <c r="L80" i="4"/>
  <c r="B80" i="4"/>
  <c r="L79" i="4"/>
  <c r="B79" i="4"/>
  <c r="L78" i="4"/>
  <c r="B78" i="4"/>
  <c r="L77" i="4"/>
  <c r="B77" i="4"/>
  <c r="L76" i="4"/>
  <c r="B76" i="4"/>
  <c r="L75" i="4"/>
  <c r="B75" i="4"/>
  <c r="L74" i="4"/>
  <c r="B74" i="4"/>
  <c r="L73" i="4"/>
  <c r="B73" i="4"/>
  <c r="L72" i="4"/>
  <c r="B72" i="4"/>
  <c r="L71" i="4"/>
  <c r="B71" i="4"/>
  <c r="L70" i="4"/>
  <c r="B70" i="4"/>
  <c r="L69" i="4"/>
  <c r="B69" i="4"/>
  <c r="L68" i="4"/>
  <c r="B68" i="4"/>
  <c r="L67" i="4"/>
  <c r="B67" i="4"/>
  <c r="L66" i="4"/>
  <c r="B66" i="4"/>
  <c r="L65" i="4"/>
  <c r="B65" i="4"/>
  <c r="L64" i="4"/>
  <c r="B64" i="4"/>
  <c r="L63" i="4"/>
  <c r="B63" i="4"/>
  <c r="L62" i="4"/>
  <c r="B62" i="4"/>
  <c r="L61" i="4"/>
  <c r="B61" i="4"/>
  <c r="L60" i="4"/>
  <c r="B60" i="4"/>
  <c r="L59" i="4"/>
  <c r="B59" i="4"/>
  <c r="L58" i="4"/>
  <c r="B58" i="4"/>
  <c r="L57" i="4"/>
  <c r="B57" i="4"/>
  <c r="L56" i="4"/>
  <c r="B56" i="4"/>
  <c r="L55" i="4"/>
  <c r="B55" i="4"/>
  <c r="L54" i="4"/>
  <c r="B54" i="4"/>
  <c r="L53" i="4"/>
  <c r="B53" i="4"/>
  <c r="L52" i="4"/>
  <c r="B52" i="4"/>
  <c r="L51" i="4"/>
  <c r="B51" i="4"/>
  <c r="L50" i="4"/>
  <c r="B50" i="4"/>
  <c r="L49" i="4"/>
  <c r="B49" i="4"/>
  <c r="L48" i="4"/>
  <c r="B48" i="4"/>
  <c r="L47" i="4"/>
  <c r="B47" i="4"/>
  <c r="L46" i="4"/>
  <c r="B46" i="4"/>
  <c r="L45" i="4"/>
  <c r="B45" i="4"/>
  <c r="L44" i="4"/>
  <c r="B44" i="4"/>
  <c r="L43" i="4"/>
  <c r="B43" i="4"/>
  <c r="L42" i="4"/>
  <c r="B42" i="4"/>
  <c r="L41" i="4"/>
  <c r="B41" i="4"/>
  <c r="L40" i="4"/>
  <c r="B40" i="4"/>
  <c r="L39" i="4"/>
  <c r="B39" i="4"/>
  <c r="L38" i="4"/>
  <c r="B38" i="4"/>
  <c r="L37" i="4"/>
  <c r="B37" i="4"/>
  <c r="L36" i="4"/>
  <c r="B36" i="4"/>
  <c r="L35" i="4"/>
  <c r="B35" i="4"/>
  <c r="L34" i="4"/>
  <c r="B34" i="4"/>
  <c r="L33" i="4"/>
  <c r="B33" i="4"/>
  <c r="L32" i="4"/>
  <c r="B32" i="4"/>
  <c r="L31" i="4"/>
  <c r="B31" i="4"/>
  <c r="L30" i="4"/>
  <c r="B30" i="4"/>
  <c r="L29" i="4"/>
  <c r="B29" i="4"/>
  <c r="L28" i="4"/>
  <c r="B28" i="4"/>
  <c r="L27" i="4"/>
  <c r="B27" i="4"/>
  <c r="L26" i="4"/>
  <c r="B26" i="4"/>
  <c r="L25" i="4"/>
  <c r="B25" i="4"/>
  <c r="L24" i="4"/>
  <c r="B24" i="4"/>
  <c r="L23" i="4"/>
  <c r="B23" i="4"/>
  <c r="L22" i="4"/>
  <c r="B22" i="4"/>
  <c r="L21" i="4"/>
  <c r="B21" i="4"/>
  <c r="L20" i="4"/>
  <c r="B20" i="4"/>
  <c r="L19" i="4"/>
  <c r="B19" i="4"/>
  <c r="L18" i="4"/>
  <c r="B18" i="4"/>
  <c r="L17" i="4"/>
  <c r="B17" i="4"/>
  <c r="L16" i="4"/>
  <c r="B16" i="4"/>
  <c r="L15" i="4"/>
  <c r="B15" i="4"/>
  <c r="L14" i="4"/>
  <c r="B14" i="4"/>
  <c r="L13" i="4"/>
  <c r="B13" i="4"/>
  <c r="L12" i="4"/>
  <c r="B12" i="4"/>
  <c r="L11" i="4"/>
  <c r="B11" i="4"/>
  <c r="L10" i="4"/>
  <c r="B10" i="4"/>
  <c r="L9" i="4"/>
  <c r="B9" i="4"/>
  <c r="L8" i="4"/>
  <c r="B8" i="4"/>
  <c r="E45" i="1"/>
  <c r="D45" i="1"/>
  <c r="C45" i="1"/>
  <c r="B45" i="1"/>
  <c r="J5" i="1"/>
  <c r="E5" i="1"/>
  <c r="AN2514" i="5" l="1"/>
  <c r="AM2514" i="5"/>
  <c r="AK2514" i="5"/>
  <c r="AE2514" i="5"/>
  <c r="AM2478" i="5"/>
  <c r="AK2478" i="5"/>
  <c r="AB2478" i="5"/>
  <c r="U2478" i="5"/>
  <c r="AN2478" i="5"/>
  <c r="AE2478" i="5"/>
  <c r="V2478" i="5"/>
  <c r="AL2478" i="5" s="1"/>
  <c r="N2478" i="5"/>
  <c r="AM2405" i="5"/>
  <c r="AK2405" i="5"/>
  <c r="AE2405" i="5"/>
  <c r="AN2405" i="5"/>
  <c r="AB2405" i="5"/>
  <c r="AK2369" i="5"/>
  <c r="AB2369" i="5"/>
  <c r="AM2369" i="5"/>
  <c r="AN2369" i="5"/>
  <c r="AE2369" i="5"/>
  <c r="AE2296" i="5"/>
  <c r="AB2296" i="5"/>
  <c r="AN2296" i="5"/>
  <c r="AM2296" i="5"/>
  <c r="AK2296" i="5"/>
  <c r="AN2260" i="5"/>
  <c r="AM2260" i="5"/>
  <c r="AK2260" i="5"/>
  <c r="AE2260" i="5"/>
  <c r="AB2260" i="5"/>
  <c r="I2260" i="5"/>
  <c r="E2260" i="5"/>
  <c r="AN2223" i="5"/>
  <c r="AM2223" i="5"/>
  <c r="AK2223" i="5"/>
  <c r="AN2187" i="5"/>
  <c r="AM2187" i="5"/>
  <c r="AK2187" i="5"/>
  <c r="AE2187" i="5"/>
  <c r="AB2187" i="5"/>
  <c r="AM2114" i="5"/>
  <c r="AN2114" i="5"/>
  <c r="AE2114" i="5"/>
  <c r="AK2114" i="5"/>
  <c r="AN2078" i="5"/>
  <c r="AB2078" i="5"/>
  <c r="AE2078" i="5"/>
  <c r="AM2078" i="5"/>
  <c r="AK2078" i="5"/>
  <c r="AM2550" i="5"/>
  <c r="AK2550" i="5"/>
  <c r="AE2550" i="5"/>
  <c r="AB2550" i="5"/>
  <c r="V2550" i="5"/>
  <c r="AL2550" i="5" s="1"/>
  <c r="U2550" i="5"/>
  <c r="AN2550" i="5"/>
  <c r="N2550" i="5"/>
  <c r="M2550" i="5"/>
  <c r="I2550" i="5"/>
  <c r="H2550" i="5"/>
  <c r="E2550" i="5"/>
  <c r="D2550" i="5"/>
  <c r="C2550" i="5"/>
  <c r="B2550" i="5"/>
  <c r="AK2549" i="5"/>
  <c r="AE2549" i="5"/>
  <c r="AB2549" i="5"/>
  <c r="V2549" i="5"/>
  <c r="AL2549" i="5" s="1"/>
  <c r="U2549" i="5"/>
  <c r="AN2549" i="5"/>
  <c r="AM2549" i="5"/>
  <c r="N2549" i="5"/>
  <c r="M2549" i="5"/>
  <c r="I2549" i="5"/>
  <c r="H2549" i="5"/>
  <c r="E2549" i="5"/>
  <c r="D2549" i="5"/>
  <c r="C2549" i="5"/>
  <c r="B2549" i="5"/>
  <c r="AK2548" i="5"/>
  <c r="AE2548" i="5"/>
  <c r="AB2548" i="5"/>
  <c r="V2548" i="5"/>
  <c r="AL2548" i="5" s="1"/>
  <c r="U2548" i="5"/>
  <c r="AN2548" i="5"/>
  <c r="AM2548" i="5"/>
  <c r="N2548" i="5"/>
  <c r="M2548" i="5"/>
  <c r="I2548" i="5"/>
  <c r="H2548" i="5"/>
  <c r="E2548" i="5"/>
  <c r="D2548" i="5"/>
  <c r="C2548" i="5"/>
  <c r="B2548" i="5"/>
  <c r="AN2547" i="5"/>
  <c r="AM2547" i="5"/>
  <c r="AK2547" i="5"/>
  <c r="AE2547" i="5"/>
  <c r="AB2547" i="5"/>
  <c r="V2547" i="5"/>
  <c r="AL2547" i="5" s="1"/>
  <c r="U2547" i="5"/>
  <c r="N2547" i="5"/>
  <c r="M2547" i="5"/>
  <c r="I2547" i="5"/>
  <c r="H2547" i="5"/>
  <c r="E2547" i="5"/>
  <c r="D2547" i="5"/>
  <c r="C2547" i="5"/>
  <c r="B2547" i="5"/>
  <c r="AK2546" i="5"/>
  <c r="AE2546" i="5"/>
  <c r="AB2546" i="5"/>
  <c r="V2546" i="5"/>
  <c r="AL2546" i="5" s="1"/>
  <c r="U2546" i="5"/>
  <c r="AN2546" i="5"/>
  <c r="AM2546" i="5"/>
  <c r="N2546" i="5"/>
  <c r="M2546" i="5"/>
  <c r="I2546" i="5"/>
  <c r="H2546" i="5"/>
  <c r="E2546" i="5"/>
  <c r="D2546" i="5"/>
  <c r="C2546" i="5"/>
  <c r="B2546" i="5"/>
  <c r="AN2545" i="5"/>
  <c r="AM2545" i="5"/>
  <c r="AK2545" i="5"/>
  <c r="AE2545" i="5"/>
  <c r="AB2545" i="5"/>
  <c r="V2545" i="5"/>
  <c r="AL2545" i="5" s="1"/>
  <c r="U2545" i="5"/>
  <c r="N2545" i="5"/>
  <c r="M2545" i="5"/>
  <c r="I2545" i="5"/>
  <c r="H2545" i="5"/>
  <c r="E2545" i="5"/>
  <c r="D2545" i="5"/>
  <c r="C2545" i="5"/>
  <c r="B2545" i="5"/>
  <c r="AN2544" i="5"/>
  <c r="AM2544" i="5"/>
  <c r="AK2544" i="5"/>
  <c r="AE2544" i="5"/>
  <c r="AB2544" i="5"/>
  <c r="V2544" i="5"/>
  <c r="AL2544" i="5" s="1"/>
  <c r="U2544" i="5"/>
  <c r="N2544" i="5"/>
  <c r="M2544" i="5"/>
  <c r="I2544" i="5"/>
  <c r="H2544" i="5"/>
  <c r="E2544" i="5"/>
  <c r="D2544" i="5"/>
  <c r="C2544" i="5"/>
  <c r="B2544" i="5"/>
  <c r="AN2543" i="5"/>
  <c r="AM2543" i="5"/>
  <c r="AK2543" i="5"/>
  <c r="AE2543" i="5"/>
  <c r="AB2543" i="5"/>
  <c r="V2543" i="5"/>
  <c r="AL2543" i="5" s="1"/>
  <c r="U2543" i="5"/>
  <c r="N2543" i="5"/>
  <c r="M2543" i="5"/>
  <c r="I2543" i="5"/>
  <c r="H2543" i="5"/>
  <c r="E2543" i="5"/>
  <c r="D2543" i="5"/>
  <c r="C2543" i="5"/>
  <c r="B2543" i="5"/>
  <c r="AN2542" i="5"/>
  <c r="AM2542" i="5"/>
  <c r="AK2542" i="5"/>
  <c r="AE2542" i="5"/>
  <c r="AB2542" i="5"/>
  <c r="V2542" i="5"/>
  <c r="AL2542" i="5" s="1"/>
  <c r="U2542" i="5"/>
  <c r="N2542" i="5"/>
  <c r="M2542" i="5"/>
  <c r="I2542" i="5"/>
  <c r="H2542" i="5"/>
  <c r="E2542" i="5"/>
  <c r="D2542" i="5"/>
  <c r="C2542" i="5"/>
  <c r="B2542" i="5"/>
  <c r="AM2541" i="5"/>
  <c r="AK2541" i="5"/>
  <c r="AE2541" i="5"/>
  <c r="AB2541" i="5"/>
  <c r="V2541" i="5"/>
  <c r="AL2541" i="5" s="1"/>
  <c r="U2541" i="5"/>
  <c r="AN2541" i="5"/>
  <c r="N2541" i="5"/>
  <c r="M2541" i="5"/>
  <c r="I2541" i="5"/>
  <c r="H2541" i="5"/>
  <c r="E2541" i="5"/>
  <c r="D2541" i="5"/>
  <c r="C2541" i="5"/>
  <c r="B2541" i="5"/>
  <c r="AK2540" i="5"/>
  <c r="AE2540" i="5"/>
  <c r="AB2540" i="5"/>
  <c r="V2540" i="5"/>
  <c r="AL2540" i="5" s="1"/>
  <c r="U2540" i="5"/>
  <c r="AN2540" i="5"/>
  <c r="AM2540" i="5"/>
  <c r="N2540" i="5"/>
  <c r="M2540" i="5"/>
  <c r="I2540" i="5"/>
  <c r="H2540" i="5"/>
  <c r="E2540" i="5"/>
  <c r="D2540" i="5"/>
  <c r="C2540" i="5"/>
  <c r="B2540" i="5"/>
  <c r="AK2539" i="5"/>
  <c r="AE2539" i="5"/>
  <c r="AB2539" i="5"/>
  <c r="V2539" i="5"/>
  <c r="AL2539" i="5" s="1"/>
  <c r="U2539" i="5"/>
  <c r="AN2539" i="5"/>
  <c r="AM2539" i="5"/>
  <c r="N2539" i="5"/>
  <c r="M2539" i="5"/>
  <c r="I2539" i="5"/>
  <c r="H2539" i="5"/>
  <c r="E2539" i="5"/>
  <c r="D2539" i="5"/>
  <c r="C2539" i="5"/>
  <c r="B2539" i="5"/>
  <c r="AN2538" i="5"/>
  <c r="AM2538" i="5"/>
  <c r="AK2538" i="5"/>
  <c r="AE2538" i="5"/>
  <c r="AB2538" i="5"/>
  <c r="V2538" i="5"/>
  <c r="AL2538" i="5" s="1"/>
  <c r="U2538" i="5"/>
  <c r="N2538" i="5"/>
  <c r="M2538" i="5"/>
  <c r="I2538" i="5"/>
  <c r="H2538" i="5"/>
  <c r="E2538" i="5"/>
  <c r="D2538" i="5"/>
  <c r="C2538" i="5"/>
  <c r="B2538" i="5"/>
  <c r="AK2537" i="5"/>
  <c r="AE2537" i="5"/>
  <c r="AB2537" i="5"/>
  <c r="V2537" i="5"/>
  <c r="AL2537" i="5" s="1"/>
  <c r="U2537" i="5"/>
  <c r="AN2537" i="5"/>
  <c r="AM2537" i="5"/>
  <c r="N2537" i="5"/>
  <c r="M2537" i="5"/>
  <c r="I2537" i="5"/>
  <c r="H2537" i="5"/>
  <c r="E2537" i="5"/>
  <c r="D2537" i="5"/>
  <c r="C2537" i="5"/>
  <c r="B2537" i="5"/>
  <c r="AN2536" i="5"/>
  <c r="AM2536" i="5"/>
  <c r="AK2536" i="5"/>
  <c r="AE2536" i="5"/>
  <c r="AB2536" i="5"/>
  <c r="V2536" i="5"/>
  <c r="AL2536" i="5" s="1"/>
  <c r="U2536" i="5"/>
  <c r="N2536" i="5"/>
  <c r="M2536" i="5"/>
  <c r="I2536" i="5"/>
  <c r="H2536" i="5"/>
  <c r="E2536" i="5"/>
  <c r="D2536" i="5"/>
  <c r="C2536" i="5"/>
  <c r="B2536" i="5"/>
  <c r="AN2535" i="5"/>
  <c r="AM2535" i="5"/>
  <c r="AK2535" i="5"/>
  <c r="AE2535" i="5"/>
  <c r="AB2535" i="5"/>
  <c r="V2535" i="5"/>
  <c r="AL2535" i="5" s="1"/>
  <c r="U2535" i="5"/>
  <c r="N2535" i="5"/>
  <c r="M2535" i="5"/>
  <c r="I2535" i="5"/>
  <c r="H2535" i="5"/>
  <c r="E2535" i="5"/>
  <c r="D2535" i="5"/>
  <c r="C2535" i="5"/>
  <c r="B2535" i="5"/>
  <c r="AN2534" i="5"/>
  <c r="AM2534" i="5"/>
  <c r="AK2534" i="5"/>
  <c r="AE2534" i="5"/>
  <c r="AB2534" i="5"/>
  <c r="V2534" i="5"/>
  <c r="AL2534" i="5" s="1"/>
  <c r="U2534" i="5"/>
  <c r="N2534" i="5"/>
  <c r="M2534" i="5"/>
  <c r="I2534" i="5"/>
  <c r="H2534" i="5"/>
  <c r="E2534" i="5"/>
  <c r="D2534" i="5"/>
  <c r="C2534" i="5"/>
  <c r="B2534" i="5"/>
  <c r="AN2533" i="5"/>
  <c r="AM2533" i="5"/>
  <c r="AK2533" i="5"/>
  <c r="AE2533" i="5"/>
  <c r="AB2533" i="5"/>
  <c r="V2533" i="5"/>
  <c r="AL2533" i="5" s="1"/>
  <c r="U2533" i="5"/>
  <c r="N2533" i="5"/>
  <c r="M2533" i="5"/>
  <c r="I2533" i="5"/>
  <c r="H2533" i="5"/>
  <c r="E2533" i="5"/>
  <c r="D2533" i="5"/>
  <c r="C2533" i="5"/>
  <c r="B2533" i="5"/>
  <c r="AM2532" i="5"/>
  <c r="AK2532" i="5"/>
  <c r="AE2532" i="5"/>
  <c r="AB2532" i="5"/>
  <c r="V2532" i="5"/>
  <c r="AL2532" i="5" s="1"/>
  <c r="U2532" i="5"/>
  <c r="AN2532" i="5"/>
  <c r="N2532" i="5"/>
  <c r="M2532" i="5"/>
  <c r="I2532" i="5"/>
  <c r="H2532" i="5"/>
  <c r="E2532" i="5"/>
  <c r="D2532" i="5"/>
  <c r="C2532" i="5"/>
  <c r="B2532" i="5"/>
  <c r="AK2531" i="5"/>
  <c r="AE2531" i="5"/>
  <c r="AB2531" i="5"/>
  <c r="V2531" i="5"/>
  <c r="AL2531" i="5" s="1"/>
  <c r="U2531" i="5"/>
  <c r="AN2531" i="5"/>
  <c r="AM2531" i="5"/>
  <c r="N2531" i="5"/>
  <c r="M2531" i="5"/>
  <c r="I2531" i="5"/>
  <c r="H2531" i="5"/>
  <c r="E2531" i="5"/>
  <c r="D2531" i="5"/>
  <c r="C2531" i="5"/>
  <c r="B2531" i="5"/>
  <c r="AK2530" i="5"/>
  <c r="AE2530" i="5"/>
  <c r="AB2530" i="5"/>
  <c r="V2530" i="5"/>
  <c r="AL2530" i="5" s="1"/>
  <c r="U2530" i="5"/>
  <c r="AN2530" i="5"/>
  <c r="AM2530" i="5"/>
  <c r="N2530" i="5"/>
  <c r="M2530" i="5"/>
  <c r="I2530" i="5"/>
  <c r="H2530" i="5"/>
  <c r="E2530" i="5"/>
  <c r="D2530" i="5"/>
  <c r="C2530" i="5"/>
  <c r="B2530" i="5"/>
  <c r="AN2529" i="5"/>
  <c r="AM2529" i="5"/>
  <c r="AK2529" i="5"/>
  <c r="AE2529" i="5"/>
  <c r="AB2529" i="5"/>
  <c r="V2529" i="5"/>
  <c r="AL2529" i="5" s="1"/>
  <c r="U2529" i="5"/>
  <c r="N2529" i="5"/>
  <c r="M2529" i="5"/>
  <c r="I2529" i="5"/>
  <c r="H2529" i="5"/>
  <c r="E2529" i="5"/>
  <c r="D2529" i="5"/>
  <c r="C2529" i="5"/>
  <c r="B2529" i="5"/>
  <c r="AK2528" i="5"/>
  <c r="AE2528" i="5"/>
  <c r="AB2528" i="5"/>
  <c r="V2528" i="5"/>
  <c r="AL2528" i="5" s="1"/>
  <c r="U2528" i="5"/>
  <c r="AN2528" i="5"/>
  <c r="AM2528" i="5"/>
  <c r="N2528" i="5"/>
  <c r="M2528" i="5"/>
  <c r="I2528" i="5"/>
  <c r="H2528" i="5"/>
  <c r="E2528" i="5"/>
  <c r="D2528" i="5"/>
  <c r="C2528" i="5"/>
  <c r="B2528" i="5"/>
  <c r="AN2527" i="5"/>
  <c r="AM2527" i="5"/>
  <c r="AK2527" i="5"/>
  <c r="AE2527" i="5"/>
  <c r="AB2527" i="5"/>
  <c r="V2527" i="5"/>
  <c r="AL2527" i="5" s="1"/>
  <c r="U2527" i="5"/>
  <c r="N2527" i="5"/>
  <c r="M2527" i="5"/>
  <c r="I2527" i="5"/>
  <c r="H2527" i="5"/>
  <c r="E2527" i="5"/>
  <c r="D2527" i="5"/>
  <c r="C2527" i="5"/>
  <c r="B2527" i="5"/>
  <c r="AN2526" i="5"/>
  <c r="AM2526" i="5"/>
  <c r="AK2526" i="5"/>
  <c r="AE2526" i="5"/>
  <c r="AB2526" i="5"/>
  <c r="V2526" i="5"/>
  <c r="AL2526" i="5" s="1"/>
  <c r="U2526" i="5"/>
  <c r="N2526" i="5"/>
  <c r="M2526" i="5"/>
  <c r="I2526" i="5"/>
  <c r="H2526" i="5"/>
  <c r="E2526" i="5"/>
  <c r="D2526" i="5"/>
  <c r="C2526" i="5"/>
  <c r="B2526" i="5"/>
  <c r="AN2525" i="5"/>
  <c r="AM2525" i="5"/>
  <c r="AK2525" i="5"/>
  <c r="AE2525" i="5"/>
  <c r="AB2525" i="5"/>
  <c r="V2525" i="5"/>
  <c r="AL2525" i="5" s="1"/>
  <c r="U2525" i="5"/>
  <c r="N2525" i="5"/>
  <c r="M2525" i="5"/>
  <c r="I2525" i="5"/>
  <c r="H2525" i="5"/>
  <c r="E2525" i="5"/>
  <c r="D2525" i="5"/>
  <c r="C2525" i="5"/>
  <c r="B2525" i="5"/>
  <c r="AN2524" i="5"/>
  <c r="AM2524" i="5"/>
  <c r="AK2524" i="5"/>
  <c r="AE2524" i="5"/>
  <c r="AB2524" i="5"/>
  <c r="V2524" i="5"/>
  <c r="AL2524" i="5" s="1"/>
  <c r="U2524" i="5"/>
  <c r="N2524" i="5"/>
  <c r="M2524" i="5"/>
  <c r="I2524" i="5"/>
  <c r="H2524" i="5"/>
  <c r="E2524" i="5"/>
  <c r="D2524" i="5"/>
  <c r="C2524" i="5"/>
  <c r="B2524" i="5"/>
  <c r="AM2523" i="5"/>
  <c r="AK2523" i="5"/>
  <c r="AE2523" i="5"/>
  <c r="AB2523" i="5"/>
  <c r="V2523" i="5"/>
  <c r="AL2523" i="5" s="1"/>
  <c r="U2523" i="5"/>
  <c r="AN2523" i="5"/>
  <c r="N2523" i="5"/>
  <c r="M2523" i="5"/>
  <c r="I2523" i="5"/>
  <c r="H2523" i="5"/>
  <c r="E2523" i="5"/>
  <c r="D2523" i="5"/>
  <c r="C2523" i="5"/>
  <c r="B2523" i="5"/>
  <c r="AK2522" i="5"/>
  <c r="AE2522" i="5"/>
  <c r="AB2522" i="5"/>
  <c r="V2522" i="5"/>
  <c r="AL2522" i="5" s="1"/>
  <c r="U2522" i="5"/>
  <c r="AN2522" i="5"/>
  <c r="AM2522" i="5"/>
  <c r="N2522" i="5"/>
  <c r="M2522" i="5"/>
  <c r="I2522" i="5"/>
  <c r="H2522" i="5"/>
  <c r="E2522" i="5"/>
  <c r="D2522" i="5"/>
  <c r="C2522" i="5"/>
  <c r="B2522" i="5"/>
  <c r="AK2521" i="5"/>
  <c r="AE2521" i="5"/>
  <c r="AB2521" i="5"/>
  <c r="V2521" i="5"/>
  <c r="AL2521" i="5" s="1"/>
  <c r="U2521" i="5"/>
  <c r="AN2521" i="5"/>
  <c r="AM2521" i="5"/>
  <c r="N2521" i="5"/>
  <c r="M2521" i="5"/>
  <c r="I2521" i="5"/>
  <c r="H2521" i="5"/>
  <c r="E2521" i="5"/>
  <c r="D2521" i="5"/>
  <c r="C2521" i="5"/>
  <c r="B2521" i="5"/>
  <c r="AN2520" i="5"/>
  <c r="AM2520" i="5"/>
  <c r="AK2520" i="5"/>
  <c r="AE2520" i="5"/>
  <c r="AB2520" i="5"/>
  <c r="V2520" i="5"/>
  <c r="AL2520" i="5" s="1"/>
  <c r="U2520" i="5"/>
  <c r="N2520" i="5"/>
  <c r="M2520" i="5"/>
  <c r="I2520" i="5"/>
  <c r="H2520" i="5"/>
  <c r="E2520" i="5"/>
  <c r="D2520" i="5"/>
  <c r="C2520" i="5"/>
  <c r="B2520" i="5"/>
  <c r="AK2519" i="5"/>
  <c r="AE2519" i="5"/>
  <c r="AB2519" i="5"/>
  <c r="V2519" i="5"/>
  <c r="AL2519" i="5" s="1"/>
  <c r="U2519" i="5"/>
  <c r="AN2519" i="5"/>
  <c r="AM2519" i="5"/>
  <c r="N2519" i="5"/>
  <c r="M2519" i="5"/>
  <c r="I2519" i="5"/>
  <c r="H2519" i="5"/>
  <c r="E2519" i="5"/>
  <c r="D2519" i="5"/>
  <c r="C2519" i="5"/>
  <c r="B2519" i="5"/>
  <c r="AN2518" i="5"/>
  <c r="AM2518" i="5"/>
  <c r="AK2518" i="5"/>
  <c r="AE2518" i="5"/>
  <c r="AB2518" i="5"/>
  <c r="V2518" i="5"/>
  <c r="AL2518" i="5" s="1"/>
  <c r="U2518" i="5"/>
  <c r="N2518" i="5"/>
  <c r="M2518" i="5"/>
  <c r="I2518" i="5"/>
  <c r="H2518" i="5"/>
  <c r="E2518" i="5"/>
  <c r="D2518" i="5"/>
  <c r="C2518" i="5"/>
  <c r="B2518" i="5"/>
  <c r="AN2517" i="5"/>
  <c r="AM2517" i="5"/>
  <c r="AK2517" i="5"/>
  <c r="AE2517" i="5"/>
  <c r="AB2517" i="5"/>
  <c r="V2517" i="5"/>
  <c r="AL2517" i="5" s="1"/>
  <c r="U2517" i="5"/>
  <c r="N2517" i="5"/>
  <c r="M2517" i="5"/>
  <c r="I2517" i="5"/>
  <c r="H2517" i="5"/>
  <c r="E2517" i="5"/>
  <c r="D2517" i="5"/>
  <c r="C2517" i="5"/>
  <c r="B2517" i="5"/>
  <c r="AN2516" i="5"/>
  <c r="AM2516" i="5"/>
  <c r="AK2516" i="5"/>
  <c r="AE2516" i="5"/>
  <c r="AB2516" i="5"/>
  <c r="V2516" i="5"/>
  <c r="AL2516" i="5" s="1"/>
  <c r="U2516" i="5"/>
  <c r="N2516" i="5"/>
  <c r="M2516" i="5"/>
  <c r="I2516" i="5"/>
  <c r="H2516" i="5"/>
  <c r="E2516" i="5"/>
  <c r="D2516" i="5"/>
  <c r="C2516" i="5"/>
  <c r="B2516" i="5"/>
  <c r="AN2515" i="5"/>
  <c r="AM2515" i="5"/>
  <c r="AK2515" i="5"/>
  <c r="AE2515" i="5"/>
  <c r="AB2515" i="5"/>
  <c r="V2515" i="5"/>
  <c r="AL2515" i="5" s="1"/>
  <c r="U2515" i="5"/>
  <c r="N2515" i="5"/>
  <c r="M2515" i="5"/>
  <c r="I2515" i="5"/>
  <c r="H2515" i="5"/>
  <c r="E2515" i="5"/>
  <c r="D2515" i="5"/>
  <c r="C2515" i="5"/>
  <c r="B2515" i="5"/>
  <c r="M2514" i="5"/>
  <c r="N2514" i="5"/>
  <c r="U2514" i="5"/>
  <c r="V2514" i="5"/>
  <c r="AL2514" i="5" s="1"/>
  <c r="B2514" i="5"/>
  <c r="C2514" i="5"/>
  <c r="D2514" i="5"/>
  <c r="AB2514" i="5"/>
  <c r="E2514" i="5"/>
  <c r="H2514" i="5"/>
  <c r="I2514" i="5"/>
  <c r="AE2513" i="5"/>
  <c r="AK2513" i="5"/>
  <c r="AM2513" i="5"/>
  <c r="AN2513" i="5"/>
  <c r="H2513" i="5"/>
  <c r="B2513" i="5"/>
  <c r="C2513" i="5"/>
  <c r="D2513" i="5"/>
  <c r="E2513" i="5"/>
  <c r="AB2513" i="5"/>
  <c r="I2513" i="5"/>
  <c r="M2513" i="5"/>
  <c r="N2513" i="5"/>
  <c r="U2513" i="5"/>
  <c r="V2513" i="5"/>
  <c r="AL2513" i="5" s="1"/>
  <c r="AE2512" i="5"/>
  <c r="AB2512" i="5"/>
  <c r="I2512" i="5"/>
  <c r="N2512" i="5"/>
  <c r="H2512" i="5"/>
  <c r="M2512" i="5"/>
  <c r="E2512" i="5"/>
  <c r="D2512" i="5"/>
  <c r="C2512" i="5"/>
  <c r="B2512" i="5"/>
  <c r="V2512" i="5"/>
  <c r="AL2512" i="5" s="1"/>
  <c r="U2512" i="5"/>
  <c r="AK2512" i="5"/>
  <c r="AM2512" i="5"/>
  <c r="AN2512" i="5"/>
  <c r="D2511" i="5"/>
  <c r="H2511" i="5"/>
  <c r="I2511" i="5"/>
  <c r="M2511" i="5"/>
  <c r="U2511" i="5"/>
  <c r="V2511" i="5"/>
  <c r="AL2511" i="5" s="1"/>
  <c r="AB2511" i="5"/>
  <c r="AE2511" i="5"/>
  <c r="AK2511" i="5"/>
  <c r="AM2511" i="5"/>
  <c r="AN2511" i="5"/>
  <c r="E2511" i="5"/>
  <c r="N2511" i="5"/>
  <c r="B2511" i="5"/>
  <c r="C2511" i="5"/>
  <c r="I2510" i="5"/>
  <c r="U2510" i="5"/>
  <c r="N2510" i="5"/>
  <c r="H2510" i="5"/>
  <c r="C2510" i="5"/>
  <c r="AN2510" i="5"/>
  <c r="AM2510" i="5"/>
  <c r="AK2510" i="5"/>
  <c r="AE2510" i="5"/>
  <c r="AB2510" i="5"/>
  <c r="V2510" i="5"/>
  <c r="AL2510" i="5" s="1"/>
  <c r="M2510" i="5"/>
  <c r="E2510" i="5"/>
  <c r="D2510" i="5"/>
  <c r="B2510" i="5"/>
  <c r="M2509" i="5"/>
  <c r="N2509" i="5"/>
  <c r="AN2509" i="5"/>
  <c r="AM2509" i="5"/>
  <c r="AK2509" i="5"/>
  <c r="AE2509" i="5"/>
  <c r="AB2509" i="5"/>
  <c r="U2509" i="5"/>
  <c r="I2509" i="5"/>
  <c r="B2509" i="5"/>
  <c r="C2509" i="5"/>
  <c r="D2509" i="5"/>
  <c r="E2509" i="5"/>
  <c r="V2509" i="5"/>
  <c r="AL2509" i="5" s="1"/>
  <c r="H2509" i="5"/>
  <c r="C2508" i="5"/>
  <c r="AN2508" i="5"/>
  <c r="B2508" i="5"/>
  <c r="AK2508" i="5"/>
  <c r="D2508" i="5"/>
  <c r="E2508" i="5"/>
  <c r="H2508" i="5"/>
  <c r="I2508" i="5"/>
  <c r="M2508" i="5"/>
  <c r="N2508" i="5"/>
  <c r="U2508" i="5"/>
  <c r="V2508" i="5"/>
  <c r="AL2508" i="5" s="1"/>
  <c r="AB2508" i="5"/>
  <c r="AE2508" i="5"/>
  <c r="AM2508" i="5"/>
  <c r="C2507" i="5"/>
  <c r="M2507" i="5"/>
  <c r="I2507" i="5"/>
  <c r="N2507" i="5"/>
  <c r="B2507" i="5"/>
  <c r="E2507" i="5"/>
  <c r="AN2507" i="5"/>
  <c r="AM2507" i="5"/>
  <c r="AK2507" i="5"/>
  <c r="AE2507" i="5"/>
  <c r="AB2507" i="5"/>
  <c r="H2507" i="5"/>
  <c r="V2507" i="5"/>
  <c r="AL2507" i="5" s="1"/>
  <c r="D2507" i="5"/>
  <c r="U2507" i="5"/>
  <c r="U2506" i="5"/>
  <c r="AB2506" i="5"/>
  <c r="H2506" i="5"/>
  <c r="N2506" i="5"/>
  <c r="C2506" i="5"/>
  <c r="D2506" i="5"/>
  <c r="E2506" i="5"/>
  <c r="B2506" i="5"/>
  <c r="M2506" i="5"/>
  <c r="I2506" i="5"/>
  <c r="V2506" i="5"/>
  <c r="AL2506" i="5" s="1"/>
  <c r="AN2506" i="5"/>
  <c r="AM2506" i="5"/>
  <c r="AK2506" i="5"/>
  <c r="AE2506" i="5"/>
  <c r="AK2505" i="5"/>
  <c r="D2505" i="5"/>
  <c r="E2505" i="5"/>
  <c r="N2505" i="5"/>
  <c r="M2505" i="5"/>
  <c r="AE2505" i="5"/>
  <c r="I2505" i="5"/>
  <c r="AN2505" i="5"/>
  <c r="AB2505" i="5"/>
  <c r="AM2505" i="5"/>
  <c r="V2505" i="5"/>
  <c r="AL2505" i="5" s="1"/>
  <c r="U2505" i="5"/>
  <c r="H2505" i="5"/>
  <c r="B2505" i="5"/>
  <c r="C2505" i="5"/>
  <c r="AN2504" i="5"/>
  <c r="AM2504" i="5"/>
  <c r="AK2504" i="5"/>
  <c r="AE2504" i="5"/>
  <c r="AB2504" i="5"/>
  <c r="V2504" i="5"/>
  <c r="AL2504" i="5" s="1"/>
  <c r="U2504" i="5"/>
  <c r="N2504" i="5"/>
  <c r="I2504" i="5"/>
  <c r="H2504" i="5"/>
  <c r="E2504" i="5"/>
  <c r="D2504" i="5"/>
  <c r="C2504" i="5"/>
  <c r="B2504" i="5"/>
  <c r="M2504" i="5"/>
  <c r="AM2503" i="5"/>
  <c r="AK2503" i="5"/>
  <c r="AE2503" i="5"/>
  <c r="AB2503" i="5"/>
  <c r="V2503" i="5"/>
  <c r="AL2503" i="5" s="1"/>
  <c r="U2503" i="5"/>
  <c r="AN2503" i="5"/>
  <c r="N2503" i="5"/>
  <c r="M2503" i="5"/>
  <c r="I2503" i="5"/>
  <c r="H2503" i="5"/>
  <c r="E2503" i="5"/>
  <c r="D2503" i="5"/>
  <c r="C2503" i="5"/>
  <c r="B2503" i="5"/>
  <c r="AN2502" i="5"/>
  <c r="AM2502" i="5"/>
  <c r="AK2502" i="5"/>
  <c r="AE2502" i="5"/>
  <c r="AB2502" i="5"/>
  <c r="U2502" i="5"/>
  <c r="D2502" i="5"/>
  <c r="V2502" i="5"/>
  <c r="AL2502" i="5" s="1"/>
  <c r="B2502" i="5"/>
  <c r="C2502" i="5"/>
  <c r="E2502" i="5"/>
  <c r="H2502" i="5"/>
  <c r="I2502" i="5"/>
  <c r="M2502" i="5"/>
  <c r="N2502" i="5"/>
  <c r="H2501" i="5"/>
  <c r="B2501" i="5"/>
  <c r="D2501" i="5"/>
  <c r="AE2501" i="5"/>
  <c r="U2501" i="5"/>
  <c r="AK2501" i="5"/>
  <c r="AM2501" i="5"/>
  <c r="AN2501" i="5"/>
  <c r="C2501" i="5"/>
  <c r="V2501" i="5"/>
  <c r="AL2501" i="5" s="1"/>
  <c r="N2501" i="5"/>
  <c r="AB2501" i="5"/>
  <c r="E2501" i="5"/>
  <c r="M2501" i="5"/>
  <c r="I2501" i="5"/>
  <c r="AN2500" i="5"/>
  <c r="AK2500" i="5"/>
  <c r="AE2500" i="5"/>
  <c r="AB2500" i="5"/>
  <c r="U2500" i="5"/>
  <c r="AM2500" i="5"/>
  <c r="N2500" i="5"/>
  <c r="B2500" i="5"/>
  <c r="E2500" i="5"/>
  <c r="D2500" i="5"/>
  <c r="C2500" i="5"/>
  <c r="H2500" i="5"/>
  <c r="I2500" i="5"/>
  <c r="M2500" i="5"/>
  <c r="V2500" i="5"/>
  <c r="AL2500" i="5" s="1"/>
  <c r="AN2499" i="5"/>
  <c r="AM2499" i="5"/>
  <c r="AK2499" i="5"/>
  <c r="AE2499" i="5"/>
  <c r="AB2499" i="5"/>
  <c r="V2499" i="5"/>
  <c r="AL2499" i="5" s="1"/>
  <c r="U2499" i="5"/>
  <c r="N2499" i="5"/>
  <c r="M2499" i="5"/>
  <c r="I2499" i="5"/>
  <c r="H2499" i="5"/>
  <c r="D2499" i="5"/>
  <c r="C2499" i="5"/>
  <c r="B2499" i="5"/>
  <c r="E2499" i="5"/>
  <c r="AB2498" i="5"/>
  <c r="N2498" i="5"/>
  <c r="V2498" i="5"/>
  <c r="AL2498" i="5" s="1"/>
  <c r="U2498" i="5"/>
  <c r="AE2498" i="5"/>
  <c r="M2498" i="5"/>
  <c r="B2498" i="5"/>
  <c r="C2498" i="5"/>
  <c r="D2498" i="5"/>
  <c r="E2498" i="5"/>
  <c r="AN2498" i="5"/>
  <c r="H2498" i="5"/>
  <c r="AM2498" i="5"/>
  <c r="AK2498" i="5"/>
  <c r="I2498" i="5"/>
  <c r="H2497" i="5"/>
  <c r="E2497" i="5"/>
  <c r="D2497" i="5"/>
  <c r="C2497" i="5"/>
  <c r="B2497" i="5"/>
  <c r="M2497" i="5"/>
  <c r="I2497" i="5"/>
  <c r="V2497" i="5"/>
  <c r="AL2497" i="5" s="1"/>
  <c r="AN2497" i="5"/>
  <c r="AM2497" i="5"/>
  <c r="AK2497" i="5"/>
  <c r="AE2497" i="5"/>
  <c r="AB2497" i="5"/>
  <c r="U2497" i="5"/>
  <c r="N2497" i="5"/>
  <c r="AM2496" i="5"/>
  <c r="AK2496" i="5"/>
  <c r="U2496" i="5"/>
  <c r="V2496" i="5"/>
  <c r="AL2496" i="5" s="1"/>
  <c r="AB2496" i="5"/>
  <c r="B2496" i="5"/>
  <c r="C2496" i="5"/>
  <c r="E2496" i="5"/>
  <c r="AN2496" i="5"/>
  <c r="D2496" i="5"/>
  <c r="AE2496" i="5"/>
  <c r="I2496" i="5"/>
  <c r="M2496" i="5"/>
  <c r="N2496" i="5"/>
  <c r="H2496" i="5"/>
  <c r="AM2495" i="5"/>
  <c r="AN2495" i="5"/>
  <c r="B2495" i="5"/>
  <c r="C2495" i="5"/>
  <c r="D2495" i="5"/>
  <c r="E2495" i="5"/>
  <c r="H2495" i="5"/>
  <c r="I2495" i="5"/>
  <c r="M2495" i="5"/>
  <c r="N2495" i="5"/>
  <c r="U2495" i="5"/>
  <c r="V2495" i="5"/>
  <c r="AL2495" i="5" s="1"/>
  <c r="AB2495" i="5"/>
  <c r="AE2495" i="5"/>
  <c r="AK2495" i="5"/>
  <c r="N2494" i="5"/>
  <c r="M2494" i="5"/>
  <c r="V2494" i="5"/>
  <c r="AL2494" i="5" s="1"/>
  <c r="I2494" i="5"/>
  <c r="AB2494" i="5"/>
  <c r="H2494" i="5"/>
  <c r="E2494" i="5"/>
  <c r="C2494" i="5"/>
  <c r="B2494" i="5"/>
  <c r="AE2494" i="5"/>
  <c r="AK2494" i="5"/>
  <c r="AM2494" i="5"/>
  <c r="AN2494" i="5"/>
  <c r="U2494" i="5"/>
  <c r="D2494" i="5"/>
  <c r="I2493" i="5"/>
  <c r="E2493" i="5"/>
  <c r="H2493" i="5"/>
  <c r="V2493" i="5"/>
  <c r="AL2493" i="5" s="1"/>
  <c r="M2493" i="5"/>
  <c r="N2493" i="5"/>
  <c r="D2493" i="5"/>
  <c r="U2493" i="5"/>
  <c r="B2493" i="5"/>
  <c r="C2493" i="5"/>
  <c r="AE2493" i="5"/>
  <c r="AK2493" i="5"/>
  <c r="AM2493" i="5"/>
  <c r="AN2493" i="5"/>
  <c r="AB2493" i="5"/>
  <c r="AM2492" i="5"/>
  <c r="AE2492" i="5"/>
  <c r="AB2492" i="5"/>
  <c r="V2492" i="5"/>
  <c r="AL2492" i="5" s="1"/>
  <c r="U2492" i="5"/>
  <c r="AN2492" i="5"/>
  <c r="M2492" i="5"/>
  <c r="I2492" i="5"/>
  <c r="H2492" i="5"/>
  <c r="AK2492" i="5"/>
  <c r="E2492" i="5"/>
  <c r="D2492" i="5"/>
  <c r="C2492" i="5"/>
  <c r="B2492" i="5"/>
  <c r="N2492" i="5"/>
  <c r="AK2491" i="5"/>
  <c r="H2491" i="5"/>
  <c r="I2491" i="5"/>
  <c r="M2491" i="5"/>
  <c r="N2491" i="5"/>
  <c r="U2491" i="5"/>
  <c r="V2491" i="5"/>
  <c r="AL2491" i="5" s="1"/>
  <c r="AB2491" i="5"/>
  <c r="AE2491" i="5"/>
  <c r="AM2491" i="5"/>
  <c r="AN2491" i="5"/>
  <c r="E2491" i="5"/>
  <c r="B2491" i="5"/>
  <c r="C2491" i="5"/>
  <c r="D2491" i="5"/>
  <c r="D2490" i="5"/>
  <c r="E2490" i="5"/>
  <c r="H2490" i="5"/>
  <c r="I2490" i="5"/>
  <c r="M2490" i="5"/>
  <c r="N2490" i="5"/>
  <c r="B2490" i="5"/>
  <c r="AB2490" i="5"/>
  <c r="AE2490" i="5"/>
  <c r="AK2490" i="5"/>
  <c r="AM2490" i="5"/>
  <c r="AN2490" i="5"/>
  <c r="U2490" i="5"/>
  <c r="C2490" i="5"/>
  <c r="V2490" i="5"/>
  <c r="AL2490" i="5" s="1"/>
  <c r="AB2489" i="5"/>
  <c r="V2489" i="5"/>
  <c r="AL2489" i="5" s="1"/>
  <c r="U2489" i="5"/>
  <c r="AN2489" i="5"/>
  <c r="AM2489" i="5"/>
  <c r="N2489" i="5"/>
  <c r="M2489" i="5"/>
  <c r="I2489" i="5"/>
  <c r="H2489" i="5"/>
  <c r="E2489" i="5"/>
  <c r="D2489" i="5"/>
  <c r="C2489" i="5"/>
  <c r="B2489" i="5"/>
  <c r="AK2489" i="5"/>
  <c r="AE2489" i="5"/>
  <c r="AE2488" i="5"/>
  <c r="N2488" i="5"/>
  <c r="AN2488" i="5"/>
  <c r="AB2488" i="5"/>
  <c r="AM2488" i="5"/>
  <c r="V2488" i="5"/>
  <c r="AL2488" i="5" s="1"/>
  <c r="M2488" i="5"/>
  <c r="U2488" i="5"/>
  <c r="B2488" i="5"/>
  <c r="C2488" i="5"/>
  <c r="D2488" i="5"/>
  <c r="E2488" i="5"/>
  <c r="H2488" i="5"/>
  <c r="I2488" i="5"/>
  <c r="AK2488" i="5"/>
  <c r="M2487" i="5"/>
  <c r="I2487" i="5"/>
  <c r="H2487" i="5"/>
  <c r="D2487" i="5"/>
  <c r="C2487" i="5"/>
  <c r="B2487" i="5"/>
  <c r="V2487" i="5"/>
  <c r="AL2487" i="5" s="1"/>
  <c r="E2487" i="5"/>
  <c r="AN2487" i="5"/>
  <c r="AM2487" i="5"/>
  <c r="AK2487" i="5"/>
  <c r="AE2487" i="5"/>
  <c r="AB2487" i="5"/>
  <c r="U2487" i="5"/>
  <c r="N2487" i="5"/>
  <c r="AE2486" i="5"/>
  <c r="AB2486" i="5"/>
  <c r="V2486" i="5"/>
  <c r="AL2486" i="5" s="1"/>
  <c r="N2486" i="5"/>
  <c r="I2486" i="5"/>
  <c r="M2486" i="5"/>
  <c r="B2486" i="5"/>
  <c r="C2486" i="5"/>
  <c r="D2486" i="5"/>
  <c r="U2486" i="5"/>
  <c r="E2486" i="5"/>
  <c r="H2486" i="5"/>
  <c r="AN2486" i="5"/>
  <c r="AM2486" i="5"/>
  <c r="AK2486" i="5"/>
  <c r="B2485" i="5"/>
  <c r="AN2485" i="5"/>
  <c r="AM2485" i="5"/>
  <c r="AK2485" i="5"/>
  <c r="AE2485" i="5"/>
  <c r="AB2485" i="5"/>
  <c r="V2485" i="5"/>
  <c r="AL2485" i="5" s="1"/>
  <c r="U2485" i="5"/>
  <c r="N2485" i="5"/>
  <c r="M2485" i="5"/>
  <c r="I2485" i="5"/>
  <c r="H2485" i="5"/>
  <c r="E2485" i="5"/>
  <c r="D2485" i="5"/>
  <c r="C2485" i="5"/>
  <c r="AE2484" i="5"/>
  <c r="B2484" i="5"/>
  <c r="C2484" i="5"/>
  <c r="D2484" i="5"/>
  <c r="E2484" i="5"/>
  <c r="AK2484" i="5"/>
  <c r="H2484" i="5"/>
  <c r="I2484" i="5"/>
  <c r="M2484" i="5"/>
  <c r="AM2484" i="5"/>
  <c r="N2484" i="5"/>
  <c r="AB2484" i="5"/>
  <c r="V2484" i="5"/>
  <c r="AL2484" i="5" s="1"/>
  <c r="U2484" i="5"/>
  <c r="AN2484" i="5"/>
  <c r="B2483" i="5"/>
  <c r="D2483" i="5"/>
  <c r="E2483" i="5"/>
  <c r="H2483" i="5"/>
  <c r="I2483" i="5"/>
  <c r="M2483" i="5"/>
  <c r="C2483" i="5"/>
  <c r="AN2483" i="5"/>
  <c r="AM2483" i="5"/>
  <c r="AK2483" i="5"/>
  <c r="AE2483" i="5"/>
  <c r="AB2483" i="5"/>
  <c r="V2483" i="5"/>
  <c r="AL2483" i="5" s="1"/>
  <c r="U2483" i="5"/>
  <c r="N2483" i="5"/>
  <c r="AE2482" i="5"/>
  <c r="AN2482" i="5"/>
  <c r="AM2482" i="5"/>
  <c r="AK2482" i="5"/>
  <c r="AB2482" i="5"/>
  <c r="V2482" i="5"/>
  <c r="AL2482" i="5" s="1"/>
  <c r="U2482" i="5"/>
  <c r="N2482" i="5"/>
  <c r="M2482" i="5"/>
  <c r="I2482" i="5"/>
  <c r="H2482" i="5"/>
  <c r="E2482" i="5"/>
  <c r="D2482" i="5"/>
  <c r="C2482" i="5"/>
  <c r="B2482" i="5"/>
  <c r="AM2481" i="5"/>
  <c r="AK2481" i="5"/>
  <c r="AN2481" i="5"/>
  <c r="AE2481" i="5"/>
  <c r="AB2481" i="5"/>
  <c r="V2481" i="5"/>
  <c r="AL2481" i="5" s="1"/>
  <c r="U2481" i="5"/>
  <c r="N2481" i="5"/>
  <c r="M2481" i="5"/>
  <c r="I2481" i="5"/>
  <c r="H2481" i="5"/>
  <c r="E2481" i="5"/>
  <c r="D2481" i="5"/>
  <c r="C2481" i="5"/>
  <c r="B2481" i="5"/>
  <c r="I2480" i="5"/>
  <c r="M2480" i="5"/>
  <c r="N2480" i="5"/>
  <c r="U2480" i="5"/>
  <c r="AK2480" i="5"/>
  <c r="AB2480" i="5"/>
  <c r="D2480" i="5"/>
  <c r="AE2480" i="5"/>
  <c r="AM2480" i="5"/>
  <c r="B2480" i="5"/>
  <c r="C2480" i="5"/>
  <c r="E2480" i="5"/>
  <c r="H2480" i="5"/>
  <c r="AN2480" i="5"/>
  <c r="V2480" i="5"/>
  <c r="AL2480" i="5" s="1"/>
  <c r="AK2479" i="5"/>
  <c r="AE2479" i="5"/>
  <c r="AB2479" i="5"/>
  <c r="V2479" i="5"/>
  <c r="AL2479" i="5" s="1"/>
  <c r="U2479" i="5"/>
  <c r="N2479" i="5"/>
  <c r="M2479" i="5"/>
  <c r="I2479" i="5"/>
  <c r="H2479" i="5"/>
  <c r="E2479" i="5"/>
  <c r="D2479" i="5"/>
  <c r="C2479" i="5"/>
  <c r="B2479" i="5"/>
  <c r="AN2479" i="5"/>
  <c r="AM2479" i="5"/>
  <c r="H2478" i="5"/>
  <c r="E2478" i="5"/>
  <c r="C2478" i="5"/>
  <c r="B2478" i="5"/>
  <c r="M2478" i="5"/>
  <c r="I2478" i="5"/>
  <c r="D2478" i="5"/>
  <c r="B2477" i="5"/>
  <c r="AN2477" i="5"/>
  <c r="AM2477" i="5"/>
  <c r="AK2477" i="5"/>
  <c r="AE2477" i="5"/>
  <c r="AB2477" i="5"/>
  <c r="V2477" i="5"/>
  <c r="AL2477" i="5" s="1"/>
  <c r="U2477" i="5"/>
  <c r="N2477" i="5"/>
  <c r="M2477" i="5"/>
  <c r="I2477" i="5"/>
  <c r="H2477" i="5"/>
  <c r="E2477" i="5"/>
  <c r="D2477" i="5"/>
  <c r="C2477" i="5"/>
  <c r="AE2476" i="5"/>
  <c r="AB2476" i="5"/>
  <c r="V2476" i="5"/>
  <c r="AL2476" i="5" s="1"/>
  <c r="U2476" i="5"/>
  <c r="M2476" i="5"/>
  <c r="I2476" i="5"/>
  <c r="B2476" i="5"/>
  <c r="C2476" i="5"/>
  <c r="D2476" i="5"/>
  <c r="E2476" i="5"/>
  <c r="H2476" i="5"/>
  <c r="N2476" i="5"/>
  <c r="AN2476" i="5"/>
  <c r="AM2476" i="5"/>
  <c r="AK2476" i="5"/>
  <c r="N2475" i="5"/>
  <c r="M2475" i="5"/>
  <c r="I2475" i="5"/>
  <c r="H2475" i="5"/>
  <c r="D2475" i="5"/>
  <c r="C2475" i="5"/>
  <c r="B2475" i="5"/>
  <c r="E2475" i="5"/>
  <c r="AN2475" i="5"/>
  <c r="AM2475" i="5"/>
  <c r="AK2475" i="5"/>
  <c r="AE2475" i="5"/>
  <c r="AB2475" i="5"/>
  <c r="V2475" i="5"/>
  <c r="AL2475" i="5" s="1"/>
  <c r="U2475" i="5"/>
  <c r="AE2474" i="5"/>
  <c r="AB2474" i="5"/>
  <c r="V2474" i="5"/>
  <c r="AL2474" i="5" s="1"/>
  <c r="U2474" i="5"/>
  <c r="M2474" i="5"/>
  <c r="I2474" i="5"/>
  <c r="C2474" i="5"/>
  <c r="D2474" i="5"/>
  <c r="N2474" i="5"/>
  <c r="E2474" i="5"/>
  <c r="B2474" i="5"/>
  <c r="H2474" i="5"/>
  <c r="AN2474" i="5"/>
  <c r="AM2474" i="5"/>
  <c r="AK2474" i="5"/>
  <c r="AM2473" i="5"/>
  <c r="AK2473" i="5"/>
  <c r="AE2473" i="5"/>
  <c r="AB2473" i="5"/>
  <c r="V2473" i="5"/>
  <c r="AL2473" i="5" s="1"/>
  <c r="U2473" i="5"/>
  <c r="N2473" i="5"/>
  <c r="M2473" i="5"/>
  <c r="I2473" i="5"/>
  <c r="E2473" i="5"/>
  <c r="D2473" i="5"/>
  <c r="C2473" i="5"/>
  <c r="B2473" i="5"/>
  <c r="H2473" i="5"/>
  <c r="AN2473" i="5"/>
  <c r="M2472" i="5"/>
  <c r="AB2472" i="5"/>
  <c r="V2472" i="5"/>
  <c r="AL2472" i="5" s="1"/>
  <c r="U2472" i="5"/>
  <c r="N2472" i="5"/>
  <c r="AN2472" i="5"/>
  <c r="I2472" i="5"/>
  <c r="H2472" i="5"/>
  <c r="E2472" i="5"/>
  <c r="D2472" i="5"/>
  <c r="AE2472" i="5"/>
  <c r="C2472" i="5"/>
  <c r="B2472" i="5"/>
  <c r="AM2472" i="5"/>
  <c r="AK2472" i="5"/>
  <c r="AM2471" i="5"/>
  <c r="AK2471" i="5"/>
  <c r="AE2471" i="5"/>
  <c r="AB2471" i="5"/>
  <c r="V2471" i="5"/>
  <c r="AL2471" i="5" s="1"/>
  <c r="U2471" i="5"/>
  <c r="N2471" i="5"/>
  <c r="M2471" i="5"/>
  <c r="I2471" i="5"/>
  <c r="H2471" i="5"/>
  <c r="E2471" i="5"/>
  <c r="D2471" i="5"/>
  <c r="C2471" i="5"/>
  <c r="B2471" i="5"/>
  <c r="AN2471" i="5"/>
  <c r="AM2470" i="5"/>
  <c r="B2470" i="5"/>
  <c r="C2470" i="5"/>
  <c r="D2470" i="5"/>
  <c r="E2470" i="5"/>
  <c r="H2470" i="5"/>
  <c r="I2470" i="5"/>
  <c r="N2470" i="5"/>
  <c r="U2470" i="5"/>
  <c r="AK2470" i="5"/>
  <c r="V2470" i="5"/>
  <c r="AL2470" i="5" s="1"/>
  <c r="M2470" i="5"/>
  <c r="AE2470" i="5"/>
  <c r="AB2470" i="5"/>
  <c r="AN2470" i="5"/>
  <c r="AK2469" i="5"/>
  <c r="AE2469" i="5"/>
  <c r="AB2469" i="5"/>
  <c r="V2469" i="5"/>
  <c r="AL2469" i="5" s="1"/>
  <c r="U2469" i="5"/>
  <c r="AN2469" i="5"/>
  <c r="AM2469" i="5"/>
  <c r="N2469" i="5"/>
  <c r="M2469" i="5"/>
  <c r="I2469" i="5"/>
  <c r="H2469" i="5"/>
  <c r="E2469" i="5"/>
  <c r="D2469" i="5"/>
  <c r="C2469" i="5"/>
  <c r="B2469" i="5"/>
  <c r="AM2468" i="5"/>
  <c r="AK2468" i="5"/>
  <c r="AE2468" i="5"/>
  <c r="AB2468" i="5"/>
  <c r="V2468" i="5"/>
  <c r="AL2468" i="5" s="1"/>
  <c r="U2468" i="5"/>
  <c r="AN2468" i="5"/>
  <c r="N2468" i="5"/>
  <c r="M2468" i="5"/>
  <c r="I2468" i="5"/>
  <c r="H2468" i="5"/>
  <c r="E2468" i="5"/>
  <c r="D2468" i="5"/>
  <c r="C2468" i="5"/>
  <c r="B2468" i="5"/>
  <c r="B2467" i="5"/>
  <c r="C2467" i="5"/>
  <c r="D2467" i="5"/>
  <c r="E2467" i="5"/>
  <c r="H2467" i="5"/>
  <c r="AE2467" i="5"/>
  <c r="I2467" i="5"/>
  <c r="M2467" i="5"/>
  <c r="N2467" i="5"/>
  <c r="U2467" i="5"/>
  <c r="V2467" i="5"/>
  <c r="AL2467" i="5" s="1"/>
  <c r="AB2467" i="5"/>
  <c r="AN2467" i="5"/>
  <c r="AM2467" i="5"/>
  <c r="AK2467" i="5"/>
  <c r="AM2466" i="5"/>
  <c r="AK2466" i="5"/>
  <c r="AE2466" i="5"/>
  <c r="AB2466" i="5"/>
  <c r="V2466" i="5"/>
  <c r="AL2466" i="5" s="1"/>
  <c r="U2466" i="5"/>
  <c r="N2466" i="5"/>
  <c r="M2466" i="5"/>
  <c r="I2466" i="5"/>
  <c r="H2466" i="5"/>
  <c r="E2466" i="5"/>
  <c r="D2466" i="5"/>
  <c r="C2466" i="5"/>
  <c r="B2466" i="5"/>
  <c r="AN2466" i="5"/>
  <c r="I2465" i="5"/>
  <c r="AE2465" i="5"/>
  <c r="V2465" i="5"/>
  <c r="AL2465" i="5" s="1"/>
  <c r="U2465" i="5"/>
  <c r="N2465" i="5"/>
  <c r="M2465" i="5"/>
  <c r="AB2465" i="5"/>
  <c r="H2465" i="5"/>
  <c r="E2465" i="5"/>
  <c r="D2465" i="5"/>
  <c r="AN2465" i="5"/>
  <c r="C2465" i="5"/>
  <c r="B2465" i="5"/>
  <c r="AM2465" i="5"/>
  <c r="AK2465" i="5"/>
  <c r="B2464" i="5"/>
  <c r="AN2464" i="5"/>
  <c r="AM2464" i="5"/>
  <c r="AK2464" i="5"/>
  <c r="AE2464" i="5"/>
  <c r="AB2464" i="5"/>
  <c r="V2464" i="5"/>
  <c r="AL2464" i="5" s="1"/>
  <c r="U2464" i="5"/>
  <c r="N2464" i="5"/>
  <c r="M2464" i="5"/>
  <c r="I2464" i="5"/>
  <c r="H2464" i="5"/>
  <c r="E2464" i="5"/>
  <c r="D2464" i="5"/>
  <c r="C2464" i="5"/>
  <c r="AE2463" i="5"/>
  <c r="M2463" i="5"/>
  <c r="V2463" i="5"/>
  <c r="AL2463" i="5" s="1"/>
  <c r="U2463" i="5"/>
  <c r="B2463" i="5"/>
  <c r="N2463" i="5"/>
  <c r="C2463" i="5"/>
  <c r="D2463" i="5"/>
  <c r="E2463" i="5"/>
  <c r="H2463" i="5"/>
  <c r="I2463" i="5"/>
  <c r="AB2463" i="5"/>
  <c r="AN2463" i="5"/>
  <c r="AM2463" i="5"/>
  <c r="AK2463" i="5"/>
  <c r="N2462" i="5"/>
  <c r="M2462" i="5"/>
  <c r="I2462" i="5"/>
  <c r="H2462" i="5"/>
  <c r="D2462" i="5"/>
  <c r="C2462" i="5"/>
  <c r="B2462" i="5"/>
  <c r="E2462" i="5"/>
  <c r="AN2462" i="5"/>
  <c r="AM2462" i="5"/>
  <c r="AK2462" i="5"/>
  <c r="AE2462" i="5"/>
  <c r="AB2462" i="5"/>
  <c r="V2462" i="5"/>
  <c r="AL2462" i="5" s="1"/>
  <c r="U2462" i="5"/>
  <c r="AE2461" i="5"/>
  <c r="AB2461" i="5"/>
  <c r="V2461" i="5"/>
  <c r="AL2461" i="5" s="1"/>
  <c r="U2461" i="5"/>
  <c r="M2461" i="5"/>
  <c r="I2461" i="5"/>
  <c r="B2461" i="5"/>
  <c r="C2461" i="5"/>
  <c r="D2461" i="5"/>
  <c r="N2461" i="5"/>
  <c r="H2461" i="5"/>
  <c r="E2461" i="5"/>
  <c r="AN2461" i="5"/>
  <c r="AM2461" i="5"/>
  <c r="AK2461" i="5"/>
  <c r="B2460" i="5"/>
  <c r="AN2460" i="5"/>
  <c r="AM2460" i="5"/>
  <c r="AK2460" i="5"/>
  <c r="AE2460" i="5"/>
  <c r="AB2460" i="5"/>
  <c r="V2460" i="5"/>
  <c r="AL2460" i="5" s="1"/>
  <c r="U2460" i="5"/>
  <c r="N2460" i="5"/>
  <c r="M2460" i="5"/>
  <c r="I2460" i="5"/>
  <c r="H2460" i="5"/>
  <c r="E2460" i="5"/>
  <c r="D2460" i="5"/>
  <c r="C2460" i="5"/>
  <c r="D2459" i="5"/>
  <c r="AE2459" i="5"/>
  <c r="V2459" i="5"/>
  <c r="AL2459" i="5" s="1"/>
  <c r="U2459" i="5"/>
  <c r="N2459" i="5"/>
  <c r="M2459" i="5"/>
  <c r="I2459" i="5"/>
  <c r="AB2459" i="5"/>
  <c r="H2459" i="5"/>
  <c r="E2459" i="5"/>
  <c r="C2459" i="5"/>
  <c r="B2459" i="5"/>
  <c r="AN2459" i="5"/>
  <c r="AM2459" i="5"/>
  <c r="AK2459" i="5"/>
  <c r="B2458" i="5"/>
  <c r="AN2458" i="5"/>
  <c r="AM2458" i="5"/>
  <c r="AK2458" i="5"/>
  <c r="AE2458" i="5"/>
  <c r="AB2458" i="5"/>
  <c r="V2458" i="5"/>
  <c r="AL2458" i="5" s="1"/>
  <c r="U2458" i="5"/>
  <c r="N2458" i="5"/>
  <c r="M2458" i="5"/>
  <c r="I2458" i="5"/>
  <c r="H2458" i="5"/>
  <c r="E2458" i="5"/>
  <c r="D2458" i="5"/>
  <c r="C2458" i="5"/>
  <c r="H2457" i="5"/>
  <c r="AE2457" i="5"/>
  <c r="AB2457" i="5"/>
  <c r="V2457" i="5"/>
  <c r="AL2457" i="5" s="1"/>
  <c r="U2457" i="5"/>
  <c r="C2457" i="5"/>
  <c r="D2457" i="5"/>
  <c r="E2457" i="5"/>
  <c r="N2457" i="5"/>
  <c r="M2457" i="5"/>
  <c r="B2457" i="5"/>
  <c r="I2457" i="5"/>
  <c r="AN2457" i="5"/>
  <c r="AM2457" i="5"/>
  <c r="AK2457" i="5"/>
  <c r="U2456" i="5"/>
  <c r="V2456" i="5"/>
  <c r="AL2456" i="5" s="1"/>
  <c r="AB2456" i="5"/>
  <c r="AE2456" i="5"/>
  <c r="AM2456" i="5"/>
  <c r="AN2456" i="5"/>
  <c r="AK2456" i="5"/>
  <c r="N2456" i="5"/>
  <c r="M2456" i="5"/>
  <c r="I2456" i="5"/>
  <c r="H2456" i="5"/>
  <c r="E2456" i="5"/>
  <c r="D2456" i="5"/>
  <c r="C2456" i="5"/>
  <c r="B2456" i="5"/>
  <c r="AN2455" i="5"/>
  <c r="AM2455" i="5"/>
  <c r="AK2455" i="5"/>
  <c r="AE2455" i="5"/>
  <c r="AB2455" i="5"/>
  <c r="V2455" i="5"/>
  <c r="AL2455" i="5" s="1"/>
  <c r="U2455" i="5"/>
  <c r="N2455" i="5"/>
  <c r="M2455" i="5"/>
  <c r="I2455" i="5"/>
  <c r="H2455" i="5"/>
  <c r="E2455" i="5"/>
  <c r="D2455" i="5"/>
  <c r="C2455" i="5"/>
  <c r="B2455" i="5"/>
  <c r="AM2454" i="5"/>
  <c r="AK2454" i="5"/>
  <c r="AE2454" i="5"/>
  <c r="V2454" i="5"/>
  <c r="AL2454" i="5" s="1"/>
  <c r="U2454" i="5"/>
  <c r="AB2454" i="5"/>
  <c r="AN2454" i="5"/>
  <c r="N2454" i="5"/>
  <c r="M2454" i="5"/>
  <c r="I2454" i="5"/>
  <c r="H2454" i="5"/>
  <c r="E2454" i="5"/>
  <c r="D2454" i="5"/>
  <c r="C2454" i="5"/>
  <c r="B2454" i="5"/>
  <c r="U2453" i="5"/>
  <c r="AB2453" i="5"/>
  <c r="V2453" i="5"/>
  <c r="AL2453" i="5" s="1"/>
  <c r="AE2453" i="5"/>
  <c r="B2453" i="5"/>
  <c r="C2453" i="5"/>
  <c r="D2453" i="5"/>
  <c r="E2453" i="5"/>
  <c r="H2453" i="5"/>
  <c r="I2453" i="5"/>
  <c r="M2453" i="5"/>
  <c r="N2453" i="5"/>
  <c r="AN2453" i="5"/>
  <c r="AM2453" i="5"/>
  <c r="AK2453" i="5"/>
  <c r="B2452" i="5"/>
  <c r="AN2452" i="5"/>
  <c r="AM2452" i="5"/>
  <c r="AK2452" i="5"/>
  <c r="AE2452" i="5"/>
  <c r="AB2452" i="5"/>
  <c r="V2452" i="5"/>
  <c r="AL2452" i="5" s="1"/>
  <c r="U2452" i="5"/>
  <c r="N2452" i="5"/>
  <c r="M2452" i="5"/>
  <c r="I2452" i="5"/>
  <c r="H2452" i="5"/>
  <c r="E2452" i="5"/>
  <c r="D2452" i="5"/>
  <c r="C2452" i="5"/>
  <c r="AM2451" i="5"/>
  <c r="AE2451" i="5"/>
  <c r="AB2451" i="5"/>
  <c r="V2451" i="5"/>
  <c r="AL2451" i="5" s="1"/>
  <c r="U2451" i="5"/>
  <c r="M2451" i="5"/>
  <c r="B2451" i="5"/>
  <c r="C2451" i="5"/>
  <c r="D2451" i="5"/>
  <c r="E2451" i="5"/>
  <c r="H2451" i="5"/>
  <c r="I2451" i="5"/>
  <c r="AN2451" i="5"/>
  <c r="N2451" i="5"/>
  <c r="AK2451" i="5"/>
  <c r="M2450" i="5"/>
  <c r="I2450" i="5"/>
  <c r="H2450" i="5"/>
  <c r="D2450" i="5"/>
  <c r="C2450" i="5"/>
  <c r="B2450" i="5"/>
  <c r="AE2450" i="5"/>
  <c r="E2450" i="5"/>
  <c r="AN2450" i="5"/>
  <c r="AM2450" i="5"/>
  <c r="AK2450" i="5"/>
  <c r="AB2450" i="5"/>
  <c r="V2450" i="5"/>
  <c r="AL2450" i="5" s="1"/>
  <c r="U2450" i="5"/>
  <c r="N2450" i="5"/>
  <c r="AE2449" i="5"/>
  <c r="AB2449" i="5"/>
  <c r="V2449" i="5"/>
  <c r="AL2449" i="5" s="1"/>
  <c r="U2449" i="5"/>
  <c r="I2449" i="5"/>
  <c r="M2449" i="5"/>
  <c r="B2449" i="5"/>
  <c r="C2449" i="5"/>
  <c r="N2449" i="5"/>
  <c r="D2449" i="5"/>
  <c r="E2449" i="5"/>
  <c r="H2449" i="5"/>
  <c r="AN2449" i="5"/>
  <c r="AM2449" i="5"/>
  <c r="AK2449" i="5"/>
  <c r="AM2448" i="5"/>
  <c r="AK2448" i="5"/>
  <c r="AE2448" i="5"/>
  <c r="AB2448" i="5"/>
  <c r="V2448" i="5"/>
  <c r="AL2448" i="5" s="1"/>
  <c r="U2448" i="5"/>
  <c r="N2448" i="5"/>
  <c r="M2448" i="5"/>
  <c r="I2448" i="5"/>
  <c r="H2448" i="5"/>
  <c r="E2448" i="5"/>
  <c r="D2448" i="5"/>
  <c r="C2448" i="5"/>
  <c r="B2448" i="5"/>
  <c r="AN2448" i="5"/>
  <c r="AN2447" i="5"/>
  <c r="AE2447" i="5"/>
  <c r="AB2447" i="5"/>
  <c r="V2447" i="5"/>
  <c r="AL2447" i="5" s="1"/>
  <c r="U2447" i="5"/>
  <c r="N2447" i="5"/>
  <c r="M2447" i="5"/>
  <c r="I2447" i="5"/>
  <c r="H2447" i="5"/>
  <c r="E2447" i="5"/>
  <c r="D2447" i="5"/>
  <c r="C2447" i="5"/>
  <c r="B2447" i="5"/>
  <c r="AM2447" i="5"/>
  <c r="AK2447" i="5"/>
  <c r="AM2446" i="5"/>
  <c r="AK2446" i="5"/>
  <c r="AE2446" i="5"/>
  <c r="AB2446" i="5"/>
  <c r="V2446" i="5"/>
  <c r="AL2446" i="5" s="1"/>
  <c r="U2446" i="5"/>
  <c r="N2446" i="5"/>
  <c r="E2446" i="5"/>
  <c r="C2446" i="5"/>
  <c r="B2446" i="5"/>
  <c r="M2446" i="5"/>
  <c r="I2446" i="5"/>
  <c r="H2446" i="5"/>
  <c r="D2446" i="5"/>
  <c r="AN2446" i="5"/>
  <c r="M2445" i="5"/>
  <c r="I2445" i="5"/>
  <c r="H2445" i="5"/>
  <c r="E2445" i="5"/>
  <c r="D2445" i="5"/>
  <c r="C2445" i="5"/>
  <c r="B2445" i="5"/>
  <c r="AN2445" i="5"/>
  <c r="AE2445" i="5"/>
  <c r="AB2445" i="5"/>
  <c r="V2445" i="5"/>
  <c r="AL2445" i="5" s="1"/>
  <c r="AM2445" i="5"/>
  <c r="AK2445" i="5"/>
  <c r="U2445" i="5"/>
  <c r="N2445" i="5"/>
  <c r="AK2444" i="5"/>
  <c r="AE2444" i="5"/>
  <c r="AB2444" i="5"/>
  <c r="V2444" i="5"/>
  <c r="AL2444" i="5" s="1"/>
  <c r="U2444" i="5"/>
  <c r="AN2444" i="5"/>
  <c r="AM2444" i="5"/>
  <c r="N2444" i="5"/>
  <c r="M2444" i="5"/>
  <c r="I2444" i="5"/>
  <c r="H2444" i="5"/>
  <c r="E2444" i="5"/>
  <c r="D2444" i="5"/>
  <c r="C2444" i="5"/>
  <c r="B2444" i="5"/>
  <c r="AN2443" i="5"/>
  <c r="AM2443" i="5"/>
  <c r="AK2443" i="5"/>
  <c r="AE2443" i="5"/>
  <c r="AB2443" i="5"/>
  <c r="V2443" i="5"/>
  <c r="AL2443" i="5" s="1"/>
  <c r="U2443" i="5"/>
  <c r="N2443" i="5"/>
  <c r="M2443" i="5"/>
  <c r="I2443" i="5"/>
  <c r="H2443" i="5"/>
  <c r="E2443" i="5"/>
  <c r="D2443" i="5"/>
  <c r="C2443" i="5"/>
  <c r="B2443" i="5"/>
  <c r="AM2442" i="5"/>
  <c r="AK2442" i="5"/>
  <c r="AE2442" i="5"/>
  <c r="AB2442" i="5"/>
  <c r="V2442" i="5"/>
  <c r="AL2442" i="5" s="1"/>
  <c r="U2442" i="5"/>
  <c r="AN2442" i="5"/>
  <c r="N2442" i="5"/>
  <c r="M2442" i="5"/>
  <c r="I2442" i="5"/>
  <c r="H2442" i="5"/>
  <c r="E2442" i="5"/>
  <c r="D2442" i="5"/>
  <c r="C2442" i="5"/>
  <c r="B2442" i="5"/>
  <c r="N2441" i="5"/>
  <c r="V2441" i="5"/>
  <c r="AL2441" i="5" s="1"/>
  <c r="AB2441" i="5"/>
  <c r="AE2441" i="5"/>
  <c r="U2441" i="5"/>
  <c r="AK2441" i="5"/>
  <c r="AM2441" i="5"/>
  <c r="AN2441" i="5"/>
  <c r="B2441" i="5"/>
  <c r="C2441" i="5"/>
  <c r="D2441" i="5"/>
  <c r="E2441" i="5"/>
  <c r="H2441" i="5"/>
  <c r="I2441" i="5"/>
  <c r="M2441" i="5"/>
  <c r="C2440" i="5"/>
  <c r="V2440" i="5"/>
  <c r="AL2440" i="5" s="1"/>
  <c r="U2440" i="5"/>
  <c r="D2440" i="5"/>
  <c r="B2440" i="5"/>
  <c r="N2440" i="5"/>
  <c r="M2440" i="5"/>
  <c r="I2440" i="5"/>
  <c r="AB2440" i="5"/>
  <c r="AE2440" i="5"/>
  <c r="AK2440" i="5"/>
  <c r="AM2440" i="5"/>
  <c r="AN2440" i="5"/>
  <c r="E2440" i="5"/>
  <c r="H2440" i="5"/>
  <c r="AN2439" i="5"/>
  <c r="AM2439" i="5"/>
  <c r="AK2439" i="5"/>
  <c r="AE2439" i="5"/>
  <c r="V2439" i="5"/>
  <c r="AL2439" i="5" s="1"/>
  <c r="AB2439" i="5"/>
  <c r="U2439" i="5"/>
  <c r="N2439" i="5"/>
  <c r="M2439" i="5"/>
  <c r="I2439" i="5"/>
  <c r="H2439" i="5"/>
  <c r="E2439" i="5"/>
  <c r="D2439" i="5"/>
  <c r="C2439" i="5"/>
  <c r="B2439" i="5"/>
  <c r="M2438" i="5"/>
  <c r="I2438" i="5"/>
  <c r="H2438" i="5"/>
  <c r="E2438" i="5"/>
  <c r="D2438" i="5"/>
  <c r="C2438" i="5"/>
  <c r="B2438" i="5"/>
  <c r="N2438" i="5"/>
  <c r="AN2438" i="5"/>
  <c r="AM2438" i="5"/>
  <c r="AK2438" i="5"/>
  <c r="AE2438" i="5"/>
  <c r="AB2438" i="5"/>
  <c r="V2438" i="5"/>
  <c r="AL2438" i="5" s="1"/>
  <c r="U2438" i="5"/>
  <c r="D2437" i="5"/>
  <c r="V2437" i="5"/>
  <c r="AL2437" i="5" s="1"/>
  <c r="U2437" i="5"/>
  <c r="E2437" i="5"/>
  <c r="H2437" i="5"/>
  <c r="N2437" i="5"/>
  <c r="I2437" i="5"/>
  <c r="M2437" i="5"/>
  <c r="B2437" i="5"/>
  <c r="C2437" i="5"/>
  <c r="AB2437" i="5"/>
  <c r="AE2437" i="5"/>
  <c r="AK2437" i="5"/>
  <c r="AM2437" i="5"/>
  <c r="AN2437" i="5"/>
  <c r="N2436" i="5"/>
  <c r="V2436" i="5"/>
  <c r="AL2436" i="5" s="1"/>
  <c r="AB2436" i="5"/>
  <c r="AE2436" i="5"/>
  <c r="AK2436" i="5"/>
  <c r="AM2436" i="5"/>
  <c r="AN2436" i="5"/>
  <c r="U2436" i="5"/>
  <c r="D2436" i="5"/>
  <c r="B2436" i="5"/>
  <c r="C2436" i="5"/>
  <c r="H2436" i="5"/>
  <c r="M2436" i="5"/>
  <c r="I2436" i="5"/>
  <c r="E2436" i="5"/>
  <c r="M2435" i="5"/>
  <c r="AK2435" i="5"/>
  <c r="AN2435" i="5"/>
  <c r="I2435" i="5"/>
  <c r="H2435" i="5"/>
  <c r="E2435" i="5"/>
  <c r="D2435" i="5"/>
  <c r="C2435" i="5"/>
  <c r="B2435" i="5"/>
  <c r="AM2435" i="5"/>
  <c r="N2435" i="5"/>
  <c r="V2435" i="5"/>
  <c r="AL2435" i="5" s="1"/>
  <c r="AB2435" i="5"/>
  <c r="AE2435" i="5"/>
  <c r="U2435" i="5"/>
  <c r="AM2434" i="5"/>
  <c r="B2434" i="5"/>
  <c r="AK2434" i="5"/>
  <c r="AE2434" i="5"/>
  <c r="AB2434" i="5"/>
  <c r="V2434" i="5"/>
  <c r="AL2434" i="5" s="1"/>
  <c r="U2434" i="5"/>
  <c r="N2434" i="5"/>
  <c r="M2434" i="5"/>
  <c r="I2434" i="5"/>
  <c r="H2434" i="5"/>
  <c r="E2434" i="5"/>
  <c r="D2434" i="5"/>
  <c r="C2434" i="5"/>
  <c r="AN2434" i="5"/>
  <c r="E2433" i="5"/>
  <c r="AK2433" i="5"/>
  <c r="U2433" i="5"/>
  <c r="V2433" i="5"/>
  <c r="AL2433" i="5" s="1"/>
  <c r="AE2433" i="5"/>
  <c r="AB2433" i="5"/>
  <c r="B2433" i="5"/>
  <c r="C2433" i="5"/>
  <c r="D2433" i="5"/>
  <c r="H2433" i="5"/>
  <c r="I2433" i="5"/>
  <c r="AM2433" i="5"/>
  <c r="AN2433" i="5"/>
  <c r="M2433" i="5"/>
  <c r="N2433" i="5"/>
  <c r="B2432" i="5"/>
  <c r="AB2432" i="5"/>
  <c r="AE2432" i="5"/>
  <c r="AK2432" i="5"/>
  <c r="AM2432" i="5"/>
  <c r="N2432" i="5"/>
  <c r="AN2432" i="5"/>
  <c r="C2432" i="5"/>
  <c r="E2432" i="5"/>
  <c r="H2432" i="5"/>
  <c r="I2432" i="5"/>
  <c r="M2432" i="5"/>
  <c r="D2432" i="5"/>
  <c r="U2432" i="5"/>
  <c r="V2432" i="5"/>
  <c r="AL2432" i="5" s="1"/>
  <c r="AN2431" i="5"/>
  <c r="AM2431" i="5"/>
  <c r="AK2431" i="5"/>
  <c r="AE2431" i="5"/>
  <c r="AB2431" i="5"/>
  <c r="N2431" i="5"/>
  <c r="M2431" i="5"/>
  <c r="I2431" i="5"/>
  <c r="H2431" i="5"/>
  <c r="U2431" i="5"/>
  <c r="E2431" i="5"/>
  <c r="D2431" i="5"/>
  <c r="C2431" i="5"/>
  <c r="B2431" i="5"/>
  <c r="V2431" i="5"/>
  <c r="AL2431" i="5" s="1"/>
  <c r="M2430" i="5"/>
  <c r="AM2430" i="5"/>
  <c r="AK2430" i="5"/>
  <c r="AE2430" i="5"/>
  <c r="AB2430" i="5"/>
  <c r="V2430" i="5"/>
  <c r="AL2430" i="5" s="1"/>
  <c r="U2430" i="5"/>
  <c r="AN2430" i="5"/>
  <c r="N2430" i="5"/>
  <c r="B2430" i="5"/>
  <c r="C2430" i="5"/>
  <c r="D2430" i="5"/>
  <c r="E2430" i="5"/>
  <c r="H2430" i="5"/>
  <c r="I2430" i="5"/>
  <c r="AN2429" i="5"/>
  <c r="AM2429" i="5"/>
  <c r="AK2429" i="5"/>
  <c r="AE2429" i="5"/>
  <c r="AB2429" i="5"/>
  <c r="V2429" i="5"/>
  <c r="AL2429" i="5" s="1"/>
  <c r="U2429" i="5"/>
  <c r="N2429" i="5"/>
  <c r="M2429" i="5"/>
  <c r="I2429" i="5"/>
  <c r="H2429" i="5"/>
  <c r="D2429" i="5"/>
  <c r="C2429" i="5"/>
  <c r="B2429" i="5"/>
  <c r="E2429" i="5"/>
  <c r="AN2428" i="5"/>
  <c r="AM2428" i="5"/>
  <c r="C2428" i="5"/>
  <c r="B2428" i="5"/>
  <c r="AK2428" i="5"/>
  <c r="AE2428" i="5"/>
  <c r="AB2428" i="5"/>
  <c r="V2428" i="5"/>
  <c r="AL2428" i="5" s="1"/>
  <c r="U2428" i="5"/>
  <c r="I2428" i="5"/>
  <c r="N2428" i="5"/>
  <c r="M2428" i="5"/>
  <c r="H2428" i="5"/>
  <c r="E2428" i="5"/>
  <c r="D2428" i="5"/>
  <c r="E2427" i="5"/>
  <c r="AB2427" i="5"/>
  <c r="AM2427" i="5"/>
  <c r="AK2427" i="5"/>
  <c r="AE2427" i="5"/>
  <c r="AN2427" i="5"/>
  <c r="V2427" i="5"/>
  <c r="AL2427" i="5" s="1"/>
  <c r="U2427" i="5"/>
  <c r="I2427" i="5"/>
  <c r="N2427" i="5"/>
  <c r="M2427" i="5"/>
  <c r="H2427" i="5"/>
  <c r="D2427" i="5"/>
  <c r="C2427" i="5"/>
  <c r="B2427" i="5"/>
  <c r="AN2426" i="5"/>
  <c r="I2426" i="5"/>
  <c r="B2426" i="5"/>
  <c r="C2426" i="5"/>
  <c r="D2426" i="5"/>
  <c r="E2426" i="5"/>
  <c r="H2426" i="5"/>
  <c r="AM2426" i="5"/>
  <c r="M2426" i="5"/>
  <c r="N2426" i="5"/>
  <c r="U2426" i="5"/>
  <c r="V2426" i="5"/>
  <c r="AL2426" i="5" s="1"/>
  <c r="AB2426" i="5"/>
  <c r="AE2426" i="5"/>
  <c r="AK2426" i="5"/>
  <c r="I2425" i="5"/>
  <c r="AN2425" i="5"/>
  <c r="AB2425" i="5"/>
  <c r="AM2425" i="5"/>
  <c r="AK2425" i="5"/>
  <c r="AE2425" i="5"/>
  <c r="V2425" i="5"/>
  <c r="AL2425" i="5" s="1"/>
  <c r="U2425" i="5"/>
  <c r="N2425" i="5"/>
  <c r="E2425" i="5"/>
  <c r="H2425" i="5"/>
  <c r="B2425" i="5"/>
  <c r="M2425" i="5"/>
  <c r="C2425" i="5"/>
  <c r="D2425" i="5"/>
  <c r="B2424" i="5"/>
  <c r="C2424" i="5"/>
  <c r="D2424" i="5"/>
  <c r="E2424" i="5"/>
  <c r="U2424" i="5"/>
  <c r="AK2424" i="5"/>
  <c r="V2424" i="5"/>
  <c r="AL2424" i="5" s="1"/>
  <c r="AB2424" i="5"/>
  <c r="AE2424" i="5"/>
  <c r="AM2424" i="5"/>
  <c r="AN2424" i="5"/>
  <c r="I2424" i="5"/>
  <c r="M2424" i="5"/>
  <c r="N2424" i="5"/>
  <c r="H2424" i="5"/>
  <c r="I2423" i="5"/>
  <c r="H2423" i="5"/>
  <c r="E2423" i="5"/>
  <c r="D2423" i="5"/>
  <c r="C2423" i="5"/>
  <c r="B2423" i="5"/>
  <c r="AN2423" i="5"/>
  <c r="AM2423" i="5"/>
  <c r="AK2423" i="5"/>
  <c r="AE2423" i="5"/>
  <c r="AB2423" i="5"/>
  <c r="V2423" i="5"/>
  <c r="AL2423" i="5" s="1"/>
  <c r="U2423" i="5"/>
  <c r="N2423" i="5"/>
  <c r="M2423" i="5"/>
  <c r="M2422" i="5"/>
  <c r="I2422" i="5"/>
  <c r="H2422" i="5"/>
  <c r="E2422" i="5"/>
  <c r="D2422" i="5"/>
  <c r="C2422" i="5"/>
  <c r="B2422" i="5"/>
  <c r="AN2422" i="5"/>
  <c r="AM2422" i="5"/>
  <c r="AK2422" i="5"/>
  <c r="AE2422" i="5"/>
  <c r="AB2422" i="5"/>
  <c r="V2422" i="5"/>
  <c r="AL2422" i="5" s="1"/>
  <c r="U2422" i="5"/>
  <c r="N2422" i="5"/>
  <c r="U2421" i="5"/>
  <c r="N2421" i="5"/>
  <c r="M2421" i="5"/>
  <c r="I2421" i="5"/>
  <c r="H2421" i="5"/>
  <c r="E2421" i="5"/>
  <c r="B2421" i="5"/>
  <c r="AB2421" i="5"/>
  <c r="C2421" i="5"/>
  <c r="AN2421" i="5"/>
  <c r="AM2421" i="5"/>
  <c r="AK2421" i="5"/>
  <c r="AE2421" i="5"/>
  <c r="D2421" i="5"/>
  <c r="V2421" i="5"/>
  <c r="AL2421" i="5" s="1"/>
  <c r="V2420" i="5"/>
  <c r="AL2420" i="5" s="1"/>
  <c r="AB2420" i="5"/>
  <c r="AE2420" i="5"/>
  <c r="AK2420" i="5"/>
  <c r="AM2420" i="5"/>
  <c r="AN2420" i="5"/>
  <c r="U2420" i="5"/>
  <c r="B2420" i="5"/>
  <c r="N2420" i="5"/>
  <c r="M2420" i="5"/>
  <c r="I2420" i="5"/>
  <c r="H2420" i="5"/>
  <c r="E2420" i="5"/>
  <c r="D2420" i="5"/>
  <c r="C2420" i="5"/>
  <c r="D2419" i="5"/>
  <c r="C2419" i="5"/>
  <c r="B2419" i="5"/>
  <c r="AN2419" i="5"/>
  <c r="AM2419" i="5"/>
  <c r="AK2419" i="5"/>
  <c r="AE2419" i="5"/>
  <c r="AB2419" i="5"/>
  <c r="V2419" i="5"/>
  <c r="AL2419" i="5" s="1"/>
  <c r="U2419" i="5"/>
  <c r="N2419" i="5"/>
  <c r="M2419" i="5"/>
  <c r="I2419" i="5"/>
  <c r="H2419" i="5"/>
  <c r="E2419" i="5"/>
  <c r="V2418" i="5"/>
  <c r="AL2418" i="5" s="1"/>
  <c r="AB2418" i="5"/>
  <c r="AE2418" i="5"/>
  <c r="AK2418" i="5"/>
  <c r="AN2418" i="5"/>
  <c r="AM2418" i="5"/>
  <c r="E2418" i="5"/>
  <c r="B2418" i="5"/>
  <c r="C2418" i="5"/>
  <c r="D2418" i="5"/>
  <c r="H2418" i="5"/>
  <c r="I2418" i="5"/>
  <c r="M2418" i="5"/>
  <c r="N2418" i="5"/>
  <c r="U2418" i="5"/>
  <c r="AM2417" i="5"/>
  <c r="M2417" i="5"/>
  <c r="C2417" i="5"/>
  <c r="I2417" i="5"/>
  <c r="H2417" i="5"/>
  <c r="E2417" i="5"/>
  <c r="B2417" i="5"/>
  <c r="AN2417" i="5"/>
  <c r="AK2417" i="5"/>
  <c r="AE2417" i="5"/>
  <c r="AB2417" i="5"/>
  <c r="V2417" i="5"/>
  <c r="AL2417" i="5" s="1"/>
  <c r="U2417" i="5"/>
  <c r="N2417" i="5"/>
  <c r="D2417" i="5"/>
  <c r="AE2416" i="5"/>
  <c r="AK2416" i="5"/>
  <c r="AM2416" i="5"/>
  <c r="I2416" i="5"/>
  <c r="M2416" i="5"/>
  <c r="N2416" i="5"/>
  <c r="U2416" i="5"/>
  <c r="V2416" i="5"/>
  <c r="AL2416" i="5" s="1"/>
  <c r="AB2416" i="5"/>
  <c r="H2416" i="5"/>
  <c r="E2416" i="5"/>
  <c r="D2416" i="5"/>
  <c r="C2416" i="5"/>
  <c r="AN2416" i="5"/>
  <c r="B2416" i="5"/>
  <c r="V2415" i="5"/>
  <c r="AL2415" i="5" s="1"/>
  <c r="AB2415" i="5"/>
  <c r="AE2415" i="5"/>
  <c r="AK2415" i="5"/>
  <c r="AM2415" i="5"/>
  <c r="AN2415" i="5"/>
  <c r="B2415" i="5"/>
  <c r="C2415" i="5"/>
  <c r="D2415" i="5"/>
  <c r="E2415" i="5"/>
  <c r="H2415" i="5"/>
  <c r="I2415" i="5"/>
  <c r="M2415" i="5"/>
  <c r="N2415" i="5"/>
  <c r="U2415" i="5"/>
  <c r="C2414" i="5"/>
  <c r="V2414" i="5"/>
  <c r="AL2414" i="5" s="1"/>
  <c r="AB2414" i="5"/>
  <c r="AE2414" i="5"/>
  <c r="AK2414" i="5"/>
  <c r="D2414" i="5"/>
  <c r="AN2414" i="5"/>
  <c r="E2414" i="5"/>
  <c r="H2414" i="5"/>
  <c r="I2414" i="5"/>
  <c r="AM2414" i="5"/>
  <c r="M2414" i="5"/>
  <c r="B2414" i="5"/>
  <c r="N2414" i="5"/>
  <c r="U2414" i="5"/>
  <c r="M2413" i="5"/>
  <c r="I2413" i="5"/>
  <c r="H2413" i="5"/>
  <c r="E2413" i="5"/>
  <c r="D2413" i="5"/>
  <c r="C2413" i="5"/>
  <c r="B2413" i="5"/>
  <c r="AN2413" i="5"/>
  <c r="U2413" i="5"/>
  <c r="V2413" i="5"/>
  <c r="AL2413" i="5" s="1"/>
  <c r="AB2413" i="5"/>
  <c r="AE2413" i="5"/>
  <c r="AK2413" i="5"/>
  <c r="AM2413" i="5"/>
  <c r="N2413" i="5"/>
  <c r="M2412" i="5"/>
  <c r="N2412" i="5"/>
  <c r="U2412" i="5"/>
  <c r="V2412" i="5"/>
  <c r="AL2412" i="5" s="1"/>
  <c r="AB2412" i="5"/>
  <c r="AE2412" i="5"/>
  <c r="E2412" i="5"/>
  <c r="AM2412" i="5"/>
  <c r="AN2412" i="5"/>
  <c r="AK2412" i="5"/>
  <c r="B2412" i="5"/>
  <c r="C2412" i="5"/>
  <c r="D2412" i="5"/>
  <c r="H2412" i="5"/>
  <c r="I2412" i="5"/>
  <c r="C2411" i="5"/>
  <c r="N2411" i="5"/>
  <c r="H2411" i="5"/>
  <c r="M2411" i="5"/>
  <c r="I2411" i="5"/>
  <c r="E2411" i="5"/>
  <c r="D2411" i="5"/>
  <c r="B2411" i="5"/>
  <c r="AN2411" i="5"/>
  <c r="AM2411" i="5"/>
  <c r="AE2411" i="5"/>
  <c r="AK2411" i="5"/>
  <c r="AB2411" i="5"/>
  <c r="V2411" i="5"/>
  <c r="AL2411" i="5" s="1"/>
  <c r="U2411" i="5"/>
  <c r="V2410" i="5"/>
  <c r="AL2410" i="5" s="1"/>
  <c r="AE2410" i="5"/>
  <c r="AB2410" i="5"/>
  <c r="B2410" i="5"/>
  <c r="C2410" i="5"/>
  <c r="AN2410" i="5"/>
  <c r="AK2410" i="5"/>
  <c r="D2410" i="5"/>
  <c r="E2410" i="5"/>
  <c r="H2410" i="5"/>
  <c r="I2410" i="5"/>
  <c r="M2410" i="5"/>
  <c r="N2410" i="5"/>
  <c r="AM2410" i="5"/>
  <c r="U2410" i="5"/>
  <c r="AN2409" i="5"/>
  <c r="B2409" i="5"/>
  <c r="C2409" i="5"/>
  <c r="D2409" i="5"/>
  <c r="E2409" i="5"/>
  <c r="H2409" i="5"/>
  <c r="N2409" i="5"/>
  <c r="U2409" i="5"/>
  <c r="AB2409" i="5"/>
  <c r="AE2409" i="5"/>
  <c r="AK2409" i="5"/>
  <c r="M2409" i="5"/>
  <c r="AM2409" i="5"/>
  <c r="V2409" i="5"/>
  <c r="AL2409" i="5" s="1"/>
  <c r="I2409" i="5"/>
  <c r="U2408" i="5"/>
  <c r="N2408" i="5"/>
  <c r="M2408" i="5"/>
  <c r="I2408" i="5"/>
  <c r="H2408" i="5"/>
  <c r="E2408" i="5"/>
  <c r="D2408" i="5"/>
  <c r="C2408" i="5"/>
  <c r="B2408" i="5"/>
  <c r="AE2408" i="5"/>
  <c r="AN2408" i="5"/>
  <c r="AM2408" i="5"/>
  <c r="AK2408" i="5"/>
  <c r="AB2408" i="5"/>
  <c r="V2408" i="5"/>
  <c r="AL2408" i="5" s="1"/>
  <c r="N2407" i="5"/>
  <c r="AN2407" i="5"/>
  <c r="AM2407" i="5"/>
  <c r="B2407" i="5"/>
  <c r="C2407" i="5"/>
  <c r="D2407" i="5"/>
  <c r="E2407" i="5"/>
  <c r="H2407" i="5"/>
  <c r="I2407" i="5"/>
  <c r="U2407" i="5"/>
  <c r="M2407" i="5"/>
  <c r="V2407" i="5"/>
  <c r="AL2407" i="5" s="1"/>
  <c r="AB2407" i="5"/>
  <c r="AE2407" i="5"/>
  <c r="AK2407" i="5"/>
  <c r="AM2406" i="5"/>
  <c r="AK2406" i="5"/>
  <c r="B2406" i="5"/>
  <c r="AB2406" i="5"/>
  <c r="D2406" i="5"/>
  <c r="E2406" i="5"/>
  <c r="AE2406" i="5"/>
  <c r="N2406" i="5"/>
  <c r="C2406" i="5"/>
  <c r="M2406" i="5"/>
  <c r="H2406" i="5"/>
  <c r="AN2406" i="5"/>
  <c r="I2406" i="5"/>
  <c r="V2406" i="5"/>
  <c r="AL2406" i="5" s="1"/>
  <c r="U2406" i="5"/>
  <c r="U2405" i="5"/>
  <c r="V2405" i="5"/>
  <c r="AL2405" i="5" s="1"/>
  <c r="H2405" i="5"/>
  <c r="E2405" i="5"/>
  <c r="I2405" i="5"/>
  <c r="M2405" i="5"/>
  <c r="N2405" i="5"/>
  <c r="B2405" i="5"/>
  <c r="C2405" i="5"/>
  <c r="D2405" i="5"/>
  <c r="D2404" i="5"/>
  <c r="E2404" i="5"/>
  <c r="H2404" i="5"/>
  <c r="M2404" i="5"/>
  <c r="I2404" i="5"/>
  <c r="N2404" i="5"/>
  <c r="AK2404" i="5"/>
  <c r="AE2404" i="5"/>
  <c r="V2404" i="5"/>
  <c r="AL2404" i="5" s="1"/>
  <c r="U2404" i="5"/>
  <c r="AM2404" i="5"/>
  <c r="AN2404" i="5"/>
  <c r="B2404" i="5"/>
  <c r="C2404" i="5"/>
  <c r="AB2404" i="5"/>
  <c r="AK2403" i="5"/>
  <c r="V2403" i="5"/>
  <c r="AL2403" i="5" s="1"/>
  <c r="M2403" i="5"/>
  <c r="H2403" i="5"/>
  <c r="AB2403" i="5"/>
  <c r="AE2403" i="5"/>
  <c r="U2403" i="5"/>
  <c r="AM2403" i="5"/>
  <c r="AN2403" i="5"/>
  <c r="I2403" i="5"/>
  <c r="E2403" i="5"/>
  <c r="D2403" i="5"/>
  <c r="C2403" i="5"/>
  <c r="B2403" i="5"/>
  <c r="N2403" i="5"/>
  <c r="AE2402" i="5"/>
  <c r="AK2402" i="5"/>
  <c r="AN2402" i="5"/>
  <c r="AM2402" i="5"/>
  <c r="M2402" i="5"/>
  <c r="N2402" i="5"/>
  <c r="I2402" i="5"/>
  <c r="V2402" i="5"/>
  <c r="AL2402" i="5" s="1"/>
  <c r="U2402" i="5"/>
  <c r="AB2402" i="5"/>
  <c r="B2402" i="5"/>
  <c r="C2402" i="5"/>
  <c r="D2402" i="5"/>
  <c r="E2402" i="5"/>
  <c r="H2402" i="5"/>
  <c r="B2401" i="5"/>
  <c r="C2401" i="5"/>
  <c r="D2401" i="5"/>
  <c r="E2401" i="5"/>
  <c r="AK2401" i="5"/>
  <c r="AE2401" i="5"/>
  <c r="V2401" i="5"/>
  <c r="AL2401" i="5" s="1"/>
  <c r="U2401" i="5"/>
  <c r="N2401" i="5"/>
  <c r="M2401" i="5"/>
  <c r="I2401" i="5"/>
  <c r="AB2401" i="5"/>
  <c r="AN2401" i="5"/>
  <c r="H2401" i="5"/>
  <c r="AM2401" i="5"/>
  <c r="N2400" i="5"/>
  <c r="U2400" i="5"/>
  <c r="V2400" i="5"/>
  <c r="AL2400" i="5" s="1"/>
  <c r="AB2400" i="5"/>
  <c r="AE2400" i="5"/>
  <c r="AK2400" i="5"/>
  <c r="AM2400" i="5"/>
  <c r="AN2400" i="5"/>
  <c r="M2400" i="5"/>
  <c r="B2400" i="5"/>
  <c r="C2400" i="5"/>
  <c r="D2400" i="5"/>
  <c r="E2400" i="5"/>
  <c r="H2400" i="5"/>
  <c r="I2400" i="5"/>
  <c r="D2399" i="5"/>
  <c r="E2399" i="5"/>
  <c r="AN2399" i="5"/>
  <c r="AM2399" i="5"/>
  <c r="AK2399" i="5"/>
  <c r="V2399" i="5"/>
  <c r="AL2399" i="5" s="1"/>
  <c r="AE2399" i="5"/>
  <c r="AB2399" i="5"/>
  <c r="U2399" i="5"/>
  <c r="N2399" i="5"/>
  <c r="M2399" i="5"/>
  <c r="I2399" i="5"/>
  <c r="H2399" i="5"/>
  <c r="B2399" i="5"/>
  <c r="C2399" i="5"/>
  <c r="I2398" i="5"/>
  <c r="B2398" i="5"/>
  <c r="C2398" i="5"/>
  <c r="D2398" i="5"/>
  <c r="E2398" i="5"/>
  <c r="N2398" i="5"/>
  <c r="U2398" i="5"/>
  <c r="V2398" i="5"/>
  <c r="AL2398" i="5" s="1"/>
  <c r="AN2398" i="5"/>
  <c r="AM2398" i="5"/>
  <c r="AK2398" i="5"/>
  <c r="AE2398" i="5"/>
  <c r="AB2398" i="5"/>
  <c r="M2398" i="5"/>
  <c r="H2398" i="5"/>
  <c r="B2397" i="5"/>
  <c r="AE2397" i="5"/>
  <c r="AB2397" i="5"/>
  <c r="V2397" i="5"/>
  <c r="AL2397" i="5" s="1"/>
  <c r="AN2397" i="5"/>
  <c r="U2397" i="5"/>
  <c r="N2397" i="5"/>
  <c r="I2397" i="5"/>
  <c r="H2397" i="5"/>
  <c r="E2397" i="5"/>
  <c r="M2397" i="5"/>
  <c r="AM2397" i="5"/>
  <c r="D2397" i="5"/>
  <c r="C2397" i="5"/>
  <c r="AK2397" i="5"/>
  <c r="AB2396" i="5"/>
  <c r="V2396" i="5"/>
  <c r="AL2396" i="5" s="1"/>
  <c r="U2396" i="5"/>
  <c r="N2396" i="5"/>
  <c r="M2396" i="5"/>
  <c r="I2396" i="5"/>
  <c r="H2396" i="5"/>
  <c r="E2396" i="5"/>
  <c r="D2396" i="5"/>
  <c r="B2396" i="5"/>
  <c r="AK2396" i="5"/>
  <c r="C2396" i="5"/>
  <c r="AN2396" i="5"/>
  <c r="AM2396" i="5"/>
  <c r="AE2396" i="5"/>
  <c r="AE2395" i="5"/>
  <c r="AB2395" i="5"/>
  <c r="B2395" i="5"/>
  <c r="C2395" i="5"/>
  <c r="D2395" i="5"/>
  <c r="E2395" i="5"/>
  <c r="H2395" i="5"/>
  <c r="I2395" i="5"/>
  <c r="M2395" i="5"/>
  <c r="N2395" i="5"/>
  <c r="AK2395" i="5"/>
  <c r="AM2395" i="5"/>
  <c r="U2395" i="5"/>
  <c r="V2395" i="5"/>
  <c r="AL2395" i="5" s="1"/>
  <c r="AN2395" i="5"/>
  <c r="C2394" i="5"/>
  <c r="D2394" i="5"/>
  <c r="E2394" i="5"/>
  <c r="H2394" i="5"/>
  <c r="AN2394" i="5"/>
  <c r="M2394" i="5"/>
  <c r="N2394" i="5"/>
  <c r="I2394" i="5"/>
  <c r="B2394" i="5"/>
  <c r="U2394" i="5"/>
  <c r="V2394" i="5"/>
  <c r="AL2394" i="5" s="1"/>
  <c r="AB2394" i="5"/>
  <c r="AE2394" i="5"/>
  <c r="AK2394" i="5"/>
  <c r="AM2394" i="5"/>
  <c r="M2393" i="5"/>
  <c r="AK2393" i="5"/>
  <c r="B2393" i="5"/>
  <c r="C2393" i="5"/>
  <c r="D2393" i="5"/>
  <c r="E2393" i="5"/>
  <c r="H2393" i="5"/>
  <c r="I2393" i="5"/>
  <c r="AN2393" i="5"/>
  <c r="N2393" i="5"/>
  <c r="U2393" i="5"/>
  <c r="V2393" i="5"/>
  <c r="AL2393" i="5" s="1"/>
  <c r="AB2393" i="5"/>
  <c r="AE2393" i="5"/>
  <c r="AM2393" i="5"/>
  <c r="C2392" i="5"/>
  <c r="AN2392" i="5"/>
  <c r="D2392" i="5"/>
  <c r="B2392" i="5"/>
  <c r="I2392" i="5"/>
  <c r="AE2392" i="5"/>
  <c r="E2392" i="5"/>
  <c r="H2392" i="5"/>
  <c r="M2392" i="5"/>
  <c r="N2392" i="5"/>
  <c r="AM2392" i="5"/>
  <c r="AK2392" i="5"/>
  <c r="U2392" i="5"/>
  <c r="V2392" i="5"/>
  <c r="AL2392" i="5" s="1"/>
  <c r="AB2392" i="5"/>
  <c r="AB2391" i="5"/>
  <c r="AE2391" i="5"/>
  <c r="AK2391" i="5"/>
  <c r="AN2391" i="5"/>
  <c r="U2391" i="5"/>
  <c r="N2391" i="5"/>
  <c r="V2391" i="5"/>
  <c r="AL2391" i="5" s="1"/>
  <c r="M2391" i="5"/>
  <c r="I2391" i="5"/>
  <c r="H2391" i="5"/>
  <c r="E2391" i="5"/>
  <c r="D2391" i="5"/>
  <c r="C2391" i="5"/>
  <c r="B2391" i="5"/>
  <c r="AM2391" i="5"/>
  <c r="U2390" i="5"/>
  <c r="AM2390" i="5"/>
  <c r="AN2390" i="5"/>
  <c r="N2390" i="5"/>
  <c r="M2390" i="5"/>
  <c r="I2390" i="5"/>
  <c r="AE2390" i="5"/>
  <c r="AK2390" i="5"/>
  <c r="E2390" i="5"/>
  <c r="D2390" i="5"/>
  <c r="C2390" i="5"/>
  <c r="B2390" i="5"/>
  <c r="AB2390" i="5"/>
  <c r="V2390" i="5"/>
  <c r="AL2390" i="5" s="1"/>
  <c r="H2390" i="5"/>
  <c r="N2389" i="5"/>
  <c r="M2389" i="5"/>
  <c r="I2389" i="5"/>
  <c r="H2389" i="5"/>
  <c r="E2389" i="5"/>
  <c r="D2389" i="5"/>
  <c r="C2389" i="5"/>
  <c r="B2389" i="5"/>
  <c r="AE2389" i="5"/>
  <c r="AB2389" i="5"/>
  <c r="V2389" i="5"/>
  <c r="AL2389" i="5" s="1"/>
  <c r="AN2389" i="5"/>
  <c r="AM2389" i="5"/>
  <c r="AK2389" i="5"/>
  <c r="U2389" i="5"/>
  <c r="AN2388" i="5"/>
  <c r="AM2388" i="5"/>
  <c r="AK2388" i="5"/>
  <c r="AE2388" i="5"/>
  <c r="AB2388" i="5"/>
  <c r="V2388" i="5"/>
  <c r="AL2388" i="5" s="1"/>
  <c r="U2388" i="5"/>
  <c r="D2388" i="5"/>
  <c r="H2388" i="5"/>
  <c r="E2388" i="5"/>
  <c r="I2388" i="5"/>
  <c r="M2388" i="5"/>
  <c r="N2388" i="5"/>
  <c r="B2388" i="5"/>
  <c r="C2388" i="5"/>
  <c r="E2387" i="5"/>
  <c r="D2387" i="5"/>
  <c r="AB2387" i="5"/>
  <c r="H2387" i="5"/>
  <c r="I2387" i="5"/>
  <c r="M2387" i="5"/>
  <c r="AN2387" i="5"/>
  <c r="N2387" i="5"/>
  <c r="U2387" i="5"/>
  <c r="B2387" i="5"/>
  <c r="V2387" i="5"/>
  <c r="AL2387" i="5" s="1"/>
  <c r="AE2387" i="5"/>
  <c r="AK2387" i="5"/>
  <c r="C2387" i="5"/>
  <c r="AM2387" i="5"/>
  <c r="D2386" i="5"/>
  <c r="V2386" i="5"/>
  <c r="AL2386" i="5" s="1"/>
  <c r="AB2386" i="5"/>
  <c r="AE2386" i="5"/>
  <c r="H2386" i="5"/>
  <c r="AM2386" i="5"/>
  <c r="AN2386" i="5"/>
  <c r="E2386" i="5"/>
  <c r="I2386" i="5"/>
  <c r="B2386" i="5"/>
  <c r="C2386" i="5"/>
  <c r="AK2386" i="5"/>
  <c r="M2386" i="5"/>
  <c r="N2386" i="5"/>
  <c r="U2386" i="5"/>
  <c r="N2385" i="5"/>
  <c r="AB2385" i="5"/>
  <c r="AK2385" i="5"/>
  <c r="V2385" i="5"/>
  <c r="AL2385" i="5" s="1"/>
  <c r="H2385" i="5"/>
  <c r="B2385" i="5"/>
  <c r="AN2385" i="5"/>
  <c r="AM2385" i="5"/>
  <c r="AE2385" i="5"/>
  <c r="C2385" i="5"/>
  <c r="D2385" i="5"/>
  <c r="E2385" i="5"/>
  <c r="U2385" i="5"/>
  <c r="I2385" i="5"/>
  <c r="M2385" i="5"/>
  <c r="AB2384" i="5"/>
  <c r="AN2384" i="5"/>
  <c r="AM2384" i="5"/>
  <c r="AK2384" i="5"/>
  <c r="AE2384" i="5"/>
  <c r="V2384" i="5"/>
  <c r="AL2384" i="5" s="1"/>
  <c r="U2384" i="5"/>
  <c r="N2384" i="5"/>
  <c r="M2384" i="5"/>
  <c r="I2384" i="5"/>
  <c r="H2384" i="5"/>
  <c r="E2384" i="5"/>
  <c r="D2384" i="5"/>
  <c r="C2384" i="5"/>
  <c r="B2384" i="5"/>
  <c r="AM2383" i="5"/>
  <c r="N2383" i="5"/>
  <c r="M2383" i="5"/>
  <c r="E2383" i="5"/>
  <c r="H2383" i="5"/>
  <c r="D2383" i="5"/>
  <c r="AN2383" i="5"/>
  <c r="C2383" i="5"/>
  <c r="I2383" i="5"/>
  <c r="B2383" i="5"/>
  <c r="U2383" i="5"/>
  <c r="V2383" i="5"/>
  <c r="AL2383" i="5" s="1"/>
  <c r="AB2383" i="5"/>
  <c r="AE2383" i="5"/>
  <c r="AK2383" i="5"/>
  <c r="I2382" i="5"/>
  <c r="V2382" i="5"/>
  <c r="AL2382" i="5" s="1"/>
  <c r="U2382" i="5"/>
  <c r="AN2382" i="5"/>
  <c r="AM2382" i="5"/>
  <c r="N2382" i="5"/>
  <c r="M2382" i="5"/>
  <c r="H2382" i="5"/>
  <c r="E2382" i="5"/>
  <c r="D2382" i="5"/>
  <c r="C2382" i="5"/>
  <c r="B2382" i="5"/>
  <c r="AK2382" i="5"/>
  <c r="AE2382" i="5"/>
  <c r="AB2382" i="5"/>
  <c r="H2381" i="5"/>
  <c r="N2381" i="5"/>
  <c r="AB2381" i="5"/>
  <c r="C2381" i="5"/>
  <c r="I2381" i="5"/>
  <c r="M2381" i="5"/>
  <c r="B2381" i="5"/>
  <c r="D2381" i="5"/>
  <c r="E2381" i="5"/>
  <c r="U2381" i="5"/>
  <c r="V2381" i="5"/>
  <c r="AL2381" i="5" s="1"/>
  <c r="AE2381" i="5"/>
  <c r="AK2381" i="5"/>
  <c r="AM2381" i="5"/>
  <c r="AN2381" i="5"/>
  <c r="D2380" i="5"/>
  <c r="I2380" i="5"/>
  <c r="U2380" i="5"/>
  <c r="AB2380" i="5"/>
  <c r="N2380" i="5"/>
  <c r="B2380" i="5"/>
  <c r="C2380" i="5"/>
  <c r="AM2380" i="5"/>
  <c r="H2380" i="5"/>
  <c r="AK2380" i="5"/>
  <c r="AN2380" i="5"/>
  <c r="V2380" i="5"/>
  <c r="AL2380" i="5" s="1"/>
  <c r="AE2380" i="5"/>
  <c r="M2380" i="5"/>
  <c r="E2380" i="5"/>
  <c r="AE2379" i="5"/>
  <c r="AM2379" i="5"/>
  <c r="AN2379" i="5"/>
  <c r="B2379" i="5"/>
  <c r="C2379" i="5"/>
  <c r="E2379" i="5"/>
  <c r="I2379" i="5"/>
  <c r="AB2379" i="5"/>
  <c r="AK2379" i="5"/>
  <c r="D2379" i="5"/>
  <c r="H2379" i="5"/>
  <c r="B2378" i="5"/>
  <c r="E2378" i="5"/>
  <c r="D2378" i="5"/>
  <c r="AM2378" i="5"/>
  <c r="AN2378" i="5"/>
  <c r="AK2378" i="5"/>
  <c r="AB2378" i="5"/>
  <c r="AE2378" i="5"/>
  <c r="I2378" i="5"/>
  <c r="C2378" i="5"/>
  <c r="H2378" i="5" s="1"/>
  <c r="AN2377" i="5"/>
  <c r="AK2377" i="5"/>
  <c r="I2377" i="5"/>
  <c r="C2377" i="5"/>
  <c r="B2377" i="5"/>
  <c r="E2377" i="5"/>
  <c r="D2377" i="5"/>
  <c r="H2377" i="5"/>
  <c r="AM2377" i="5"/>
  <c r="AE2377" i="5"/>
  <c r="AB2377" i="5"/>
  <c r="AN2376" i="5"/>
  <c r="C2376" i="5"/>
  <c r="H2376" i="5" s="1"/>
  <c r="AM2376" i="5"/>
  <c r="I2376" i="5"/>
  <c r="E2376" i="5"/>
  <c r="D2376" i="5"/>
  <c r="B2376" i="5"/>
  <c r="AK2376" i="5"/>
  <c r="V2376" i="5" s="1"/>
  <c r="AL2376" i="5" s="1"/>
  <c r="AE2376" i="5"/>
  <c r="AB2376" i="5"/>
  <c r="AK2375" i="5"/>
  <c r="C2375" i="5"/>
  <c r="E2375" i="5"/>
  <c r="AN2375" i="5"/>
  <c r="AE2375" i="5"/>
  <c r="AB2375" i="5"/>
  <c r="H2375" i="5"/>
  <c r="D2375" i="5"/>
  <c r="B2375" i="5"/>
  <c r="I2375" i="5"/>
  <c r="AM2375" i="5"/>
  <c r="D2374" i="5"/>
  <c r="AK2374" i="5"/>
  <c r="AM2374" i="5"/>
  <c r="AB2374" i="5"/>
  <c r="AE2374" i="5"/>
  <c r="AN2374" i="5"/>
  <c r="B2374" i="5"/>
  <c r="C2374" i="5"/>
  <c r="H2374" i="5" s="1"/>
  <c r="I2374" i="5"/>
  <c r="E2374" i="5"/>
  <c r="E2373" i="5"/>
  <c r="AB2373" i="5"/>
  <c r="AE2373" i="5"/>
  <c r="AK2373" i="5"/>
  <c r="AM2373" i="5"/>
  <c r="AN2373" i="5"/>
  <c r="I2373" i="5"/>
  <c r="D2373" i="5"/>
  <c r="B2373" i="5"/>
  <c r="C2373" i="5"/>
  <c r="H2373" i="5" s="1"/>
  <c r="AK2372" i="5"/>
  <c r="AM2372" i="5"/>
  <c r="AN2372" i="5"/>
  <c r="AE2372" i="5"/>
  <c r="C2372" i="5"/>
  <c r="D2372" i="5"/>
  <c r="E2372" i="5"/>
  <c r="H2372" i="5"/>
  <c r="I2372" i="5"/>
  <c r="AB2372" i="5"/>
  <c r="B2372" i="5"/>
  <c r="B2371" i="5"/>
  <c r="C2371" i="5"/>
  <c r="H2371" i="5" s="1"/>
  <c r="E2371" i="5"/>
  <c r="I2371" i="5"/>
  <c r="D2371" i="5"/>
  <c r="AB2371" i="5"/>
  <c r="AE2371" i="5"/>
  <c r="AK2371" i="5"/>
  <c r="AM2371" i="5"/>
  <c r="AN2371" i="5"/>
  <c r="D2370" i="5"/>
  <c r="C2370" i="5"/>
  <c r="B2370" i="5"/>
  <c r="AN2370" i="5"/>
  <c r="E2370" i="5"/>
  <c r="AK2370" i="5"/>
  <c r="AE2370" i="5"/>
  <c r="AB2370" i="5"/>
  <c r="I2370" i="5"/>
  <c r="H2370" i="5"/>
  <c r="AM2370" i="5"/>
  <c r="I2369" i="5"/>
  <c r="B2369" i="5"/>
  <c r="C2369" i="5"/>
  <c r="D2369" i="5"/>
  <c r="E2369" i="5"/>
  <c r="H2369" i="5"/>
  <c r="AK2368" i="5"/>
  <c r="AM2368" i="5"/>
  <c r="AN2368" i="5"/>
  <c r="B2368" i="5"/>
  <c r="C2368" i="5"/>
  <c r="D2368" i="5"/>
  <c r="E2368" i="5"/>
  <c r="H2368" i="5"/>
  <c r="I2368" i="5"/>
  <c r="AB2368" i="5"/>
  <c r="AE2368" i="5"/>
  <c r="AB2367" i="5"/>
  <c r="AE2367" i="5"/>
  <c r="AK2367" i="5"/>
  <c r="AN2367" i="5"/>
  <c r="AM2367" i="5"/>
  <c r="D2367" i="5"/>
  <c r="E2367" i="5"/>
  <c r="I2367" i="5"/>
  <c r="B2367" i="5"/>
  <c r="C2367" i="5"/>
  <c r="H2367" i="5" s="1"/>
  <c r="C2366" i="5"/>
  <c r="D2366" i="5"/>
  <c r="E2366" i="5"/>
  <c r="H2366" i="5"/>
  <c r="I2366" i="5"/>
  <c r="AM2366" i="5"/>
  <c r="B2366" i="5"/>
  <c r="AN2366" i="5"/>
  <c r="AB2366" i="5"/>
  <c r="AE2366" i="5"/>
  <c r="AK2366" i="5"/>
  <c r="AK2365" i="5"/>
  <c r="AE2365" i="5"/>
  <c r="AB2365" i="5"/>
  <c r="I2365" i="5"/>
  <c r="E2365" i="5"/>
  <c r="D2365" i="5"/>
  <c r="C2365" i="5"/>
  <c r="H2365" i="5" s="1"/>
  <c r="B2365" i="5"/>
  <c r="AN2365" i="5"/>
  <c r="AM2365" i="5"/>
  <c r="AM2364" i="5"/>
  <c r="AK2364" i="5"/>
  <c r="AE2364" i="5"/>
  <c r="AB2364" i="5"/>
  <c r="I2364" i="5"/>
  <c r="E2364" i="5"/>
  <c r="D2364" i="5"/>
  <c r="C2364" i="5"/>
  <c r="H2364" i="5" s="1"/>
  <c r="B2364" i="5"/>
  <c r="AN2364" i="5"/>
  <c r="B2363" i="5"/>
  <c r="D2363" i="5"/>
  <c r="AN2363" i="5"/>
  <c r="AM2363" i="5"/>
  <c r="AK2363" i="5"/>
  <c r="AE2363" i="5"/>
  <c r="AB2363" i="5"/>
  <c r="C2363" i="5"/>
  <c r="H2363" i="5" s="1"/>
  <c r="E2363" i="5"/>
  <c r="I2363" i="5"/>
  <c r="AE2362" i="5"/>
  <c r="C2362" i="5"/>
  <c r="I2362" i="5"/>
  <c r="B2362" i="5"/>
  <c r="E2362" i="5"/>
  <c r="H2362" i="5"/>
  <c r="AB2362" i="5"/>
  <c r="AK2362" i="5"/>
  <c r="AM2362" i="5"/>
  <c r="AN2362" i="5"/>
  <c r="D2362" i="5"/>
  <c r="AM2361" i="5"/>
  <c r="E2361" i="5"/>
  <c r="D2361" i="5"/>
  <c r="C2361" i="5"/>
  <c r="B2361" i="5"/>
  <c r="AK2361" i="5"/>
  <c r="AE2361" i="5"/>
  <c r="AB2361" i="5"/>
  <c r="H2361" i="5"/>
  <c r="AN2361" i="5"/>
  <c r="I2361" i="5"/>
  <c r="I2360" i="5"/>
  <c r="E2360" i="5"/>
  <c r="D2360" i="5"/>
  <c r="C2360" i="5"/>
  <c r="H2360" i="5" s="1"/>
  <c r="B2360" i="5"/>
  <c r="AM2360" i="5"/>
  <c r="AN2360" i="5"/>
  <c r="AK2360" i="5"/>
  <c r="AE2360" i="5"/>
  <c r="AB2360" i="5"/>
  <c r="I2359" i="5"/>
  <c r="E2359" i="5"/>
  <c r="AK2359" i="5"/>
  <c r="C2359" i="5"/>
  <c r="H2359" i="5" s="1"/>
  <c r="B2359" i="5"/>
  <c r="D2359" i="5"/>
  <c r="AE2359" i="5"/>
  <c r="AB2359" i="5"/>
  <c r="AN2359" i="5"/>
  <c r="AM2359" i="5"/>
  <c r="I2358" i="5"/>
  <c r="E2358" i="5"/>
  <c r="D2358" i="5"/>
  <c r="C2358" i="5"/>
  <c r="H2358" i="5" s="1"/>
  <c r="AN2358" i="5"/>
  <c r="B2358" i="5"/>
  <c r="AM2358" i="5"/>
  <c r="AK2358" i="5"/>
  <c r="AE2358" i="5"/>
  <c r="AB2358" i="5"/>
  <c r="AN2357" i="5"/>
  <c r="E2357" i="5"/>
  <c r="D2357" i="5"/>
  <c r="C2357" i="5"/>
  <c r="H2357" i="5" s="1"/>
  <c r="B2357" i="5"/>
  <c r="AM2357" i="5"/>
  <c r="AK2357" i="5"/>
  <c r="AE2357" i="5"/>
  <c r="AB2357" i="5"/>
  <c r="I2357" i="5"/>
  <c r="AM2356" i="5"/>
  <c r="I2356" i="5"/>
  <c r="E2356" i="5"/>
  <c r="D2356" i="5"/>
  <c r="C2356" i="5"/>
  <c r="H2356" i="5" s="1"/>
  <c r="B2356" i="5"/>
  <c r="AK2356" i="5"/>
  <c r="AE2356" i="5"/>
  <c r="AB2356" i="5"/>
  <c r="AN2356" i="5"/>
  <c r="AM2355" i="5"/>
  <c r="B2355" i="5"/>
  <c r="C2355" i="5"/>
  <c r="D2355" i="5"/>
  <c r="E2355" i="5"/>
  <c r="H2355" i="5"/>
  <c r="I2355" i="5"/>
  <c r="AB2355" i="5"/>
  <c r="AE2355" i="5"/>
  <c r="AK2355" i="5"/>
  <c r="AN2355" i="5"/>
  <c r="B2354" i="5"/>
  <c r="C2354" i="5"/>
  <c r="D2354" i="5"/>
  <c r="E2354" i="5"/>
  <c r="H2354" i="5"/>
  <c r="I2354" i="5"/>
  <c r="AM2354" i="5"/>
  <c r="AN2354" i="5"/>
  <c r="AK2354" i="5"/>
  <c r="AB2354" i="5"/>
  <c r="AE2354" i="5"/>
  <c r="E2353" i="5"/>
  <c r="D2353" i="5"/>
  <c r="C2353" i="5"/>
  <c r="H2353" i="5" s="1"/>
  <c r="B2353" i="5"/>
  <c r="AN2353" i="5"/>
  <c r="AM2353" i="5"/>
  <c r="AK2353" i="5"/>
  <c r="AE2353" i="5"/>
  <c r="AB2353" i="5"/>
  <c r="I2353" i="5"/>
  <c r="I2352" i="5"/>
  <c r="AN2352" i="5"/>
  <c r="AM2352" i="5"/>
  <c r="AK2352" i="5"/>
  <c r="AE2352" i="5"/>
  <c r="AB2352" i="5"/>
  <c r="B2352" i="5"/>
  <c r="C2352" i="5"/>
  <c r="H2352" i="5" s="1"/>
  <c r="D2352" i="5"/>
  <c r="E2352" i="5"/>
  <c r="AN2351" i="5"/>
  <c r="B2351" i="5"/>
  <c r="D2351" i="5"/>
  <c r="C2351" i="5"/>
  <c r="E2351" i="5"/>
  <c r="H2351" i="5"/>
  <c r="I2351" i="5"/>
  <c r="AM2351" i="5"/>
  <c r="AK2351" i="5"/>
  <c r="AB2351" i="5"/>
  <c r="AE2351" i="5"/>
  <c r="E2350" i="5"/>
  <c r="D2350" i="5"/>
  <c r="C2350" i="5"/>
  <c r="H2350" i="5" s="1"/>
  <c r="B2350" i="5"/>
  <c r="AE2350" i="5"/>
  <c r="AN2350" i="5"/>
  <c r="AM2350" i="5"/>
  <c r="AK2350" i="5"/>
  <c r="AB2350" i="5"/>
  <c r="I2350" i="5"/>
  <c r="AK2349" i="5"/>
  <c r="E2349" i="5"/>
  <c r="D2349" i="5"/>
  <c r="C2349" i="5"/>
  <c r="B2349" i="5"/>
  <c r="AN2349" i="5"/>
  <c r="AM2349" i="5"/>
  <c r="AB2349" i="5"/>
  <c r="AE2349" i="5"/>
  <c r="H2349" i="5"/>
  <c r="I2349" i="5"/>
  <c r="E2348" i="5"/>
  <c r="AM2348" i="5"/>
  <c r="AK2348" i="5"/>
  <c r="D2348" i="5"/>
  <c r="AE2348" i="5"/>
  <c r="I2348" i="5"/>
  <c r="B2348" i="5"/>
  <c r="AN2348" i="5"/>
  <c r="C2348" i="5"/>
  <c r="H2348" i="5" s="1"/>
  <c r="AB2348" i="5"/>
  <c r="AK2347" i="5"/>
  <c r="B2347" i="5"/>
  <c r="AE2347" i="5"/>
  <c r="I2347" i="5"/>
  <c r="AM2347" i="5"/>
  <c r="E2347" i="5"/>
  <c r="AB2347" i="5"/>
  <c r="D2347" i="5"/>
  <c r="C2347" i="5"/>
  <c r="H2347" i="5" s="1"/>
  <c r="AN2347" i="5"/>
  <c r="C2346" i="5"/>
  <c r="B2346" i="5"/>
  <c r="D2346" i="5"/>
  <c r="AB2346" i="5"/>
  <c r="AE2346" i="5"/>
  <c r="AK2346" i="5"/>
  <c r="AM2346" i="5"/>
  <c r="AN2346" i="5"/>
  <c r="I2346" i="5"/>
  <c r="H2346" i="5"/>
  <c r="E2346" i="5"/>
  <c r="AK2345" i="5"/>
  <c r="AM2345" i="5"/>
  <c r="AN2345" i="5"/>
  <c r="D2345" i="5"/>
  <c r="B2345" i="5"/>
  <c r="C2345" i="5"/>
  <c r="H2345" i="5" s="1"/>
  <c r="E2345" i="5"/>
  <c r="I2345" i="5"/>
  <c r="AB2345" i="5"/>
  <c r="AE2345" i="5"/>
  <c r="AB2344" i="5"/>
  <c r="D2344" i="5"/>
  <c r="AN2344" i="5"/>
  <c r="AM2344" i="5"/>
  <c r="AK2344" i="5"/>
  <c r="AE2344" i="5"/>
  <c r="I2344" i="5"/>
  <c r="E2344" i="5"/>
  <c r="B2344" i="5"/>
  <c r="C2344" i="5"/>
  <c r="H2344" i="5" s="1"/>
  <c r="AK2343" i="5"/>
  <c r="V2343" i="5" s="1"/>
  <c r="AL2343" i="5" s="1"/>
  <c r="AM2343" i="5"/>
  <c r="AN2343" i="5"/>
  <c r="E2343" i="5"/>
  <c r="C2343" i="5"/>
  <c r="D2343" i="5"/>
  <c r="I2343" i="5"/>
  <c r="AB2343" i="5"/>
  <c r="H2343" i="5"/>
  <c r="AE2343" i="5"/>
  <c r="B2343" i="5"/>
  <c r="C2342" i="5"/>
  <c r="AN2342" i="5"/>
  <c r="AE2342" i="5"/>
  <c r="AB2342" i="5"/>
  <c r="H2342" i="5"/>
  <c r="D2342" i="5"/>
  <c r="B2342" i="5"/>
  <c r="AM2342" i="5"/>
  <c r="AK2342" i="5"/>
  <c r="I2342" i="5"/>
  <c r="E2342" i="5"/>
  <c r="AK2341" i="5"/>
  <c r="AM2341" i="5"/>
  <c r="AN2341" i="5"/>
  <c r="AE2341" i="5"/>
  <c r="AB2341" i="5"/>
  <c r="B2341" i="5"/>
  <c r="D2341" i="5"/>
  <c r="I2341" i="5"/>
  <c r="E2341" i="5"/>
  <c r="C2341" i="5"/>
  <c r="H2341" i="5" s="1"/>
  <c r="B2340" i="5"/>
  <c r="I2340" i="5"/>
  <c r="D2340" i="5"/>
  <c r="AN2340" i="5"/>
  <c r="AM2340" i="5"/>
  <c r="C2340" i="5"/>
  <c r="H2340" i="5" s="1"/>
  <c r="AK2340" i="5"/>
  <c r="V2340" i="5" s="1"/>
  <c r="AL2340" i="5" s="1"/>
  <c r="AE2340" i="5"/>
  <c r="AB2340" i="5"/>
  <c r="E2340" i="5"/>
  <c r="AM2339" i="5"/>
  <c r="AB2339" i="5"/>
  <c r="I2339" i="5"/>
  <c r="C2339" i="5"/>
  <c r="H2339" i="5"/>
  <c r="D2339" i="5"/>
  <c r="AE2339" i="5"/>
  <c r="B2339" i="5"/>
  <c r="E2339" i="5"/>
  <c r="AK2339" i="5"/>
  <c r="AN2339" i="5"/>
  <c r="I2338" i="5"/>
  <c r="AK2338" i="5"/>
  <c r="B2338" i="5"/>
  <c r="C2338" i="5"/>
  <c r="H2338" i="5" s="1"/>
  <c r="E2338" i="5"/>
  <c r="AM2338" i="5"/>
  <c r="AB2338" i="5"/>
  <c r="AE2338" i="5"/>
  <c r="AN2338" i="5"/>
  <c r="D2338" i="5"/>
  <c r="C2337" i="5"/>
  <c r="AN2337" i="5"/>
  <c r="H2337" i="5"/>
  <c r="E2337" i="5"/>
  <c r="D2337" i="5"/>
  <c r="B2337" i="5"/>
  <c r="AB2337" i="5"/>
  <c r="AM2337" i="5"/>
  <c r="AK2337" i="5"/>
  <c r="AE2337" i="5"/>
  <c r="I2337" i="5"/>
  <c r="AM2336" i="5"/>
  <c r="AN2336" i="5"/>
  <c r="AK2336" i="5"/>
  <c r="AE2336" i="5"/>
  <c r="I2336" i="5"/>
  <c r="C2336" i="5"/>
  <c r="D2336" i="5"/>
  <c r="B2336" i="5"/>
  <c r="E2336" i="5"/>
  <c r="AB2336" i="5"/>
  <c r="H2336" i="5"/>
  <c r="E2335" i="5"/>
  <c r="AM2335" i="5"/>
  <c r="AK2335" i="5"/>
  <c r="I2335" i="5"/>
  <c r="C2335" i="5"/>
  <c r="D2335" i="5"/>
  <c r="AN2335" i="5"/>
  <c r="AE2335" i="5"/>
  <c r="AB2335" i="5"/>
  <c r="B2335" i="5"/>
  <c r="H2335" i="5"/>
  <c r="C2334" i="5"/>
  <c r="H2334" i="5" s="1"/>
  <c r="I2334" i="5"/>
  <c r="D2334" i="5"/>
  <c r="AB2334" i="5"/>
  <c r="B2334" i="5"/>
  <c r="AM2334" i="5"/>
  <c r="AN2334" i="5"/>
  <c r="AK2334" i="5"/>
  <c r="E2334" i="5"/>
  <c r="AE2334" i="5"/>
  <c r="AK2333" i="5"/>
  <c r="AB2333" i="5"/>
  <c r="AE2333" i="5"/>
  <c r="I2333" i="5"/>
  <c r="C2333" i="5"/>
  <c r="H2333" i="5" s="1"/>
  <c r="AM2333" i="5"/>
  <c r="D2333" i="5"/>
  <c r="B2333" i="5"/>
  <c r="AN2333" i="5"/>
  <c r="E2333" i="5"/>
  <c r="AB2332" i="5"/>
  <c r="AE2332" i="5"/>
  <c r="I2332" i="5"/>
  <c r="B2332" i="5"/>
  <c r="E2332" i="5"/>
  <c r="D2332" i="5"/>
  <c r="C2332" i="5"/>
  <c r="H2332" i="5" s="1"/>
  <c r="AM2332" i="5"/>
  <c r="AK2332" i="5"/>
  <c r="E2331" i="5"/>
  <c r="D2331" i="5"/>
  <c r="I2331" i="5"/>
  <c r="AB2331" i="5"/>
  <c r="B2331" i="5"/>
  <c r="AE2331" i="5"/>
  <c r="C2331" i="5"/>
  <c r="H2331" i="5" s="1"/>
  <c r="AK2331" i="5"/>
  <c r="AM2331" i="5"/>
  <c r="AN2331" i="5"/>
  <c r="AK2330" i="5"/>
  <c r="E2330" i="5"/>
  <c r="AN2330" i="5"/>
  <c r="AE2330" i="5"/>
  <c r="AB2330" i="5"/>
  <c r="AM2330" i="5"/>
  <c r="D2330" i="5"/>
  <c r="C2330" i="5"/>
  <c r="H2330" i="5" s="1"/>
  <c r="B2330" i="5"/>
  <c r="I2330" i="5"/>
  <c r="E2329" i="5"/>
  <c r="D2329" i="5"/>
  <c r="C2329" i="5"/>
  <c r="H2329" i="5" s="1"/>
  <c r="B2329" i="5"/>
  <c r="I2329" i="5"/>
  <c r="AN2329" i="5"/>
  <c r="AM2329" i="5"/>
  <c r="AK2329" i="5"/>
  <c r="AE2329" i="5"/>
  <c r="AB2329" i="5"/>
  <c r="AN2328" i="5"/>
  <c r="B2328" i="5"/>
  <c r="C2328" i="5"/>
  <c r="D2328" i="5"/>
  <c r="E2328" i="5"/>
  <c r="H2328" i="5"/>
  <c r="I2328" i="5"/>
  <c r="AM2328" i="5"/>
  <c r="AB2328" i="5"/>
  <c r="AE2328" i="5"/>
  <c r="AK2328" i="5"/>
  <c r="E2327" i="5"/>
  <c r="D2327" i="5"/>
  <c r="C2327" i="5"/>
  <c r="H2327" i="5" s="1"/>
  <c r="B2327" i="5"/>
  <c r="I2327" i="5"/>
  <c r="AM2327" i="5"/>
  <c r="AK2327" i="5"/>
  <c r="AE2327" i="5"/>
  <c r="AB2327" i="5"/>
  <c r="AN2327" i="5"/>
  <c r="AN2326" i="5"/>
  <c r="AM2326" i="5"/>
  <c r="AK2326" i="5"/>
  <c r="AE2326" i="5"/>
  <c r="AB2326" i="5"/>
  <c r="B2326" i="5"/>
  <c r="C2326" i="5"/>
  <c r="H2326" i="5" s="1"/>
  <c r="I2326" i="5"/>
  <c r="E2326" i="5"/>
  <c r="D2326" i="5"/>
  <c r="C2325" i="5"/>
  <c r="D2325" i="5"/>
  <c r="E2325" i="5"/>
  <c r="B2325" i="5"/>
  <c r="I2325" i="5"/>
  <c r="AB2325" i="5"/>
  <c r="AN2325" i="5"/>
  <c r="AM2325" i="5"/>
  <c r="AK2325" i="5"/>
  <c r="AE2325" i="5"/>
  <c r="H2325" i="5"/>
  <c r="AB2324" i="5"/>
  <c r="AE2324" i="5"/>
  <c r="AK2324" i="5"/>
  <c r="AM2324" i="5"/>
  <c r="AN2324" i="5"/>
  <c r="B2324" i="5"/>
  <c r="C2324" i="5"/>
  <c r="I2324" i="5"/>
  <c r="H2324" i="5"/>
  <c r="E2324" i="5"/>
  <c r="D2324" i="5"/>
  <c r="B2323" i="5"/>
  <c r="AM2323" i="5"/>
  <c r="AB2323" i="5"/>
  <c r="E2323" i="5"/>
  <c r="D2323" i="5"/>
  <c r="C2323" i="5"/>
  <c r="H2323" i="5" s="1"/>
  <c r="I2323" i="5"/>
  <c r="AN2323" i="5"/>
  <c r="AK2323" i="5"/>
  <c r="AE2323" i="5"/>
  <c r="AN2322" i="5"/>
  <c r="AB2322" i="5"/>
  <c r="AE2322" i="5"/>
  <c r="AK2322" i="5"/>
  <c r="AM2322" i="5"/>
  <c r="B2322" i="5"/>
  <c r="C2322" i="5"/>
  <c r="D2322" i="5"/>
  <c r="E2322" i="5"/>
  <c r="H2322" i="5"/>
  <c r="I2322" i="5"/>
  <c r="C2321" i="5"/>
  <c r="D2321" i="5"/>
  <c r="E2321" i="5"/>
  <c r="H2321" i="5"/>
  <c r="I2321" i="5"/>
  <c r="AB2321" i="5"/>
  <c r="AE2321" i="5"/>
  <c r="AM2321" i="5"/>
  <c r="AN2321" i="5"/>
  <c r="AK2321" i="5"/>
  <c r="B2321" i="5"/>
  <c r="AN2320" i="5"/>
  <c r="AK2320" i="5"/>
  <c r="AE2320" i="5"/>
  <c r="AB2320" i="5"/>
  <c r="C2320" i="5"/>
  <c r="AM2320" i="5"/>
  <c r="D2320" i="5"/>
  <c r="E2320" i="5"/>
  <c r="H2320" i="5"/>
  <c r="I2320" i="5"/>
  <c r="B2320" i="5"/>
  <c r="AN2319" i="5"/>
  <c r="AM2319" i="5"/>
  <c r="AK2319" i="5"/>
  <c r="AE2319" i="5"/>
  <c r="AB2319" i="5"/>
  <c r="B2319" i="5"/>
  <c r="C2319" i="5"/>
  <c r="D2319" i="5"/>
  <c r="E2319" i="5"/>
  <c r="H2319" i="5"/>
  <c r="I2319" i="5"/>
  <c r="I2318" i="5"/>
  <c r="E2318" i="5"/>
  <c r="D2318" i="5"/>
  <c r="C2318" i="5"/>
  <c r="B2318" i="5"/>
  <c r="H2318" i="5"/>
  <c r="AN2318" i="5"/>
  <c r="AM2318" i="5"/>
  <c r="AK2318" i="5"/>
  <c r="AE2318" i="5"/>
  <c r="AB2318" i="5"/>
  <c r="AB2317" i="5"/>
  <c r="AN2317" i="5"/>
  <c r="AM2317" i="5"/>
  <c r="AK2317" i="5"/>
  <c r="AE2317" i="5"/>
  <c r="C2317" i="5"/>
  <c r="H2317" i="5" s="1"/>
  <c r="B2317" i="5"/>
  <c r="D2317" i="5"/>
  <c r="E2317" i="5"/>
  <c r="I2317" i="5"/>
  <c r="C2316" i="5"/>
  <c r="AE2316" i="5"/>
  <c r="AM2316" i="5"/>
  <c r="AK2316" i="5"/>
  <c r="AB2316" i="5"/>
  <c r="B2316" i="5"/>
  <c r="D2316" i="5"/>
  <c r="E2316" i="5"/>
  <c r="I2316" i="5"/>
  <c r="AN2316" i="5"/>
  <c r="H2316" i="5"/>
  <c r="I2315" i="5"/>
  <c r="E2315" i="5"/>
  <c r="D2315" i="5"/>
  <c r="C2315" i="5"/>
  <c r="H2315" i="5" s="1"/>
  <c r="B2315" i="5"/>
  <c r="AB2315" i="5"/>
  <c r="AN2315" i="5"/>
  <c r="AM2315" i="5"/>
  <c r="AK2315" i="5"/>
  <c r="AE2315" i="5"/>
  <c r="C2314" i="5"/>
  <c r="E2314" i="5"/>
  <c r="H2314" i="5"/>
  <c r="AE2314" i="5"/>
  <c r="AM2314" i="5"/>
  <c r="AK2314" i="5"/>
  <c r="AN2314" i="5"/>
  <c r="B2314" i="5"/>
  <c r="D2314" i="5"/>
  <c r="I2314" i="5"/>
  <c r="AB2314" i="5"/>
  <c r="AE2313" i="5"/>
  <c r="AN2313" i="5"/>
  <c r="C2313" i="5"/>
  <c r="H2313" i="5" s="1"/>
  <c r="I2313" i="5"/>
  <c r="AM2313" i="5"/>
  <c r="AK2313" i="5"/>
  <c r="AB2313" i="5"/>
  <c r="B2313" i="5"/>
  <c r="D2313" i="5"/>
  <c r="E2313" i="5"/>
  <c r="AM2312" i="5"/>
  <c r="AK2312" i="5"/>
  <c r="C2312" i="5"/>
  <c r="D2312" i="5"/>
  <c r="H2312" i="5"/>
  <c r="I2312" i="5"/>
  <c r="AE2312" i="5"/>
  <c r="AN2312" i="5"/>
  <c r="E2312" i="5"/>
  <c r="B2312" i="5"/>
  <c r="AB2312" i="5"/>
  <c r="AN2311" i="5"/>
  <c r="AB2311" i="5"/>
  <c r="AE2311" i="5"/>
  <c r="AK2311" i="5"/>
  <c r="AM2311" i="5"/>
  <c r="C2311" i="5"/>
  <c r="E2311" i="5"/>
  <c r="I2311" i="5"/>
  <c r="B2311" i="5"/>
  <c r="D2311" i="5"/>
  <c r="H2311" i="5"/>
  <c r="AM2310" i="5"/>
  <c r="AE2310" i="5"/>
  <c r="AK2310" i="5"/>
  <c r="AN2310" i="5"/>
  <c r="I2310" i="5"/>
  <c r="E2310" i="5"/>
  <c r="D2310" i="5"/>
  <c r="C2310" i="5"/>
  <c r="H2310" i="5" s="1"/>
  <c r="B2310" i="5"/>
  <c r="AB2310" i="5"/>
  <c r="AK2309" i="5"/>
  <c r="B2309" i="5"/>
  <c r="C2309" i="5"/>
  <c r="D2309" i="5"/>
  <c r="I2309" i="5"/>
  <c r="E2309" i="5"/>
  <c r="AM2309" i="5"/>
  <c r="AN2309" i="5"/>
  <c r="AE2309" i="5"/>
  <c r="AB2309" i="5"/>
  <c r="H2309" i="5"/>
  <c r="D2308" i="5"/>
  <c r="E2308" i="5"/>
  <c r="AN2308" i="5"/>
  <c r="AM2308" i="5"/>
  <c r="AB2308" i="5"/>
  <c r="B2308" i="5"/>
  <c r="AK2308" i="5"/>
  <c r="AE2308" i="5"/>
  <c r="I2308" i="5"/>
  <c r="C2308" i="5"/>
  <c r="H2308" i="5" s="1"/>
  <c r="AN2307" i="5"/>
  <c r="AM2307" i="5"/>
  <c r="AB2307" i="5"/>
  <c r="C2307" i="5"/>
  <c r="H2307" i="5" s="1"/>
  <c r="B2307" i="5"/>
  <c r="D2307" i="5"/>
  <c r="E2307" i="5"/>
  <c r="I2307" i="5"/>
  <c r="AE2307" i="5"/>
  <c r="AK2307" i="5"/>
  <c r="I2306" i="5"/>
  <c r="E2306" i="5"/>
  <c r="C2306" i="5"/>
  <c r="H2306" i="5" s="1"/>
  <c r="AM2306" i="5"/>
  <c r="AK2306" i="5"/>
  <c r="AE2306" i="5"/>
  <c r="AN2306" i="5"/>
  <c r="AB2306" i="5"/>
  <c r="D2306" i="5"/>
  <c r="B2306" i="5"/>
  <c r="AK2305" i="5"/>
  <c r="AM2305" i="5"/>
  <c r="I2305" i="5"/>
  <c r="AB2305" i="5"/>
  <c r="AE2305" i="5"/>
  <c r="B2305" i="5"/>
  <c r="C2305" i="5"/>
  <c r="D2305" i="5"/>
  <c r="E2305" i="5"/>
  <c r="H2305" i="5"/>
  <c r="AN2305" i="5"/>
  <c r="I2304" i="5"/>
  <c r="E2304" i="5"/>
  <c r="D2304" i="5"/>
  <c r="C2304" i="5"/>
  <c r="AK2304" i="5"/>
  <c r="AB2304" i="5"/>
  <c r="AM2304" i="5"/>
  <c r="B2304" i="5"/>
  <c r="H2304" i="5"/>
  <c r="AN2304" i="5"/>
  <c r="AE2304" i="5"/>
  <c r="I2303" i="5"/>
  <c r="D2303" i="5"/>
  <c r="B2303" i="5"/>
  <c r="C2303" i="5"/>
  <c r="E2303" i="5"/>
  <c r="H2303" i="5"/>
  <c r="AN2303" i="5"/>
  <c r="AK2303" i="5"/>
  <c r="AB2303" i="5"/>
  <c r="AE2303" i="5"/>
  <c r="AM2303" i="5"/>
  <c r="I2302" i="5"/>
  <c r="C2302" i="5"/>
  <c r="D2302" i="5"/>
  <c r="AM2302" i="5"/>
  <c r="AN2302" i="5"/>
  <c r="B2302" i="5"/>
  <c r="AK2302" i="5"/>
  <c r="AB2302" i="5"/>
  <c r="E2302" i="5"/>
  <c r="AE2302" i="5"/>
  <c r="H2302" i="5"/>
  <c r="AM2301" i="5"/>
  <c r="AE2301" i="5"/>
  <c r="AN2301" i="5"/>
  <c r="D2301" i="5"/>
  <c r="AK2301" i="5"/>
  <c r="AB2301" i="5"/>
  <c r="B2301" i="5"/>
  <c r="C2301" i="5"/>
  <c r="H2301" i="5" s="1"/>
  <c r="E2301" i="5"/>
  <c r="I2301" i="5"/>
  <c r="AK2300" i="5"/>
  <c r="AM2300" i="5"/>
  <c r="E2300" i="5"/>
  <c r="B2300" i="5"/>
  <c r="I2300" i="5"/>
  <c r="D2300" i="5"/>
  <c r="C2300" i="5"/>
  <c r="H2300" i="5" s="1"/>
  <c r="AB2300" i="5"/>
  <c r="AN2300" i="5"/>
  <c r="AE2300" i="5"/>
  <c r="I2299" i="5"/>
  <c r="E2299" i="5"/>
  <c r="C2299" i="5"/>
  <c r="H2299" i="5" s="1"/>
  <c r="B2299" i="5"/>
  <c r="D2299" i="5"/>
  <c r="AM2299" i="5"/>
  <c r="AB2299" i="5"/>
  <c r="AE2299" i="5"/>
  <c r="AN2299" i="5"/>
  <c r="AK2299" i="5"/>
  <c r="C2298" i="5"/>
  <c r="H2298" i="5" s="1"/>
  <c r="AB2298" i="5"/>
  <c r="E2298" i="5"/>
  <c r="I2298" i="5"/>
  <c r="D2298" i="5"/>
  <c r="AE2298" i="5"/>
  <c r="AK2298" i="5"/>
  <c r="AM2298" i="5"/>
  <c r="AN2298" i="5"/>
  <c r="B2298" i="5"/>
  <c r="D2297" i="5"/>
  <c r="C2297" i="5"/>
  <c r="E2297" i="5"/>
  <c r="AE2297" i="5"/>
  <c r="AN2297" i="5"/>
  <c r="H2297" i="5"/>
  <c r="B2297" i="5"/>
  <c r="AM2297" i="5"/>
  <c r="AK2297" i="5"/>
  <c r="AB2297" i="5"/>
  <c r="I2297" i="5"/>
  <c r="I2296" i="5"/>
  <c r="E2296" i="5"/>
  <c r="D2296" i="5"/>
  <c r="C2296" i="5"/>
  <c r="H2296" i="5" s="1"/>
  <c r="B2296" i="5"/>
  <c r="AK2295" i="5"/>
  <c r="AE2295" i="5"/>
  <c r="AB2295" i="5"/>
  <c r="AN2295" i="5"/>
  <c r="AM2295" i="5"/>
  <c r="I2295" i="5"/>
  <c r="E2295" i="5"/>
  <c r="D2295" i="5"/>
  <c r="C2295" i="5"/>
  <c r="H2295" i="5" s="1"/>
  <c r="B2295" i="5"/>
  <c r="AN2294" i="5"/>
  <c r="AM2294" i="5"/>
  <c r="AK2294" i="5"/>
  <c r="AE2294" i="5"/>
  <c r="AB2294" i="5"/>
  <c r="I2294" i="5"/>
  <c r="E2294" i="5"/>
  <c r="D2294" i="5"/>
  <c r="C2294" i="5"/>
  <c r="H2294" i="5" s="1"/>
  <c r="B2294" i="5"/>
  <c r="AK2293" i="5"/>
  <c r="AE2293" i="5"/>
  <c r="AB2293" i="5"/>
  <c r="AN2293" i="5"/>
  <c r="AM2293" i="5"/>
  <c r="I2293" i="5"/>
  <c r="E2293" i="5"/>
  <c r="D2293" i="5"/>
  <c r="C2293" i="5"/>
  <c r="H2293" i="5" s="1"/>
  <c r="B2293" i="5"/>
  <c r="AK2292" i="5"/>
  <c r="AE2292" i="5"/>
  <c r="AB2292" i="5"/>
  <c r="AN2292" i="5"/>
  <c r="AM2292" i="5"/>
  <c r="I2292" i="5"/>
  <c r="E2292" i="5"/>
  <c r="D2292" i="5"/>
  <c r="C2292" i="5"/>
  <c r="H2292" i="5" s="1"/>
  <c r="B2292" i="5"/>
  <c r="AN2291" i="5"/>
  <c r="AM2291" i="5"/>
  <c r="AK2291" i="5"/>
  <c r="AE2291" i="5"/>
  <c r="AB2291" i="5"/>
  <c r="I2291" i="5"/>
  <c r="E2291" i="5"/>
  <c r="D2291" i="5"/>
  <c r="C2291" i="5"/>
  <c r="H2291" i="5" s="1"/>
  <c r="B2291" i="5"/>
  <c r="AK2290" i="5"/>
  <c r="AE2290" i="5"/>
  <c r="AB2290" i="5"/>
  <c r="AN2290" i="5"/>
  <c r="AM2290" i="5"/>
  <c r="I2290" i="5"/>
  <c r="E2290" i="5"/>
  <c r="D2290" i="5"/>
  <c r="C2290" i="5"/>
  <c r="H2290" i="5" s="1"/>
  <c r="B2290" i="5"/>
  <c r="AN2289" i="5"/>
  <c r="AM2289" i="5"/>
  <c r="AK2289" i="5"/>
  <c r="AE2289" i="5"/>
  <c r="AB2289" i="5"/>
  <c r="I2289" i="5"/>
  <c r="E2289" i="5"/>
  <c r="D2289" i="5"/>
  <c r="C2289" i="5"/>
  <c r="H2289" i="5" s="1"/>
  <c r="B2289" i="5"/>
  <c r="AN2288" i="5"/>
  <c r="AM2288" i="5"/>
  <c r="AK2288" i="5"/>
  <c r="AE2288" i="5"/>
  <c r="AB2288" i="5"/>
  <c r="I2288" i="5"/>
  <c r="E2288" i="5"/>
  <c r="D2288" i="5"/>
  <c r="C2288" i="5"/>
  <c r="H2288" i="5" s="1"/>
  <c r="B2288" i="5"/>
  <c r="AK2287" i="5"/>
  <c r="AE2287" i="5"/>
  <c r="AB2287" i="5"/>
  <c r="AN2287" i="5"/>
  <c r="AM2287" i="5"/>
  <c r="I2287" i="5"/>
  <c r="E2287" i="5"/>
  <c r="D2287" i="5"/>
  <c r="C2287" i="5"/>
  <c r="H2287" i="5" s="1"/>
  <c r="B2287" i="5"/>
  <c r="AK2286" i="5"/>
  <c r="AE2286" i="5"/>
  <c r="AB2286" i="5"/>
  <c r="AN2286" i="5"/>
  <c r="AM2286" i="5"/>
  <c r="I2286" i="5"/>
  <c r="E2286" i="5"/>
  <c r="D2286" i="5"/>
  <c r="C2286" i="5"/>
  <c r="H2286" i="5" s="1"/>
  <c r="B2286" i="5"/>
  <c r="AM2285" i="5"/>
  <c r="AK2285" i="5"/>
  <c r="AE2285" i="5"/>
  <c r="AB2285" i="5"/>
  <c r="AN2285" i="5"/>
  <c r="I2285" i="5"/>
  <c r="E2285" i="5"/>
  <c r="D2285" i="5"/>
  <c r="C2285" i="5"/>
  <c r="H2285" i="5" s="1"/>
  <c r="B2285" i="5"/>
  <c r="AK2284" i="5"/>
  <c r="AE2284" i="5"/>
  <c r="AB2284" i="5"/>
  <c r="AN2284" i="5"/>
  <c r="AM2284" i="5"/>
  <c r="I2284" i="5"/>
  <c r="E2284" i="5"/>
  <c r="D2284" i="5"/>
  <c r="C2284" i="5"/>
  <c r="H2284" i="5" s="1"/>
  <c r="B2284" i="5"/>
  <c r="AK2283" i="5"/>
  <c r="AE2283" i="5"/>
  <c r="AB2283" i="5"/>
  <c r="AN2283" i="5"/>
  <c r="AM2283" i="5"/>
  <c r="I2283" i="5"/>
  <c r="E2283" i="5"/>
  <c r="D2283" i="5"/>
  <c r="C2283" i="5"/>
  <c r="H2283" i="5" s="1"/>
  <c r="B2283" i="5"/>
  <c r="AN2282" i="5"/>
  <c r="AM2282" i="5"/>
  <c r="AK2282" i="5"/>
  <c r="AE2282" i="5"/>
  <c r="AB2282" i="5"/>
  <c r="I2282" i="5"/>
  <c r="E2282" i="5"/>
  <c r="D2282" i="5"/>
  <c r="C2282" i="5"/>
  <c r="H2282" i="5" s="1"/>
  <c r="B2282" i="5"/>
  <c r="AN2281" i="5"/>
  <c r="AM2281" i="5"/>
  <c r="AK2281" i="5"/>
  <c r="AE2281" i="5"/>
  <c r="AB2281" i="5"/>
  <c r="I2281" i="5"/>
  <c r="E2281" i="5"/>
  <c r="D2281" i="5"/>
  <c r="C2281" i="5"/>
  <c r="H2281" i="5" s="1"/>
  <c r="B2281" i="5"/>
  <c r="AM2280" i="5"/>
  <c r="AK2280" i="5"/>
  <c r="AE2280" i="5"/>
  <c r="AB2280" i="5"/>
  <c r="AN2280" i="5"/>
  <c r="I2280" i="5"/>
  <c r="E2280" i="5"/>
  <c r="D2280" i="5"/>
  <c r="C2280" i="5"/>
  <c r="H2280" i="5" s="1"/>
  <c r="B2280" i="5"/>
  <c r="AK2279" i="5"/>
  <c r="AE2279" i="5"/>
  <c r="AB2279" i="5"/>
  <c r="AN2279" i="5"/>
  <c r="AM2279" i="5"/>
  <c r="I2279" i="5"/>
  <c r="E2279" i="5"/>
  <c r="D2279" i="5"/>
  <c r="C2279" i="5"/>
  <c r="H2279" i="5" s="1"/>
  <c r="B2279" i="5"/>
  <c r="AK2278" i="5"/>
  <c r="AE2278" i="5"/>
  <c r="AB2278" i="5"/>
  <c r="AN2278" i="5"/>
  <c r="AM2278" i="5"/>
  <c r="I2278" i="5"/>
  <c r="E2278" i="5"/>
  <c r="D2278" i="5"/>
  <c r="C2278" i="5"/>
  <c r="H2278" i="5" s="1"/>
  <c r="B2278" i="5"/>
  <c r="AN2277" i="5"/>
  <c r="AM2277" i="5"/>
  <c r="AK2277" i="5"/>
  <c r="AE2277" i="5"/>
  <c r="AB2277" i="5"/>
  <c r="I2277" i="5"/>
  <c r="E2277" i="5"/>
  <c r="D2277" i="5"/>
  <c r="C2277" i="5"/>
  <c r="H2277" i="5" s="1"/>
  <c r="B2277" i="5"/>
  <c r="AN2276" i="5"/>
  <c r="AM2276" i="5"/>
  <c r="AK2276" i="5"/>
  <c r="AE2276" i="5"/>
  <c r="AB2276" i="5"/>
  <c r="I2276" i="5"/>
  <c r="E2276" i="5"/>
  <c r="D2276" i="5"/>
  <c r="C2276" i="5"/>
  <c r="H2276" i="5" s="1"/>
  <c r="B2276" i="5"/>
  <c r="AM2275" i="5"/>
  <c r="AK2275" i="5"/>
  <c r="AE2275" i="5"/>
  <c r="AB2275" i="5"/>
  <c r="AN2275" i="5"/>
  <c r="I2275" i="5"/>
  <c r="E2275" i="5"/>
  <c r="D2275" i="5"/>
  <c r="C2275" i="5"/>
  <c r="H2275" i="5" s="1"/>
  <c r="B2275" i="5"/>
  <c r="AK2274" i="5"/>
  <c r="AE2274" i="5"/>
  <c r="AB2274" i="5"/>
  <c r="AN2274" i="5"/>
  <c r="AM2274" i="5"/>
  <c r="I2274" i="5"/>
  <c r="E2274" i="5"/>
  <c r="D2274" i="5"/>
  <c r="C2274" i="5"/>
  <c r="H2274" i="5" s="1"/>
  <c r="B2274" i="5"/>
  <c r="AK2273" i="5"/>
  <c r="AE2273" i="5"/>
  <c r="AB2273" i="5"/>
  <c r="AN2273" i="5"/>
  <c r="AM2273" i="5"/>
  <c r="I2273" i="5"/>
  <c r="E2273" i="5"/>
  <c r="D2273" i="5"/>
  <c r="C2273" i="5"/>
  <c r="H2273" i="5" s="1"/>
  <c r="B2273" i="5"/>
  <c r="AN2272" i="5"/>
  <c r="AM2272" i="5"/>
  <c r="AK2272" i="5"/>
  <c r="AE2272" i="5"/>
  <c r="AB2272" i="5"/>
  <c r="I2272" i="5"/>
  <c r="E2272" i="5"/>
  <c r="D2272" i="5"/>
  <c r="C2272" i="5"/>
  <c r="H2272" i="5" s="1"/>
  <c r="B2272" i="5"/>
  <c r="AN2271" i="5"/>
  <c r="AM2271" i="5"/>
  <c r="AK2271" i="5"/>
  <c r="AE2271" i="5"/>
  <c r="AB2271" i="5"/>
  <c r="I2271" i="5"/>
  <c r="E2271" i="5"/>
  <c r="D2271" i="5"/>
  <c r="C2271" i="5"/>
  <c r="H2271" i="5" s="1"/>
  <c r="B2271" i="5"/>
  <c r="AM2270" i="5"/>
  <c r="AK2270" i="5"/>
  <c r="AE2270" i="5"/>
  <c r="AB2270" i="5"/>
  <c r="AN2270" i="5"/>
  <c r="I2270" i="5"/>
  <c r="E2270" i="5"/>
  <c r="D2270" i="5"/>
  <c r="C2270" i="5"/>
  <c r="H2270" i="5" s="1"/>
  <c r="B2270" i="5"/>
  <c r="AK2269" i="5"/>
  <c r="AE2269" i="5"/>
  <c r="AB2269" i="5"/>
  <c r="AN2269" i="5"/>
  <c r="AM2269" i="5"/>
  <c r="I2269" i="5"/>
  <c r="E2269" i="5"/>
  <c r="D2269" i="5"/>
  <c r="C2269" i="5"/>
  <c r="H2269" i="5" s="1"/>
  <c r="B2269" i="5"/>
  <c r="AM2268" i="5"/>
  <c r="AK2268" i="5"/>
  <c r="AE2268" i="5"/>
  <c r="AB2268" i="5"/>
  <c r="AN2268" i="5"/>
  <c r="I2268" i="5"/>
  <c r="E2268" i="5"/>
  <c r="D2268" i="5"/>
  <c r="C2268" i="5"/>
  <c r="H2268" i="5" s="1"/>
  <c r="B2268" i="5"/>
  <c r="AK2267" i="5"/>
  <c r="AE2267" i="5"/>
  <c r="AB2267" i="5"/>
  <c r="AN2267" i="5"/>
  <c r="AM2267" i="5"/>
  <c r="I2267" i="5"/>
  <c r="E2267" i="5"/>
  <c r="D2267" i="5"/>
  <c r="C2267" i="5"/>
  <c r="H2267" i="5" s="1"/>
  <c r="B2267" i="5"/>
  <c r="E2266" i="5"/>
  <c r="B2266" i="5"/>
  <c r="C2266" i="5"/>
  <c r="D2266" i="5"/>
  <c r="H2266" i="5"/>
  <c r="AM2266" i="5"/>
  <c r="I2266" i="5"/>
  <c r="AN2266" i="5"/>
  <c r="AB2266" i="5"/>
  <c r="AE2266" i="5"/>
  <c r="AK2266" i="5"/>
  <c r="I2265" i="5"/>
  <c r="B2265" i="5"/>
  <c r="AN2265" i="5"/>
  <c r="AM2265" i="5"/>
  <c r="AK2265" i="5"/>
  <c r="AE2265" i="5"/>
  <c r="AB2265" i="5"/>
  <c r="E2265" i="5"/>
  <c r="D2265" i="5"/>
  <c r="C2265" i="5"/>
  <c r="H2265" i="5" s="1"/>
  <c r="D2264" i="5"/>
  <c r="I2264" i="5"/>
  <c r="AN2264" i="5"/>
  <c r="AB2264" i="5"/>
  <c r="E2264" i="5"/>
  <c r="AK2264" i="5"/>
  <c r="AE2264" i="5"/>
  <c r="B2264" i="5"/>
  <c r="C2264" i="5"/>
  <c r="H2264" i="5" s="1"/>
  <c r="AM2264" i="5"/>
  <c r="I2263" i="5"/>
  <c r="AE2263" i="5"/>
  <c r="AK2263" i="5"/>
  <c r="AM2263" i="5"/>
  <c r="AN2263" i="5"/>
  <c r="AB2263" i="5"/>
  <c r="E2263" i="5"/>
  <c r="B2263" i="5"/>
  <c r="C2263" i="5"/>
  <c r="H2263" i="5" s="1"/>
  <c r="D2263" i="5"/>
  <c r="I2262" i="5"/>
  <c r="AB2262" i="5"/>
  <c r="AE2262" i="5"/>
  <c r="AK2262" i="5"/>
  <c r="AM2262" i="5"/>
  <c r="B2262" i="5"/>
  <c r="AN2262" i="5"/>
  <c r="C2262" i="5"/>
  <c r="D2262" i="5"/>
  <c r="E2262" i="5"/>
  <c r="H2262" i="5"/>
  <c r="I2261" i="5"/>
  <c r="B2261" i="5"/>
  <c r="C2261" i="5"/>
  <c r="D2261" i="5"/>
  <c r="E2261" i="5"/>
  <c r="AN2261" i="5"/>
  <c r="H2261" i="5"/>
  <c r="AM2261" i="5"/>
  <c r="AK2261" i="5"/>
  <c r="AE2261" i="5"/>
  <c r="AB2261" i="5"/>
  <c r="B2260" i="5"/>
  <c r="C2260" i="5"/>
  <c r="H2260" i="5" s="1"/>
  <c r="D2260" i="5"/>
  <c r="B2259" i="5"/>
  <c r="AK2259" i="5"/>
  <c r="I2259" i="5"/>
  <c r="E2259" i="5"/>
  <c r="C2259" i="5"/>
  <c r="H2259" i="5" s="1"/>
  <c r="D2259" i="5"/>
  <c r="AN2259" i="5"/>
  <c r="AM2259" i="5"/>
  <c r="AE2259" i="5"/>
  <c r="AB2259" i="5"/>
  <c r="E2258" i="5"/>
  <c r="I2258" i="5"/>
  <c r="AB2258" i="5"/>
  <c r="AE2258" i="5"/>
  <c r="AK2258" i="5"/>
  <c r="AM2258" i="5"/>
  <c r="AN2258" i="5"/>
  <c r="B2258" i="5"/>
  <c r="C2258" i="5"/>
  <c r="H2258" i="5" s="1"/>
  <c r="D2258" i="5"/>
  <c r="E2257" i="5"/>
  <c r="I2257" i="5"/>
  <c r="D2257" i="5"/>
  <c r="AE2257" i="5"/>
  <c r="AK2257" i="5"/>
  <c r="AM2257" i="5"/>
  <c r="AB2257" i="5"/>
  <c r="B2257" i="5"/>
  <c r="C2257" i="5"/>
  <c r="H2257" i="5" s="1"/>
  <c r="AN2257" i="5"/>
  <c r="AK2256" i="5"/>
  <c r="D2256" i="5"/>
  <c r="E2256" i="5"/>
  <c r="I2256" i="5"/>
  <c r="B2256" i="5"/>
  <c r="C2256" i="5"/>
  <c r="H2256" i="5" s="1"/>
  <c r="AN2256" i="5"/>
  <c r="AM2256" i="5"/>
  <c r="AE2256" i="5"/>
  <c r="AB2256" i="5"/>
  <c r="C2255" i="5"/>
  <c r="AK2255" i="5"/>
  <c r="AE2255" i="5"/>
  <c r="AB2255" i="5"/>
  <c r="D2255" i="5"/>
  <c r="E2255" i="5"/>
  <c r="I2255" i="5"/>
  <c r="H2255" i="5"/>
  <c r="B2255" i="5"/>
  <c r="AM2255" i="5"/>
  <c r="AN2255" i="5"/>
  <c r="AK2254" i="5"/>
  <c r="AM2254" i="5"/>
  <c r="AN2254" i="5"/>
  <c r="D2254" i="5"/>
  <c r="B2254" i="5"/>
  <c r="E2254" i="5"/>
  <c r="AB2254" i="5"/>
  <c r="AE2254" i="5"/>
  <c r="C2254" i="5"/>
  <c r="H2254" i="5" s="1"/>
  <c r="I2254" i="5"/>
  <c r="AN2253" i="5"/>
  <c r="AM2253" i="5"/>
  <c r="AK2253" i="5"/>
  <c r="AE2253" i="5"/>
  <c r="AB2253" i="5"/>
  <c r="I2253" i="5"/>
  <c r="E2253" i="5"/>
  <c r="D2253" i="5"/>
  <c r="C2253" i="5"/>
  <c r="H2253" i="5" s="1"/>
  <c r="B2253" i="5"/>
  <c r="AN2252" i="5"/>
  <c r="I2252" i="5"/>
  <c r="B2252" i="5"/>
  <c r="C2252" i="5"/>
  <c r="H2252" i="5" s="1"/>
  <c r="D2252" i="5"/>
  <c r="E2252" i="5"/>
  <c r="AB2252" i="5"/>
  <c r="AE2252" i="5"/>
  <c r="AK2252" i="5"/>
  <c r="AM2252" i="5"/>
  <c r="AN2251" i="5"/>
  <c r="B2251" i="5"/>
  <c r="C2251" i="5"/>
  <c r="D2251" i="5"/>
  <c r="E2251" i="5"/>
  <c r="H2251" i="5"/>
  <c r="I2251" i="5"/>
  <c r="AB2251" i="5"/>
  <c r="AE2251" i="5"/>
  <c r="AK2251" i="5"/>
  <c r="AM2251" i="5"/>
  <c r="B2250" i="5"/>
  <c r="AK2250" i="5"/>
  <c r="AM2250" i="5"/>
  <c r="AN2250" i="5"/>
  <c r="I2250" i="5"/>
  <c r="AE2250" i="5"/>
  <c r="E2250" i="5"/>
  <c r="D2250" i="5"/>
  <c r="C2250" i="5"/>
  <c r="H2250" i="5" s="1"/>
  <c r="AB2250" i="5"/>
  <c r="D2249" i="5"/>
  <c r="C2249" i="5"/>
  <c r="AM2249" i="5"/>
  <c r="AK2249" i="5"/>
  <c r="AE2249" i="5"/>
  <c r="AB2249" i="5"/>
  <c r="AN2249" i="5"/>
  <c r="I2249" i="5"/>
  <c r="H2249" i="5"/>
  <c r="E2249" i="5"/>
  <c r="B2249" i="5"/>
  <c r="B2248" i="5"/>
  <c r="AN2248" i="5"/>
  <c r="AM2248" i="5"/>
  <c r="AK2248" i="5"/>
  <c r="AE2248" i="5"/>
  <c r="AB2248" i="5"/>
  <c r="I2248" i="5"/>
  <c r="E2248" i="5"/>
  <c r="D2248" i="5"/>
  <c r="C2248" i="5"/>
  <c r="H2248" i="5" s="1"/>
  <c r="I2247" i="5"/>
  <c r="E2247" i="5"/>
  <c r="D2247" i="5"/>
  <c r="C2247" i="5"/>
  <c r="H2247" i="5" s="1"/>
  <c r="B2247" i="5"/>
  <c r="AE2247" i="5"/>
  <c r="AB2247" i="5"/>
  <c r="AN2247" i="5"/>
  <c r="AM2247" i="5"/>
  <c r="AK2247" i="5"/>
  <c r="AM2246" i="5"/>
  <c r="AK2246" i="5"/>
  <c r="AE2246" i="5"/>
  <c r="AB2246" i="5"/>
  <c r="E2246" i="5"/>
  <c r="D2246" i="5"/>
  <c r="C2246" i="5"/>
  <c r="B2246" i="5"/>
  <c r="I2246" i="5"/>
  <c r="AN2246" i="5"/>
  <c r="H2246" i="5"/>
  <c r="D2245" i="5"/>
  <c r="C2245" i="5"/>
  <c r="B2245" i="5"/>
  <c r="AE2245" i="5"/>
  <c r="AB2245" i="5"/>
  <c r="AN2245" i="5"/>
  <c r="AM2245" i="5"/>
  <c r="E2245" i="5"/>
  <c r="H2245" i="5"/>
  <c r="I2245" i="5"/>
  <c r="AK2245" i="5"/>
  <c r="AK2244" i="5"/>
  <c r="AM2244" i="5"/>
  <c r="AN2244" i="5"/>
  <c r="B2244" i="5"/>
  <c r="C2244" i="5"/>
  <c r="D2244" i="5"/>
  <c r="E2244" i="5"/>
  <c r="H2244" i="5"/>
  <c r="I2244" i="5"/>
  <c r="AB2244" i="5"/>
  <c r="AE2244" i="5"/>
  <c r="E2243" i="5"/>
  <c r="D2243" i="5"/>
  <c r="C2243" i="5"/>
  <c r="H2243" i="5" s="1"/>
  <c r="B2243" i="5"/>
  <c r="I2243" i="5"/>
  <c r="AN2243" i="5"/>
  <c r="AB2243" i="5"/>
  <c r="AE2243" i="5"/>
  <c r="AK2243" i="5"/>
  <c r="AM2243" i="5"/>
  <c r="AN2242" i="5"/>
  <c r="AM2242" i="5"/>
  <c r="AK2242" i="5"/>
  <c r="AE2242" i="5"/>
  <c r="AB2242" i="5"/>
  <c r="I2242" i="5"/>
  <c r="E2242" i="5"/>
  <c r="D2242" i="5"/>
  <c r="C2242" i="5"/>
  <c r="H2242" i="5" s="1"/>
  <c r="B2242" i="5"/>
  <c r="AN2241" i="5"/>
  <c r="AM2241" i="5"/>
  <c r="AK2241" i="5"/>
  <c r="AE2241" i="5"/>
  <c r="AB2241" i="5"/>
  <c r="B2241" i="5"/>
  <c r="C2241" i="5"/>
  <c r="E2241" i="5"/>
  <c r="D2241" i="5"/>
  <c r="H2241" i="5"/>
  <c r="I2241" i="5"/>
  <c r="I2240" i="5"/>
  <c r="E2240" i="5"/>
  <c r="D2240" i="5"/>
  <c r="C2240" i="5"/>
  <c r="H2240" i="5" s="1"/>
  <c r="B2240" i="5"/>
  <c r="AE2240" i="5"/>
  <c r="AK2240" i="5"/>
  <c r="AB2240" i="5"/>
  <c r="AM2240" i="5"/>
  <c r="AN2240" i="5"/>
  <c r="C2239" i="5"/>
  <c r="H2239" i="5" s="1"/>
  <c r="E2239" i="5"/>
  <c r="D2239" i="5"/>
  <c r="B2239" i="5"/>
  <c r="AE2239" i="5"/>
  <c r="AK2239" i="5"/>
  <c r="AM2239" i="5"/>
  <c r="AN2239" i="5"/>
  <c r="AB2239" i="5"/>
  <c r="I2239" i="5"/>
  <c r="D2238" i="5"/>
  <c r="C2238" i="5"/>
  <c r="B2238" i="5"/>
  <c r="AN2238" i="5"/>
  <c r="AM2238" i="5"/>
  <c r="AK2238" i="5"/>
  <c r="AE2238" i="5"/>
  <c r="AB2238" i="5"/>
  <c r="I2238" i="5"/>
  <c r="H2238" i="5"/>
  <c r="E2238" i="5"/>
  <c r="E2237" i="5"/>
  <c r="D2237" i="5"/>
  <c r="C2237" i="5"/>
  <c r="H2237" i="5" s="1"/>
  <c r="B2237" i="5"/>
  <c r="AE2237" i="5"/>
  <c r="AB2237" i="5"/>
  <c r="AK2237" i="5"/>
  <c r="AM2237" i="5"/>
  <c r="I2237" i="5"/>
  <c r="AN2237" i="5"/>
  <c r="AN2236" i="5"/>
  <c r="AM2236" i="5"/>
  <c r="AK2236" i="5"/>
  <c r="AB2236" i="5"/>
  <c r="I2236" i="5"/>
  <c r="E2236" i="5"/>
  <c r="D2236" i="5"/>
  <c r="C2236" i="5"/>
  <c r="H2236" i="5" s="1"/>
  <c r="B2236" i="5"/>
  <c r="AE2236" i="5"/>
  <c r="AN2235" i="5"/>
  <c r="AM2235" i="5"/>
  <c r="D2235" i="5"/>
  <c r="C2235" i="5"/>
  <c r="B2235" i="5"/>
  <c r="AK2235" i="5"/>
  <c r="H2235" i="5"/>
  <c r="I2235" i="5"/>
  <c r="E2235" i="5"/>
  <c r="AB2235" i="5"/>
  <c r="AE2235" i="5"/>
  <c r="AN2234" i="5"/>
  <c r="AM2234" i="5"/>
  <c r="AK2234" i="5"/>
  <c r="AE2234" i="5"/>
  <c r="AB2234" i="5"/>
  <c r="D2234" i="5"/>
  <c r="C2234" i="5"/>
  <c r="H2234" i="5" s="1"/>
  <c r="I2234" i="5"/>
  <c r="B2234" i="5"/>
  <c r="E2234" i="5"/>
  <c r="E2233" i="5"/>
  <c r="D2233" i="5"/>
  <c r="C2233" i="5"/>
  <c r="H2233" i="5" s="1"/>
  <c r="B2233" i="5"/>
  <c r="AN2233" i="5"/>
  <c r="AM2233" i="5"/>
  <c r="AK2233" i="5"/>
  <c r="AE2233" i="5"/>
  <c r="AB2233" i="5"/>
  <c r="I2233" i="5"/>
  <c r="I2232" i="5"/>
  <c r="E2232" i="5"/>
  <c r="D2232" i="5"/>
  <c r="C2232" i="5"/>
  <c r="H2232" i="5" s="1"/>
  <c r="B2232" i="5"/>
  <c r="AK2232" i="5"/>
  <c r="AN2232" i="5"/>
  <c r="AM2232" i="5"/>
  <c r="AE2232" i="5"/>
  <c r="AB2232" i="5"/>
  <c r="AN2231" i="5"/>
  <c r="AM2231" i="5"/>
  <c r="AK2231" i="5"/>
  <c r="AE2231" i="5"/>
  <c r="AB2231" i="5"/>
  <c r="I2231" i="5"/>
  <c r="E2231" i="5"/>
  <c r="D2231" i="5"/>
  <c r="C2231" i="5"/>
  <c r="H2231" i="5" s="1"/>
  <c r="B2231" i="5"/>
  <c r="E2230" i="5"/>
  <c r="D2230" i="5"/>
  <c r="C2230" i="5"/>
  <c r="H2230" i="5" s="1"/>
  <c r="AM2230" i="5"/>
  <c r="AE2230" i="5"/>
  <c r="AB2230" i="5"/>
  <c r="I2230" i="5"/>
  <c r="AK2230" i="5"/>
  <c r="AN2230" i="5"/>
  <c r="B2230" i="5"/>
  <c r="D2229" i="5"/>
  <c r="C2229" i="5"/>
  <c r="H2229" i="5" s="1"/>
  <c r="B2229" i="5"/>
  <c r="E2229" i="5"/>
  <c r="AK2229" i="5"/>
  <c r="AE2229" i="5"/>
  <c r="AB2229" i="5"/>
  <c r="AN2229" i="5"/>
  <c r="AM2229" i="5"/>
  <c r="I2229" i="5"/>
  <c r="I2228" i="5"/>
  <c r="E2228" i="5"/>
  <c r="D2228" i="5"/>
  <c r="C2228" i="5"/>
  <c r="H2228" i="5" s="1"/>
  <c r="B2228" i="5"/>
  <c r="AK2228" i="5"/>
  <c r="AE2228" i="5"/>
  <c r="AB2228" i="5"/>
  <c r="AN2228" i="5"/>
  <c r="AM2228" i="5"/>
  <c r="E2227" i="5"/>
  <c r="D2227" i="5"/>
  <c r="C2227" i="5"/>
  <c r="H2227" i="5" s="1"/>
  <c r="B2227" i="5"/>
  <c r="AK2227" i="5"/>
  <c r="AE2227" i="5"/>
  <c r="AB2227" i="5"/>
  <c r="AN2227" i="5"/>
  <c r="AM2227" i="5"/>
  <c r="I2227" i="5"/>
  <c r="I2226" i="5"/>
  <c r="E2226" i="5"/>
  <c r="D2226" i="5"/>
  <c r="C2226" i="5"/>
  <c r="H2226" i="5" s="1"/>
  <c r="B2226" i="5"/>
  <c r="AM2226" i="5"/>
  <c r="AN2226" i="5"/>
  <c r="AK2226" i="5"/>
  <c r="AE2226" i="5"/>
  <c r="AB2226" i="5"/>
  <c r="AN2225" i="5"/>
  <c r="AM2225" i="5"/>
  <c r="AK2225" i="5"/>
  <c r="AE2225" i="5"/>
  <c r="AB2225" i="5"/>
  <c r="I2225" i="5"/>
  <c r="E2225" i="5"/>
  <c r="D2225" i="5"/>
  <c r="C2225" i="5"/>
  <c r="H2225" i="5" s="1"/>
  <c r="B2225" i="5"/>
  <c r="AE2224" i="5"/>
  <c r="AM2224" i="5"/>
  <c r="AB2224" i="5"/>
  <c r="AK2224" i="5"/>
  <c r="I2224" i="5"/>
  <c r="AN2224" i="5"/>
  <c r="E2224" i="5"/>
  <c r="D2224" i="5"/>
  <c r="C2224" i="5"/>
  <c r="H2224" i="5" s="1"/>
  <c r="B2224" i="5"/>
  <c r="I2223" i="5"/>
  <c r="E2223" i="5"/>
  <c r="D2223" i="5"/>
  <c r="C2223" i="5"/>
  <c r="H2223" i="5" s="1"/>
  <c r="B2223" i="5"/>
  <c r="AE2223" i="5"/>
  <c r="AB2223" i="5"/>
  <c r="AB2222" i="5"/>
  <c r="B2222" i="5"/>
  <c r="C2222" i="5"/>
  <c r="D2222" i="5"/>
  <c r="E2222" i="5"/>
  <c r="H2222" i="5"/>
  <c r="I2222" i="5"/>
  <c r="AN2222" i="5"/>
  <c r="AM2222" i="5"/>
  <c r="AK2222" i="5"/>
  <c r="AE2222" i="5"/>
  <c r="D2221" i="5"/>
  <c r="E2221" i="5"/>
  <c r="I2221" i="5"/>
  <c r="C2221" i="5"/>
  <c r="H2221" i="5" s="1"/>
  <c r="AM2221" i="5"/>
  <c r="AB2221" i="5"/>
  <c r="AE2221" i="5"/>
  <c r="AK2221" i="5"/>
  <c r="AN2221" i="5"/>
  <c r="B2221" i="5"/>
  <c r="C2220" i="5"/>
  <c r="E2220" i="5"/>
  <c r="H2220" i="5"/>
  <c r="I2220" i="5"/>
  <c r="AM2220" i="5"/>
  <c r="D2220" i="5"/>
  <c r="AB2220" i="5"/>
  <c r="B2220" i="5"/>
  <c r="AN2220" i="5"/>
  <c r="AK2220" i="5"/>
  <c r="AE2220" i="5"/>
  <c r="AB2219" i="5"/>
  <c r="AM2219" i="5"/>
  <c r="AK2219" i="5"/>
  <c r="AE2219" i="5"/>
  <c r="AN2219" i="5"/>
  <c r="I2219" i="5"/>
  <c r="E2219" i="5"/>
  <c r="D2219" i="5"/>
  <c r="C2219" i="5"/>
  <c r="H2219" i="5" s="1"/>
  <c r="B2219" i="5"/>
  <c r="AK2218" i="5"/>
  <c r="I2218" i="5"/>
  <c r="D2218" i="5"/>
  <c r="E2218" i="5"/>
  <c r="B2218" i="5"/>
  <c r="AM2218" i="5"/>
  <c r="C2218" i="5"/>
  <c r="H2218" i="5" s="1"/>
  <c r="AB2218" i="5"/>
  <c r="AE2218" i="5"/>
  <c r="AN2218" i="5"/>
  <c r="E2217" i="5"/>
  <c r="D2217" i="5"/>
  <c r="C2217" i="5"/>
  <c r="H2217" i="5" s="1"/>
  <c r="AB2217" i="5"/>
  <c r="B2217" i="5"/>
  <c r="AE2217" i="5"/>
  <c r="AK2217" i="5"/>
  <c r="AM2217" i="5"/>
  <c r="I2217" i="5"/>
  <c r="AN2217" i="5"/>
  <c r="AK2216" i="5"/>
  <c r="AE2216" i="5"/>
  <c r="AB2216" i="5"/>
  <c r="I2216" i="5"/>
  <c r="E2216" i="5"/>
  <c r="B2216" i="5"/>
  <c r="AM2216" i="5"/>
  <c r="AN2216" i="5"/>
  <c r="C2216" i="5"/>
  <c r="H2216" i="5" s="1"/>
  <c r="D2216" i="5"/>
  <c r="AK2215" i="5"/>
  <c r="E2215" i="5"/>
  <c r="AB2215" i="5"/>
  <c r="B2215" i="5"/>
  <c r="C2215" i="5"/>
  <c r="D2215" i="5"/>
  <c r="AE2215" i="5"/>
  <c r="H2215" i="5"/>
  <c r="I2215" i="5"/>
  <c r="AN2215" i="5"/>
  <c r="AM2215" i="5"/>
  <c r="AE2214" i="5"/>
  <c r="AB2214" i="5"/>
  <c r="AN2214" i="5"/>
  <c r="I2214" i="5"/>
  <c r="AM2214" i="5"/>
  <c r="AK2214" i="5"/>
  <c r="E2214" i="5"/>
  <c r="D2214" i="5"/>
  <c r="C2214" i="5"/>
  <c r="H2214" i="5" s="1"/>
  <c r="B2214" i="5"/>
  <c r="AK2213" i="5"/>
  <c r="AM2213" i="5"/>
  <c r="AN2213" i="5"/>
  <c r="B2213" i="5"/>
  <c r="C2213" i="5"/>
  <c r="H2213" i="5" s="1"/>
  <c r="D2213" i="5"/>
  <c r="E2213" i="5"/>
  <c r="I2213" i="5"/>
  <c r="AB2213" i="5"/>
  <c r="AE2213" i="5"/>
  <c r="D2212" i="5"/>
  <c r="B2212" i="5"/>
  <c r="E2212" i="5"/>
  <c r="AM2212" i="5"/>
  <c r="C2212" i="5"/>
  <c r="AK2212" i="5"/>
  <c r="AE2212" i="5"/>
  <c r="AB2212" i="5"/>
  <c r="AN2212" i="5"/>
  <c r="I2212" i="5"/>
  <c r="H2212" i="5"/>
  <c r="AK2211" i="5"/>
  <c r="AM2211" i="5"/>
  <c r="AE2211" i="5"/>
  <c r="AN2211" i="5"/>
  <c r="AB2211" i="5"/>
  <c r="I2211" i="5"/>
  <c r="E2211" i="5"/>
  <c r="D2211" i="5"/>
  <c r="C2211" i="5"/>
  <c r="H2211" i="5" s="1"/>
  <c r="B2211" i="5"/>
  <c r="D2210" i="5"/>
  <c r="C2210" i="5"/>
  <c r="I2210" i="5"/>
  <c r="AK2210" i="5"/>
  <c r="E2210" i="5"/>
  <c r="B2210" i="5"/>
  <c r="H2210" i="5"/>
  <c r="AB2210" i="5"/>
  <c r="AN2210" i="5"/>
  <c r="AM2210" i="5"/>
  <c r="AE2210" i="5"/>
  <c r="AB2209" i="5"/>
  <c r="AK2209" i="5"/>
  <c r="AE2209" i="5"/>
  <c r="D2209" i="5"/>
  <c r="AN2209" i="5"/>
  <c r="B2209" i="5"/>
  <c r="AM2209" i="5"/>
  <c r="C2209" i="5"/>
  <c r="H2209" i="5" s="1"/>
  <c r="E2209" i="5"/>
  <c r="I2209" i="5"/>
  <c r="AE2208" i="5"/>
  <c r="AM2208" i="5"/>
  <c r="AB2208" i="5"/>
  <c r="AN2208" i="5"/>
  <c r="B2208" i="5"/>
  <c r="E2208" i="5"/>
  <c r="AK2208" i="5"/>
  <c r="I2208" i="5"/>
  <c r="C2208" i="5"/>
  <c r="H2208" i="5" s="1"/>
  <c r="D2208" i="5"/>
  <c r="AM2207" i="5"/>
  <c r="D2207" i="5"/>
  <c r="AB2207" i="5"/>
  <c r="AK2207" i="5"/>
  <c r="AN2207" i="5"/>
  <c r="B2207" i="5"/>
  <c r="E2207" i="5"/>
  <c r="AE2207" i="5"/>
  <c r="I2207" i="5"/>
  <c r="C2207" i="5"/>
  <c r="H2207" i="5" s="1"/>
  <c r="D2206" i="5"/>
  <c r="B2206" i="5"/>
  <c r="AM2206" i="5"/>
  <c r="AE2206" i="5"/>
  <c r="AK2206" i="5"/>
  <c r="AN2206" i="5"/>
  <c r="AB2206" i="5"/>
  <c r="I2206" i="5"/>
  <c r="E2206" i="5"/>
  <c r="C2206" i="5"/>
  <c r="H2206" i="5" s="1"/>
  <c r="AN2205" i="5"/>
  <c r="D2205" i="5"/>
  <c r="I2205" i="5"/>
  <c r="AE2205" i="5"/>
  <c r="B2205" i="5"/>
  <c r="AK2205" i="5"/>
  <c r="AM2205" i="5"/>
  <c r="E2205" i="5"/>
  <c r="C2205" i="5"/>
  <c r="H2205" i="5" s="1"/>
  <c r="AB2205" i="5"/>
  <c r="AK2204" i="5"/>
  <c r="E2204" i="5"/>
  <c r="B2204" i="5"/>
  <c r="I2204" i="5"/>
  <c r="AB2204" i="5"/>
  <c r="C2204" i="5"/>
  <c r="H2204" i="5" s="1"/>
  <c r="AM2204" i="5"/>
  <c r="AE2204" i="5"/>
  <c r="AN2204" i="5"/>
  <c r="D2204" i="5"/>
  <c r="AM2203" i="5"/>
  <c r="AB2203" i="5"/>
  <c r="B2203" i="5"/>
  <c r="E2203" i="5"/>
  <c r="I2203" i="5"/>
  <c r="D2203" i="5"/>
  <c r="AK2203" i="5"/>
  <c r="AE2203" i="5"/>
  <c r="C2203" i="5"/>
  <c r="H2203" i="5" s="1"/>
  <c r="AN2203" i="5"/>
  <c r="AN2202" i="5"/>
  <c r="D2202" i="5"/>
  <c r="C2202" i="5"/>
  <c r="I2202" i="5"/>
  <c r="H2202" i="5"/>
  <c r="AE2202" i="5"/>
  <c r="E2202" i="5"/>
  <c r="AB2202" i="5"/>
  <c r="AM2202" i="5"/>
  <c r="B2202" i="5"/>
  <c r="AK2202" i="5"/>
  <c r="V2202" i="5" s="1"/>
  <c r="AL2202" i="5" s="1"/>
  <c r="AE2201" i="5"/>
  <c r="I2201" i="5"/>
  <c r="B2201" i="5"/>
  <c r="AB2201" i="5"/>
  <c r="AK2201" i="5"/>
  <c r="AN2201" i="5"/>
  <c r="D2201" i="5"/>
  <c r="C2201" i="5"/>
  <c r="H2201" i="5" s="1"/>
  <c r="AM2201" i="5"/>
  <c r="E2201" i="5"/>
  <c r="AM2200" i="5"/>
  <c r="AN2200" i="5"/>
  <c r="D2200" i="5"/>
  <c r="B2200" i="5"/>
  <c r="AK2200" i="5"/>
  <c r="C2200" i="5"/>
  <c r="AE2200" i="5"/>
  <c r="AB2200" i="5"/>
  <c r="I2200" i="5"/>
  <c r="H2200" i="5"/>
  <c r="E2200" i="5"/>
  <c r="C2199" i="5"/>
  <c r="AB2199" i="5"/>
  <c r="B2199" i="5"/>
  <c r="I2199" i="5"/>
  <c r="AN2199" i="5"/>
  <c r="H2199" i="5"/>
  <c r="E2199" i="5"/>
  <c r="AE2199" i="5"/>
  <c r="AM2199" i="5"/>
  <c r="AK2199" i="5"/>
  <c r="D2199" i="5"/>
  <c r="D2198" i="5"/>
  <c r="B2198" i="5"/>
  <c r="C2198" i="5"/>
  <c r="E2198" i="5"/>
  <c r="H2198" i="5"/>
  <c r="AE2198" i="5"/>
  <c r="AN2198" i="5"/>
  <c r="I2198" i="5"/>
  <c r="AB2198" i="5"/>
  <c r="AM2198" i="5"/>
  <c r="AK2198" i="5"/>
  <c r="B2197" i="5"/>
  <c r="C2197" i="5"/>
  <c r="E2197" i="5"/>
  <c r="I2197" i="5"/>
  <c r="D2197" i="5"/>
  <c r="AN2197" i="5"/>
  <c r="AE2197" i="5"/>
  <c r="H2197" i="5"/>
  <c r="AM2197" i="5"/>
  <c r="AB2197" i="5"/>
  <c r="AK2197" i="5"/>
  <c r="AN2196" i="5"/>
  <c r="E2196" i="5"/>
  <c r="I2196" i="5"/>
  <c r="AE2196" i="5"/>
  <c r="AB2196" i="5"/>
  <c r="C2196" i="5"/>
  <c r="H2196" i="5" s="1"/>
  <c r="D2196" i="5"/>
  <c r="AK2196" i="5"/>
  <c r="AM2196" i="5"/>
  <c r="B2196" i="5"/>
  <c r="D2195" i="5"/>
  <c r="AK2195" i="5"/>
  <c r="B2195" i="5"/>
  <c r="AN2195" i="5"/>
  <c r="I2195" i="5"/>
  <c r="C2195" i="5"/>
  <c r="AB2195" i="5"/>
  <c r="AE2195" i="5"/>
  <c r="E2195" i="5"/>
  <c r="H2195" i="5"/>
  <c r="AM2195" i="5"/>
  <c r="D2194" i="5"/>
  <c r="AE2194" i="5"/>
  <c r="E2194" i="5"/>
  <c r="C2194" i="5"/>
  <c r="H2194" i="5" s="1"/>
  <c r="B2194" i="5"/>
  <c r="I2194" i="5"/>
  <c r="AK2194" i="5"/>
  <c r="AN2194" i="5"/>
  <c r="AM2194" i="5"/>
  <c r="AB2194" i="5"/>
  <c r="B2193" i="5"/>
  <c r="E2193" i="5"/>
  <c r="C2193" i="5"/>
  <c r="H2193" i="5" s="1"/>
  <c r="AN2193" i="5"/>
  <c r="I2193" i="5"/>
  <c r="D2193" i="5"/>
  <c r="AM2193" i="5"/>
  <c r="AK2193" i="5"/>
  <c r="AE2193" i="5"/>
  <c r="AB2193" i="5"/>
  <c r="AK2192" i="5"/>
  <c r="C2192" i="5"/>
  <c r="AM2192" i="5"/>
  <c r="I2192" i="5"/>
  <c r="AN2192" i="5"/>
  <c r="AB2192" i="5"/>
  <c r="AE2192" i="5"/>
  <c r="H2192" i="5"/>
  <c r="D2192" i="5"/>
  <c r="E2192" i="5"/>
  <c r="B2192" i="5"/>
  <c r="D2191" i="5"/>
  <c r="AM2191" i="5"/>
  <c r="I2191" i="5"/>
  <c r="AN2191" i="5"/>
  <c r="C2191" i="5"/>
  <c r="H2191" i="5" s="1"/>
  <c r="AB2191" i="5"/>
  <c r="E2191" i="5"/>
  <c r="AK2191" i="5"/>
  <c r="AE2191" i="5"/>
  <c r="B2191" i="5"/>
  <c r="AK2190" i="5"/>
  <c r="C2190" i="5"/>
  <c r="H2190" i="5" s="1"/>
  <c r="D2190" i="5"/>
  <c r="AB2190" i="5"/>
  <c r="I2190" i="5"/>
  <c r="AE2190" i="5"/>
  <c r="AN2190" i="5"/>
  <c r="AM2190" i="5"/>
  <c r="E2190" i="5"/>
  <c r="B2190" i="5"/>
  <c r="AB2189" i="5"/>
  <c r="I2189" i="5"/>
  <c r="E2189" i="5"/>
  <c r="AN2189" i="5"/>
  <c r="C2189" i="5"/>
  <c r="D2189" i="5"/>
  <c r="AK2189" i="5"/>
  <c r="H2189" i="5"/>
  <c r="AE2189" i="5"/>
  <c r="AM2189" i="5"/>
  <c r="B2189" i="5"/>
  <c r="E2188" i="5"/>
  <c r="C2188" i="5"/>
  <c r="H2188" i="5" s="1"/>
  <c r="AN2188" i="5"/>
  <c r="AK2188" i="5"/>
  <c r="AM2188" i="5"/>
  <c r="B2188" i="5"/>
  <c r="D2188" i="5"/>
  <c r="I2188" i="5"/>
  <c r="AE2188" i="5"/>
  <c r="AB2188" i="5"/>
  <c r="D2187" i="5"/>
  <c r="C2187" i="5"/>
  <c r="B2187" i="5"/>
  <c r="E2187" i="5"/>
  <c r="H2187" i="5"/>
  <c r="I2187" i="5"/>
  <c r="AN2186" i="5"/>
  <c r="AM2186" i="5"/>
  <c r="AB2186" i="5"/>
  <c r="AE2186" i="5"/>
  <c r="AK2186" i="5"/>
  <c r="I2186" i="5"/>
  <c r="E2186" i="5"/>
  <c r="D2186" i="5"/>
  <c r="C2186" i="5"/>
  <c r="H2186" i="5" s="1"/>
  <c r="B2186" i="5"/>
  <c r="AN2185" i="5"/>
  <c r="AM2185" i="5"/>
  <c r="AK2185" i="5"/>
  <c r="AE2185" i="5"/>
  <c r="AB2185" i="5"/>
  <c r="I2185" i="5"/>
  <c r="E2185" i="5"/>
  <c r="D2185" i="5"/>
  <c r="C2185" i="5"/>
  <c r="H2185" i="5" s="1"/>
  <c r="B2185" i="5"/>
  <c r="B2184" i="5"/>
  <c r="C2184" i="5"/>
  <c r="D2184" i="5"/>
  <c r="E2184" i="5"/>
  <c r="AN2184" i="5"/>
  <c r="AM2184" i="5"/>
  <c r="AK2184" i="5"/>
  <c r="AE2184" i="5"/>
  <c r="AB2184" i="5"/>
  <c r="H2184" i="5"/>
  <c r="I2184" i="5"/>
  <c r="AE2183" i="5"/>
  <c r="AB2183" i="5"/>
  <c r="E2183" i="5"/>
  <c r="I2183" i="5"/>
  <c r="B2183" i="5"/>
  <c r="C2183" i="5"/>
  <c r="H2183" i="5" s="1"/>
  <c r="D2183" i="5"/>
  <c r="AN2183" i="5"/>
  <c r="AM2183" i="5"/>
  <c r="AK2183" i="5"/>
  <c r="I2182" i="5"/>
  <c r="E2182" i="5"/>
  <c r="D2182" i="5"/>
  <c r="C2182" i="5"/>
  <c r="H2182" i="5" s="1"/>
  <c r="B2182" i="5"/>
  <c r="AK2182" i="5"/>
  <c r="AN2182" i="5"/>
  <c r="AB2182" i="5"/>
  <c r="AM2182" i="5"/>
  <c r="AE2182" i="5"/>
  <c r="E2181" i="5"/>
  <c r="I2181" i="5"/>
  <c r="C2181" i="5"/>
  <c r="H2181" i="5" s="1"/>
  <c r="D2181" i="5"/>
  <c r="B2181" i="5"/>
  <c r="AN2181" i="5"/>
  <c r="AB2181" i="5"/>
  <c r="AE2181" i="5"/>
  <c r="AK2181" i="5"/>
  <c r="AM2181" i="5"/>
  <c r="I2180" i="5"/>
  <c r="C2180" i="5"/>
  <c r="B2180" i="5"/>
  <c r="H2180" i="5"/>
  <c r="E2180" i="5"/>
  <c r="D2180" i="5"/>
  <c r="AB2180" i="5"/>
  <c r="AE2180" i="5"/>
  <c r="AK2180" i="5"/>
  <c r="AM2180" i="5"/>
  <c r="AN2180" i="5"/>
  <c r="AM2179" i="5"/>
  <c r="AK2179" i="5"/>
  <c r="AE2179" i="5"/>
  <c r="AB2179" i="5"/>
  <c r="I2179" i="5"/>
  <c r="E2179" i="5"/>
  <c r="D2179" i="5"/>
  <c r="C2179" i="5"/>
  <c r="H2179" i="5" s="1"/>
  <c r="B2179" i="5"/>
  <c r="AN2179" i="5"/>
  <c r="AB2178" i="5"/>
  <c r="AE2178" i="5"/>
  <c r="AK2178" i="5"/>
  <c r="AM2178" i="5"/>
  <c r="AN2178" i="5"/>
  <c r="B2178" i="5"/>
  <c r="C2178" i="5"/>
  <c r="D2178" i="5"/>
  <c r="E2178" i="5"/>
  <c r="H2178" i="5"/>
  <c r="I2178" i="5"/>
  <c r="AB2177" i="5"/>
  <c r="AK2177" i="5"/>
  <c r="AM2177" i="5"/>
  <c r="B2177" i="5"/>
  <c r="C2177" i="5"/>
  <c r="D2177" i="5"/>
  <c r="E2177" i="5"/>
  <c r="AE2177" i="5"/>
  <c r="H2177" i="5"/>
  <c r="I2177" i="5"/>
  <c r="AN2177" i="5"/>
  <c r="AB2176" i="5"/>
  <c r="AE2176" i="5"/>
  <c r="AK2176" i="5"/>
  <c r="AM2176" i="5"/>
  <c r="AN2176" i="5"/>
  <c r="B2176" i="5"/>
  <c r="E2176" i="5"/>
  <c r="I2176" i="5"/>
  <c r="D2176" i="5"/>
  <c r="C2176" i="5"/>
  <c r="H2176" i="5" s="1"/>
  <c r="I2175" i="5"/>
  <c r="D2175" i="5"/>
  <c r="E2175" i="5"/>
  <c r="AN2175" i="5"/>
  <c r="AM2175" i="5"/>
  <c r="AK2175" i="5"/>
  <c r="AE2175" i="5"/>
  <c r="AB2175" i="5"/>
  <c r="C2175" i="5"/>
  <c r="H2175" i="5" s="1"/>
  <c r="B2175" i="5"/>
  <c r="E2174" i="5"/>
  <c r="B2174" i="5"/>
  <c r="AN2174" i="5"/>
  <c r="AM2174" i="5"/>
  <c r="AK2174" i="5"/>
  <c r="AE2174" i="5"/>
  <c r="AB2174" i="5"/>
  <c r="C2174" i="5"/>
  <c r="D2174" i="5"/>
  <c r="I2174" i="5"/>
  <c r="H2174" i="5"/>
  <c r="AB2173" i="5"/>
  <c r="AE2173" i="5"/>
  <c r="AK2173" i="5"/>
  <c r="AM2173" i="5"/>
  <c r="AN2173" i="5"/>
  <c r="B2173" i="5"/>
  <c r="C2173" i="5"/>
  <c r="D2173" i="5"/>
  <c r="E2173" i="5"/>
  <c r="H2173" i="5"/>
  <c r="I2173" i="5"/>
  <c r="AB2172" i="5"/>
  <c r="I2172" i="5"/>
  <c r="C2172" i="5"/>
  <c r="H2172" i="5" s="1"/>
  <c r="AM2172" i="5"/>
  <c r="AN2172" i="5"/>
  <c r="AK2172" i="5"/>
  <c r="AE2172" i="5"/>
  <c r="E2172" i="5"/>
  <c r="D2172" i="5"/>
  <c r="B2172" i="5"/>
  <c r="C2171" i="5"/>
  <c r="B2171" i="5"/>
  <c r="AE2171" i="5"/>
  <c r="AN2171" i="5"/>
  <c r="AM2171" i="5"/>
  <c r="AK2171" i="5"/>
  <c r="AB2171" i="5"/>
  <c r="E2171" i="5"/>
  <c r="D2171" i="5"/>
  <c r="I2171" i="5"/>
  <c r="H2171" i="5"/>
  <c r="I2170" i="5"/>
  <c r="C2170" i="5"/>
  <c r="H2170" i="5" s="1"/>
  <c r="AM2170" i="5"/>
  <c r="AE2170" i="5"/>
  <c r="AK2170" i="5"/>
  <c r="AN2170" i="5"/>
  <c r="E2170" i="5"/>
  <c r="B2170" i="5"/>
  <c r="D2170" i="5"/>
  <c r="AB2170" i="5"/>
  <c r="AB2169" i="5"/>
  <c r="AK2169" i="5"/>
  <c r="B2169" i="5"/>
  <c r="AE2169" i="5"/>
  <c r="AM2169" i="5"/>
  <c r="AN2169" i="5"/>
  <c r="D2169" i="5"/>
  <c r="E2169" i="5"/>
  <c r="I2169" i="5"/>
  <c r="C2169" i="5"/>
  <c r="H2169" i="5" s="1"/>
  <c r="D2168" i="5"/>
  <c r="AB2168" i="5"/>
  <c r="AK2168" i="5"/>
  <c r="AM2168" i="5"/>
  <c r="AN2168" i="5"/>
  <c r="C2168" i="5"/>
  <c r="E2168" i="5"/>
  <c r="I2168" i="5"/>
  <c r="AE2168" i="5"/>
  <c r="B2168" i="5"/>
  <c r="H2168" i="5"/>
  <c r="AK2167" i="5"/>
  <c r="C2167" i="5"/>
  <c r="H2167" i="5" s="1"/>
  <c r="B2167" i="5"/>
  <c r="D2167" i="5"/>
  <c r="AN2167" i="5"/>
  <c r="E2167" i="5"/>
  <c r="AM2167" i="5"/>
  <c r="AE2167" i="5"/>
  <c r="AB2167" i="5"/>
  <c r="I2167" i="5"/>
  <c r="D2166" i="5"/>
  <c r="I2166" i="5"/>
  <c r="B2166" i="5"/>
  <c r="E2166" i="5"/>
  <c r="AK2166" i="5"/>
  <c r="AM2166" i="5"/>
  <c r="AN2166" i="5"/>
  <c r="AE2166" i="5"/>
  <c r="C2166" i="5"/>
  <c r="H2166" i="5" s="1"/>
  <c r="AB2166" i="5"/>
  <c r="B2165" i="5"/>
  <c r="E2165" i="5"/>
  <c r="C2165" i="5"/>
  <c r="D2165" i="5"/>
  <c r="I2165" i="5"/>
  <c r="AE2165" i="5"/>
  <c r="AK2165" i="5"/>
  <c r="AN2165" i="5"/>
  <c r="AM2165" i="5"/>
  <c r="AB2165" i="5"/>
  <c r="H2165" i="5"/>
  <c r="AK2164" i="5"/>
  <c r="AN2164" i="5"/>
  <c r="AM2164" i="5"/>
  <c r="AE2164" i="5"/>
  <c r="C2164" i="5"/>
  <c r="H2164" i="5" s="1"/>
  <c r="B2164" i="5"/>
  <c r="D2164" i="5"/>
  <c r="E2164" i="5"/>
  <c r="I2164" i="5"/>
  <c r="AB2164" i="5"/>
  <c r="AE2163" i="5"/>
  <c r="AM2163" i="5"/>
  <c r="I2163" i="5"/>
  <c r="B2163" i="5"/>
  <c r="D2163" i="5"/>
  <c r="AN2163" i="5"/>
  <c r="C2163" i="5"/>
  <c r="AB2163" i="5"/>
  <c r="E2163" i="5"/>
  <c r="AK2163" i="5"/>
  <c r="H2163" i="5"/>
  <c r="AE2162" i="5"/>
  <c r="AB2162" i="5"/>
  <c r="I2162" i="5"/>
  <c r="B2162" i="5"/>
  <c r="E2162" i="5"/>
  <c r="AN2162" i="5"/>
  <c r="AK2162" i="5"/>
  <c r="C2162" i="5"/>
  <c r="H2162" i="5" s="1"/>
  <c r="D2162" i="5"/>
  <c r="AM2162" i="5"/>
  <c r="AN2161" i="5"/>
  <c r="AE2161" i="5"/>
  <c r="C2161" i="5"/>
  <c r="AK2161" i="5"/>
  <c r="AM2161" i="5"/>
  <c r="AB2161" i="5"/>
  <c r="E2161" i="5"/>
  <c r="I2161" i="5"/>
  <c r="B2161" i="5"/>
  <c r="D2161" i="5"/>
  <c r="H2161" i="5"/>
  <c r="AN2160" i="5"/>
  <c r="I2160" i="5"/>
  <c r="E2160" i="5"/>
  <c r="AK2160" i="5"/>
  <c r="AE2160" i="5"/>
  <c r="D2160" i="5"/>
  <c r="C2160" i="5"/>
  <c r="H2160" i="5" s="1"/>
  <c r="AM2160" i="5"/>
  <c r="B2160" i="5"/>
  <c r="AB2160" i="5"/>
  <c r="AK2159" i="5"/>
  <c r="C2159" i="5"/>
  <c r="AB2159" i="5"/>
  <c r="I2159" i="5"/>
  <c r="AM2159" i="5"/>
  <c r="AN2159" i="5"/>
  <c r="AE2159" i="5"/>
  <c r="H2159" i="5"/>
  <c r="D2159" i="5"/>
  <c r="E2159" i="5"/>
  <c r="B2159" i="5"/>
  <c r="AN2158" i="5"/>
  <c r="E2158" i="5"/>
  <c r="I2158" i="5"/>
  <c r="AB2158" i="5"/>
  <c r="C2158" i="5"/>
  <c r="H2158" i="5" s="1"/>
  <c r="AK2158" i="5"/>
  <c r="AM2158" i="5"/>
  <c r="AE2158" i="5"/>
  <c r="D2158" i="5"/>
  <c r="B2158" i="5"/>
  <c r="AM2157" i="5"/>
  <c r="AN2157" i="5"/>
  <c r="AK2157" i="5"/>
  <c r="AB2157" i="5"/>
  <c r="D2157" i="5"/>
  <c r="B2157" i="5"/>
  <c r="C2157" i="5"/>
  <c r="H2157" i="5" s="1"/>
  <c r="E2157" i="5"/>
  <c r="AE2157" i="5"/>
  <c r="I2157" i="5"/>
  <c r="AK2156" i="5"/>
  <c r="E2156" i="5"/>
  <c r="I2156" i="5"/>
  <c r="B2156" i="5"/>
  <c r="AN2156" i="5"/>
  <c r="AE2156" i="5"/>
  <c r="D2156" i="5"/>
  <c r="C2156" i="5"/>
  <c r="H2156" i="5" s="1"/>
  <c r="AB2156" i="5"/>
  <c r="AM2156" i="5"/>
  <c r="E2155" i="5"/>
  <c r="B2155" i="5"/>
  <c r="C2155" i="5"/>
  <c r="H2155" i="5" s="1"/>
  <c r="D2155" i="5"/>
  <c r="AN2155" i="5"/>
  <c r="I2155" i="5"/>
  <c r="AE2155" i="5"/>
  <c r="AK2155" i="5"/>
  <c r="AM2155" i="5"/>
  <c r="AB2155" i="5"/>
  <c r="AM2154" i="5"/>
  <c r="AK2154" i="5"/>
  <c r="C2154" i="5"/>
  <c r="H2154" i="5" s="1"/>
  <c r="AB2154" i="5"/>
  <c r="AE2154" i="5"/>
  <c r="AN2154" i="5"/>
  <c r="D2154" i="5"/>
  <c r="B2154" i="5"/>
  <c r="E2154" i="5"/>
  <c r="I2154" i="5"/>
  <c r="AE2153" i="5"/>
  <c r="B2153" i="5"/>
  <c r="AK2153" i="5"/>
  <c r="AB2153" i="5"/>
  <c r="D2153" i="5"/>
  <c r="AN2153" i="5"/>
  <c r="AM2153" i="5"/>
  <c r="I2153" i="5"/>
  <c r="C2153" i="5"/>
  <c r="H2153" i="5" s="1"/>
  <c r="E2153" i="5"/>
  <c r="AB2152" i="5"/>
  <c r="AE2152" i="5"/>
  <c r="AK2152" i="5"/>
  <c r="AM2152" i="5"/>
  <c r="D2152" i="5"/>
  <c r="C2152" i="5"/>
  <c r="AN2152" i="5"/>
  <c r="B2152" i="5"/>
  <c r="E2152" i="5"/>
  <c r="I2152" i="5"/>
  <c r="H2152" i="5"/>
  <c r="AN2151" i="5"/>
  <c r="AM2151" i="5"/>
  <c r="AE2151" i="5"/>
  <c r="AB2151" i="5"/>
  <c r="E2151" i="5"/>
  <c r="B2151" i="5"/>
  <c r="C2151" i="5"/>
  <c r="I2151" i="5"/>
  <c r="AK2151" i="5"/>
  <c r="H2151" i="5"/>
  <c r="D2151" i="5"/>
  <c r="AN2150" i="5"/>
  <c r="AM2150" i="5"/>
  <c r="AK2150" i="5"/>
  <c r="AE2150" i="5"/>
  <c r="AB2150" i="5"/>
  <c r="I2150" i="5"/>
  <c r="E2150" i="5"/>
  <c r="D2150" i="5"/>
  <c r="C2150" i="5"/>
  <c r="H2150" i="5" s="1"/>
  <c r="B2150" i="5"/>
  <c r="AN2149" i="5"/>
  <c r="AM2149" i="5"/>
  <c r="AK2149" i="5"/>
  <c r="AE2149" i="5"/>
  <c r="AB2149" i="5"/>
  <c r="I2149" i="5"/>
  <c r="E2149" i="5"/>
  <c r="D2149" i="5"/>
  <c r="C2149" i="5"/>
  <c r="H2149" i="5" s="1"/>
  <c r="B2149" i="5"/>
  <c r="AK2148" i="5"/>
  <c r="AE2148" i="5"/>
  <c r="AB2148" i="5"/>
  <c r="AN2148" i="5"/>
  <c r="AM2148" i="5"/>
  <c r="I2148" i="5"/>
  <c r="E2148" i="5"/>
  <c r="D2148" i="5"/>
  <c r="C2148" i="5"/>
  <c r="H2148" i="5" s="1"/>
  <c r="B2148" i="5"/>
  <c r="AN2147" i="5"/>
  <c r="AM2147" i="5"/>
  <c r="AK2147" i="5"/>
  <c r="AE2147" i="5"/>
  <c r="AB2147" i="5"/>
  <c r="I2147" i="5"/>
  <c r="E2147" i="5"/>
  <c r="D2147" i="5"/>
  <c r="C2147" i="5"/>
  <c r="H2147" i="5" s="1"/>
  <c r="B2147" i="5"/>
  <c r="AN2146" i="5"/>
  <c r="AM2146" i="5"/>
  <c r="AK2146" i="5"/>
  <c r="AE2146" i="5"/>
  <c r="AB2146" i="5"/>
  <c r="I2146" i="5"/>
  <c r="E2146" i="5"/>
  <c r="D2146" i="5"/>
  <c r="C2146" i="5"/>
  <c r="H2146" i="5" s="1"/>
  <c r="B2146" i="5"/>
  <c r="AN2145" i="5"/>
  <c r="AM2145" i="5"/>
  <c r="AK2145" i="5"/>
  <c r="AE2145" i="5"/>
  <c r="AB2145" i="5"/>
  <c r="I2145" i="5"/>
  <c r="E2145" i="5"/>
  <c r="D2145" i="5"/>
  <c r="C2145" i="5"/>
  <c r="H2145" i="5" s="1"/>
  <c r="B2145" i="5"/>
  <c r="AN2144" i="5"/>
  <c r="AM2144" i="5"/>
  <c r="AK2144" i="5"/>
  <c r="AE2144" i="5"/>
  <c r="AB2144" i="5"/>
  <c r="I2144" i="5"/>
  <c r="E2144" i="5"/>
  <c r="D2144" i="5"/>
  <c r="C2144" i="5"/>
  <c r="H2144" i="5" s="1"/>
  <c r="B2144" i="5"/>
  <c r="AN2143" i="5"/>
  <c r="AM2143" i="5"/>
  <c r="AK2143" i="5"/>
  <c r="AE2143" i="5"/>
  <c r="AB2143" i="5"/>
  <c r="I2143" i="5"/>
  <c r="E2143" i="5"/>
  <c r="D2143" i="5"/>
  <c r="C2143" i="5"/>
  <c r="H2143" i="5" s="1"/>
  <c r="B2143" i="5"/>
  <c r="AN2142" i="5"/>
  <c r="AM2142" i="5"/>
  <c r="AK2142" i="5"/>
  <c r="AE2142" i="5"/>
  <c r="AB2142" i="5"/>
  <c r="I2142" i="5"/>
  <c r="E2142" i="5"/>
  <c r="D2142" i="5"/>
  <c r="C2142" i="5"/>
  <c r="H2142" i="5" s="1"/>
  <c r="B2142" i="5"/>
  <c r="AN2141" i="5"/>
  <c r="AM2141" i="5"/>
  <c r="AK2141" i="5"/>
  <c r="AE2141" i="5"/>
  <c r="AB2141" i="5"/>
  <c r="I2141" i="5"/>
  <c r="E2141" i="5"/>
  <c r="D2141" i="5"/>
  <c r="C2141" i="5"/>
  <c r="H2141" i="5" s="1"/>
  <c r="B2141" i="5"/>
  <c r="AN2140" i="5"/>
  <c r="AM2140" i="5"/>
  <c r="AK2140" i="5"/>
  <c r="AE2140" i="5"/>
  <c r="AB2140" i="5"/>
  <c r="I2140" i="5"/>
  <c r="E2140" i="5"/>
  <c r="D2140" i="5"/>
  <c r="C2140" i="5"/>
  <c r="H2140" i="5" s="1"/>
  <c r="B2140" i="5"/>
  <c r="AN2139" i="5"/>
  <c r="AM2139" i="5"/>
  <c r="AK2139" i="5"/>
  <c r="AE2139" i="5"/>
  <c r="AB2139" i="5"/>
  <c r="I2139" i="5"/>
  <c r="E2139" i="5"/>
  <c r="D2139" i="5"/>
  <c r="C2139" i="5"/>
  <c r="H2139" i="5" s="1"/>
  <c r="B2139" i="5"/>
  <c r="AN2138" i="5"/>
  <c r="AM2138" i="5"/>
  <c r="AK2138" i="5"/>
  <c r="AE2138" i="5"/>
  <c r="AB2138" i="5"/>
  <c r="I2138" i="5"/>
  <c r="E2138" i="5"/>
  <c r="D2138" i="5"/>
  <c r="C2138" i="5"/>
  <c r="H2138" i="5" s="1"/>
  <c r="B2138" i="5"/>
  <c r="AN2137" i="5"/>
  <c r="AM2137" i="5"/>
  <c r="AK2137" i="5"/>
  <c r="AE2137" i="5"/>
  <c r="AB2137" i="5"/>
  <c r="I2137" i="5"/>
  <c r="E2137" i="5"/>
  <c r="D2137" i="5"/>
  <c r="C2137" i="5"/>
  <c r="H2137" i="5" s="1"/>
  <c r="B2137" i="5"/>
  <c r="AN2136" i="5"/>
  <c r="AM2136" i="5"/>
  <c r="AK2136" i="5"/>
  <c r="AE2136" i="5"/>
  <c r="AB2136" i="5"/>
  <c r="I2136" i="5"/>
  <c r="E2136" i="5"/>
  <c r="D2136" i="5"/>
  <c r="C2136" i="5"/>
  <c r="H2136" i="5" s="1"/>
  <c r="B2136" i="5"/>
  <c r="AN2135" i="5"/>
  <c r="AM2135" i="5"/>
  <c r="AK2135" i="5"/>
  <c r="AE2135" i="5"/>
  <c r="AB2135" i="5"/>
  <c r="I2135" i="5"/>
  <c r="E2135" i="5"/>
  <c r="D2135" i="5"/>
  <c r="C2135" i="5"/>
  <c r="H2135" i="5" s="1"/>
  <c r="B2135" i="5"/>
  <c r="AN2134" i="5"/>
  <c r="AM2134" i="5"/>
  <c r="AK2134" i="5"/>
  <c r="AE2134" i="5"/>
  <c r="AB2134" i="5"/>
  <c r="I2134" i="5"/>
  <c r="E2134" i="5"/>
  <c r="D2134" i="5"/>
  <c r="C2134" i="5"/>
  <c r="H2134" i="5" s="1"/>
  <c r="B2134" i="5"/>
  <c r="AN2133" i="5"/>
  <c r="AM2133" i="5"/>
  <c r="AK2133" i="5"/>
  <c r="AE2133" i="5"/>
  <c r="AB2133" i="5"/>
  <c r="I2133" i="5"/>
  <c r="E2133" i="5"/>
  <c r="D2133" i="5"/>
  <c r="C2133" i="5"/>
  <c r="H2133" i="5" s="1"/>
  <c r="B2133" i="5"/>
  <c r="AN2132" i="5"/>
  <c r="AM2132" i="5"/>
  <c r="AK2132" i="5"/>
  <c r="AE2132" i="5"/>
  <c r="AB2132" i="5"/>
  <c r="I2132" i="5"/>
  <c r="E2132" i="5"/>
  <c r="D2132" i="5"/>
  <c r="C2132" i="5"/>
  <c r="H2132" i="5" s="1"/>
  <c r="B2132" i="5"/>
  <c r="AN2131" i="5"/>
  <c r="AM2131" i="5"/>
  <c r="AK2131" i="5"/>
  <c r="AE2131" i="5"/>
  <c r="AB2131" i="5"/>
  <c r="I2131" i="5"/>
  <c r="E2131" i="5"/>
  <c r="D2131" i="5"/>
  <c r="C2131" i="5"/>
  <c r="H2131" i="5" s="1"/>
  <c r="B2131" i="5"/>
  <c r="AN2130" i="5"/>
  <c r="AM2130" i="5"/>
  <c r="AK2130" i="5"/>
  <c r="AE2130" i="5"/>
  <c r="AB2130" i="5"/>
  <c r="I2130" i="5"/>
  <c r="E2130" i="5"/>
  <c r="D2130" i="5"/>
  <c r="C2130" i="5"/>
  <c r="H2130" i="5" s="1"/>
  <c r="B2130" i="5"/>
  <c r="AN2129" i="5"/>
  <c r="AM2129" i="5"/>
  <c r="AK2129" i="5"/>
  <c r="AE2129" i="5"/>
  <c r="AB2129" i="5"/>
  <c r="I2129" i="5"/>
  <c r="E2129" i="5"/>
  <c r="D2129" i="5"/>
  <c r="C2129" i="5"/>
  <c r="H2129" i="5" s="1"/>
  <c r="B2129" i="5"/>
  <c r="AN2128" i="5"/>
  <c r="AM2128" i="5"/>
  <c r="AK2128" i="5"/>
  <c r="AE2128" i="5"/>
  <c r="AB2128" i="5"/>
  <c r="I2128" i="5"/>
  <c r="E2128" i="5"/>
  <c r="D2128" i="5"/>
  <c r="C2128" i="5"/>
  <c r="H2128" i="5" s="1"/>
  <c r="B2128" i="5"/>
  <c r="AN2127" i="5"/>
  <c r="AM2127" i="5"/>
  <c r="AK2127" i="5"/>
  <c r="AE2127" i="5"/>
  <c r="AB2127" i="5"/>
  <c r="I2127" i="5"/>
  <c r="E2127" i="5"/>
  <c r="D2127" i="5"/>
  <c r="C2127" i="5"/>
  <c r="H2127" i="5" s="1"/>
  <c r="B2127" i="5"/>
  <c r="AN2126" i="5"/>
  <c r="AM2126" i="5"/>
  <c r="AK2126" i="5"/>
  <c r="AE2126" i="5"/>
  <c r="AB2126" i="5"/>
  <c r="I2126" i="5"/>
  <c r="E2126" i="5"/>
  <c r="D2126" i="5"/>
  <c r="C2126" i="5"/>
  <c r="H2126" i="5" s="1"/>
  <c r="B2126" i="5"/>
  <c r="AN2125" i="5"/>
  <c r="AM2125" i="5"/>
  <c r="AK2125" i="5"/>
  <c r="AE2125" i="5"/>
  <c r="AB2125" i="5"/>
  <c r="I2125" i="5"/>
  <c r="E2125" i="5"/>
  <c r="D2125" i="5"/>
  <c r="C2125" i="5"/>
  <c r="H2125" i="5" s="1"/>
  <c r="B2125" i="5"/>
  <c r="AN2124" i="5"/>
  <c r="AM2124" i="5"/>
  <c r="AK2124" i="5"/>
  <c r="AE2124" i="5"/>
  <c r="AB2124" i="5"/>
  <c r="I2124" i="5"/>
  <c r="E2124" i="5"/>
  <c r="D2124" i="5"/>
  <c r="C2124" i="5"/>
  <c r="H2124" i="5" s="1"/>
  <c r="B2124" i="5"/>
  <c r="AN2123" i="5"/>
  <c r="AM2123" i="5"/>
  <c r="AK2123" i="5"/>
  <c r="AE2123" i="5"/>
  <c r="AB2123" i="5"/>
  <c r="I2123" i="5"/>
  <c r="E2123" i="5"/>
  <c r="D2123" i="5"/>
  <c r="C2123" i="5"/>
  <c r="H2123" i="5" s="1"/>
  <c r="B2123" i="5"/>
  <c r="AN2122" i="5"/>
  <c r="AM2122" i="5"/>
  <c r="AK2122" i="5"/>
  <c r="AE2122" i="5"/>
  <c r="AB2122" i="5"/>
  <c r="I2122" i="5"/>
  <c r="E2122" i="5"/>
  <c r="D2122" i="5"/>
  <c r="C2122" i="5"/>
  <c r="H2122" i="5" s="1"/>
  <c r="B2122" i="5"/>
  <c r="AN2121" i="5"/>
  <c r="AM2121" i="5"/>
  <c r="AK2121" i="5"/>
  <c r="AE2121" i="5"/>
  <c r="AB2121" i="5"/>
  <c r="I2121" i="5"/>
  <c r="E2121" i="5"/>
  <c r="D2121" i="5"/>
  <c r="C2121" i="5"/>
  <c r="H2121" i="5" s="1"/>
  <c r="B2121" i="5"/>
  <c r="AN2120" i="5"/>
  <c r="AM2120" i="5"/>
  <c r="AK2120" i="5"/>
  <c r="AE2120" i="5"/>
  <c r="AB2120" i="5"/>
  <c r="I2120" i="5"/>
  <c r="E2120" i="5"/>
  <c r="D2120" i="5"/>
  <c r="C2120" i="5"/>
  <c r="H2120" i="5" s="1"/>
  <c r="B2120" i="5"/>
  <c r="AN2119" i="5"/>
  <c r="AM2119" i="5"/>
  <c r="AK2119" i="5"/>
  <c r="AE2119" i="5"/>
  <c r="AB2119" i="5"/>
  <c r="I2119" i="5"/>
  <c r="E2119" i="5"/>
  <c r="D2119" i="5"/>
  <c r="C2119" i="5"/>
  <c r="H2119" i="5" s="1"/>
  <c r="B2119" i="5"/>
  <c r="AN2118" i="5"/>
  <c r="AM2118" i="5"/>
  <c r="AK2118" i="5"/>
  <c r="AE2118" i="5"/>
  <c r="AB2118" i="5"/>
  <c r="I2118" i="5"/>
  <c r="E2118" i="5"/>
  <c r="D2118" i="5"/>
  <c r="C2118" i="5"/>
  <c r="H2118" i="5" s="1"/>
  <c r="B2118" i="5"/>
  <c r="AN2117" i="5"/>
  <c r="AM2117" i="5"/>
  <c r="AK2117" i="5"/>
  <c r="AE2117" i="5"/>
  <c r="AB2117" i="5"/>
  <c r="I2117" i="5"/>
  <c r="E2117" i="5"/>
  <c r="D2117" i="5"/>
  <c r="C2117" i="5"/>
  <c r="H2117" i="5" s="1"/>
  <c r="B2117" i="5"/>
  <c r="AN2116" i="5"/>
  <c r="AM2116" i="5"/>
  <c r="AK2116" i="5"/>
  <c r="AE2116" i="5"/>
  <c r="AB2116" i="5"/>
  <c r="I2116" i="5"/>
  <c r="E2116" i="5"/>
  <c r="D2116" i="5"/>
  <c r="C2116" i="5"/>
  <c r="H2116" i="5" s="1"/>
  <c r="B2116" i="5"/>
  <c r="AN2115" i="5"/>
  <c r="AM2115" i="5"/>
  <c r="AK2115" i="5"/>
  <c r="AE2115" i="5"/>
  <c r="AB2115" i="5"/>
  <c r="I2115" i="5"/>
  <c r="E2115" i="5"/>
  <c r="D2115" i="5"/>
  <c r="C2115" i="5"/>
  <c r="H2115" i="5" s="1"/>
  <c r="B2115" i="5"/>
  <c r="I2114" i="5"/>
  <c r="E2114" i="5"/>
  <c r="D2114" i="5"/>
  <c r="B2114" i="5"/>
  <c r="AB2114" i="5"/>
  <c r="C2114" i="5"/>
  <c r="H2114" i="5" s="1"/>
  <c r="D2113" i="5"/>
  <c r="E2113" i="5"/>
  <c r="I2113" i="5"/>
  <c r="AB2113" i="5"/>
  <c r="AE2113" i="5"/>
  <c r="AK2113" i="5"/>
  <c r="AM2113" i="5"/>
  <c r="AN2113" i="5"/>
  <c r="C2113" i="5"/>
  <c r="H2113" i="5" s="1"/>
  <c r="B2113" i="5"/>
  <c r="B2112" i="5"/>
  <c r="C2112" i="5"/>
  <c r="H2112" i="5" s="1"/>
  <c r="AN2112" i="5"/>
  <c r="AM2112" i="5"/>
  <c r="AK2112" i="5"/>
  <c r="AE2112" i="5"/>
  <c r="AB2112" i="5"/>
  <c r="E2112" i="5"/>
  <c r="D2112" i="5"/>
  <c r="I2112" i="5"/>
  <c r="AK2111" i="5"/>
  <c r="AM2111" i="5"/>
  <c r="AN2111" i="5"/>
  <c r="I2111" i="5"/>
  <c r="B2111" i="5"/>
  <c r="C2111" i="5"/>
  <c r="D2111" i="5"/>
  <c r="E2111" i="5"/>
  <c r="H2111" i="5"/>
  <c r="AE2111" i="5"/>
  <c r="AB2111" i="5"/>
  <c r="I2110" i="5"/>
  <c r="E2110" i="5"/>
  <c r="D2110" i="5"/>
  <c r="C2110" i="5"/>
  <c r="B2110" i="5"/>
  <c r="H2110" i="5"/>
  <c r="AN2110" i="5"/>
  <c r="AK2110" i="5"/>
  <c r="AE2110" i="5"/>
  <c r="AB2110" i="5"/>
  <c r="AM2110" i="5"/>
  <c r="E2109" i="5"/>
  <c r="B2109" i="5"/>
  <c r="AN2109" i="5"/>
  <c r="I2109" i="5"/>
  <c r="AK2109" i="5"/>
  <c r="AE2109" i="5"/>
  <c r="AB2109" i="5"/>
  <c r="AM2109" i="5"/>
  <c r="D2109" i="5"/>
  <c r="C2109" i="5"/>
  <c r="H2109" i="5" s="1"/>
  <c r="AM2108" i="5"/>
  <c r="AB2108" i="5"/>
  <c r="E2108" i="5"/>
  <c r="AE2108" i="5"/>
  <c r="C2108" i="5"/>
  <c r="I2108" i="5"/>
  <c r="H2108" i="5"/>
  <c r="D2108" i="5"/>
  <c r="B2108" i="5"/>
  <c r="AK2108" i="5"/>
  <c r="AN2108" i="5"/>
  <c r="AM2107" i="5"/>
  <c r="AK2107" i="5"/>
  <c r="AE2107" i="5"/>
  <c r="AB2107" i="5"/>
  <c r="E2107" i="5"/>
  <c r="D2107" i="5"/>
  <c r="I2107" i="5"/>
  <c r="AN2107" i="5"/>
  <c r="B2107" i="5"/>
  <c r="C2107" i="5"/>
  <c r="H2107" i="5" s="1"/>
  <c r="C2106" i="5"/>
  <c r="B2106" i="5"/>
  <c r="AB2106" i="5"/>
  <c r="AE2106" i="5"/>
  <c r="AK2106" i="5"/>
  <c r="AM2106" i="5"/>
  <c r="AN2106" i="5"/>
  <c r="I2106" i="5"/>
  <c r="H2106" i="5"/>
  <c r="E2106" i="5"/>
  <c r="D2106" i="5"/>
  <c r="AM2105" i="5"/>
  <c r="AN2105" i="5"/>
  <c r="AE2105" i="5"/>
  <c r="AK2105" i="5"/>
  <c r="C2105" i="5"/>
  <c r="E2105" i="5"/>
  <c r="B2105" i="5"/>
  <c r="AB2105" i="5"/>
  <c r="I2105" i="5"/>
  <c r="H2105" i="5"/>
  <c r="D2105" i="5"/>
  <c r="AB2104" i="5"/>
  <c r="AE2104" i="5"/>
  <c r="AK2104" i="5"/>
  <c r="AM2104" i="5"/>
  <c r="AN2104" i="5"/>
  <c r="E2104" i="5"/>
  <c r="B2104" i="5"/>
  <c r="C2104" i="5"/>
  <c r="D2104" i="5"/>
  <c r="H2104" i="5"/>
  <c r="I2104" i="5"/>
  <c r="B2103" i="5"/>
  <c r="C2103" i="5"/>
  <c r="D2103" i="5"/>
  <c r="E2103" i="5"/>
  <c r="AM2103" i="5"/>
  <c r="AN2103" i="5"/>
  <c r="AE2103" i="5"/>
  <c r="AB2103" i="5"/>
  <c r="AK2103" i="5"/>
  <c r="I2103" i="5"/>
  <c r="H2103" i="5"/>
  <c r="AN2102" i="5"/>
  <c r="AM2102" i="5"/>
  <c r="AK2102" i="5"/>
  <c r="AE2102" i="5"/>
  <c r="I2102" i="5"/>
  <c r="E2102" i="5"/>
  <c r="D2102" i="5"/>
  <c r="C2102" i="5"/>
  <c r="H2102" i="5" s="1"/>
  <c r="B2102" i="5"/>
  <c r="AB2102" i="5"/>
  <c r="AN2101" i="5"/>
  <c r="AM2101" i="5"/>
  <c r="AK2101" i="5"/>
  <c r="AE2101" i="5"/>
  <c r="AB2101" i="5"/>
  <c r="I2101" i="5"/>
  <c r="E2101" i="5"/>
  <c r="D2101" i="5"/>
  <c r="C2101" i="5"/>
  <c r="H2101" i="5" s="1"/>
  <c r="B2101" i="5"/>
  <c r="AK2100" i="5"/>
  <c r="AE2100" i="5"/>
  <c r="AB2100" i="5"/>
  <c r="AN2100" i="5"/>
  <c r="AM2100" i="5"/>
  <c r="I2100" i="5"/>
  <c r="E2100" i="5"/>
  <c r="D2100" i="5"/>
  <c r="C2100" i="5"/>
  <c r="H2100" i="5" s="1"/>
  <c r="B2100" i="5"/>
  <c r="AN2099" i="5"/>
  <c r="AM2099" i="5"/>
  <c r="AK2099" i="5"/>
  <c r="AE2099" i="5"/>
  <c r="AB2099" i="5"/>
  <c r="I2099" i="5"/>
  <c r="E2099" i="5"/>
  <c r="D2099" i="5"/>
  <c r="C2099" i="5"/>
  <c r="H2099" i="5" s="1"/>
  <c r="B2099" i="5"/>
  <c r="AM2098" i="5"/>
  <c r="AK2098" i="5"/>
  <c r="AE2098" i="5"/>
  <c r="AN2098" i="5"/>
  <c r="I2098" i="5"/>
  <c r="E2098" i="5"/>
  <c r="D2098" i="5"/>
  <c r="C2098" i="5"/>
  <c r="H2098" i="5" s="1"/>
  <c r="B2098" i="5"/>
  <c r="AB2098" i="5"/>
  <c r="I2097" i="5"/>
  <c r="E2097" i="5"/>
  <c r="D2097" i="5"/>
  <c r="C2097" i="5"/>
  <c r="H2097" i="5" s="1"/>
  <c r="B2097" i="5"/>
  <c r="AN2097" i="5"/>
  <c r="AM2097" i="5"/>
  <c r="AK2097" i="5"/>
  <c r="AE2097" i="5"/>
  <c r="AB2097" i="5"/>
  <c r="B2096" i="5"/>
  <c r="C2096" i="5"/>
  <c r="D2096" i="5"/>
  <c r="E2096" i="5"/>
  <c r="H2096" i="5"/>
  <c r="I2096" i="5"/>
  <c r="AB2096" i="5"/>
  <c r="AE2096" i="5"/>
  <c r="AK2096" i="5"/>
  <c r="AM2096" i="5"/>
  <c r="AN2096" i="5"/>
  <c r="AB2095" i="5"/>
  <c r="AN2095" i="5"/>
  <c r="AM2095" i="5"/>
  <c r="AK2095" i="5"/>
  <c r="AE2095" i="5"/>
  <c r="I2095" i="5"/>
  <c r="E2095" i="5"/>
  <c r="D2095" i="5"/>
  <c r="C2095" i="5"/>
  <c r="H2095" i="5" s="1"/>
  <c r="B2095" i="5"/>
  <c r="B2094" i="5"/>
  <c r="AN2094" i="5"/>
  <c r="AK2094" i="5"/>
  <c r="AE2094" i="5"/>
  <c r="AB2094" i="5"/>
  <c r="AM2094" i="5"/>
  <c r="C2094" i="5"/>
  <c r="I2094" i="5"/>
  <c r="H2094" i="5"/>
  <c r="E2094" i="5"/>
  <c r="D2094" i="5"/>
  <c r="AK2093" i="5"/>
  <c r="AN2093" i="5"/>
  <c r="AM2093" i="5"/>
  <c r="AE2093" i="5"/>
  <c r="AB2093" i="5"/>
  <c r="I2093" i="5"/>
  <c r="E2093" i="5"/>
  <c r="D2093" i="5"/>
  <c r="C2093" i="5"/>
  <c r="H2093" i="5" s="1"/>
  <c r="B2093" i="5"/>
  <c r="AB2092" i="5"/>
  <c r="AE2092" i="5"/>
  <c r="AK2092" i="5"/>
  <c r="AM2092" i="5"/>
  <c r="AN2092" i="5"/>
  <c r="B2092" i="5"/>
  <c r="C2092" i="5"/>
  <c r="D2092" i="5"/>
  <c r="E2092" i="5"/>
  <c r="H2092" i="5"/>
  <c r="I2092" i="5"/>
  <c r="AN2091" i="5"/>
  <c r="I2091" i="5"/>
  <c r="E2091" i="5"/>
  <c r="D2091" i="5"/>
  <c r="C2091" i="5"/>
  <c r="H2091" i="5" s="1"/>
  <c r="B2091" i="5"/>
  <c r="AM2091" i="5"/>
  <c r="AK2091" i="5"/>
  <c r="AE2091" i="5"/>
  <c r="AB2091" i="5"/>
  <c r="I2090" i="5"/>
  <c r="E2090" i="5"/>
  <c r="D2090" i="5"/>
  <c r="C2090" i="5"/>
  <c r="H2090" i="5" s="1"/>
  <c r="B2090" i="5"/>
  <c r="AE2090" i="5"/>
  <c r="AN2090" i="5"/>
  <c r="AK2090" i="5"/>
  <c r="V2090" i="5" s="1"/>
  <c r="AL2090" i="5" s="1"/>
  <c r="AM2090" i="5"/>
  <c r="AB2090" i="5"/>
  <c r="AN2089" i="5"/>
  <c r="AM2089" i="5"/>
  <c r="AK2089" i="5"/>
  <c r="AE2089" i="5"/>
  <c r="AB2089" i="5"/>
  <c r="I2089" i="5"/>
  <c r="E2089" i="5"/>
  <c r="D2089" i="5"/>
  <c r="B2089" i="5"/>
  <c r="C2089" i="5"/>
  <c r="H2089" i="5" s="1"/>
  <c r="AE2088" i="5"/>
  <c r="AB2088" i="5"/>
  <c r="AN2088" i="5"/>
  <c r="AM2088" i="5"/>
  <c r="I2088" i="5"/>
  <c r="E2088" i="5"/>
  <c r="D2088" i="5"/>
  <c r="C2088" i="5"/>
  <c r="H2088" i="5" s="1"/>
  <c r="B2088" i="5"/>
  <c r="AK2088" i="5"/>
  <c r="AN2087" i="5"/>
  <c r="AM2087" i="5"/>
  <c r="AK2087" i="5"/>
  <c r="AE2087" i="5"/>
  <c r="AB2087" i="5"/>
  <c r="E2087" i="5"/>
  <c r="D2087" i="5"/>
  <c r="C2087" i="5"/>
  <c r="H2087" i="5" s="1"/>
  <c r="B2087" i="5"/>
  <c r="I2087" i="5"/>
  <c r="AK2086" i="5"/>
  <c r="AE2086" i="5"/>
  <c r="I2086" i="5"/>
  <c r="AN2086" i="5"/>
  <c r="AM2086" i="5"/>
  <c r="AB2086" i="5"/>
  <c r="B2086" i="5"/>
  <c r="C2086" i="5"/>
  <c r="H2086" i="5" s="1"/>
  <c r="D2086" i="5"/>
  <c r="E2086" i="5"/>
  <c r="I2085" i="5"/>
  <c r="B2085" i="5"/>
  <c r="AB2085" i="5"/>
  <c r="AE2085" i="5"/>
  <c r="AK2085" i="5"/>
  <c r="AM2085" i="5"/>
  <c r="AN2085" i="5"/>
  <c r="E2085" i="5"/>
  <c r="C2085" i="5"/>
  <c r="H2085" i="5" s="1"/>
  <c r="D2085" i="5"/>
  <c r="I2084" i="5"/>
  <c r="AE2084" i="5"/>
  <c r="AK2084" i="5"/>
  <c r="AM2084" i="5"/>
  <c r="AN2084" i="5"/>
  <c r="E2084" i="5"/>
  <c r="D2084" i="5"/>
  <c r="C2084" i="5"/>
  <c r="B2084" i="5"/>
  <c r="H2084" i="5"/>
  <c r="AB2084" i="5"/>
  <c r="AM2083" i="5"/>
  <c r="AK2083" i="5"/>
  <c r="AE2083" i="5"/>
  <c r="AB2083" i="5"/>
  <c r="E2083" i="5"/>
  <c r="I2083" i="5"/>
  <c r="D2083" i="5"/>
  <c r="C2083" i="5"/>
  <c r="H2083" i="5" s="1"/>
  <c r="B2083" i="5"/>
  <c r="AN2083" i="5"/>
  <c r="AE2082" i="5"/>
  <c r="AB2082" i="5"/>
  <c r="I2082" i="5"/>
  <c r="E2082" i="5"/>
  <c r="D2082" i="5"/>
  <c r="C2082" i="5"/>
  <c r="H2082" i="5" s="1"/>
  <c r="B2082" i="5"/>
  <c r="AK2082" i="5"/>
  <c r="AN2082" i="5"/>
  <c r="AM2082" i="5"/>
  <c r="AB2081" i="5"/>
  <c r="B2081" i="5"/>
  <c r="C2081" i="5"/>
  <c r="D2081" i="5"/>
  <c r="E2081" i="5"/>
  <c r="H2081" i="5"/>
  <c r="I2081" i="5"/>
  <c r="AN2081" i="5"/>
  <c r="AM2081" i="5"/>
  <c r="AK2081" i="5"/>
  <c r="AE2081" i="5"/>
  <c r="AE2080" i="5"/>
  <c r="AB2080" i="5"/>
  <c r="B2080" i="5"/>
  <c r="C2080" i="5"/>
  <c r="H2080" i="5" s="1"/>
  <c r="E2080" i="5"/>
  <c r="I2080" i="5"/>
  <c r="AN2080" i="5"/>
  <c r="AM2080" i="5"/>
  <c r="AK2080" i="5"/>
  <c r="D2080" i="5"/>
  <c r="AK2079" i="5"/>
  <c r="AM2079" i="5"/>
  <c r="B2079" i="5"/>
  <c r="C2079" i="5"/>
  <c r="D2079" i="5"/>
  <c r="E2079" i="5"/>
  <c r="H2079" i="5"/>
  <c r="I2079" i="5"/>
  <c r="AN2079" i="5"/>
  <c r="AE2079" i="5"/>
  <c r="AB2079" i="5"/>
  <c r="I2078" i="5"/>
  <c r="E2078" i="5"/>
  <c r="D2078" i="5"/>
  <c r="C2078" i="5"/>
  <c r="H2078" i="5" s="1"/>
  <c r="B2078" i="5"/>
  <c r="AN2077" i="5"/>
  <c r="AM2077" i="5"/>
  <c r="AK2077" i="5"/>
  <c r="AE2077" i="5"/>
  <c r="AB2077" i="5"/>
  <c r="I2077" i="5"/>
  <c r="E2077" i="5"/>
  <c r="D2077" i="5"/>
  <c r="C2077" i="5"/>
  <c r="H2077" i="5" s="1"/>
  <c r="B2077" i="5"/>
  <c r="AN2076" i="5"/>
  <c r="AM2076" i="5"/>
  <c r="AK2076" i="5"/>
  <c r="AE2076" i="5"/>
  <c r="AB2076" i="5"/>
  <c r="I2076" i="5"/>
  <c r="E2076" i="5"/>
  <c r="D2076" i="5"/>
  <c r="C2076" i="5"/>
  <c r="H2076" i="5" s="1"/>
  <c r="B2076" i="5"/>
  <c r="AN2075" i="5"/>
  <c r="AM2075" i="5"/>
  <c r="AK2075" i="5"/>
  <c r="AE2075" i="5"/>
  <c r="AB2075" i="5"/>
  <c r="I2075" i="5"/>
  <c r="E2075" i="5"/>
  <c r="D2075" i="5"/>
  <c r="C2075" i="5"/>
  <c r="H2075" i="5" s="1"/>
  <c r="B2075" i="5"/>
  <c r="AN2074" i="5"/>
  <c r="AM2074" i="5"/>
  <c r="AK2074" i="5"/>
  <c r="AE2074" i="5"/>
  <c r="AB2074" i="5"/>
  <c r="I2074" i="5"/>
  <c r="E2074" i="5"/>
  <c r="D2074" i="5"/>
  <c r="C2074" i="5"/>
  <c r="H2074" i="5" s="1"/>
  <c r="B2074" i="5"/>
  <c r="AN2073" i="5"/>
  <c r="AM2073" i="5"/>
  <c r="AK2073" i="5"/>
  <c r="AE2073" i="5"/>
  <c r="AB2073" i="5"/>
  <c r="I2073" i="5"/>
  <c r="E2073" i="5"/>
  <c r="D2073" i="5"/>
  <c r="C2073" i="5"/>
  <c r="H2073" i="5" s="1"/>
  <c r="B2073" i="5"/>
  <c r="AN2072" i="5"/>
  <c r="AM2072" i="5"/>
  <c r="AK2072" i="5"/>
  <c r="AE2072" i="5"/>
  <c r="AB2072" i="5"/>
  <c r="I2072" i="5"/>
  <c r="E2072" i="5"/>
  <c r="D2072" i="5"/>
  <c r="C2072" i="5"/>
  <c r="H2072" i="5" s="1"/>
  <c r="B2072" i="5"/>
  <c r="AN2071" i="5"/>
  <c r="AM2071" i="5"/>
  <c r="AK2071" i="5"/>
  <c r="AE2071" i="5"/>
  <c r="AB2071" i="5"/>
  <c r="I2071" i="5"/>
  <c r="E2071" i="5"/>
  <c r="D2071" i="5"/>
  <c r="C2071" i="5"/>
  <c r="H2071" i="5" s="1"/>
  <c r="B2071" i="5"/>
  <c r="AN2070" i="5"/>
  <c r="AM2070" i="5"/>
  <c r="AK2070" i="5"/>
  <c r="AE2070" i="5"/>
  <c r="AB2070" i="5"/>
  <c r="I2070" i="5"/>
  <c r="E2070" i="5"/>
  <c r="D2070" i="5"/>
  <c r="C2070" i="5"/>
  <c r="H2070" i="5" s="1"/>
  <c r="B2070" i="5"/>
  <c r="AN2069" i="5"/>
  <c r="AM2069" i="5"/>
  <c r="AK2069" i="5"/>
  <c r="AE2069" i="5"/>
  <c r="AB2069" i="5"/>
  <c r="I2069" i="5"/>
  <c r="E2069" i="5"/>
  <c r="D2069" i="5"/>
  <c r="C2069" i="5"/>
  <c r="H2069" i="5" s="1"/>
  <c r="B2069" i="5"/>
  <c r="AN2068" i="5"/>
  <c r="AM2068" i="5"/>
  <c r="AK2068" i="5"/>
  <c r="AE2068" i="5"/>
  <c r="AB2068" i="5"/>
  <c r="I2068" i="5"/>
  <c r="E2068" i="5"/>
  <c r="D2068" i="5"/>
  <c r="C2068" i="5"/>
  <c r="H2068" i="5" s="1"/>
  <c r="B2068" i="5"/>
  <c r="AN2067" i="5"/>
  <c r="AM2067" i="5"/>
  <c r="AK2067" i="5"/>
  <c r="AE2067" i="5"/>
  <c r="AB2067" i="5"/>
  <c r="I2067" i="5"/>
  <c r="E2067" i="5"/>
  <c r="D2067" i="5"/>
  <c r="C2067" i="5"/>
  <c r="H2067" i="5" s="1"/>
  <c r="B2067" i="5"/>
  <c r="AN2066" i="5"/>
  <c r="AM2066" i="5"/>
  <c r="AK2066" i="5"/>
  <c r="AE2066" i="5"/>
  <c r="AB2066" i="5"/>
  <c r="I2066" i="5"/>
  <c r="E2066" i="5"/>
  <c r="D2066" i="5"/>
  <c r="C2066" i="5"/>
  <c r="H2066" i="5" s="1"/>
  <c r="B2066" i="5"/>
  <c r="AN2065" i="5"/>
  <c r="AM2065" i="5"/>
  <c r="AK2065" i="5"/>
  <c r="AE2065" i="5"/>
  <c r="AB2065" i="5"/>
  <c r="I2065" i="5"/>
  <c r="E2065" i="5"/>
  <c r="D2065" i="5"/>
  <c r="C2065" i="5"/>
  <c r="H2065" i="5" s="1"/>
  <c r="B2065" i="5"/>
  <c r="AN2064" i="5"/>
  <c r="AM2064" i="5"/>
  <c r="AE2064" i="5"/>
  <c r="AB2064" i="5"/>
  <c r="AK2064" i="5"/>
  <c r="I2064" i="5"/>
  <c r="E2064" i="5"/>
  <c r="D2064" i="5"/>
  <c r="C2064" i="5"/>
  <c r="H2064" i="5" s="1"/>
  <c r="B2064" i="5"/>
  <c r="AN2063" i="5"/>
  <c r="AM2063" i="5"/>
  <c r="AK2063" i="5"/>
  <c r="AE2063" i="5"/>
  <c r="AB2063" i="5"/>
  <c r="I2063" i="5"/>
  <c r="E2063" i="5"/>
  <c r="D2063" i="5"/>
  <c r="C2063" i="5"/>
  <c r="H2063" i="5" s="1"/>
  <c r="B2063" i="5"/>
  <c r="AN2062" i="5"/>
  <c r="AM2062" i="5"/>
  <c r="AK2062" i="5"/>
  <c r="AE2062" i="5"/>
  <c r="AB2062" i="5"/>
  <c r="I2062" i="5"/>
  <c r="E2062" i="5"/>
  <c r="D2062" i="5"/>
  <c r="C2062" i="5"/>
  <c r="H2062" i="5" s="1"/>
  <c r="B2062" i="5"/>
  <c r="AK2061" i="5"/>
  <c r="AE2061" i="5"/>
  <c r="AB2061" i="5"/>
  <c r="AN2061" i="5"/>
  <c r="AM2061" i="5"/>
  <c r="I2061" i="5"/>
  <c r="E2061" i="5"/>
  <c r="D2061" i="5"/>
  <c r="C2061" i="5"/>
  <c r="H2061" i="5" s="1"/>
  <c r="B2061" i="5"/>
  <c r="AM2060" i="5"/>
  <c r="AK2060" i="5"/>
  <c r="AE2060" i="5"/>
  <c r="AB2060" i="5"/>
  <c r="AN2060" i="5"/>
  <c r="I2060" i="5"/>
  <c r="E2060" i="5"/>
  <c r="D2060" i="5"/>
  <c r="C2060" i="5"/>
  <c r="H2060" i="5" s="1"/>
  <c r="B2060" i="5"/>
  <c r="AM2059" i="5"/>
  <c r="AK2059" i="5"/>
  <c r="AE2059" i="5"/>
  <c r="AB2059" i="5"/>
  <c r="AN2059" i="5"/>
  <c r="I2059" i="5"/>
  <c r="E2059" i="5"/>
  <c r="D2059" i="5"/>
  <c r="C2059" i="5"/>
  <c r="H2059" i="5" s="1"/>
  <c r="B2059" i="5"/>
  <c r="AN2058" i="5"/>
  <c r="AM2058" i="5"/>
  <c r="AK2058" i="5"/>
  <c r="AE2058" i="5"/>
  <c r="AB2058" i="5"/>
  <c r="I2058" i="5"/>
  <c r="E2058" i="5"/>
  <c r="D2058" i="5"/>
  <c r="C2058" i="5"/>
  <c r="H2058" i="5" s="1"/>
  <c r="B2058" i="5"/>
  <c r="AK2057" i="5"/>
  <c r="AE2057" i="5"/>
  <c r="AB2057" i="5"/>
  <c r="AN2057" i="5"/>
  <c r="AM2057" i="5"/>
  <c r="I2057" i="5"/>
  <c r="E2057" i="5"/>
  <c r="D2057" i="5"/>
  <c r="C2057" i="5"/>
  <c r="H2057" i="5" s="1"/>
  <c r="B2057" i="5"/>
  <c r="AK2056" i="5"/>
  <c r="AE2056" i="5"/>
  <c r="AB2056" i="5"/>
  <c r="AN2056" i="5"/>
  <c r="AM2056" i="5"/>
  <c r="I2056" i="5"/>
  <c r="E2056" i="5"/>
  <c r="D2056" i="5"/>
  <c r="C2056" i="5"/>
  <c r="H2056" i="5" s="1"/>
  <c r="B2056" i="5"/>
  <c r="AN2055" i="5"/>
  <c r="AM2055" i="5"/>
  <c r="AK2055" i="5"/>
  <c r="AE2055" i="5"/>
  <c r="AB2055" i="5"/>
  <c r="I2055" i="5"/>
  <c r="E2055" i="5"/>
  <c r="D2055" i="5"/>
  <c r="C2055" i="5"/>
  <c r="H2055" i="5" s="1"/>
  <c r="B2055" i="5"/>
  <c r="AK2054" i="5"/>
  <c r="AE2054" i="5"/>
  <c r="AB2054" i="5"/>
  <c r="AN2054" i="5"/>
  <c r="AM2054" i="5"/>
  <c r="I2054" i="5"/>
  <c r="E2054" i="5"/>
  <c r="D2054" i="5"/>
  <c r="C2054" i="5"/>
  <c r="H2054" i="5" s="1"/>
  <c r="B2054" i="5"/>
  <c r="AN2053" i="5"/>
  <c r="AM2053" i="5"/>
  <c r="AK2053" i="5"/>
  <c r="AE2053" i="5"/>
  <c r="AB2053" i="5"/>
  <c r="I2053" i="5"/>
  <c r="E2053" i="5"/>
  <c r="D2053" i="5"/>
  <c r="C2053" i="5"/>
  <c r="H2053" i="5" s="1"/>
  <c r="B2053" i="5"/>
  <c r="AN2052" i="5"/>
  <c r="AM2052" i="5"/>
  <c r="AE2052" i="5"/>
  <c r="AB2052" i="5"/>
  <c r="AK2052" i="5"/>
  <c r="I2052" i="5"/>
  <c r="E2052" i="5"/>
  <c r="D2052" i="5"/>
  <c r="C2052" i="5"/>
  <c r="H2052" i="5" s="1"/>
  <c r="B2052" i="5"/>
  <c r="AN2051" i="5"/>
  <c r="AM2051" i="5"/>
  <c r="AK2051" i="5"/>
  <c r="AE2051" i="5"/>
  <c r="AB2051" i="5"/>
  <c r="I2051" i="5"/>
  <c r="E2051" i="5"/>
  <c r="D2051" i="5"/>
  <c r="C2051" i="5"/>
  <c r="H2051" i="5" s="1"/>
  <c r="B2051" i="5"/>
  <c r="V2203" i="5" l="1"/>
  <c r="AL2203" i="5" s="1"/>
  <c r="AD2478" i="5"/>
  <c r="AC2478" i="5"/>
  <c r="W2478" i="5"/>
  <c r="AO2478" i="5" s="1"/>
  <c r="X2478" i="5"/>
  <c r="AC2405" i="5"/>
  <c r="AD2405" i="5"/>
  <c r="AD2296" i="5"/>
  <c r="AC2296" i="5"/>
  <c r="AC2260" i="5"/>
  <c r="AD2260" i="5"/>
  <c r="J2260" i="5"/>
  <c r="AH2260" i="5"/>
  <c r="AI2260" i="5"/>
  <c r="AJ2260" i="5"/>
  <c r="AD2187" i="5"/>
  <c r="AC2187" i="5"/>
  <c r="V2304" i="5"/>
  <c r="AL2304" i="5" s="1"/>
  <c r="V2341" i="5"/>
  <c r="AL2341" i="5" s="1"/>
  <c r="V2192" i="5"/>
  <c r="AL2192" i="5" s="1"/>
  <c r="V2189" i="5"/>
  <c r="AD2369" i="5"/>
  <c r="AC2369" i="5"/>
  <c r="K3" i="3"/>
  <c r="AC2078" i="5"/>
  <c r="AD2078" i="5"/>
  <c r="V2378" i="5"/>
  <c r="AL2378" i="5" s="1"/>
  <c r="V2377" i="5"/>
  <c r="AL2377" i="5" s="1"/>
  <c r="V2368" i="5"/>
  <c r="AL2368" i="5" s="1"/>
  <c r="V2305" i="5"/>
  <c r="AL2305" i="5" s="1"/>
  <c r="AC2550" i="5"/>
  <c r="AD2550" i="5"/>
  <c r="AP2550" i="5"/>
  <c r="AT2550" i="5"/>
  <c r="W2550" i="5"/>
  <c r="AO2550" i="5" s="1"/>
  <c r="X2550" i="5"/>
  <c r="J2550" i="5"/>
  <c r="Y2550" i="5" s="1"/>
  <c r="Z2550" i="5" s="1"/>
  <c r="AH2550" i="5"/>
  <c r="AI2550" i="5"/>
  <c r="K2550" i="5" s="1"/>
  <c r="P2550" i="5" s="1"/>
  <c r="AJ2550" i="5"/>
  <c r="L2550" i="5" s="1"/>
  <c r="Q2550" i="5" s="1"/>
  <c r="AC2549" i="5"/>
  <c r="AD2549" i="5"/>
  <c r="AP2549" i="5"/>
  <c r="AT2549" i="5"/>
  <c r="W2549" i="5"/>
  <c r="AO2549" i="5" s="1"/>
  <c r="X2549" i="5"/>
  <c r="J2549" i="5"/>
  <c r="Y2549" i="5" s="1"/>
  <c r="Z2549" i="5" s="1"/>
  <c r="AH2549" i="5"/>
  <c r="AI2549" i="5"/>
  <c r="K2549" i="5" s="1"/>
  <c r="P2549" i="5" s="1"/>
  <c r="AJ2549" i="5"/>
  <c r="L2549" i="5" s="1"/>
  <c r="Q2549" i="5" s="1"/>
  <c r="AC2548" i="5"/>
  <c r="AD2548" i="5"/>
  <c r="AP2548" i="5"/>
  <c r="AT2548" i="5"/>
  <c r="W2548" i="5"/>
  <c r="AO2548" i="5" s="1"/>
  <c r="X2548" i="5"/>
  <c r="J2548" i="5"/>
  <c r="Y2548" i="5" s="1"/>
  <c r="Z2548" i="5" s="1"/>
  <c r="AH2548" i="5"/>
  <c r="AI2548" i="5"/>
  <c r="K2548" i="5" s="1"/>
  <c r="P2548" i="5" s="1"/>
  <c r="AJ2548" i="5"/>
  <c r="L2548" i="5" s="1"/>
  <c r="Q2548" i="5" s="1"/>
  <c r="AC2547" i="5"/>
  <c r="AD2547" i="5"/>
  <c r="AP2547" i="5"/>
  <c r="AT2547" i="5"/>
  <c r="W2547" i="5"/>
  <c r="AO2547" i="5" s="1"/>
  <c r="X2547" i="5"/>
  <c r="J2547" i="5"/>
  <c r="Y2547" i="5" s="1"/>
  <c r="Z2547" i="5" s="1"/>
  <c r="AH2547" i="5"/>
  <c r="AI2547" i="5"/>
  <c r="K2547" i="5" s="1"/>
  <c r="P2547" i="5" s="1"/>
  <c r="AJ2547" i="5"/>
  <c r="L2547" i="5" s="1"/>
  <c r="Q2547" i="5" s="1"/>
  <c r="AC2546" i="5"/>
  <c r="AD2546" i="5"/>
  <c r="AP2546" i="5"/>
  <c r="AT2546" i="5"/>
  <c r="W2546" i="5"/>
  <c r="AO2546" i="5" s="1"/>
  <c r="X2546" i="5"/>
  <c r="J2546" i="5"/>
  <c r="Y2546" i="5" s="1"/>
  <c r="Z2546" i="5" s="1"/>
  <c r="AH2546" i="5"/>
  <c r="AI2546" i="5"/>
  <c r="K2546" i="5" s="1"/>
  <c r="P2546" i="5" s="1"/>
  <c r="AJ2546" i="5"/>
  <c r="L2546" i="5" s="1"/>
  <c r="Q2546" i="5" s="1"/>
  <c r="AC2545" i="5"/>
  <c r="AD2545" i="5"/>
  <c r="AP2545" i="5"/>
  <c r="AT2545" i="5"/>
  <c r="W2545" i="5"/>
  <c r="AO2545" i="5" s="1"/>
  <c r="X2545" i="5"/>
  <c r="J2545" i="5"/>
  <c r="Y2545" i="5" s="1"/>
  <c r="Z2545" i="5" s="1"/>
  <c r="AH2545" i="5"/>
  <c r="AI2545" i="5"/>
  <c r="K2545" i="5" s="1"/>
  <c r="P2545" i="5" s="1"/>
  <c r="AJ2545" i="5"/>
  <c r="L2545" i="5" s="1"/>
  <c r="Q2545" i="5" s="1"/>
  <c r="AC2544" i="5"/>
  <c r="AD2544" i="5"/>
  <c r="AP2544" i="5"/>
  <c r="AT2544" i="5"/>
  <c r="W2544" i="5"/>
  <c r="AO2544" i="5" s="1"/>
  <c r="X2544" i="5"/>
  <c r="J2544" i="5"/>
  <c r="Y2544" i="5" s="1"/>
  <c r="Z2544" i="5" s="1"/>
  <c r="AH2544" i="5"/>
  <c r="AI2544" i="5"/>
  <c r="K2544" i="5" s="1"/>
  <c r="P2544" i="5" s="1"/>
  <c r="AJ2544" i="5"/>
  <c r="L2544" i="5" s="1"/>
  <c r="Q2544" i="5" s="1"/>
  <c r="AC2543" i="5"/>
  <c r="AD2543" i="5"/>
  <c r="AP2543" i="5"/>
  <c r="AT2543" i="5"/>
  <c r="W2543" i="5"/>
  <c r="AO2543" i="5" s="1"/>
  <c r="X2543" i="5"/>
  <c r="J2543" i="5"/>
  <c r="Y2543" i="5" s="1"/>
  <c r="Z2543" i="5" s="1"/>
  <c r="AH2543" i="5"/>
  <c r="AI2543" i="5"/>
  <c r="K2543" i="5" s="1"/>
  <c r="P2543" i="5" s="1"/>
  <c r="AJ2543" i="5"/>
  <c r="L2543" i="5" s="1"/>
  <c r="Q2543" i="5" s="1"/>
  <c r="AC2542" i="5"/>
  <c r="AD2542" i="5"/>
  <c r="AP2542" i="5"/>
  <c r="AT2542" i="5"/>
  <c r="W2542" i="5"/>
  <c r="AO2542" i="5" s="1"/>
  <c r="X2542" i="5"/>
  <c r="J2542" i="5"/>
  <c r="Y2542" i="5" s="1"/>
  <c r="Z2542" i="5" s="1"/>
  <c r="AH2542" i="5"/>
  <c r="AI2542" i="5"/>
  <c r="K2542" i="5" s="1"/>
  <c r="P2542" i="5" s="1"/>
  <c r="AJ2542" i="5"/>
  <c r="L2542" i="5" s="1"/>
  <c r="Q2542" i="5" s="1"/>
  <c r="AC2541" i="5"/>
  <c r="AD2541" i="5"/>
  <c r="AP2541" i="5"/>
  <c r="AT2541" i="5"/>
  <c r="W2541" i="5"/>
  <c r="AO2541" i="5" s="1"/>
  <c r="X2541" i="5"/>
  <c r="J2541" i="5"/>
  <c r="Y2541" i="5" s="1"/>
  <c r="Z2541" i="5" s="1"/>
  <c r="AH2541" i="5"/>
  <c r="AI2541" i="5"/>
  <c r="K2541" i="5" s="1"/>
  <c r="P2541" i="5" s="1"/>
  <c r="AJ2541" i="5"/>
  <c r="L2541" i="5" s="1"/>
  <c r="Q2541" i="5" s="1"/>
  <c r="AC2540" i="5"/>
  <c r="AD2540" i="5"/>
  <c r="AP2540" i="5"/>
  <c r="AT2540" i="5"/>
  <c r="W2540" i="5"/>
  <c r="AO2540" i="5" s="1"/>
  <c r="X2540" i="5"/>
  <c r="J2540" i="5"/>
  <c r="Y2540" i="5" s="1"/>
  <c r="Z2540" i="5" s="1"/>
  <c r="AH2540" i="5"/>
  <c r="AI2540" i="5"/>
  <c r="K2540" i="5" s="1"/>
  <c r="P2540" i="5" s="1"/>
  <c r="AJ2540" i="5"/>
  <c r="L2540" i="5" s="1"/>
  <c r="Q2540" i="5" s="1"/>
  <c r="AC2539" i="5"/>
  <c r="AD2539" i="5"/>
  <c r="AP2539" i="5"/>
  <c r="AT2539" i="5"/>
  <c r="W2539" i="5"/>
  <c r="AO2539" i="5" s="1"/>
  <c r="X2539" i="5"/>
  <c r="J2539" i="5"/>
  <c r="Y2539" i="5" s="1"/>
  <c r="Z2539" i="5" s="1"/>
  <c r="AH2539" i="5"/>
  <c r="AI2539" i="5"/>
  <c r="K2539" i="5" s="1"/>
  <c r="P2539" i="5" s="1"/>
  <c r="AJ2539" i="5"/>
  <c r="L2539" i="5" s="1"/>
  <c r="Q2539" i="5" s="1"/>
  <c r="AC2538" i="5"/>
  <c r="AD2538" i="5"/>
  <c r="AP2538" i="5"/>
  <c r="AT2538" i="5"/>
  <c r="W2538" i="5"/>
  <c r="AO2538" i="5" s="1"/>
  <c r="X2538" i="5"/>
  <c r="J2538" i="5"/>
  <c r="Y2538" i="5" s="1"/>
  <c r="Z2538" i="5" s="1"/>
  <c r="AH2538" i="5"/>
  <c r="AI2538" i="5"/>
  <c r="K2538" i="5" s="1"/>
  <c r="P2538" i="5" s="1"/>
  <c r="AJ2538" i="5"/>
  <c r="L2538" i="5" s="1"/>
  <c r="Q2538" i="5" s="1"/>
  <c r="AC2537" i="5"/>
  <c r="AD2537" i="5"/>
  <c r="AP2537" i="5"/>
  <c r="AT2537" i="5"/>
  <c r="W2537" i="5"/>
  <c r="AO2537" i="5" s="1"/>
  <c r="X2537" i="5"/>
  <c r="J2537" i="5"/>
  <c r="Y2537" i="5" s="1"/>
  <c r="Z2537" i="5" s="1"/>
  <c r="AH2537" i="5"/>
  <c r="AI2537" i="5"/>
  <c r="K2537" i="5" s="1"/>
  <c r="P2537" i="5" s="1"/>
  <c r="AJ2537" i="5"/>
  <c r="L2537" i="5" s="1"/>
  <c r="Q2537" i="5" s="1"/>
  <c r="AC2536" i="5"/>
  <c r="AD2536" i="5"/>
  <c r="AP2536" i="5"/>
  <c r="AT2536" i="5"/>
  <c r="W2536" i="5"/>
  <c r="AO2536" i="5" s="1"/>
  <c r="X2536" i="5"/>
  <c r="J2536" i="5"/>
  <c r="Y2536" i="5" s="1"/>
  <c r="Z2536" i="5" s="1"/>
  <c r="AH2536" i="5"/>
  <c r="AI2536" i="5"/>
  <c r="K2536" i="5" s="1"/>
  <c r="P2536" i="5" s="1"/>
  <c r="AJ2536" i="5"/>
  <c r="L2536" i="5" s="1"/>
  <c r="Q2536" i="5" s="1"/>
  <c r="AC2535" i="5"/>
  <c r="AD2535" i="5"/>
  <c r="AP2535" i="5"/>
  <c r="AT2535" i="5"/>
  <c r="W2535" i="5"/>
  <c r="AO2535" i="5" s="1"/>
  <c r="X2535" i="5"/>
  <c r="J2535" i="5"/>
  <c r="Y2535" i="5" s="1"/>
  <c r="Z2535" i="5" s="1"/>
  <c r="AH2535" i="5"/>
  <c r="AI2535" i="5"/>
  <c r="K2535" i="5" s="1"/>
  <c r="P2535" i="5" s="1"/>
  <c r="AJ2535" i="5"/>
  <c r="L2535" i="5" s="1"/>
  <c r="Q2535" i="5" s="1"/>
  <c r="AC2534" i="5"/>
  <c r="AD2534" i="5"/>
  <c r="AP2534" i="5"/>
  <c r="AT2534" i="5"/>
  <c r="W2534" i="5"/>
  <c r="AO2534" i="5" s="1"/>
  <c r="X2534" i="5"/>
  <c r="J2534" i="5"/>
  <c r="Y2534" i="5" s="1"/>
  <c r="Z2534" i="5" s="1"/>
  <c r="AH2534" i="5"/>
  <c r="AI2534" i="5"/>
  <c r="K2534" i="5" s="1"/>
  <c r="P2534" i="5" s="1"/>
  <c r="AJ2534" i="5"/>
  <c r="L2534" i="5" s="1"/>
  <c r="Q2534" i="5" s="1"/>
  <c r="AC2533" i="5"/>
  <c r="AD2533" i="5"/>
  <c r="AP2533" i="5"/>
  <c r="AT2533" i="5"/>
  <c r="W2533" i="5"/>
  <c r="AO2533" i="5" s="1"/>
  <c r="X2533" i="5"/>
  <c r="J2533" i="5"/>
  <c r="Y2533" i="5" s="1"/>
  <c r="Z2533" i="5" s="1"/>
  <c r="AH2533" i="5"/>
  <c r="AI2533" i="5"/>
  <c r="K2533" i="5" s="1"/>
  <c r="P2533" i="5" s="1"/>
  <c r="AJ2533" i="5"/>
  <c r="L2533" i="5" s="1"/>
  <c r="Q2533" i="5" s="1"/>
  <c r="AC2532" i="5"/>
  <c r="AD2532" i="5"/>
  <c r="AP2532" i="5"/>
  <c r="AT2532" i="5"/>
  <c r="W2532" i="5"/>
  <c r="AO2532" i="5" s="1"/>
  <c r="X2532" i="5"/>
  <c r="J2532" i="5"/>
  <c r="Y2532" i="5" s="1"/>
  <c r="Z2532" i="5" s="1"/>
  <c r="AH2532" i="5"/>
  <c r="AI2532" i="5"/>
  <c r="K2532" i="5" s="1"/>
  <c r="P2532" i="5" s="1"/>
  <c r="AJ2532" i="5"/>
  <c r="L2532" i="5" s="1"/>
  <c r="Q2532" i="5" s="1"/>
  <c r="AC2531" i="5"/>
  <c r="AD2531" i="5"/>
  <c r="AP2531" i="5"/>
  <c r="AT2531" i="5"/>
  <c r="W2531" i="5"/>
  <c r="AO2531" i="5" s="1"/>
  <c r="X2531" i="5"/>
  <c r="J2531" i="5"/>
  <c r="Y2531" i="5" s="1"/>
  <c r="Z2531" i="5" s="1"/>
  <c r="AH2531" i="5"/>
  <c r="AI2531" i="5"/>
  <c r="K2531" i="5" s="1"/>
  <c r="P2531" i="5" s="1"/>
  <c r="AJ2531" i="5"/>
  <c r="L2531" i="5" s="1"/>
  <c r="Q2531" i="5" s="1"/>
  <c r="AC2530" i="5"/>
  <c r="AD2530" i="5"/>
  <c r="AP2530" i="5"/>
  <c r="AT2530" i="5"/>
  <c r="W2530" i="5"/>
  <c r="AO2530" i="5" s="1"/>
  <c r="X2530" i="5"/>
  <c r="J2530" i="5"/>
  <c r="Y2530" i="5" s="1"/>
  <c r="Z2530" i="5" s="1"/>
  <c r="AH2530" i="5"/>
  <c r="AI2530" i="5"/>
  <c r="K2530" i="5" s="1"/>
  <c r="P2530" i="5" s="1"/>
  <c r="AJ2530" i="5"/>
  <c r="L2530" i="5" s="1"/>
  <c r="Q2530" i="5" s="1"/>
  <c r="AC2529" i="5"/>
  <c r="AD2529" i="5"/>
  <c r="AP2529" i="5"/>
  <c r="AT2529" i="5"/>
  <c r="W2529" i="5"/>
  <c r="AO2529" i="5" s="1"/>
  <c r="X2529" i="5"/>
  <c r="J2529" i="5"/>
  <c r="Y2529" i="5" s="1"/>
  <c r="Z2529" i="5" s="1"/>
  <c r="AH2529" i="5"/>
  <c r="AI2529" i="5"/>
  <c r="K2529" i="5" s="1"/>
  <c r="P2529" i="5" s="1"/>
  <c r="AJ2529" i="5"/>
  <c r="L2529" i="5" s="1"/>
  <c r="Q2529" i="5" s="1"/>
  <c r="AC2528" i="5"/>
  <c r="AD2528" i="5"/>
  <c r="AP2528" i="5"/>
  <c r="AT2528" i="5"/>
  <c r="W2528" i="5"/>
  <c r="AO2528" i="5" s="1"/>
  <c r="X2528" i="5"/>
  <c r="J2528" i="5"/>
  <c r="Y2528" i="5" s="1"/>
  <c r="Z2528" i="5" s="1"/>
  <c r="AH2528" i="5"/>
  <c r="AI2528" i="5"/>
  <c r="K2528" i="5" s="1"/>
  <c r="P2528" i="5" s="1"/>
  <c r="AJ2528" i="5"/>
  <c r="L2528" i="5" s="1"/>
  <c r="Q2528" i="5" s="1"/>
  <c r="AC2527" i="5"/>
  <c r="AD2527" i="5"/>
  <c r="AP2527" i="5"/>
  <c r="AT2527" i="5"/>
  <c r="W2527" i="5"/>
  <c r="AO2527" i="5" s="1"/>
  <c r="X2527" i="5"/>
  <c r="J2527" i="5"/>
  <c r="Y2527" i="5" s="1"/>
  <c r="Z2527" i="5" s="1"/>
  <c r="AH2527" i="5"/>
  <c r="AI2527" i="5"/>
  <c r="K2527" i="5" s="1"/>
  <c r="P2527" i="5" s="1"/>
  <c r="AJ2527" i="5"/>
  <c r="L2527" i="5" s="1"/>
  <c r="Q2527" i="5" s="1"/>
  <c r="AC2526" i="5"/>
  <c r="AD2526" i="5"/>
  <c r="AP2526" i="5"/>
  <c r="AT2526" i="5"/>
  <c r="W2526" i="5"/>
  <c r="AO2526" i="5" s="1"/>
  <c r="X2526" i="5"/>
  <c r="J2526" i="5"/>
  <c r="Y2526" i="5" s="1"/>
  <c r="Z2526" i="5" s="1"/>
  <c r="AH2526" i="5"/>
  <c r="AI2526" i="5"/>
  <c r="K2526" i="5" s="1"/>
  <c r="P2526" i="5" s="1"/>
  <c r="AJ2526" i="5"/>
  <c r="L2526" i="5" s="1"/>
  <c r="Q2526" i="5" s="1"/>
  <c r="AC2525" i="5"/>
  <c r="AD2525" i="5"/>
  <c r="AP2525" i="5"/>
  <c r="AT2525" i="5"/>
  <c r="W2525" i="5"/>
  <c r="AO2525" i="5" s="1"/>
  <c r="X2525" i="5"/>
  <c r="J2525" i="5"/>
  <c r="Y2525" i="5" s="1"/>
  <c r="Z2525" i="5" s="1"/>
  <c r="AH2525" i="5"/>
  <c r="AI2525" i="5"/>
  <c r="K2525" i="5" s="1"/>
  <c r="P2525" i="5" s="1"/>
  <c r="AJ2525" i="5"/>
  <c r="L2525" i="5" s="1"/>
  <c r="Q2525" i="5" s="1"/>
  <c r="AC2524" i="5"/>
  <c r="AD2524" i="5"/>
  <c r="AP2524" i="5"/>
  <c r="AT2524" i="5"/>
  <c r="W2524" i="5"/>
  <c r="AO2524" i="5" s="1"/>
  <c r="X2524" i="5"/>
  <c r="J2524" i="5"/>
  <c r="Y2524" i="5" s="1"/>
  <c r="Z2524" i="5" s="1"/>
  <c r="AH2524" i="5"/>
  <c r="AI2524" i="5"/>
  <c r="K2524" i="5" s="1"/>
  <c r="P2524" i="5" s="1"/>
  <c r="AJ2524" i="5"/>
  <c r="L2524" i="5" s="1"/>
  <c r="Q2524" i="5" s="1"/>
  <c r="AC2523" i="5"/>
  <c r="AD2523" i="5"/>
  <c r="AP2523" i="5"/>
  <c r="AT2523" i="5"/>
  <c r="W2523" i="5"/>
  <c r="AO2523" i="5" s="1"/>
  <c r="X2523" i="5"/>
  <c r="J2523" i="5"/>
  <c r="Y2523" i="5" s="1"/>
  <c r="Z2523" i="5" s="1"/>
  <c r="AH2523" i="5"/>
  <c r="AI2523" i="5"/>
  <c r="K2523" i="5" s="1"/>
  <c r="P2523" i="5" s="1"/>
  <c r="AJ2523" i="5"/>
  <c r="L2523" i="5" s="1"/>
  <c r="Q2523" i="5" s="1"/>
  <c r="AC2522" i="5"/>
  <c r="AD2522" i="5"/>
  <c r="AP2522" i="5"/>
  <c r="AT2522" i="5"/>
  <c r="W2522" i="5"/>
  <c r="AO2522" i="5" s="1"/>
  <c r="X2522" i="5"/>
  <c r="J2522" i="5"/>
  <c r="Y2522" i="5" s="1"/>
  <c r="Z2522" i="5" s="1"/>
  <c r="AH2522" i="5"/>
  <c r="AI2522" i="5"/>
  <c r="K2522" i="5" s="1"/>
  <c r="P2522" i="5" s="1"/>
  <c r="AJ2522" i="5"/>
  <c r="L2522" i="5" s="1"/>
  <c r="Q2522" i="5" s="1"/>
  <c r="AC2521" i="5"/>
  <c r="AD2521" i="5"/>
  <c r="AP2521" i="5"/>
  <c r="AT2521" i="5"/>
  <c r="W2521" i="5"/>
  <c r="AO2521" i="5" s="1"/>
  <c r="X2521" i="5"/>
  <c r="J2521" i="5"/>
  <c r="Y2521" i="5" s="1"/>
  <c r="Z2521" i="5" s="1"/>
  <c r="AH2521" i="5"/>
  <c r="AI2521" i="5"/>
  <c r="K2521" i="5" s="1"/>
  <c r="P2521" i="5" s="1"/>
  <c r="AJ2521" i="5"/>
  <c r="L2521" i="5" s="1"/>
  <c r="Q2521" i="5" s="1"/>
  <c r="AC2520" i="5"/>
  <c r="AD2520" i="5"/>
  <c r="AP2520" i="5"/>
  <c r="AT2520" i="5"/>
  <c r="W2520" i="5"/>
  <c r="AO2520" i="5" s="1"/>
  <c r="X2520" i="5"/>
  <c r="J2520" i="5"/>
  <c r="Y2520" i="5" s="1"/>
  <c r="Z2520" i="5" s="1"/>
  <c r="AH2520" i="5"/>
  <c r="AI2520" i="5"/>
  <c r="K2520" i="5" s="1"/>
  <c r="P2520" i="5" s="1"/>
  <c r="AJ2520" i="5"/>
  <c r="L2520" i="5" s="1"/>
  <c r="Q2520" i="5" s="1"/>
  <c r="AC2519" i="5"/>
  <c r="AD2519" i="5"/>
  <c r="AP2519" i="5"/>
  <c r="AT2519" i="5"/>
  <c r="W2519" i="5"/>
  <c r="AO2519" i="5" s="1"/>
  <c r="X2519" i="5"/>
  <c r="J2519" i="5"/>
  <c r="Y2519" i="5" s="1"/>
  <c r="Z2519" i="5" s="1"/>
  <c r="AH2519" i="5"/>
  <c r="AI2519" i="5"/>
  <c r="K2519" i="5" s="1"/>
  <c r="P2519" i="5" s="1"/>
  <c r="AJ2519" i="5"/>
  <c r="L2519" i="5" s="1"/>
  <c r="Q2519" i="5" s="1"/>
  <c r="AC2518" i="5"/>
  <c r="AD2518" i="5"/>
  <c r="AP2518" i="5"/>
  <c r="AT2518" i="5"/>
  <c r="W2518" i="5"/>
  <c r="AO2518" i="5" s="1"/>
  <c r="X2518" i="5"/>
  <c r="J2518" i="5"/>
  <c r="Y2518" i="5" s="1"/>
  <c r="Z2518" i="5" s="1"/>
  <c r="AH2518" i="5"/>
  <c r="AI2518" i="5"/>
  <c r="K2518" i="5" s="1"/>
  <c r="P2518" i="5" s="1"/>
  <c r="AJ2518" i="5"/>
  <c r="L2518" i="5" s="1"/>
  <c r="Q2518" i="5" s="1"/>
  <c r="AC2517" i="5"/>
  <c r="AD2517" i="5"/>
  <c r="AP2517" i="5"/>
  <c r="AT2517" i="5"/>
  <c r="W2517" i="5"/>
  <c r="AO2517" i="5" s="1"/>
  <c r="X2517" i="5"/>
  <c r="J2517" i="5"/>
  <c r="Y2517" i="5" s="1"/>
  <c r="Z2517" i="5" s="1"/>
  <c r="AH2517" i="5"/>
  <c r="AI2517" i="5"/>
  <c r="K2517" i="5" s="1"/>
  <c r="P2517" i="5" s="1"/>
  <c r="AJ2517" i="5"/>
  <c r="L2517" i="5" s="1"/>
  <c r="Q2517" i="5" s="1"/>
  <c r="AC2516" i="5"/>
  <c r="AD2516" i="5"/>
  <c r="AP2516" i="5"/>
  <c r="AT2516" i="5"/>
  <c r="W2516" i="5"/>
  <c r="AO2516" i="5" s="1"/>
  <c r="X2516" i="5"/>
  <c r="J2516" i="5"/>
  <c r="Y2516" i="5" s="1"/>
  <c r="Z2516" i="5" s="1"/>
  <c r="AH2516" i="5"/>
  <c r="AI2516" i="5"/>
  <c r="K2516" i="5" s="1"/>
  <c r="P2516" i="5" s="1"/>
  <c r="AJ2516" i="5"/>
  <c r="L2516" i="5" s="1"/>
  <c r="Q2516" i="5" s="1"/>
  <c r="AC2515" i="5"/>
  <c r="AD2515" i="5"/>
  <c r="AP2515" i="5"/>
  <c r="AT2515" i="5"/>
  <c r="W2515" i="5"/>
  <c r="AO2515" i="5" s="1"/>
  <c r="X2515" i="5"/>
  <c r="J2515" i="5"/>
  <c r="Y2515" i="5" s="1"/>
  <c r="Z2515" i="5" s="1"/>
  <c r="AH2515" i="5"/>
  <c r="AI2515" i="5"/>
  <c r="K2515" i="5" s="1"/>
  <c r="P2515" i="5" s="1"/>
  <c r="AJ2515" i="5"/>
  <c r="L2515" i="5" s="1"/>
  <c r="Q2515" i="5" s="1"/>
  <c r="AP2514" i="5"/>
  <c r="AT2514" i="5"/>
  <c r="W2514" i="5"/>
  <c r="AO2514" i="5" s="1"/>
  <c r="X2514" i="5"/>
  <c r="AC2514" i="5"/>
  <c r="AD2514" i="5"/>
  <c r="J2514" i="5"/>
  <c r="Y2514" i="5" s="1"/>
  <c r="Z2514" i="5" s="1"/>
  <c r="AH2514" i="5"/>
  <c r="AI2514" i="5"/>
  <c r="K2514" i="5" s="1"/>
  <c r="P2514" i="5" s="1"/>
  <c r="AJ2514" i="5"/>
  <c r="L2514" i="5" s="1"/>
  <c r="Q2514" i="5" s="1"/>
  <c r="AC2513" i="5"/>
  <c r="AD2513" i="5"/>
  <c r="J2513" i="5"/>
  <c r="Y2513" i="5" s="1"/>
  <c r="Z2513" i="5" s="1"/>
  <c r="AH2513" i="5"/>
  <c r="AI2513" i="5"/>
  <c r="K2513" i="5" s="1"/>
  <c r="P2513" i="5" s="1"/>
  <c r="AJ2513" i="5"/>
  <c r="L2513" i="5" s="1"/>
  <c r="Q2513" i="5" s="1"/>
  <c r="AP2513" i="5"/>
  <c r="AT2513" i="5"/>
  <c r="W2513" i="5"/>
  <c r="AO2513" i="5" s="1"/>
  <c r="X2513" i="5"/>
  <c r="AC2512" i="5"/>
  <c r="AD2512" i="5"/>
  <c r="J2512" i="5"/>
  <c r="Y2512" i="5" s="1"/>
  <c r="Z2512" i="5" s="1"/>
  <c r="AH2512" i="5"/>
  <c r="AI2512" i="5"/>
  <c r="K2512" i="5" s="1"/>
  <c r="P2512" i="5" s="1"/>
  <c r="AJ2512" i="5"/>
  <c r="L2512" i="5" s="1"/>
  <c r="Q2512" i="5" s="1"/>
  <c r="AP2512" i="5"/>
  <c r="AT2512" i="5"/>
  <c r="W2512" i="5"/>
  <c r="AO2512" i="5" s="1"/>
  <c r="X2512" i="5"/>
  <c r="J2511" i="5"/>
  <c r="Y2511" i="5" s="1"/>
  <c r="Z2511" i="5" s="1"/>
  <c r="AH2511" i="5"/>
  <c r="AI2511" i="5"/>
  <c r="K2511" i="5" s="1"/>
  <c r="P2511" i="5" s="1"/>
  <c r="AJ2511" i="5"/>
  <c r="L2511" i="5" s="1"/>
  <c r="Q2511" i="5" s="1"/>
  <c r="AP2511" i="5"/>
  <c r="AT2511" i="5"/>
  <c r="W2511" i="5"/>
  <c r="AO2511" i="5" s="1"/>
  <c r="X2511" i="5"/>
  <c r="AC2511" i="5"/>
  <c r="AD2511" i="5"/>
  <c r="J2510" i="5"/>
  <c r="Y2510" i="5" s="1"/>
  <c r="Z2510" i="5" s="1"/>
  <c r="AH2510" i="5"/>
  <c r="AI2510" i="5"/>
  <c r="K2510" i="5" s="1"/>
  <c r="P2510" i="5" s="1"/>
  <c r="AJ2510" i="5"/>
  <c r="L2510" i="5" s="1"/>
  <c r="Q2510" i="5" s="1"/>
  <c r="AC2510" i="5"/>
  <c r="AD2510" i="5"/>
  <c r="AP2510" i="5"/>
  <c r="AT2510" i="5"/>
  <c r="W2510" i="5"/>
  <c r="AO2510" i="5" s="1"/>
  <c r="X2510" i="5"/>
  <c r="AC2509" i="5"/>
  <c r="AD2509" i="5"/>
  <c r="J2509" i="5"/>
  <c r="Y2509" i="5" s="1"/>
  <c r="Z2509" i="5" s="1"/>
  <c r="AH2509" i="5"/>
  <c r="AI2509" i="5"/>
  <c r="K2509" i="5" s="1"/>
  <c r="P2509" i="5" s="1"/>
  <c r="AJ2509" i="5"/>
  <c r="L2509" i="5" s="1"/>
  <c r="Q2509" i="5" s="1"/>
  <c r="AP2509" i="5"/>
  <c r="AT2509" i="5"/>
  <c r="W2509" i="5"/>
  <c r="AO2509" i="5" s="1"/>
  <c r="X2509" i="5"/>
  <c r="J2508" i="5"/>
  <c r="Y2508" i="5" s="1"/>
  <c r="Z2508" i="5" s="1"/>
  <c r="AH2508" i="5"/>
  <c r="AI2508" i="5"/>
  <c r="K2508" i="5" s="1"/>
  <c r="P2508" i="5" s="1"/>
  <c r="AJ2508" i="5"/>
  <c r="L2508" i="5" s="1"/>
  <c r="Q2508" i="5" s="1"/>
  <c r="AP2508" i="5"/>
  <c r="AT2508" i="5"/>
  <c r="W2508" i="5"/>
  <c r="AO2508" i="5" s="1"/>
  <c r="X2508" i="5"/>
  <c r="AC2508" i="5"/>
  <c r="AD2508" i="5"/>
  <c r="J2507" i="5"/>
  <c r="Y2507" i="5" s="1"/>
  <c r="Z2507" i="5" s="1"/>
  <c r="AH2507" i="5"/>
  <c r="AI2507" i="5"/>
  <c r="K2507" i="5" s="1"/>
  <c r="P2507" i="5" s="1"/>
  <c r="AJ2507" i="5"/>
  <c r="L2507" i="5" s="1"/>
  <c r="Q2507" i="5" s="1"/>
  <c r="AC2507" i="5"/>
  <c r="AD2507" i="5"/>
  <c r="AP2507" i="5"/>
  <c r="AT2507" i="5"/>
  <c r="W2507" i="5"/>
  <c r="AO2507" i="5" s="1"/>
  <c r="X2507" i="5"/>
  <c r="AC2506" i="5"/>
  <c r="AD2506" i="5"/>
  <c r="J2506" i="5"/>
  <c r="AH2506" i="5"/>
  <c r="AI2506" i="5"/>
  <c r="K2506" i="5" s="1"/>
  <c r="P2506" i="5" s="1"/>
  <c r="AJ2506" i="5"/>
  <c r="L2506" i="5" s="1"/>
  <c r="Q2506" i="5" s="1"/>
  <c r="AP2506" i="5"/>
  <c r="AT2506" i="5"/>
  <c r="W2506" i="5"/>
  <c r="AO2506" i="5" s="1"/>
  <c r="X2506" i="5"/>
  <c r="J2505" i="5"/>
  <c r="AH2505" i="5"/>
  <c r="AI2505" i="5"/>
  <c r="K2505" i="5" s="1"/>
  <c r="P2505" i="5" s="1"/>
  <c r="AJ2505" i="5"/>
  <c r="L2505" i="5" s="1"/>
  <c r="Q2505" i="5" s="1"/>
  <c r="AC2505" i="5"/>
  <c r="AD2505" i="5"/>
  <c r="AP2505" i="5"/>
  <c r="AT2505" i="5"/>
  <c r="W2505" i="5"/>
  <c r="AO2505" i="5" s="1"/>
  <c r="X2505" i="5"/>
  <c r="AC2504" i="5"/>
  <c r="AD2504" i="5"/>
  <c r="AP2504" i="5"/>
  <c r="AT2504" i="5"/>
  <c r="W2504" i="5"/>
  <c r="AO2504" i="5" s="1"/>
  <c r="X2504" i="5"/>
  <c r="J2504" i="5"/>
  <c r="AH2504" i="5"/>
  <c r="AI2504" i="5"/>
  <c r="K2504" i="5" s="1"/>
  <c r="P2504" i="5" s="1"/>
  <c r="AJ2504" i="5"/>
  <c r="L2504" i="5" s="1"/>
  <c r="Q2504" i="5" s="1"/>
  <c r="AC2503" i="5"/>
  <c r="AD2503" i="5"/>
  <c r="AP2503" i="5"/>
  <c r="AT2503" i="5"/>
  <c r="W2503" i="5"/>
  <c r="AO2503" i="5" s="1"/>
  <c r="X2503" i="5"/>
  <c r="J2503" i="5"/>
  <c r="AH2503" i="5"/>
  <c r="AI2503" i="5"/>
  <c r="K2503" i="5" s="1"/>
  <c r="P2503" i="5" s="1"/>
  <c r="AJ2503" i="5"/>
  <c r="L2503" i="5" s="1"/>
  <c r="Q2503" i="5" s="1"/>
  <c r="AC2502" i="5"/>
  <c r="AD2502" i="5"/>
  <c r="AP2502" i="5"/>
  <c r="AT2502" i="5"/>
  <c r="W2502" i="5"/>
  <c r="AO2502" i="5" s="1"/>
  <c r="X2502" i="5"/>
  <c r="J2502" i="5"/>
  <c r="Y2502" i="5" s="1"/>
  <c r="Z2502" i="5" s="1"/>
  <c r="AH2502" i="5"/>
  <c r="AI2502" i="5"/>
  <c r="K2502" i="5" s="1"/>
  <c r="P2502" i="5" s="1"/>
  <c r="AJ2502" i="5"/>
  <c r="L2502" i="5" s="1"/>
  <c r="Q2502" i="5" s="1"/>
  <c r="AP2501" i="5"/>
  <c r="AT2501" i="5"/>
  <c r="W2501" i="5"/>
  <c r="AO2501" i="5" s="1"/>
  <c r="X2501" i="5"/>
  <c r="AC2501" i="5"/>
  <c r="AD2501" i="5"/>
  <c r="J2501" i="5"/>
  <c r="AH2501" i="5"/>
  <c r="AI2501" i="5"/>
  <c r="K2501" i="5" s="1"/>
  <c r="P2501" i="5" s="1"/>
  <c r="AJ2501" i="5"/>
  <c r="L2501" i="5" s="1"/>
  <c r="Q2501" i="5" s="1"/>
  <c r="AC2500" i="5"/>
  <c r="AD2500" i="5"/>
  <c r="J2500" i="5"/>
  <c r="Y2500" i="5" s="1"/>
  <c r="Z2500" i="5" s="1"/>
  <c r="AH2500" i="5"/>
  <c r="AI2500" i="5"/>
  <c r="K2500" i="5" s="1"/>
  <c r="P2500" i="5" s="1"/>
  <c r="AJ2500" i="5"/>
  <c r="L2500" i="5" s="1"/>
  <c r="Q2500" i="5" s="1"/>
  <c r="AP2500" i="5"/>
  <c r="AT2500" i="5"/>
  <c r="W2500" i="5"/>
  <c r="AO2500" i="5" s="1"/>
  <c r="X2500" i="5"/>
  <c r="AC2499" i="5"/>
  <c r="AD2499" i="5"/>
  <c r="AP2499" i="5"/>
  <c r="AT2499" i="5"/>
  <c r="W2499" i="5"/>
  <c r="AO2499" i="5" s="1"/>
  <c r="X2499" i="5"/>
  <c r="J2499" i="5"/>
  <c r="AH2499" i="5"/>
  <c r="AI2499" i="5"/>
  <c r="K2499" i="5" s="1"/>
  <c r="P2499" i="5" s="1"/>
  <c r="AJ2499" i="5"/>
  <c r="L2499" i="5" s="1"/>
  <c r="Q2499" i="5" s="1"/>
  <c r="AC2498" i="5"/>
  <c r="AD2498" i="5"/>
  <c r="AP2498" i="5"/>
  <c r="AT2498" i="5"/>
  <c r="W2498" i="5"/>
  <c r="AO2498" i="5" s="1"/>
  <c r="X2498" i="5"/>
  <c r="J2498" i="5"/>
  <c r="Y2498" i="5" s="1"/>
  <c r="Z2498" i="5" s="1"/>
  <c r="AH2498" i="5"/>
  <c r="AI2498" i="5"/>
  <c r="K2498" i="5" s="1"/>
  <c r="P2498" i="5" s="1"/>
  <c r="AJ2498" i="5"/>
  <c r="L2498" i="5" s="1"/>
  <c r="Q2498" i="5" s="1"/>
  <c r="J2497" i="5"/>
  <c r="AH2497" i="5"/>
  <c r="AI2497" i="5"/>
  <c r="K2497" i="5" s="1"/>
  <c r="P2497" i="5" s="1"/>
  <c r="AJ2497" i="5"/>
  <c r="L2497" i="5" s="1"/>
  <c r="Q2497" i="5" s="1"/>
  <c r="AP2497" i="5"/>
  <c r="AT2497" i="5"/>
  <c r="W2497" i="5"/>
  <c r="AO2497" i="5" s="1"/>
  <c r="X2497" i="5"/>
  <c r="AC2497" i="5"/>
  <c r="AD2497" i="5"/>
  <c r="AP2496" i="5"/>
  <c r="AT2496" i="5"/>
  <c r="W2496" i="5"/>
  <c r="AO2496" i="5" s="1"/>
  <c r="X2496" i="5"/>
  <c r="AC2496" i="5"/>
  <c r="AD2496" i="5"/>
  <c r="J2496" i="5"/>
  <c r="Y2496" i="5" s="1"/>
  <c r="Z2496" i="5" s="1"/>
  <c r="AH2496" i="5"/>
  <c r="AI2496" i="5"/>
  <c r="K2496" i="5" s="1"/>
  <c r="P2496" i="5" s="1"/>
  <c r="AJ2496" i="5"/>
  <c r="L2496" i="5" s="1"/>
  <c r="Q2496" i="5" s="1"/>
  <c r="J2495" i="5"/>
  <c r="Y2495" i="5" s="1"/>
  <c r="Z2495" i="5" s="1"/>
  <c r="AH2495" i="5"/>
  <c r="AI2495" i="5"/>
  <c r="K2495" i="5" s="1"/>
  <c r="P2495" i="5" s="1"/>
  <c r="AJ2495" i="5"/>
  <c r="L2495" i="5" s="1"/>
  <c r="Q2495" i="5" s="1"/>
  <c r="AP2495" i="5"/>
  <c r="AT2495" i="5"/>
  <c r="W2495" i="5"/>
  <c r="AO2495" i="5" s="1"/>
  <c r="X2495" i="5"/>
  <c r="AC2495" i="5"/>
  <c r="AD2495" i="5"/>
  <c r="AP2494" i="5"/>
  <c r="AT2494" i="5"/>
  <c r="W2494" i="5"/>
  <c r="AO2494" i="5" s="1"/>
  <c r="X2494" i="5"/>
  <c r="J2494" i="5"/>
  <c r="Y2494" i="5" s="1"/>
  <c r="Z2494" i="5" s="1"/>
  <c r="AH2494" i="5"/>
  <c r="AI2494" i="5"/>
  <c r="K2494" i="5" s="1"/>
  <c r="P2494" i="5" s="1"/>
  <c r="AJ2494" i="5"/>
  <c r="L2494" i="5" s="1"/>
  <c r="Q2494" i="5" s="1"/>
  <c r="AC2494" i="5"/>
  <c r="AD2494" i="5"/>
  <c r="J2493" i="5"/>
  <c r="AH2493" i="5"/>
  <c r="AI2493" i="5"/>
  <c r="K2493" i="5" s="1"/>
  <c r="P2493" i="5" s="1"/>
  <c r="AJ2493" i="5"/>
  <c r="L2493" i="5" s="1"/>
  <c r="Q2493" i="5" s="1"/>
  <c r="AP2493" i="5"/>
  <c r="AT2493" i="5"/>
  <c r="W2493" i="5"/>
  <c r="AO2493" i="5" s="1"/>
  <c r="X2493" i="5"/>
  <c r="AC2493" i="5"/>
  <c r="AD2493" i="5"/>
  <c r="AC2492" i="5"/>
  <c r="AD2492" i="5"/>
  <c r="AP2492" i="5"/>
  <c r="AT2492" i="5"/>
  <c r="W2492" i="5"/>
  <c r="AO2492" i="5" s="1"/>
  <c r="X2492" i="5"/>
  <c r="J2492" i="5"/>
  <c r="AH2492" i="5"/>
  <c r="AI2492" i="5"/>
  <c r="K2492" i="5" s="1"/>
  <c r="P2492" i="5" s="1"/>
  <c r="AJ2492" i="5"/>
  <c r="L2492" i="5" s="1"/>
  <c r="Q2492" i="5" s="1"/>
  <c r="J2491" i="5"/>
  <c r="AH2491" i="5"/>
  <c r="AI2491" i="5"/>
  <c r="K2491" i="5" s="1"/>
  <c r="P2491" i="5" s="1"/>
  <c r="AJ2491" i="5"/>
  <c r="L2491" i="5" s="1"/>
  <c r="Q2491" i="5" s="1"/>
  <c r="AP2491" i="5"/>
  <c r="AT2491" i="5"/>
  <c r="W2491" i="5"/>
  <c r="AO2491" i="5" s="1"/>
  <c r="X2491" i="5"/>
  <c r="AC2491" i="5"/>
  <c r="AD2491" i="5"/>
  <c r="J2490" i="5"/>
  <c r="AH2490" i="5"/>
  <c r="AI2490" i="5"/>
  <c r="K2490" i="5" s="1"/>
  <c r="P2490" i="5" s="1"/>
  <c r="AJ2490" i="5"/>
  <c r="L2490" i="5" s="1"/>
  <c r="Q2490" i="5" s="1"/>
  <c r="AC2490" i="5"/>
  <c r="AD2490" i="5"/>
  <c r="AP2490" i="5"/>
  <c r="AT2490" i="5"/>
  <c r="W2490" i="5"/>
  <c r="AO2490" i="5" s="1"/>
  <c r="X2490" i="5"/>
  <c r="AC2489" i="5"/>
  <c r="AD2489" i="5"/>
  <c r="AP2489" i="5"/>
  <c r="AT2489" i="5"/>
  <c r="W2489" i="5"/>
  <c r="AO2489" i="5" s="1"/>
  <c r="X2489" i="5"/>
  <c r="J2489" i="5"/>
  <c r="Y2489" i="5" s="1"/>
  <c r="Z2489" i="5" s="1"/>
  <c r="AH2489" i="5"/>
  <c r="AI2489" i="5"/>
  <c r="K2489" i="5" s="1"/>
  <c r="P2489" i="5" s="1"/>
  <c r="AJ2489" i="5"/>
  <c r="L2489" i="5" s="1"/>
  <c r="Q2489" i="5" s="1"/>
  <c r="AC2488" i="5"/>
  <c r="AD2488" i="5"/>
  <c r="AP2488" i="5"/>
  <c r="AT2488" i="5"/>
  <c r="W2488" i="5"/>
  <c r="AO2488" i="5" s="1"/>
  <c r="X2488" i="5"/>
  <c r="J2488" i="5"/>
  <c r="Y2488" i="5" s="1"/>
  <c r="Z2488" i="5" s="1"/>
  <c r="AH2488" i="5"/>
  <c r="AI2488" i="5"/>
  <c r="K2488" i="5" s="1"/>
  <c r="P2488" i="5" s="1"/>
  <c r="AJ2488" i="5"/>
  <c r="L2488" i="5" s="1"/>
  <c r="Q2488" i="5" s="1"/>
  <c r="J2487" i="5"/>
  <c r="Y2487" i="5" s="1"/>
  <c r="Z2487" i="5" s="1"/>
  <c r="AH2487" i="5"/>
  <c r="AI2487" i="5"/>
  <c r="K2487" i="5" s="1"/>
  <c r="P2487" i="5" s="1"/>
  <c r="AJ2487" i="5"/>
  <c r="L2487" i="5" s="1"/>
  <c r="Q2487" i="5" s="1"/>
  <c r="AP2487" i="5"/>
  <c r="AT2487" i="5"/>
  <c r="W2487" i="5"/>
  <c r="AO2487" i="5" s="1"/>
  <c r="X2487" i="5"/>
  <c r="AC2487" i="5"/>
  <c r="AD2487" i="5"/>
  <c r="AC2486" i="5"/>
  <c r="AD2486" i="5"/>
  <c r="AP2486" i="5"/>
  <c r="AT2486" i="5"/>
  <c r="W2486" i="5"/>
  <c r="AO2486" i="5" s="1"/>
  <c r="X2486" i="5"/>
  <c r="J2486" i="5"/>
  <c r="Y2486" i="5" s="1"/>
  <c r="Z2486" i="5" s="1"/>
  <c r="AH2486" i="5"/>
  <c r="AI2486" i="5"/>
  <c r="K2486" i="5" s="1"/>
  <c r="P2486" i="5" s="1"/>
  <c r="AJ2486" i="5"/>
  <c r="L2486" i="5" s="1"/>
  <c r="Q2486" i="5" s="1"/>
  <c r="AC2485" i="5"/>
  <c r="AD2485" i="5"/>
  <c r="AP2485" i="5"/>
  <c r="AT2485" i="5"/>
  <c r="W2485" i="5"/>
  <c r="AO2485" i="5" s="1"/>
  <c r="X2485" i="5"/>
  <c r="J2485" i="5"/>
  <c r="AH2485" i="5"/>
  <c r="AI2485" i="5"/>
  <c r="K2485" i="5" s="1"/>
  <c r="P2485" i="5" s="1"/>
  <c r="AJ2485" i="5"/>
  <c r="L2485" i="5" s="1"/>
  <c r="Q2485" i="5" s="1"/>
  <c r="J2484" i="5"/>
  <c r="Y2484" i="5" s="1"/>
  <c r="Z2484" i="5" s="1"/>
  <c r="AH2484" i="5"/>
  <c r="AI2484" i="5"/>
  <c r="K2484" i="5" s="1"/>
  <c r="P2484" i="5" s="1"/>
  <c r="AJ2484" i="5"/>
  <c r="L2484" i="5" s="1"/>
  <c r="Q2484" i="5" s="1"/>
  <c r="AC2484" i="5"/>
  <c r="AD2484" i="5"/>
  <c r="AP2484" i="5"/>
  <c r="AT2484" i="5"/>
  <c r="W2484" i="5"/>
  <c r="AO2484" i="5" s="1"/>
  <c r="X2484" i="5"/>
  <c r="J2483" i="5"/>
  <c r="AH2483" i="5"/>
  <c r="AI2483" i="5"/>
  <c r="K2483" i="5" s="1"/>
  <c r="P2483" i="5" s="1"/>
  <c r="AJ2483" i="5"/>
  <c r="L2483" i="5" s="1"/>
  <c r="Q2483" i="5" s="1"/>
  <c r="AC2483" i="5"/>
  <c r="AD2483" i="5"/>
  <c r="AP2483" i="5"/>
  <c r="AT2483" i="5"/>
  <c r="W2483" i="5"/>
  <c r="AO2483" i="5" s="1"/>
  <c r="X2483" i="5"/>
  <c r="AC2482" i="5"/>
  <c r="AD2482" i="5"/>
  <c r="AP2482" i="5"/>
  <c r="AT2482" i="5"/>
  <c r="W2482" i="5"/>
  <c r="AO2482" i="5" s="1"/>
  <c r="X2482" i="5"/>
  <c r="J2482" i="5"/>
  <c r="AH2482" i="5"/>
  <c r="AI2482" i="5"/>
  <c r="K2482" i="5" s="1"/>
  <c r="P2482" i="5" s="1"/>
  <c r="AJ2482" i="5"/>
  <c r="L2482" i="5" s="1"/>
  <c r="Q2482" i="5" s="1"/>
  <c r="AC2481" i="5"/>
  <c r="AD2481" i="5"/>
  <c r="AP2481" i="5"/>
  <c r="AT2481" i="5"/>
  <c r="W2481" i="5"/>
  <c r="AO2481" i="5" s="1"/>
  <c r="X2481" i="5"/>
  <c r="J2481" i="5"/>
  <c r="AH2481" i="5"/>
  <c r="AI2481" i="5"/>
  <c r="K2481" i="5" s="1"/>
  <c r="P2481" i="5" s="1"/>
  <c r="AJ2481" i="5"/>
  <c r="L2481" i="5" s="1"/>
  <c r="Q2481" i="5" s="1"/>
  <c r="J2480" i="5"/>
  <c r="Y2480" i="5" s="1"/>
  <c r="Z2480" i="5" s="1"/>
  <c r="AH2480" i="5"/>
  <c r="AI2480" i="5"/>
  <c r="K2480" i="5" s="1"/>
  <c r="P2480" i="5" s="1"/>
  <c r="AJ2480" i="5"/>
  <c r="L2480" i="5" s="1"/>
  <c r="Q2480" i="5" s="1"/>
  <c r="AC2480" i="5"/>
  <c r="AD2480" i="5"/>
  <c r="AP2480" i="5"/>
  <c r="AT2480" i="5"/>
  <c r="W2480" i="5"/>
  <c r="AO2480" i="5" s="1"/>
  <c r="X2480" i="5"/>
  <c r="AC2479" i="5"/>
  <c r="AD2479" i="5"/>
  <c r="AP2479" i="5"/>
  <c r="AT2479" i="5"/>
  <c r="W2479" i="5"/>
  <c r="AO2479" i="5" s="1"/>
  <c r="X2479" i="5"/>
  <c r="J2479" i="5"/>
  <c r="AH2479" i="5"/>
  <c r="AI2479" i="5"/>
  <c r="K2479" i="5" s="1"/>
  <c r="P2479" i="5" s="1"/>
  <c r="AJ2479" i="5"/>
  <c r="L2479" i="5" s="1"/>
  <c r="Q2479" i="5" s="1"/>
  <c r="J2478" i="5"/>
  <c r="Y2478" i="5" s="1"/>
  <c r="Z2478" i="5" s="1"/>
  <c r="AH2478" i="5"/>
  <c r="AI2478" i="5"/>
  <c r="K2478" i="5" s="1"/>
  <c r="P2478" i="5" s="1"/>
  <c r="AJ2478" i="5"/>
  <c r="L2478" i="5" s="1"/>
  <c r="Q2478" i="5" s="1"/>
  <c r="AC2477" i="5"/>
  <c r="AD2477" i="5"/>
  <c r="AP2477" i="5"/>
  <c r="AT2477" i="5"/>
  <c r="W2477" i="5"/>
  <c r="AO2477" i="5" s="1"/>
  <c r="X2477" i="5"/>
  <c r="J2477" i="5"/>
  <c r="AH2477" i="5"/>
  <c r="AI2477" i="5"/>
  <c r="K2477" i="5" s="1"/>
  <c r="P2477" i="5" s="1"/>
  <c r="AJ2477" i="5"/>
  <c r="L2477" i="5" s="1"/>
  <c r="Q2477" i="5" s="1"/>
  <c r="AC2476" i="5"/>
  <c r="AD2476" i="5"/>
  <c r="AP2476" i="5"/>
  <c r="AT2476" i="5"/>
  <c r="W2476" i="5"/>
  <c r="AO2476" i="5" s="1"/>
  <c r="X2476" i="5"/>
  <c r="J2476" i="5"/>
  <c r="Y2476" i="5" s="1"/>
  <c r="Z2476" i="5" s="1"/>
  <c r="AH2476" i="5"/>
  <c r="AI2476" i="5"/>
  <c r="K2476" i="5" s="1"/>
  <c r="P2476" i="5" s="1"/>
  <c r="AJ2476" i="5"/>
  <c r="L2476" i="5" s="1"/>
  <c r="Q2476" i="5" s="1"/>
  <c r="J2475" i="5"/>
  <c r="Y2475" i="5" s="1"/>
  <c r="Z2475" i="5" s="1"/>
  <c r="AH2475" i="5"/>
  <c r="AI2475" i="5"/>
  <c r="K2475" i="5" s="1"/>
  <c r="P2475" i="5" s="1"/>
  <c r="AJ2475" i="5"/>
  <c r="L2475" i="5" s="1"/>
  <c r="Q2475" i="5" s="1"/>
  <c r="AC2475" i="5"/>
  <c r="AD2475" i="5"/>
  <c r="AP2475" i="5"/>
  <c r="AT2475" i="5"/>
  <c r="W2475" i="5"/>
  <c r="AO2475" i="5" s="1"/>
  <c r="X2475" i="5"/>
  <c r="AC2474" i="5"/>
  <c r="AD2474" i="5"/>
  <c r="AP2474" i="5"/>
  <c r="AT2474" i="5"/>
  <c r="W2474" i="5"/>
  <c r="AO2474" i="5" s="1"/>
  <c r="X2474" i="5"/>
  <c r="J2474" i="5"/>
  <c r="Y2474" i="5" s="1"/>
  <c r="Z2474" i="5" s="1"/>
  <c r="AH2474" i="5"/>
  <c r="AI2474" i="5"/>
  <c r="K2474" i="5" s="1"/>
  <c r="P2474" i="5" s="1"/>
  <c r="AJ2474" i="5"/>
  <c r="L2474" i="5" s="1"/>
  <c r="Q2474" i="5" s="1"/>
  <c r="AC2473" i="5"/>
  <c r="AD2473" i="5"/>
  <c r="AP2473" i="5"/>
  <c r="AT2473" i="5"/>
  <c r="W2473" i="5"/>
  <c r="AO2473" i="5" s="1"/>
  <c r="X2473" i="5"/>
  <c r="J2473" i="5"/>
  <c r="Y2473" i="5" s="1"/>
  <c r="Z2473" i="5" s="1"/>
  <c r="AH2473" i="5"/>
  <c r="AI2473" i="5"/>
  <c r="K2473" i="5" s="1"/>
  <c r="P2473" i="5" s="1"/>
  <c r="AJ2473" i="5"/>
  <c r="L2473" i="5" s="1"/>
  <c r="Q2473" i="5" s="1"/>
  <c r="AC2472" i="5"/>
  <c r="AD2472" i="5"/>
  <c r="AP2472" i="5"/>
  <c r="AT2472" i="5"/>
  <c r="W2472" i="5"/>
  <c r="AO2472" i="5" s="1"/>
  <c r="X2472" i="5"/>
  <c r="J2472" i="5"/>
  <c r="AH2472" i="5"/>
  <c r="AI2472" i="5"/>
  <c r="K2472" i="5" s="1"/>
  <c r="P2472" i="5" s="1"/>
  <c r="AJ2472" i="5"/>
  <c r="L2472" i="5" s="1"/>
  <c r="Q2472" i="5" s="1"/>
  <c r="AC2471" i="5"/>
  <c r="AD2471" i="5"/>
  <c r="AP2471" i="5"/>
  <c r="AT2471" i="5"/>
  <c r="W2471" i="5"/>
  <c r="AO2471" i="5" s="1"/>
  <c r="X2471" i="5"/>
  <c r="J2471" i="5"/>
  <c r="AH2471" i="5"/>
  <c r="AI2471" i="5"/>
  <c r="K2471" i="5" s="1"/>
  <c r="P2471" i="5" s="1"/>
  <c r="AJ2471" i="5"/>
  <c r="L2471" i="5" s="1"/>
  <c r="Q2471" i="5" s="1"/>
  <c r="J2470" i="5"/>
  <c r="Y2470" i="5" s="1"/>
  <c r="Z2470" i="5" s="1"/>
  <c r="AH2470" i="5"/>
  <c r="AI2470" i="5"/>
  <c r="K2470" i="5" s="1"/>
  <c r="P2470" i="5" s="1"/>
  <c r="AJ2470" i="5"/>
  <c r="L2470" i="5" s="1"/>
  <c r="Q2470" i="5" s="1"/>
  <c r="AP2470" i="5"/>
  <c r="AT2470" i="5"/>
  <c r="W2470" i="5"/>
  <c r="AO2470" i="5" s="1"/>
  <c r="X2470" i="5"/>
  <c r="AC2470" i="5"/>
  <c r="AD2470" i="5"/>
  <c r="AC2469" i="5"/>
  <c r="AD2469" i="5"/>
  <c r="AP2469" i="5"/>
  <c r="AT2469" i="5"/>
  <c r="W2469" i="5"/>
  <c r="AO2469" i="5" s="1"/>
  <c r="X2469" i="5"/>
  <c r="J2469" i="5"/>
  <c r="AH2469" i="5"/>
  <c r="AI2469" i="5"/>
  <c r="K2469" i="5" s="1"/>
  <c r="P2469" i="5" s="1"/>
  <c r="AJ2469" i="5"/>
  <c r="L2469" i="5" s="1"/>
  <c r="Q2469" i="5" s="1"/>
  <c r="AC2468" i="5"/>
  <c r="AD2468" i="5"/>
  <c r="AP2468" i="5"/>
  <c r="AT2468" i="5"/>
  <c r="W2468" i="5"/>
  <c r="AO2468" i="5" s="1"/>
  <c r="X2468" i="5"/>
  <c r="J2468" i="5"/>
  <c r="AH2468" i="5"/>
  <c r="AI2468" i="5"/>
  <c r="K2468" i="5" s="1"/>
  <c r="P2468" i="5" s="1"/>
  <c r="AJ2468" i="5"/>
  <c r="L2468" i="5" s="1"/>
  <c r="Q2468" i="5" s="1"/>
  <c r="J2467" i="5"/>
  <c r="Y2467" i="5" s="1"/>
  <c r="Z2467" i="5" s="1"/>
  <c r="AH2467" i="5"/>
  <c r="AI2467" i="5"/>
  <c r="K2467" i="5" s="1"/>
  <c r="P2467" i="5" s="1"/>
  <c r="AJ2467" i="5"/>
  <c r="L2467" i="5" s="1"/>
  <c r="Q2467" i="5" s="1"/>
  <c r="AP2467" i="5"/>
  <c r="AT2467" i="5"/>
  <c r="W2467" i="5"/>
  <c r="AO2467" i="5" s="1"/>
  <c r="X2467" i="5"/>
  <c r="AC2467" i="5"/>
  <c r="AD2467" i="5"/>
  <c r="AC2466" i="5"/>
  <c r="AD2466" i="5"/>
  <c r="AP2466" i="5"/>
  <c r="AT2466" i="5"/>
  <c r="W2466" i="5"/>
  <c r="AO2466" i="5" s="1"/>
  <c r="X2466" i="5"/>
  <c r="J2466" i="5"/>
  <c r="AH2466" i="5"/>
  <c r="AI2466" i="5"/>
  <c r="K2466" i="5" s="1"/>
  <c r="P2466" i="5" s="1"/>
  <c r="AJ2466" i="5"/>
  <c r="L2466" i="5" s="1"/>
  <c r="Q2466" i="5" s="1"/>
  <c r="J2465" i="5"/>
  <c r="AH2465" i="5"/>
  <c r="AI2465" i="5"/>
  <c r="K2465" i="5" s="1"/>
  <c r="P2465" i="5" s="1"/>
  <c r="AJ2465" i="5"/>
  <c r="L2465" i="5" s="1"/>
  <c r="Q2465" i="5" s="1"/>
  <c r="AP2465" i="5"/>
  <c r="AT2465" i="5"/>
  <c r="W2465" i="5"/>
  <c r="AO2465" i="5" s="1"/>
  <c r="X2465" i="5"/>
  <c r="AC2465" i="5"/>
  <c r="AD2465" i="5"/>
  <c r="AC2464" i="5"/>
  <c r="AD2464" i="5"/>
  <c r="AP2464" i="5"/>
  <c r="AT2464" i="5"/>
  <c r="W2464" i="5"/>
  <c r="AO2464" i="5" s="1"/>
  <c r="X2464" i="5"/>
  <c r="J2464" i="5"/>
  <c r="AH2464" i="5"/>
  <c r="AI2464" i="5"/>
  <c r="K2464" i="5" s="1"/>
  <c r="P2464" i="5" s="1"/>
  <c r="AJ2464" i="5"/>
  <c r="L2464" i="5" s="1"/>
  <c r="Q2464" i="5" s="1"/>
  <c r="AP2463" i="5"/>
  <c r="AT2463" i="5"/>
  <c r="W2463" i="5"/>
  <c r="AO2463" i="5" s="1"/>
  <c r="X2463" i="5"/>
  <c r="J2463" i="5"/>
  <c r="Y2463" i="5" s="1"/>
  <c r="Z2463" i="5" s="1"/>
  <c r="AH2463" i="5"/>
  <c r="AI2463" i="5"/>
  <c r="K2463" i="5" s="1"/>
  <c r="P2463" i="5" s="1"/>
  <c r="AJ2463" i="5"/>
  <c r="L2463" i="5" s="1"/>
  <c r="Q2463" i="5" s="1"/>
  <c r="AC2463" i="5"/>
  <c r="AD2463" i="5"/>
  <c r="J2462" i="5"/>
  <c r="AH2462" i="5"/>
  <c r="AI2462" i="5"/>
  <c r="K2462" i="5" s="1"/>
  <c r="P2462" i="5" s="1"/>
  <c r="AJ2462" i="5"/>
  <c r="L2462" i="5" s="1"/>
  <c r="Q2462" i="5" s="1"/>
  <c r="AC2462" i="5"/>
  <c r="AD2462" i="5"/>
  <c r="AP2462" i="5"/>
  <c r="AT2462" i="5"/>
  <c r="W2462" i="5"/>
  <c r="AO2462" i="5" s="1"/>
  <c r="X2462" i="5"/>
  <c r="AC2461" i="5"/>
  <c r="AD2461" i="5"/>
  <c r="AP2461" i="5"/>
  <c r="AT2461" i="5"/>
  <c r="W2461" i="5"/>
  <c r="AO2461" i="5" s="1"/>
  <c r="X2461" i="5"/>
  <c r="J2461" i="5"/>
  <c r="Y2461" i="5" s="1"/>
  <c r="Z2461" i="5" s="1"/>
  <c r="AH2461" i="5"/>
  <c r="AI2461" i="5"/>
  <c r="K2461" i="5" s="1"/>
  <c r="P2461" i="5" s="1"/>
  <c r="AJ2461" i="5"/>
  <c r="L2461" i="5" s="1"/>
  <c r="Q2461" i="5" s="1"/>
  <c r="AC2460" i="5"/>
  <c r="AD2460" i="5"/>
  <c r="AP2460" i="5"/>
  <c r="AT2460" i="5"/>
  <c r="W2460" i="5"/>
  <c r="AO2460" i="5" s="1"/>
  <c r="X2460" i="5"/>
  <c r="J2460" i="5"/>
  <c r="AH2460" i="5"/>
  <c r="AI2460" i="5"/>
  <c r="K2460" i="5" s="1"/>
  <c r="P2460" i="5" s="1"/>
  <c r="AJ2460" i="5"/>
  <c r="L2460" i="5" s="1"/>
  <c r="Q2460" i="5" s="1"/>
  <c r="AP2459" i="5"/>
  <c r="AT2459" i="5"/>
  <c r="W2459" i="5"/>
  <c r="AO2459" i="5" s="1"/>
  <c r="X2459" i="5"/>
  <c r="J2459" i="5"/>
  <c r="AH2459" i="5"/>
  <c r="AI2459" i="5"/>
  <c r="K2459" i="5" s="1"/>
  <c r="P2459" i="5" s="1"/>
  <c r="AJ2459" i="5"/>
  <c r="L2459" i="5" s="1"/>
  <c r="Q2459" i="5" s="1"/>
  <c r="AC2459" i="5"/>
  <c r="AD2459" i="5"/>
  <c r="AC2458" i="5"/>
  <c r="AD2458" i="5"/>
  <c r="AP2458" i="5"/>
  <c r="AT2458" i="5"/>
  <c r="W2458" i="5"/>
  <c r="AO2458" i="5" s="1"/>
  <c r="X2458" i="5"/>
  <c r="J2458" i="5"/>
  <c r="AH2458" i="5"/>
  <c r="AI2458" i="5"/>
  <c r="K2458" i="5" s="1"/>
  <c r="P2458" i="5" s="1"/>
  <c r="AJ2458" i="5"/>
  <c r="L2458" i="5" s="1"/>
  <c r="Q2458" i="5" s="1"/>
  <c r="AC2457" i="5"/>
  <c r="AD2457" i="5"/>
  <c r="AP2457" i="5"/>
  <c r="AT2457" i="5"/>
  <c r="W2457" i="5"/>
  <c r="AO2457" i="5" s="1"/>
  <c r="X2457" i="5"/>
  <c r="J2457" i="5"/>
  <c r="AH2457" i="5"/>
  <c r="AI2457" i="5"/>
  <c r="K2457" i="5" s="1"/>
  <c r="P2457" i="5" s="1"/>
  <c r="AJ2457" i="5"/>
  <c r="L2457" i="5" s="1"/>
  <c r="Q2457" i="5" s="1"/>
  <c r="AP2456" i="5"/>
  <c r="AT2456" i="5"/>
  <c r="W2456" i="5"/>
  <c r="AO2456" i="5" s="1"/>
  <c r="X2456" i="5"/>
  <c r="AC2456" i="5"/>
  <c r="AD2456" i="5"/>
  <c r="J2456" i="5"/>
  <c r="AH2456" i="5"/>
  <c r="AI2456" i="5"/>
  <c r="K2456" i="5" s="1"/>
  <c r="P2456" i="5" s="1"/>
  <c r="AJ2456" i="5"/>
  <c r="L2456" i="5" s="1"/>
  <c r="Q2456" i="5" s="1"/>
  <c r="AC2455" i="5"/>
  <c r="AD2455" i="5"/>
  <c r="AP2455" i="5"/>
  <c r="AT2455" i="5"/>
  <c r="W2455" i="5"/>
  <c r="AO2455" i="5" s="1"/>
  <c r="X2455" i="5"/>
  <c r="J2455" i="5"/>
  <c r="AH2455" i="5"/>
  <c r="AI2455" i="5"/>
  <c r="K2455" i="5" s="1"/>
  <c r="P2455" i="5" s="1"/>
  <c r="AJ2455" i="5"/>
  <c r="L2455" i="5" s="1"/>
  <c r="Q2455" i="5" s="1"/>
  <c r="AP2454" i="5"/>
  <c r="AT2454" i="5"/>
  <c r="W2454" i="5"/>
  <c r="AO2454" i="5" s="1"/>
  <c r="X2454" i="5"/>
  <c r="AC2454" i="5"/>
  <c r="AD2454" i="5"/>
  <c r="J2454" i="5"/>
  <c r="AH2454" i="5"/>
  <c r="AI2454" i="5"/>
  <c r="K2454" i="5" s="1"/>
  <c r="P2454" i="5" s="1"/>
  <c r="AJ2454" i="5"/>
  <c r="L2454" i="5" s="1"/>
  <c r="Q2454" i="5" s="1"/>
  <c r="AC2453" i="5"/>
  <c r="AD2453" i="5"/>
  <c r="AP2453" i="5"/>
  <c r="AT2453" i="5"/>
  <c r="W2453" i="5"/>
  <c r="AO2453" i="5" s="1"/>
  <c r="X2453" i="5"/>
  <c r="J2453" i="5"/>
  <c r="Y2453" i="5" s="1"/>
  <c r="Z2453" i="5" s="1"/>
  <c r="AH2453" i="5"/>
  <c r="AI2453" i="5"/>
  <c r="K2453" i="5" s="1"/>
  <c r="P2453" i="5" s="1"/>
  <c r="AJ2453" i="5"/>
  <c r="L2453" i="5" s="1"/>
  <c r="Q2453" i="5" s="1"/>
  <c r="AC2452" i="5"/>
  <c r="AD2452" i="5"/>
  <c r="AP2452" i="5"/>
  <c r="AT2452" i="5"/>
  <c r="W2452" i="5"/>
  <c r="AO2452" i="5" s="1"/>
  <c r="X2452" i="5"/>
  <c r="J2452" i="5"/>
  <c r="AH2452" i="5"/>
  <c r="AI2452" i="5"/>
  <c r="K2452" i="5" s="1"/>
  <c r="P2452" i="5" s="1"/>
  <c r="AJ2452" i="5"/>
  <c r="L2452" i="5" s="1"/>
  <c r="Q2452" i="5" s="1"/>
  <c r="AC2451" i="5"/>
  <c r="AD2451" i="5"/>
  <c r="AP2451" i="5"/>
  <c r="AT2451" i="5"/>
  <c r="W2451" i="5"/>
  <c r="AO2451" i="5" s="1"/>
  <c r="X2451" i="5"/>
  <c r="J2451" i="5"/>
  <c r="Y2451" i="5" s="1"/>
  <c r="Z2451" i="5" s="1"/>
  <c r="AH2451" i="5"/>
  <c r="AI2451" i="5"/>
  <c r="K2451" i="5" s="1"/>
  <c r="P2451" i="5" s="1"/>
  <c r="AJ2451" i="5"/>
  <c r="L2451" i="5" s="1"/>
  <c r="Q2451" i="5" s="1"/>
  <c r="J2450" i="5"/>
  <c r="AH2450" i="5"/>
  <c r="AI2450" i="5"/>
  <c r="K2450" i="5" s="1"/>
  <c r="P2450" i="5" s="1"/>
  <c r="AJ2450" i="5"/>
  <c r="L2450" i="5" s="1"/>
  <c r="Q2450" i="5" s="1"/>
  <c r="AC2450" i="5"/>
  <c r="AD2450" i="5"/>
  <c r="AP2450" i="5"/>
  <c r="AT2450" i="5"/>
  <c r="W2450" i="5"/>
  <c r="AO2450" i="5" s="1"/>
  <c r="X2450" i="5"/>
  <c r="AC2449" i="5"/>
  <c r="AD2449" i="5"/>
  <c r="AP2449" i="5"/>
  <c r="AT2449" i="5"/>
  <c r="W2449" i="5"/>
  <c r="AO2449" i="5" s="1"/>
  <c r="X2449" i="5"/>
  <c r="J2449" i="5"/>
  <c r="Y2449" i="5" s="1"/>
  <c r="Z2449" i="5" s="1"/>
  <c r="AH2449" i="5"/>
  <c r="AI2449" i="5"/>
  <c r="K2449" i="5" s="1"/>
  <c r="P2449" i="5" s="1"/>
  <c r="AJ2449" i="5"/>
  <c r="L2449" i="5" s="1"/>
  <c r="Q2449" i="5" s="1"/>
  <c r="AC2448" i="5"/>
  <c r="AD2448" i="5"/>
  <c r="AP2448" i="5"/>
  <c r="AT2448" i="5"/>
  <c r="W2448" i="5"/>
  <c r="AO2448" i="5" s="1"/>
  <c r="X2448" i="5"/>
  <c r="J2448" i="5"/>
  <c r="AH2448" i="5"/>
  <c r="AI2448" i="5"/>
  <c r="K2448" i="5" s="1"/>
  <c r="P2448" i="5" s="1"/>
  <c r="AJ2448" i="5"/>
  <c r="L2448" i="5" s="1"/>
  <c r="Q2448" i="5" s="1"/>
  <c r="AC2447" i="5"/>
  <c r="AD2447" i="5"/>
  <c r="AP2447" i="5"/>
  <c r="AT2447" i="5"/>
  <c r="W2447" i="5"/>
  <c r="AO2447" i="5" s="1"/>
  <c r="X2447" i="5"/>
  <c r="J2447" i="5"/>
  <c r="AH2447" i="5"/>
  <c r="AI2447" i="5"/>
  <c r="K2447" i="5" s="1"/>
  <c r="P2447" i="5" s="1"/>
  <c r="AJ2447" i="5"/>
  <c r="L2447" i="5" s="1"/>
  <c r="Q2447" i="5" s="1"/>
  <c r="AC2446" i="5"/>
  <c r="AD2446" i="5"/>
  <c r="AP2446" i="5"/>
  <c r="AT2446" i="5"/>
  <c r="W2446" i="5"/>
  <c r="AO2446" i="5" s="1"/>
  <c r="X2446" i="5"/>
  <c r="AH2446" i="5"/>
  <c r="AI2446" i="5"/>
  <c r="K2446" i="5" s="1"/>
  <c r="P2446" i="5" s="1"/>
  <c r="AJ2446" i="5"/>
  <c r="L2446" i="5" s="1"/>
  <c r="Q2446" i="5" s="1"/>
  <c r="J2446" i="5"/>
  <c r="Y2446" i="5" s="1"/>
  <c r="Z2446" i="5" s="1"/>
  <c r="J2445" i="5"/>
  <c r="AH2445" i="5"/>
  <c r="AJ2445" i="5"/>
  <c r="L2445" i="5" s="1"/>
  <c r="Q2445" i="5" s="1"/>
  <c r="AI2445" i="5"/>
  <c r="K2445" i="5" s="1"/>
  <c r="P2445" i="5" s="1"/>
  <c r="AD2445" i="5"/>
  <c r="AC2445" i="5"/>
  <c r="AP2445" i="5"/>
  <c r="W2445" i="5"/>
  <c r="AO2445" i="5" s="1"/>
  <c r="AT2445" i="5"/>
  <c r="X2445" i="5"/>
  <c r="AC2444" i="5"/>
  <c r="AD2444" i="5"/>
  <c r="AP2444" i="5"/>
  <c r="AT2444" i="5"/>
  <c r="W2444" i="5"/>
  <c r="AO2444" i="5" s="1"/>
  <c r="X2444" i="5"/>
  <c r="J2444" i="5"/>
  <c r="AH2444" i="5"/>
  <c r="AI2444" i="5"/>
  <c r="K2444" i="5" s="1"/>
  <c r="P2444" i="5" s="1"/>
  <c r="AJ2444" i="5"/>
  <c r="L2444" i="5" s="1"/>
  <c r="Q2444" i="5" s="1"/>
  <c r="AC2443" i="5"/>
  <c r="AD2443" i="5"/>
  <c r="AP2443" i="5"/>
  <c r="AT2443" i="5"/>
  <c r="W2443" i="5"/>
  <c r="AO2443" i="5" s="1"/>
  <c r="X2443" i="5"/>
  <c r="J2443" i="5"/>
  <c r="AH2443" i="5"/>
  <c r="AI2443" i="5"/>
  <c r="K2443" i="5" s="1"/>
  <c r="P2443" i="5" s="1"/>
  <c r="AJ2443" i="5"/>
  <c r="L2443" i="5" s="1"/>
  <c r="Q2443" i="5" s="1"/>
  <c r="AC2442" i="5"/>
  <c r="AD2442" i="5"/>
  <c r="AP2442" i="5"/>
  <c r="AT2442" i="5"/>
  <c r="W2442" i="5"/>
  <c r="AO2442" i="5" s="1"/>
  <c r="X2442" i="5"/>
  <c r="J2442" i="5"/>
  <c r="AH2442" i="5"/>
  <c r="AI2442" i="5"/>
  <c r="K2442" i="5" s="1"/>
  <c r="P2442" i="5" s="1"/>
  <c r="AJ2442" i="5"/>
  <c r="L2442" i="5" s="1"/>
  <c r="Q2442" i="5" s="1"/>
  <c r="AP2441" i="5"/>
  <c r="AT2441" i="5"/>
  <c r="W2441" i="5"/>
  <c r="AO2441" i="5" s="1"/>
  <c r="X2441" i="5"/>
  <c r="AC2441" i="5"/>
  <c r="AD2441" i="5"/>
  <c r="J2441" i="5"/>
  <c r="Y2441" i="5" s="1"/>
  <c r="Z2441" i="5" s="1"/>
  <c r="AH2441" i="5"/>
  <c r="AI2441" i="5"/>
  <c r="K2441" i="5" s="1"/>
  <c r="P2441" i="5" s="1"/>
  <c r="AJ2441" i="5"/>
  <c r="L2441" i="5" s="1"/>
  <c r="Q2441" i="5" s="1"/>
  <c r="AP2440" i="5"/>
  <c r="AT2440" i="5"/>
  <c r="W2440" i="5"/>
  <c r="AO2440" i="5" s="1"/>
  <c r="X2440" i="5"/>
  <c r="J2440" i="5"/>
  <c r="Y2440" i="5" s="1"/>
  <c r="Z2440" i="5" s="1"/>
  <c r="AH2440" i="5"/>
  <c r="AI2440" i="5"/>
  <c r="K2440" i="5" s="1"/>
  <c r="P2440" i="5" s="1"/>
  <c r="AJ2440" i="5"/>
  <c r="L2440" i="5" s="1"/>
  <c r="Q2440" i="5" s="1"/>
  <c r="AC2440" i="5"/>
  <c r="AD2440" i="5"/>
  <c r="AP2439" i="5"/>
  <c r="AT2439" i="5"/>
  <c r="W2439" i="5"/>
  <c r="AO2439" i="5" s="1"/>
  <c r="X2439" i="5"/>
  <c r="AC2439" i="5"/>
  <c r="AD2439" i="5"/>
  <c r="J2439" i="5"/>
  <c r="AH2439" i="5"/>
  <c r="AI2439" i="5"/>
  <c r="K2439" i="5" s="1"/>
  <c r="P2439" i="5" s="1"/>
  <c r="AJ2439" i="5"/>
  <c r="L2439" i="5" s="1"/>
  <c r="Q2439" i="5" s="1"/>
  <c r="J2438" i="5"/>
  <c r="AH2438" i="5"/>
  <c r="AI2438" i="5"/>
  <c r="K2438" i="5" s="1"/>
  <c r="P2438" i="5" s="1"/>
  <c r="AJ2438" i="5"/>
  <c r="L2438" i="5" s="1"/>
  <c r="Q2438" i="5" s="1"/>
  <c r="AC2438" i="5"/>
  <c r="AD2438" i="5"/>
  <c r="AP2438" i="5"/>
  <c r="AT2438" i="5"/>
  <c r="W2438" i="5"/>
  <c r="AO2438" i="5" s="1"/>
  <c r="X2438" i="5"/>
  <c r="AP2437" i="5"/>
  <c r="AT2437" i="5"/>
  <c r="W2437" i="5"/>
  <c r="AO2437" i="5" s="1"/>
  <c r="X2437" i="5"/>
  <c r="J2437" i="5"/>
  <c r="Y2437" i="5" s="1"/>
  <c r="Z2437" i="5" s="1"/>
  <c r="AH2437" i="5"/>
  <c r="AI2437" i="5"/>
  <c r="K2437" i="5" s="1"/>
  <c r="P2437" i="5" s="1"/>
  <c r="AJ2437" i="5"/>
  <c r="L2437" i="5" s="1"/>
  <c r="Q2437" i="5" s="1"/>
  <c r="AC2437" i="5"/>
  <c r="AD2437" i="5"/>
  <c r="AP2436" i="5"/>
  <c r="AT2436" i="5"/>
  <c r="W2436" i="5"/>
  <c r="AO2436" i="5" s="1"/>
  <c r="X2436" i="5"/>
  <c r="AC2436" i="5"/>
  <c r="AD2436" i="5"/>
  <c r="J2436" i="5"/>
  <c r="Y2436" i="5" s="1"/>
  <c r="Z2436" i="5" s="1"/>
  <c r="AH2436" i="5"/>
  <c r="AI2436" i="5"/>
  <c r="K2436" i="5" s="1"/>
  <c r="P2436" i="5" s="1"/>
  <c r="AJ2436" i="5"/>
  <c r="L2436" i="5" s="1"/>
  <c r="Q2436" i="5" s="1"/>
  <c r="J2435" i="5"/>
  <c r="Y2435" i="5" s="1"/>
  <c r="Z2435" i="5" s="1"/>
  <c r="AH2435" i="5"/>
  <c r="AI2435" i="5"/>
  <c r="K2435" i="5" s="1"/>
  <c r="P2435" i="5" s="1"/>
  <c r="AJ2435" i="5"/>
  <c r="L2435" i="5" s="1"/>
  <c r="Q2435" i="5" s="1"/>
  <c r="AP2435" i="5"/>
  <c r="AT2435" i="5"/>
  <c r="W2435" i="5"/>
  <c r="AO2435" i="5" s="1"/>
  <c r="X2435" i="5"/>
  <c r="AC2435" i="5"/>
  <c r="AD2435" i="5"/>
  <c r="AC2434" i="5"/>
  <c r="AD2434" i="5"/>
  <c r="AP2434" i="5"/>
  <c r="AT2434" i="5"/>
  <c r="W2434" i="5"/>
  <c r="AO2434" i="5" s="1"/>
  <c r="X2434" i="5"/>
  <c r="J2434" i="5"/>
  <c r="Y2434" i="5" s="1"/>
  <c r="Z2434" i="5" s="1"/>
  <c r="AH2434" i="5"/>
  <c r="AI2434" i="5"/>
  <c r="K2434" i="5" s="1"/>
  <c r="P2434" i="5" s="1"/>
  <c r="AJ2434" i="5"/>
  <c r="L2434" i="5" s="1"/>
  <c r="Q2434" i="5" s="1"/>
  <c r="AP2433" i="5"/>
  <c r="AT2433" i="5"/>
  <c r="W2433" i="5"/>
  <c r="AO2433" i="5" s="1"/>
  <c r="X2433" i="5"/>
  <c r="AC2433" i="5"/>
  <c r="AD2433" i="5"/>
  <c r="J2433" i="5"/>
  <c r="Y2433" i="5" s="1"/>
  <c r="Z2433" i="5" s="1"/>
  <c r="AH2433" i="5"/>
  <c r="AI2433" i="5"/>
  <c r="K2433" i="5" s="1"/>
  <c r="P2433" i="5" s="1"/>
  <c r="AJ2433" i="5"/>
  <c r="L2433" i="5" s="1"/>
  <c r="Q2433" i="5" s="1"/>
  <c r="AC2432" i="5"/>
  <c r="AD2432" i="5"/>
  <c r="J2432" i="5"/>
  <c r="Y2432" i="5" s="1"/>
  <c r="Z2432" i="5" s="1"/>
  <c r="AH2432" i="5"/>
  <c r="AI2432" i="5"/>
  <c r="K2432" i="5" s="1"/>
  <c r="P2432" i="5" s="1"/>
  <c r="AJ2432" i="5"/>
  <c r="L2432" i="5" s="1"/>
  <c r="Q2432" i="5" s="1"/>
  <c r="AP2432" i="5"/>
  <c r="AT2432" i="5"/>
  <c r="W2432" i="5"/>
  <c r="AO2432" i="5" s="1"/>
  <c r="X2432" i="5"/>
  <c r="AC2431" i="5"/>
  <c r="AD2431" i="5"/>
  <c r="J2431" i="5"/>
  <c r="Y2431" i="5" s="1"/>
  <c r="Z2431" i="5" s="1"/>
  <c r="AH2431" i="5"/>
  <c r="AI2431" i="5"/>
  <c r="K2431" i="5" s="1"/>
  <c r="P2431" i="5" s="1"/>
  <c r="AJ2431" i="5"/>
  <c r="L2431" i="5" s="1"/>
  <c r="Q2431" i="5" s="1"/>
  <c r="AP2431" i="5"/>
  <c r="AT2431" i="5"/>
  <c r="W2431" i="5"/>
  <c r="AO2431" i="5" s="1"/>
  <c r="X2431" i="5"/>
  <c r="AC2430" i="5"/>
  <c r="AD2430" i="5"/>
  <c r="AP2430" i="5"/>
  <c r="AT2430" i="5"/>
  <c r="W2430" i="5"/>
  <c r="AO2430" i="5" s="1"/>
  <c r="X2430" i="5"/>
  <c r="J2430" i="5"/>
  <c r="Y2430" i="5" s="1"/>
  <c r="Z2430" i="5" s="1"/>
  <c r="AH2430" i="5"/>
  <c r="AI2430" i="5"/>
  <c r="K2430" i="5" s="1"/>
  <c r="P2430" i="5" s="1"/>
  <c r="AJ2430" i="5"/>
  <c r="L2430" i="5" s="1"/>
  <c r="Q2430" i="5" s="1"/>
  <c r="AC2429" i="5"/>
  <c r="AD2429" i="5"/>
  <c r="AP2429" i="5"/>
  <c r="AT2429" i="5"/>
  <c r="W2429" i="5"/>
  <c r="AO2429" i="5" s="1"/>
  <c r="X2429" i="5"/>
  <c r="J2429" i="5"/>
  <c r="Y2429" i="5" s="1"/>
  <c r="Z2429" i="5" s="1"/>
  <c r="AH2429" i="5"/>
  <c r="AI2429" i="5"/>
  <c r="K2429" i="5" s="1"/>
  <c r="P2429" i="5" s="1"/>
  <c r="AJ2429" i="5"/>
  <c r="L2429" i="5" s="1"/>
  <c r="Q2429" i="5" s="1"/>
  <c r="AC2428" i="5"/>
  <c r="AD2428" i="5"/>
  <c r="AP2428" i="5"/>
  <c r="AT2428" i="5"/>
  <c r="W2428" i="5"/>
  <c r="AO2428" i="5" s="1"/>
  <c r="X2428" i="5"/>
  <c r="J2428" i="5"/>
  <c r="Y2428" i="5" s="1"/>
  <c r="Z2428" i="5" s="1"/>
  <c r="AH2428" i="5"/>
  <c r="AI2428" i="5"/>
  <c r="K2428" i="5" s="1"/>
  <c r="P2428" i="5" s="1"/>
  <c r="AJ2428" i="5"/>
  <c r="L2428" i="5" s="1"/>
  <c r="Q2428" i="5" s="1"/>
  <c r="AC2427" i="5"/>
  <c r="AD2427" i="5"/>
  <c r="AP2427" i="5"/>
  <c r="AT2427" i="5"/>
  <c r="W2427" i="5"/>
  <c r="AO2427" i="5" s="1"/>
  <c r="X2427" i="5"/>
  <c r="J2427" i="5"/>
  <c r="Y2427" i="5" s="1"/>
  <c r="Z2427" i="5" s="1"/>
  <c r="AH2427" i="5"/>
  <c r="AI2427" i="5"/>
  <c r="K2427" i="5" s="1"/>
  <c r="P2427" i="5" s="1"/>
  <c r="AJ2427" i="5"/>
  <c r="L2427" i="5" s="1"/>
  <c r="Q2427" i="5" s="1"/>
  <c r="J2426" i="5"/>
  <c r="Y2426" i="5" s="1"/>
  <c r="Z2426" i="5" s="1"/>
  <c r="AH2426" i="5"/>
  <c r="AI2426" i="5"/>
  <c r="K2426" i="5" s="1"/>
  <c r="P2426" i="5" s="1"/>
  <c r="AJ2426" i="5"/>
  <c r="L2426" i="5" s="1"/>
  <c r="Q2426" i="5" s="1"/>
  <c r="AP2426" i="5"/>
  <c r="AT2426" i="5"/>
  <c r="W2426" i="5"/>
  <c r="AO2426" i="5" s="1"/>
  <c r="X2426" i="5"/>
  <c r="AC2426" i="5"/>
  <c r="AD2426" i="5"/>
  <c r="J2425" i="5"/>
  <c r="Y2425" i="5" s="1"/>
  <c r="Z2425" i="5" s="1"/>
  <c r="AH2425" i="5"/>
  <c r="AI2425" i="5"/>
  <c r="K2425" i="5" s="1"/>
  <c r="P2425" i="5" s="1"/>
  <c r="AJ2425" i="5"/>
  <c r="L2425" i="5" s="1"/>
  <c r="Q2425" i="5" s="1"/>
  <c r="AC2425" i="5"/>
  <c r="AD2425" i="5"/>
  <c r="AP2425" i="5"/>
  <c r="AT2425" i="5"/>
  <c r="W2425" i="5"/>
  <c r="AO2425" i="5" s="1"/>
  <c r="X2425" i="5"/>
  <c r="AP2424" i="5"/>
  <c r="AT2424" i="5"/>
  <c r="W2424" i="5"/>
  <c r="AO2424" i="5" s="1"/>
  <c r="X2424" i="5"/>
  <c r="AC2424" i="5"/>
  <c r="AD2424" i="5"/>
  <c r="J2424" i="5"/>
  <c r="Y2424" i="5" s="1"/>
  <c r="Z2424" i="5" s="1"/>
  <c r="AH2424" i="5"/>
  <c r="AI2424" i="5"/>
  <c r="K2424" i="5" s="1"/>
  <c r="P2424" i="5" s="1"/>
  <c r="AJ2424" i="5"/>
  <c r="L2424" i="5" s="1"/>
  <c r="Q2424" i="5" s="1"/>
  <c r="J2423" i="5"/>
  <c r="Y2423" i="5" s="1"/>
  <c r="Z2423" i="5" s="1"/>
  <c r="AH2423" i="5"/>
  <c r="AI2423" i="5"/>
  <c r="K2423" i="5" s="1"/>
  <c r="P2423" i="5" s="1"/>
  <c r="AJ2423" i="5"/>
  <c r="L2423" i="5" s="1"/>
  <c r="Q2423" i="5" s="1"/>
  <c r="AC2423" i="5"/>
  <c r="AD2423" i="5"/>
  <c r="AP2423" i="5"/>
  <c r="AT2423" i="5"/>
  <c r="W2423" i="5"/>
  <c r="AO2423" i="5" s="1"/>
  <c r="X2423" i="5"/>
  <c r="J2422" i="5"/>
  <c r="Y2422" i="5" s="1"/>
  <c r="Z2422" i="5" s="1"/>
  <c r="AH2422" i="5"/>
  <c r="AI2422" i="5"/>
  <c r="K2422" i="5" s="1"/>
  <c r="P2422" i="5" s="1"/>
  <c r="AJ2422" i="5"/>
  <c r="L2422" i="5" s="1"/>
  <c r="Q2422" i="5" s="1"/>
  <c r="AC2422" i="5"/>
  <c r="AD2422" i="5"/>
  <c r="AP2422" i="5"/>
  <c r="AT2422" i="5"/>
  <c r="W2422" i="5"/>
  <c r="AO2422" i="5" s="1"/>
  <c r="X2422" i="5"/>
  <c r="J2421" i="5"/>
  <c r="Y2421" i="5" s="1"/>
  <c r="Z2421" i="5" s="1"/>
  <c r="AH2421" i="5"/>
  <c r="AI2421" i="5"/>
  <c r="K2421" i="5" s="1"/>
  <c r="P2421" i="5" s="1"/>
  <c r="AJ2421" i="5"/>
  <c r="L2421" i="5" s="1"/>
  <c r="Q2421" i="5" s="1"/>
  <c r="AC2421" i="5"/>
  <c r="AD2421" i="5"/>
  <c r="AP2421" i="5"/>
  <c r="AT2421" i="5"/>
  <c r="W2421" i="5"/>
  <c r="AO2421" i="5" s="1"/>
  <c r="X2421" i="5"/>
  <c r="AP2420" i="5"/>
  <c r="AT2420" i="5"/>
  <c r="W2420" i="5"/>
  <c r="AO2420" i="5" s="1"/>
  <c r="X2420" i="5"/>
  <c r="AC2420" i="5"/>
  <c r="AD2420" i="5"/>
  <c r="J2420" i="5"/>
  <c r="Y2420" i="5" s="1"/>
  <c r="Z2420" i="5" s="1"/>
  <c r="AH2420" i="5"/>
  <c r="AI2420" i="5"/>
  <c r="K2420" i="5" s="1"/>
  <c r="P2420" i="5" s="1"/>
  <c r="AJ2420" i="5"/>
  <c r="L2420" i="5" s="1"/>
  <c r="Q2420" i="5" s="1"/>
  <c r="AC2419" i="5"/>
  <c r="AD2419" i="5"/>
  <c r="AP2419" i="5"/>
  <c r="AT2419" i="5"/>
  <c r="W2419" i="5"/>
  <c r="AO2419" i="5" s="1"/>
  <c r="X2419" i="5"/>
  <c r="J2419" i="5"/>
  <c r="Y2419" i="5" s="1"/>
  <c r="Z2419" i="5" s="1"/>
  <c r="AH2419" i="5"/>
  <c r="AI2419" i="5"/>
  <c r="K2419" i="5" s="1"/>
  <c r="P2419" i="5" s="1"/>
  <c r="AJ2419" i="5"/>
  <c r="L2419" i="5" s="1"/>
  <c r="Q2419" i="5" s="1"/>
  <c r="AP2418" i="5"/>
  <c r="AT2418" i="5"/>
  <c r="W2418" i="5"/>
  <c r="AO2418" i="5" s="1"/>
  <c r="X2418" i="5"/>
  <c r="AC2418" i="5"/>
  <c r="AD2418" i="5"/>
  <c r="J2418" i="5"/>
  <c r="Y2418" i="5" s="1"/>
  <c r="Z2418" i="5" s="1"/>
  <c r="AH2418" i="5"/>
  <c r="AI2418" i="5"/>
  <c r="K2418" i="5" s="1"/>
  <c r="P2418" i="5" s="1"/>
  <c r="AJ2418" i="5"/>
  <c r="L2418" i="5" s="1"/>
  <c r="Q2418" i="5" s="1"/>
  <c r="J2417" i="5"/>
  <c r="Y2417" i="5" s="1"/>
  <c r="Z2417" i="5" s="1"/>
  <c r="AH2417" i="5"/>
  <c r="AI2417" i="5"/>
  <c r="K2417" i="5" s="1"/>
  <c r="P2417" i="5" s="1"/>
  <c r="AJ2417" i="5"/>
  <c r="L2417" i="5" s="1"/>
  <c r="Q2417" i="5" s="1"/>
  <c r="AC2417" i="5"/>
  <c r="AD2417" i="5"/>
  <c r="AP2417" i="5"/>
  <c r="AT2417" i="5"/>
  <c r="W2417" i="5"/>
  <c r="AO2417" i="5" s="1"/>
  <c r="X2417" i="5"/>
  <c r="J2416" i="5"/>
  <c r="Y2416" i="5" s="1"/>
  <c r="Z2416" i="5" s="1"/>
  <c r="AH2416" i="5"/>
  <c r="AI2416" i="5"/>
  <c r="K2416" i="5" s="1"/>
  <c r="P2416" i="5" s="1"/>
  <c r="AJ2416" i="5"/>
  <c r="L2416" i="5" s="1"/>
  <c r="Q2416" i="5" s="1"/>
  <c r="AP2416" i="5"/>
  <c r="AT2416" i="5"/>
  <c r="W2416" i="5"/>
  <c r="AO2416" i="5" s="1"/>
  <c r="X2416" i="5"/>
  <c r="AC2416" i="5"/>
  <c r="AD2416" i="5"/>
  <c r="AP2415" i="5"/>
  <c r="AT2415" i="5"/>
  <c r="W2415" i="5"/>
  <c r="AO2415" i="5" s="1"/>
  <c r="X2415" i="5"/>
  <c r="AC2415" i="5"/>
  <c r="AD2415" i="5"/>
  <c r="J2415" i="5"/>
  <c r="Y2415" i="5" s="1"/>
  <c r="Z2415" i="5" s="1"/>
  <c r="AH2415" i="5"/>
  <c r="AI2415" i="5"/>
  <c r="K2415" i="5" s="1"/>
  <c r="P2415" i="5" s="1"/>
  <c r="AJ2415" i="5"/>
  <c r="L2415" i="5" s="1"/>
  <c r="Q2415" i="5" s="1"/>
  <c r="AP2414" i="5"/>
  <c r="AT2414" i="5"/>
  <c r="W2414" i="5"/>
  <c r="AO2414" i="5" s="1"/>
  <c r="X2414" i="5"/>
  <c r="AC2414" i="5"/>
  <c r="AD2414" i="5"/>
  <c r="J2414" i="5"/>
  <c r="Y2414" i="5" s="1"/>
  <c r="Z2414" i="5" s="1"/>
  <c r="AH2414" i="5"/>
  <c r="AI2414" i="5"/>
  <c r="K2414" i="5" s="1"/>
  <c r="P2414" i="5" s="1"/>
  <c r="AJ2414" i="5"/>
  <c r="L2414" i="5" s="1"/>
  <c r="Q2414" i="5" s="1"/>
  <c r="J2413" i="5"/>
  <c r="Y2413" i="5" s="1"/>
  <c r="Z2413" i="5" s="1"/>
  <c r="AH2413" i="5"/>
  <c r="AI2413" i="5"/>
  <c r="K2413" i="5" s="1"/>
  <c r="P2413" i="5" s="1"/>
  <c r="AJ2413" i="5"/>
  <c r="L2413" i="5" s="1"/>
  <c r="Q2413" i="5" s="1"/>
  <c r="AP2413" i="5"/>
  <c r="AT2413" i="5"/>
  <c r="W2413" i="5"/>
  <c r="AO2413" i="5" s="1"/>
  <c r="X2413" i="5"/>
  <c r="AC2413" i="5"/>
  <c r="AD2413" i="5"/>
  <c r="AP2412" i="5"/>
  <c r="AT2412" i="5"/>
  <c r="W2412" i="5"/>
  <c r="AO2412" i="5" s="1"/>
  <c r="X2412" i="5"/>
  <c r="AC2412" i="5"/>
  <c r="AD2412" i="5"/>
  <c r="J2412" i="5"/>
  <c r="Y2412" i="5" s="1"/>
  <c r="Z2412" i="5" s="1"/>
  <c r="AH2412" i="5"/>
  <c r="AI2412" i="5"/>
  <c r="K2412" i="5" s="1"/>
  <c r="P2412" i="5" s="1"/>
  <c r="AJ2412" i="5"/>
  <c r="L2412" i="5" s="1"/>
  <c r="Q2412" i="5" s="1"/>
  <c r="J2411" i="5"/>
  <c r="Y2411" i="5" s="1"/>
  <c r="Z2411" i="5" s="1"/>
  <c r="AH2411" i="5"/>
  <c r="AI2411" i="5"/>
  <c r="K2411" i="5" s="1"/>
  <c r="P2411" i="5" s="1"/>
  <c r="AJ2411" i="5"/>
  <c r="L2411" i="5" s="1"/>
  <c r="Q2411" i="5" s="1"/>
  <c r="AC2411" i="5"/>
  <c r="AD2411" i="5"/>
  <c r="AP2411" i="5"/>
  <c r="AT2411" i="5"/>
  <c r="W2411" i="5"/>
  <c r="AO2411" i="5" s="1"/>
  <c r="X2411" i="5"/>
  <c r="AP2410" i="5"/>
  <c r="AT2410" i="5"/>
  <c r="W2410" i="5"/>
  <c r="AO2410" i="5" s="1"/>
  <c r="X2410" i="5"/>
  <c r="AC2410" i="5"/>
  <c r="AD2410" i="5"/>
  <c r="J2410" i="5"/>
  <c r="Y2410" i="5" s="1"/>
  <c r="Z2410" i="5" s="1"/>
  <c r="AH2410" i="5"/>
  <c r="AI2410" i="5"/>
  <c r="K2410" i="5" s="1"/>
  <c r="P2410" i="5" s="1"/>
  <c r="AJ2410" i="5"/>
  <c r="L2410" i="5" s="1"/>
  <c r="Q2410" i="5" s="1"/>
  <c r="AC2409" i="5"/>
  <c r="AD2409" i="5"/>
  <c r="AP2409" i="5"/>
  <c r="AT2409" i="5"/>
  <c r="W2409" i="5"/>
  <c r="AO2409" i="5" s="1"/>
  <c r="X2409" i="5"/>
  <c r="J2409" i="5"/>
  <c r="Y2409" i="5" s="1"/>
  <c r="Z2409" i="5" s="1"/>
  <c r="AH2409" i="5"/>
  <c r="AI2409" i="5"/>
  <c r="K2409" i="5" s="1"/>
  <c r="P2409" i="5" s="1"/>
  <c r="AJ2409" i="5"/>
  <c r="L2409" i="5" s="1"/>
  <c r="Q2409" i="5" s="1"/>
  <c r="J2408" i="5"/>
  <c r="Y2408" i="5" s="1"/>
  <c r="Z2408" i="5" s="1"/>
  <c r="AH2408" i="5"/>
  <c r="AI2408" i="5"/>
  <c r="K2408" i="5" s="1"/>
  <c r="P2408" i="5" s="1"/>
  <c r="AJ2408" i="5"/>
  <c r="L2408" i="5" s="1"/>
  <c r="Q2408" i="5" s="1"/>
  <c r="AC2408" i="5"/>
  <c r="AD2408" i="5"/>
  <c r="AP2408" i="5"/>
  <c r="AT2408" i="5"/>
  <c r="W2408" i="5"/>
  <c r="AO2408" i="5" s="1"/>
  <c r="X2408" i="5"/>
  <c r="J2407" i="5"/>
  <c r="Y2407" i="5" s="1"/>
  <c r="Z2407" i="5" s="1"/>
  <c r="AH2407" i="5"/>
  <c r="AI2407" i="5"/>
  <c r="K2407" i="5" s="1"/>
  <c r="P2407" i="5" s="1"/>
  <c r="AJ2407" i="5"/>
  <c r="L2407" i="5" s="1"/>
  <c r="Q2407" i="5" s="1"/>
  <c r="AP2407" i="5"/>
  <c r="AT2407" i="5"/>
  <c r="W2407" i="5"/>
  <c r="AO2407" i="5" s="1"/>
  <c r="X2407" i="5"/>
  <c r="AC2407" i="5"/>
  <c r="AD2407" i="5"/>
  <c r="AC2406" i="5"/>
  <c r="AD2406" i="5"/>
  <c r="J2406" i="5"/>
  <c r="Y2406" i="5" s="1"/>
  <c r="Z2406" i="5" s="1"/>
  <c r="AH2406" i="5"/>
  <c r="AI2406" i="5"/>
  <c r="K2406" i="5" s="1"/>
  <c r="P2406" i="5" s="1"/>
  <c r="AJ2406" i="5"/>
  <c r="L2406" i="5" s="1"/>
  <c r="Q2406" i="5" s="1"/>
  <c r="AP2406" i="5"/>
  <c r="AT2406" i="5"/>
  <c r="W2406" i="5"/>
  <c r="AO2406" i="5" s="1"/>
  <c r="X2406" i="5"/>
  <c r="AP2405" i="5"/>
  <c r="AT2405" i="5"/>
  <c r="W2405" i="5"/>
  <c r="AO2405" i="5" s="1"/>
  <c r="X2405" i="5"/>
  <c r="J2405" i="5"/>
  <c r="Y2405" i="5" s="1"/>
  <c r="Z2405" i="5" s="1"/>
  <c r="AH2405" i="5"/>
  <c r="AI2405" i="5"/>
  <c r="K2405" i="5" s="1"/>
  <c r="P2405" i="5" s="1"/>
  <c r="AJ2405" i="5"/>
  <c r="L2405" i="5" s="1"/>
  <c r="Q2405" i="5" s="1"/>
  <c r="J2404" i="5"/>
  <c r="Y2404" i="5" s="1"/>
  <c r="Z2404" i="5" s="1"/>
  <c r="AH2404" i="5"/>
  <c r="AI2404" i="5"/>
  <c r="K2404" i="5" s="1"/>
  <c r="P2404" i="5" s="1"/>
  <c r="AJ2404" i="5"/>
  <c r="L2404" i="5" s="1"/>
  <c r="Q2404" i="5" s="1"/>
  <c r="AP2404" i="5"/>
  <c r="AT2404" i="5"/>
  <c r="W2404" i="5"/>
  <c r="AO2404" i="5" s="1"/>
  <c r="X2404" i="5"/>
  <c r="AC2404" i="5"/>
  <c r="AD2404" i="5"/>
  <c r="AP2403" i="5"/>
  <c r="AT2403" i="5"/>
  <c r="W2403" i="5"/>
  <c r="AO2403" i="5" s="1"/>
  <c r="X2403" i="5"/>
  <c r="AC2403" i="5"/>
  <c r="AD2403" i="5"/>
  <c r="J2403" i="5"/>
  <c r="Y2403" i="5" s="1"/>
  <c r="Z2403" i="5" s="1"/>
  <c r="AH2403" i="5"/>
  <c r="AI2403" i="5"/>
  <c r="K2403" i="5" s="1"/>
  <c r="P2403" i="5" s="1"/>
  <c r="AJ2403" i="5"/>
  <c r="L2403" i="5" s="1"/>
  <c r="Q2403" i="5" s="1"/>
  <c r="J2402" i="5"/>
  <c r="Y2402" i="5" s="1"/>
  <c r="Z2402" i="5" s="1"/>
  <c r="AH2402" i="5"/>
  <c r="AI2402" i="5"/>
  <c r="K2402" i="5" s="1"/>
  <c r="P2402" i="5" s="1"/>
  <c r="AJ2402" i="5"/>
  <c r="L2402" i="5" s="1"/>
  <c r="Q2402" i="5" s="1"/>
  <c r="AP2402" i="5"/>
  <c r="AT2402" i="5"/>
  <c r="W2402" i="5"/>
  <c r="AO2402" i="5" s="1"/>
  <c r="X2402" i="5"/>
  <c r="AC2402" i="5"/>
  <c r="AD2402" i="5"/>
  <c r="AP2401" i="5"/>
  <c r="AT2401" i="5"/>
  <c r="W2401" i="5"/>
  <c r="AO2401" i="5" s="1"/>
  <c r="X2401" i="5"/>
  <c r="J2401" i="5"/>
  <c r="AH2401" i="5"/>
  <c r="AI2401" i="5"/>
  <c r="K2401" i="5" s="1"/>
  <c r="P2401" i="5" s="1"/>
  <c r="AJ2401" i="5"/>
  <c r="L2401" i="5" s="1"/>
  <c r="Q2401" i="5" s="1"/>
  <c r="AC2401" i="5"/>
  <c r="AD2401" i="5"/>
  <c r="AP2400" i="5"/>
  <c r="AT2400" i="5"/>
  <c r="W2400" i="5"/>
  <c r="AO2400" i="5" s="1"/>
  <c r="X2400" i="5"/>
  <c r="AC2400" i="5"/>
  <c r="AD2400" i="5"/>
  <c r="J2400" i="5"/>
  <c r="Y2400" i="5" s="1"/>
  <c r="Z2400" i="5" s="1"/>
  <c r="AH2400" i="5"/>
  <c r="AI2400" i="5"/>
  <c r="K2400" i="5" s="1"/>
  <c r="P2400" i="5" s="1"/>
  <c r="AJ2400" i="5"/>
  <c r="L2400" i="5" s="1"/>
  <c r="Q2400" i="5" s="1"/>
  <c r="AP2399" i="5"/>
  <c r="AT2399" i="5"/>
  <c r="W2399" i="5"/>
  <c r="AO2399" i="5" s="1"/>
  <c r="X2399" i="5"/>
  <c r="AC2399" i="5"/>
  <c r="AD2399" i="5"/>
  <c r="J2399" i="5"/>
  <c r="Y2399" i="5" s="1"/>
  <c r="Z2399" i="5" s="1"/>
  <c r="AH2399" i="5"/>
  <c r="AI2399" i="5"/>
  <c r="K2399" i="5" s="1"/>
  <c r="P2399" i="5" s="1"/>
  <c r="AJ2399" i="5"/>
  <c r="L2399" i="5" s="1"/>
  <c r="Q2399" i="5" s="1"/>
  <c r="J2398" i="5"/>
  <c r="Y2398" i="5" s="1"/>
  <c r="Z2398" i="5" s="1"/>
  <c r="AH2398" i="5"/>
  <c r="AI2398" i="5"/>
  <c r="K2398" i="5" s="1"/>
  <c r="P2398" i="5" s="1"/>
  <c r="AJ2398" i="5"/>
  <c r="L2398" i="5" s="1"/>
  <c r="Q2398" i="5" s="1"/>
  <c r="AP2398" i="5"/>
  <c r="AT2398" i="5"/>
  <c r="W2398" i="5"/>
  <c r="AO2398" i="5" s="1"/>
  <c r="X2398" i="5"/>
  <c r="AC2398" i="5"/>
  <c r="AD2398" i="5"/>
  <c r="AC2397" i="5"/>
  <c r="AD2397" i="5"/>
  <c r="AP2397" i="5"/>
  <c r="AT2397" i="5"/>
  <c r="W2397" i="5"/>
  <c r="AO2397" i="5" s="1"/>
  <c r="X2397" i="5"/>
  <c r="J2397" i="5"/>
  <c r="Y2397" i="5" s="1"/>
  <c r="Z2397" i="5" s="1"/>
  <c r="AH2397" i="5"/>
  <c r="AI2397" i="5"/>
  <c r="K2397" i="5" s="1"/>
  <c r="P2397" i="5" s="1"/>
  <c r="AJ2397" i="5"/>
  <c r="L2397" i="5" s="1"/>
  <c r="Q2397" i="5" s="1"/>
  <c r="AC2396" i="5"/>
  <c r="AD2396" i="5"/>
  <c r="AP2396" i="5"/>
  <c r="AT2396" i="5"/>
  <c r="W2396" i="5"/>
  <c r="AO2396" i="5" s="1"/>
  <c r="X2396" i="5"/>
  <c r="J2396" i="5"/>
  <c r="Y2396" i="5" s="1"/>
  <c r="Z2396" i="5" s="1"/>
  <c r="AH2396" i="5"/>
  <c r="AI2396" i="5"/>
  <c r="K2396" i="5" s="1"/>
  <c r="P2396" i="5" s="1"/>
  <c r="AJ2396" i="5"/>
  <c r="L2396" i="5" s="1"/>
  <c r="Q2396" i="5" s="1"/>
  <c r="AC2395" i="5"/>
  <c r="AD2395" i="5"/>
  <c r="J2395" i="5"/>
  <c r="Y2395" i="5" s="1"/>
  <c r="Z2395" i="5" s="1"/>
  <c r="AH2395" i="5"/>
  <c r="AI2395" i="5"/>
  <c r="K2395" i="5" s="1"/>
  <c r="P2395" i="5" s="1"/>
  <c r="AJ2395" i="5"/>
  <c r="L2395" i="5" s="1"/>
  <c r="Q2395" i="5" s="1"/>
  <c r="AP2395" i="5"/>
  <c r="AT2395" i="5"/>
  <c r="W2395" i="5"/>
  <c r="AO2395" i="5" s="1"/>
  <c r="X2395" i="5"/>
  <c r="J2394" i="5"/>
  <c r="Y2394" i="5" s="1"/>
  <c r="Z2394" i="5" s="1"/>
  <c r="AH2394" i="5"/>
  <c r="AI2394" i="5"/>
  <c r="K2394" i="5" s="1"/>
  <c r="P2394" i="5" s="1"/>
  <c r="AJ2394" i="5"/>
  <c r="L2394" i="5" s="1"/>
  <c r="Q2394" i="5" s="1"/>
  <c r="AP2394" i="5"/>
  <c r="AT2394" i="5"/>
  <c r="W2394" i="5"/>
  <c r="AO2394" i="5" s="1"/>
  <c r="X2394" i="5"/>
  <c r="AC2394" i="5"/>
  <c r="AD2394" i="5"/>
  <c r="J2393" i="5"/>
  <c r="Y2393" i="5" s="1"/>
  <c r="Z2393" i="5" s="1"/>
  <c r="AH2393" i="5"/>
  <c r="AI2393" i="5"/>
  <c r="K2393" i="5" s="1"/>
  <c r="P2393" i="5" s="1"/>
  <c r="AJ2393" i="5"/>
  <c r="L2393" i="5" s="1"/>
  <c r="Q2393" i="5" s="1"/>
  <c r="AP2393" i="5"/>
  <c r="AT2393" i="5"/>
  <c r="W2393" i="5"/>
  <c r="AO2393" i="5" s="1"/>
  <c r="X2393" i="5"/>
  <c r="AC2393" i="5"/>
  <c r="AD2393" i="5"/>
  <c r="J2392" i="5"/>
  <c r="Y2392" i="5" s="1"/>
  <c r="Z2392" i="5" s="1"/>
  <c r="AH2392" i="5"/>
  <c r="AI2392" i="5"/>
  <c r="K2392" i="5" s="1"/>
  <c r="P2392" i="5" s="1"/>
  <c r="AJ2392" i="5"/>
  <c r="L2392" i="5" s="1"/>
  <c r="Q2392" i="5" s="1"/>
  <c r="AP2392" i="5"/>
  <c r="AT2392" i="5"/>
  <c r="W2392" i="5"/>
  <c r="AO2392" i="5" s="1"/>
  <c r="X2392" i="5"/>
  <c r="AC2392" i="5"/>
  <c r="AD2392" i="5"/>
  <c r="AC2391" i="5"/>
  <c r="AD2391" i="5"/>
  <c r="AP2391" i="5"/>
  <c r="AT2391" i="5"/>
  <c r="W2391" i="5"/>
  <c r="AO2391" i="5" s="1"/>
  <c r="X2391" i="5"/>
  <c r="J2391" i="5"/>
  <c r="Y2391" i="5" s="1"/>
  <c r="Z2391" i="5" s="1"/>
  <c r="AH2391" i="5"/>
  <c r="AI2391" i="5"/>
  <c r="K2391" i="5" s="1"/>
  <c r="P2391" i="5" s="1"/>
  <c r="AJ2391" i="5"/>
  <c r="L2391" i="5" s="1"/>
  <c r="Q2391" i="5" s="1"/>
  <c r="J2390" i="5"/>
  <c r="Y2390" i="5" s="1"/>
  <c r="Z2390" i="5" s="1"/>
  <c r="AH2390" i="5"/>
  <c r="AI2390" i="5"/>
  <c r="K2390" i="5" s="1"/>
  <c r="P2390" i="5" s="1"/>
  <c r="AJ2390" i="5"/>
  <c r="L2390" i="5" s="1"/>
  <c r="Q2390" i="5" s="1"/>
  <c r="AC2390" i="5"/>
  <c r="AD2390" i="5"/>
  <c r="AP2390" i="5"/>
  <c r="AT2390" i="5"/>
  <c r="W2390" i="5"/>
  <c r="AO2390" i="5" s="1"/>
  <c r="X2390" i="5"/>
  <c r="J2389" i="5"/>
  <c r="Y2389" i="5" s="1"/>
  <c r="Z2389" i="5" s="1"/>
  <c r="AH2389" i="5"/>
  <c r="AI2389" i="5"/>
  <c r="K2389" i="5" s="1"/>
  <c r="P2389" i="5" s="1"/>
  <c r="AJ2389" i="5"/>
  <c r="L2389" i="5" s="1"/>
  <c r="Q2389" i="5" s="1"/>
  <c r="AC2389" i="5"/>
  <c r="AD2389" i="5"/>
  <c r="AP2389" i="5"/>
  <c r="AT2389" i="5"/>
  <c r="W2389" i="5"/>
  <c r="AO2389" i="5" s="1"/>
  <c r="X2389" i="5"/>
  <c r="AC2388" i="5"/>
  <c r="AD2388" i="5"/>
  <c r="AP2388" i="5"/>
  <c r="AT2388" i="5"/>
  <c r="W2388" i="5"/>
  <c r="AO2388" i="5" s="1"/>
  <c r="X2388" i="5"/>
  <c r="J2388" i="5"/>
  <c r="Y2388" i="5" s="1"/>
  <c r="Z2388" i="5" s="1"/>
  <c r="AH2388" i="5"/>
  <c r="AI2388" i="5"/>
  <c r="K2388" i="5" s="1"/>
  <c r="P2388" i="5" s="1"/>
  <c r="AJ2388" i="5"/>
  <c r="L2388" i="5" s="1"/>
  <c r="Q2388" i="5" s="1"/>
  <c r="AC2387" i="5"/>
  <c r="AD2387" i="5"/>
  <c r="J2387" i="5"/>
  <c r="Y2387" i="5" s="1"/>
  <c r="Z2387" i="5" s="1"/>
  <c r="AH2387" i="5"/>
  <c r="AI2387" i="5"/>
  <c r="K2387" i="5" s="1"/>
  <c r="P2387" i="5" s="1"/>
  <c r="AJ2387" i="5"/>
  <c r="L2387" i="5" s="1"/>
  <c r="Q2387" i="5" s="1"/>
  <c r="AP2387" i="5"/>
  <c r="AT2387" i="5"/>
  <c r="W2387" i="5"/>
  <c r="AO2387" i="5" s="1"/>
  <c r="X2387" i="5"/>
  <c r="AP2386" i="5"/>
  <c r="AT2386" i="5"/>
  <c r="W2386" i="5"/>
  <c r="AO2386" i="5" s="1"/>
  <c r="X2386" i="5"/>
  <c r="AC2386" i="5"/>
  <c r="AD2386" i="5"/>
  <c r="J2386" i="5"/>
  <c r="Y2386" i="5" s="1"/>
  <c r="Z2386" i="5" s="1"/>
  <c r="AH2386" i="5"/>
  <c r="AI2386" i="5"/>
  <c r="K2386" i="5" s="1"/>
  <c r="P2386" i="5" s="1"/>
  <c r="AJ2386" i="5"/>
  <c r="L2386" i="5" s="1"/>
  <c r="Q2386" i="5" s="1"/>
  <c r="AC2385" i="5"/>
  <c r="AD2385" i="5"/>
  <c r="AP2385" i="5"/>
  <c r="AT2385" i="5"/>
  <c r="W2385" i="5"/>
  <c r="AO2385" i="5" s="1"/>
  <c r="X2385" i="5"/>
  <c r="J2385" i="5"/>
  <c r="Y2385" i="5" s="1"/>
  <c r="Z2385" i="5" s="1"/>
  <c r="AH2385" i="5"/>
  <c r="AI2385" i="5"/>
  <c r="K2385" i="5" s="1"/>
  <c r="P2385" i="5" s="1"/>
  <c r="AJ2385" i="5"/>
  <c r="L2385" i="5" s="1"/>
  <c r="Q2385" i="5" s="1"/>
  <c r="AC2384" i="5"/>
  <c r="AD2384" i="5"/>
  <c r="AP2384" i="5"/>
  <c r="AT2384" i="5"/>
  <c r="W2384" i="5"/>
  <c r="AO2384" i="5" s="1"/>
  <c r="X2384" i="5"/>
  <c r="J2384" i="5"/>
  <c r="Y2384" i="5" s="1"/>
  <c r="Z2384" i="5" s="1"/>
  <c r="AH2384" i="5"/>
  <c r="AI2384" i="5"/>
  <c r="K2384" i="5" s="1"/>
  <c r="P2384" i="5" s="1"/>
  <c r="AJ2384" i="5"/>
  <c r="L2384" i="5" s="1"/>
  <c r="Q2384" i="5" s="1"/>
  <c r="J2383" i="5"/>
  <c r="Y2383" i="5" s="1"/>
  <c r="Z2383" i="5" s="1"/>
  <c r="AH2383" i="5"/>
  <c r="AI2383" i="5"/>
  <c r="K2383" i="5" s="1"/>
  <c r="P2383" i="5" s="1"/>
  <c r="AJ2383" i="5"/>
  <c r="L2383" i="5" s="1"/>
  <c r="Q2383" i="5" s="1"/>
  <c r="AP2383" i="5"/>
  <c r="AT2383" i="5"/>
  <c r="W2383" i="5"/>
  <c r="AO2383" i="5" s="1"/>
  <c r="X2383" i="5"/>
  <c r="AC2383" i="5"/>
  <c r="AD2383" i="5"/>
  <c r="J2382" i="5"/>
  <c r="Y2382" i="5" s="1"/>
  <c r="Z2382" i="5" s="1"/>
  <c r="AH2382" i="5"/>
  <c r="AI2382" i="5"/>
  <c r="K2382" i="5" s="1"/>
  <c r="P2382" i="5" s="1"/>
  <c r="AJ2382" i="5"/>
  <c r="L2382" i="5" s="1"/>
  <c r="Q2382" i="5" s="1"/>
  <c r="AP2382" i="5"/>
  <c r="AT2382" i="5"/>
  <c r="W2382" i="5"/>
  <c r="AO2382" i="5" s="1"/>
  <c r="X2382" i="5"/>
  <c r="AC2382" i="5"/>
  <c r="AD2382" i="5"/>
  <c r="AC2381" i="5"/>
  <c r="AD2381" i="5"/>
  <c r="AJ2381" i="5"/>
  <c r="L2381" i="5" s="1"/>
  <c r="Q2381" i="5" s="1"/>
  <c r="J2381" i="5"/>
  <c r="Y2381" i="5" s="1"/>
  <c r="Z2381" i="5" s="1"/>
  <c r="AH2381" i="5"/>
  <c r="AI2381" i="5"/>
  <c r="K2381" i="5" s="1"/>
  <c r="P2381" i="5" s="1"/>
  <c r="W2381" i="5"/>
  <c r="AO2381" i="5" s="1"/>
  <c r="X2381" i="5"/>
  <c r="AP2381" i="5"/>
  <c r="AT2381" i="5"/>
  <c r="AI2380" i="5"/>
  <c r="K2380" i="5" s="1"/>
  <c r="P2380" i="5" s="1"/>
  <c r="J2380" i="5"/>
  <c r="Y2380" i="5" s="1"/>
  <c r="Z2380" i="5" s="1"/>
  <c r="AH2380" i="5"/>
  <c r="AJ2380" i="5"/>
  <c r="L2380" i="5" s="1"/>
  <c r="Q2380" i="5" s="1"/>
  <c r="AD2380" i="5"/>
  <c r="AC2380" i="5"/>
  <c r="AT2380" i="5"/>
  <c r="W2380" i="5"/>
  <c r="AO2380" i="5" s="1"/>
  <c r="AP2380" i="5"/>
  <c r="X2380" i="5"/>
  <c r="J2379" i="5"/>
  <c r="AH2379" i="5"/>
  <c r="AJ2379" i="5"/>
  <c r="AI2379" i="5"/>
  <c r="AD2379" i="5"/>
  <c r="AC2379" i="5"/>
  <c r="AD2378" i="5"/>
  <c r="AC2378" i="5"/>
  <c r="J2378" i="5"/>
  <c r="AI2378" i="5"/>
  <c r="AH2378" i="5"/>
  <c r="AJ2378" i="5"/>
  <c r="AJ2377" i="5"/>
  <c r="J2377" i="5"/>
  <c r="AH2377" i="5"/>
  <c r="AI2377" i="5"/>
  <c r="AC2377" i="5"/>
  <c r="AD2377" i="5"/>
  <c r="W2376" i="5"/>
  <c r="AO2376" i="5" s="1"/>
  <c r="AP2376" i="5"/>
  <c r="AT2376" i="5"/>
  <c r="X2376" i="5"/>
  <c r="AH2376" i="5"/>
  <c r="J2376" i="5"/>
  <c r="Y2376" i="5" s="1"/>
  <c r="Z2376" i="5" s="1"/>
  <c r="AI2376" i="5"/>
  <c r="AJ2376" i="5"/>
  <c r="AD2376" i="5"/>
  <c r="AC2376" i="5"/>
  <c r="AC2375" i="5"/>
  <c r="AD2375" i="5"/>
  <c r="AI2375" i="5"/>
  <c r="J2375" i="5"/>
  <c r="AH2375" i="5"/>
  <c r="AJ2375" i="5"/>
  <c r="AD2374" i="5"/>
  <c r="AC2374" i="5"/>
  <c r="AH2374" i="5"/>
  <c r="AI2374" i="5"/>
  <c r="J2374" i="5"/>
  <c r="AJ2374" i="5"/>
  <c r="AD2373" i="5"/>
  <c r="AC2373" i="5"/>
  <c r="AH2373" i="5"/>
  <c r="AI2373" i="5"/>
  <c r="J2373" i="5"/>
  <c r="AJ2373" i="5"/>
  <c r="J2372" i="5"/>
  <c r="AH2372" i="5"/>
  <c r="AI2372" i="5"/>
  <c r="AJ2372" i="5"/>
  <c r="AC2372" i="5"/>
  <c r="AD2372" i="5"/>
  <c r="J2371" i="5"/>
  <c r="AH2371" i="5"/>
  <c r="AI2371" i="5"/>
  <c r="AJ2371" i="5"/>
  <c r="AC2371" i="5"/>
  <c r="AD2371" i="5"/>
  <c r="AC2370" i="5"/>
  <c r="AD2370" i="5"/>
  <c r="J2370" i="5"/>
  <c r="AH2370" i="5"/>
  <c r="AI2370" i="5"/>
  <c r="AJ2370" i="5"/>
  <c r="J2369" i="5"/>
  <c r="AH2369" i="5"/>
  <c r="AI2369" i="5"/>
  <c r="AJ2369" i="5"/>
  <c r="J2368" i="5"/>
  <c r="AH2368" i="5"/>
  <c r="AI2368" i="5"/>
  <c r="AJ2368" i="5"/>
  <c r="AC2368" i="5"/>
  <c r="AD2368" i="5"/>
  <c r="AC2367" i="5"/>
  <c r="AD2367" i="5"/>
  <c r="J2367" i="5"/>
  <c r="AH2367" i="5"/>
  <c r="AI2367" i="5"/>
  <c r="AJ2367" i="5"/>
  <c r="J2366" i="5"/>
  <c r="AH2366" i="5"/>
  <c r="AI2366" i="5"/>
  <c r="AJ2366" i="5"/>
  <c r="AC2366" i="5"/>
  <c r="AD2366" i="5"/>
  <c r="AC2365" i="5"/>
  <c r="AD2365" i="5"/>
  <c r="J2365" i="5"/>
  <c r="AH2365" i="5"/>
  <c r="AI2365" i="5"/>
  <c r="AJ2365" i="5"/>
  <c r="AC2364" i="5"/>
  <c r="AD2364" i="5"/>
  <c r="J2364" i="5"/>
  <c r="AH2364" i="5"/>
  <c r="AI2364" i="5"/>
  <c r="AJ2364" i="5"/>
  <c r="AC2363" i="5"/>
  <c r="AD2363" i="5"/>
  <c r="J2363" i="5"/>
  <c r="AH2363" i="5"/>
  <c r="AI2363" i="5"/>
  <c r="AJ2363" i="5"/>
  <c r="J2362" i="5"/>
  <c r="AH2362" i="5"/>
  <c r="AI2362" i="5"/>
  <c r="AJ2362" i="5"/>
  <c r="AC2362" i="5"/>
  <c r="AD2362" i="5"/>
  <c r="AC2361" i="5"/>
  <c r="AD2361" i="5"/>
  <c r="J2361" i="5"/>
  <c r="AH2361" i="5"/>
  <c r="AI2361" i="5"/>
  <c r="AJ2361" i="5"/>
  <c r="J2360" i="5"/>
  <c r="AH2360" i="5"/>
  <c r="AI2360" i="5"/>
  <c r="AJ2360" i="5"/>
  <c r="AC2360" i="5"/>
  <c r="AD2360" i="5"/>
  <c r="J2359" i="5"/>
  <c r="AH2359" i="5"/>
  <c r="AI2359" i="5"/>
  <c r="AJ2359" i="5"/>
  <c r="AC2359" i="5"/>
  <c r="AD2359" i="5"/>
  <c r="J2358" i="5"/>
  <c r="AH2358" i="5"/>
  <c r="AI2358" i="5"/>
  <c r="AJ2358" i="5"/>
  <c r="AC2358" i="5"/>
  <c r="AD2358" i="5"/>
  <c r="AC2357" i="5"/>
  <c r="AD2357" i="5"/>
  <c r="J2357" i="5"/>
  <c r="AH2357" i="5"/>
  <c r="AI2357" i="5"/>
  <c r="AJ2357" i="5"/>
  <c r="J2356" i="5"/>
  <c r="AH2356" i="5"/>
  <c r="AI2356" i="5"/>
  <c r="AJ2356" i="5"/>
  <c r="AC2356" i="5"/>
  <c r="AD2356" i="5"/>
  <c r="J2355" i="5"/>
  <c r="AH2355" i="5"/>
  <c r="AI2355" i="5"/>
  <c r="AJ2355" i="5"/>
  <c r="AC2355" i="5"/>
  <c r="AD2355" i="5"/>
  <c r="J2354" i="5"/>
  <c r="AH2354" i="5"/>
  <c r="AI2354" i="5"/>
  <c r="AJ2354" i="5"/>
  <c r="AC2354" i="5"/>
  <c r="AD2354" i="5"/>
  <c r="AC2353" i="5"/>
  <c r="AD2353" i="5"/>
  <c r="J2353" i="5"/>
  <c r="AH2353" i="5"/>
  <c r="AI2353" i="5"/>
  <c r="AJ2353" i="5"/>
  <c r="J2352" i="5"/>
  <c r="AH2352" i="5"/>
  <c r="AI2352" i="5"/>
  <c r="AJ2352" i="5"/>
  <c r="AC2352" i="5"/>
  <c r="AD2352" i="5"/>
  <c r="J2351" i="5"/>
  <c r="AH2351" i="5"/>
  <c r="AI2351" i="5"/>
  <c r="AJ2351" i="5"/>
  <c r="AC2351" i="5"/>
  <c r="AD2351" i="5"/>
  <c r="AC2350" i="5"/>
  <c r="AD2350" i="5"/>
  <c r="J2350" i="5"/>
  <c r="AH2350" i="5"/>
  <c r="AI2350" i="5"/>
  <c r="AJ2350" i="5"/>
  <c r="AC2349" i="5"/>
  <c r="AD2349" i="5"/>
  <c r="J2349" i="5"/>
  <c r="AH2349" i="5"/>
  <c r="AI2349" i="5"/>
  <c r="AJ2349" i="5"/>
  <c r="J2348" i="5"/>
  <c r="AH2348" i="5"/>
  <c r="AI2348" i="5"/>
  <c r="AJ2348" i="5"/>
  <c r="AC2348" i="5"/>
  <c r="AD2348" i="5"/>
  <c r="J2347" i="5"/>
  <c r="AH2347" i="5"/>
  <c r="AI2347" i="5"/>
  <c r="AJ2347" i="5"/>
  <c r="AC2347" i="5"/>
  <c r="AD2347" i="5"/>
  <c r="AC2346" i="5"/>
  <c r="AD2346" i="5"/>
  <c r="J2346" i="5"/>
  <c r="AH2346" i="5"/>
  <c r="AI2346" i="5"/>
  <c r="AJ2346" i="5"/>
  <c r="J2345" i="5"/>
  <c r="AH2345" i="5"/>
  <c r="AI2345" i="5"/>
  <c r="AJ2345" i="5"/>
  <c r="AC2345" i="5"/>
  <c r="AD2345" i="5"/>
  <c r="AC2344" i="5"/>
  <c r="AD2344" i="5"/>
  <c r="J2344" i="5"/>
  <c r="AH2344" i="5"/>
  <c r="AI2344" i="5"/>
  <c r="AJ2344" i="5"/>
  <c r="J2343" i="5"/>
  <c r="Y2343" i="5" s="1"/>
  <c r="Z2343" i="5" s="1"/>
  <c r="AH2343" i="5"/>
  <c r="AI2343" i="5"/>
  <c r="AJ2343" i="5"/>
  <c r="AP2343" i="5"/>
  <c r="AT2343" i="5"/>
  <c r="W2343" i="5"/>
  <c r="AO2343" i="5" s="1"/>
  <c r="X2343" i="5"/>
  <c r="AC2343" i="5"/>
  <c r="AD2343" i="5"/>
  <c r="AC2342" i="5"/>
  <c r="AD2342" i="5"/>
  <c r="J2342" i="5"/>
  <c r="AH2342" i="5"/>
  <c r="AI2342" i="5"/>
  <c r="AJ2342" i="5"/>
  <c r="AC2341" i="5"/>
  <c r="AD2341" i="5"/>
  <c r="AH2341" i="5"/>
  <c r="AJ2341" i="5"/>
  <c r="AI2341" i="5"/>
  <c r="J2341" i="5"/>
  <c r="AH2340" i="5"/>
  <c r="J2340" i="5"/>
  <c r="Y2340" i="5" s="1"/>
  <c r="Z2340" i="5" s="1"/>
  <c r="AJ2340" i="5"/>
  <c r="AI2340" i="5"/>
  <c r="AD2340" i="5"/>
  <c r="AC2340" i="5"/>
  <c r="AT2340" i="5"/>
  <c r="W2340" i="5"/>
  <c r="AO2340" i="5" s="1"/>
  <c r="X2340" i="5"/>
  <c r="AP2340" i="5"/>
  <c r="AC2339" i="5"/>
  <c r="AD2339" i="5"/>
  <c r="AJ2339" i="5"/>
  <c r="AI2339" i="5"/>
  <c r="J2339" i="5"/>
  <c r="AH2339" i="5"/>
  <c r="AJ2338" i="5"/>
  <c r="AH2338" i="5"/>
  <c r="J2338" i="5"/>
  <c r="AI2338" i="5"/>
  <c r="AD2338" i="5"/>
  <c r="AC2338" i="5"/>
  <c r="AD2337" i="5"/>
  <c r="AC2337" i="5"/>
  <c r="AH2337" i="5"/>
  <c r="AI2337" i="5"/>
  <c r="J2337" i="5"/>
  <c r="AJ2337" i="5"/>
  <c r="AI2336" i="5"/>
  <c r="J2336" i="5"/>
  <c r="AH2336" i="5"/>
  <c r="AJ2336" i="5"/>
  <c r="AD2336" i="5"/>
  <c r="AC2336" i="5"/>
  <c r="AJ2335" i="5"/>
  <c r="J2335" i="5"/>
  <c r="AH2335" i="5"/>
  <c r="AI2335" i="5"/>
  <c r="AC2335" i="5"/>
  <c r="AD2335" i="5"/>
  <c r="AI2334" i="5"/>
  <c r="J2334" i="5"/>
  <c r="AJ2334" i="5"/>
  <c r="AH2334" i="5"/>
  <c r="AC2334" i="5"/>
  <c r="AD2334" i="5"/>
  <c r="AD2333" i="5"/>
  <c r="AC2333" i="5"/>
  <c r="AH2333" i="5"/>
  <c r="AI2333" i="5"/>
  <c r="J2333" i="5"/>
  <c r="AJ2333" i="5"/>
  <c r="AC2332" i="5"/>
  <c r="AD2332" i="5"/>
  <c r="J2332" i="5"/>
  <c r="AH2332" i="5"/>
  <c r="AI2332" i="5"/>
  <c r="AJ2332" i="5"/>
  <c r="J2331" i="5"/>
  <c r="AH2331" i="5"/>
  <c r="AI2331" i="5"/>
  <c r="AJ2331" i="5"/>
  <c r="AC2331" i="5"/>
  <c r="AD2331" i="5"/>
  <c r="AC2330" i="5"/>
  <c r="AD2330" i="5"/>
  <c r="J2330" i="5"/>
  <c r="AH2330" i="5"/>
  <c r="AI2330" i="5"/>
  <c r="AJ2330" i="5"/>
  <c r="J2329" i="5"/>
  <c r="AH2329" i="5"/>
  <c r="AI2329" i="5"/>
  <c r="AJ2329" i="5"/>
  <c r="AC2329" i="5"/>
  <c r="AD2329" i="5"/>
  <c r="J2328" i="5"/>
  <c r="AH2328" i="5"/>
  <c r="AI2328" i="5"/>
  <c r="AJ2328" i="5"/>
  <c r="AC2328" i="5"/>
  <c r="AD2328" i="5"/>
  <c r="J2327" i="5"/>
  <c r="AH2327" i="5"/>
  <c r="AI2327" i="5"/>
  <c r="AJ2327" i="5"/>
  <c r="AC2327" i="5"/>
  <c r="AD2327" i="5"/>
  <c r="AC2326" i="5"/>
  <c r="AD2326" i="5"/>
  <c r="J2326" i="5"/>
  <c r="AH2326" i="5"/>
  <c r="AI2326" i="5"/>
  <c r="AJ2326" i="5"/>
  <c r="J2325" i="5"/>
  <c r="AH2325" i="5"/>
  <c r="AI2325" i="5"/>
  <c r="AJ2325" i="5"/>
  <c r="AC2325" i="5"/>
  <c r="AD2325" i="5"/>
  <c r="AC2324" i="5"/>
  <c r="AD2324" i="5"/>
  <c r="J2324" i="5"/>
  <c r="AH2324" i="5"/>
  <c r="AI2324" i="5"/>
  <c r="AJ2324" i="5"/>
  <c r="AC2323" i="5"/>
  <c r="AD2323" i="5"/>
  <c r="J2323" i="5"/>
  <c r="AH2323" i="5"/>
  <c r="AI2323" i="5"/>
  <c r="AJ2323" i="5"/>
  <c r="AC2322" i="5"/>
  <c r="AD2322" i="5"/>
  <c r="J2322" i="5"/>
  <c r="AH2322" i="5"/>
  <c r="AI2322" i="5"/>
  <c r="AJ2322" i="5"/>
  <c r="J2321" i="5"/>
  <c r="AH2321" i="5"/>
  <c r="AI2321" i="5"/>
  <c r="AJ2321" i="5"/>
  <c r="AC2321" i="5"/>
  <c r="AD2321" i="5"/>
  <c r="AC2320" i="5"/>
  <c r="AD2320" i="5"/>
  <c r="J2320" i="5"/>
  <c r="AH2320" i="5"/>
  <c r="AI2320" i="5"/>
  <c r="AJ2320" i="5"/>
  <c r="AC2319" i="5"/>
  <c r="AD2319" i="5"/>
  <c r="J2319" i="5"/>
  <c r="AH2319" i="5"/>
  <c r="AI2319" i="5"/>
  <c r="AJ2319" i="5"/>
  <c r="J2318" i="5"/>
  <c r="AH2318" i="5"/>
  <c r="AI2318" i="5"/>
  <c r="AJ2318" i="5"/>
  <c r="AC2318" i="5"/>
  <c r="AD2318" i="5"/>
  <c r="AC2317" i="5"/>
  <c r="AD2317" i="5"/>
  <c r="J2317" i="5"/>
  <c r="AH2317" i="5"/>
  <c r="AI2317" i="5"/>
  <c r="AJ2317" i="5"/>
  <c r="AC2316" i="5"/>
  <c r="AD2316" i="5"/>
  <c r="AH2316" i="5"/>
  <c r="AI2316" i="5"/>
  <c r="AJ2316" i="5"/>
  <c r="J2316" i="5"/>
  <c r="AH2315" i="5"/>
  <c r="AI2315" i="5"/>
  <c r="J2315" i="5"/>
  <c r="AJ2315" i="5"/>
  <c r="AD2315" i="5"/>
  <c r="AC2315" i="5"/>
  <c r="AI2314" i="5"/>
  <c r="J2314" i="5"/>
  <c r="AH2314" i="5"/>
  <c r="AJ2314" i="5"/>
  <c r="AC2314" i="5"/>
  <c r="AD2314" i="5"/>
  <c r="AH2313" i="5"/>
  <c r="AI2313" i="5"/>
  <c r="J2313" i="5"/>
  <c r="AJ2313" i="5"/>
  <c r="AD2313" i="5"/>
  <c r="AC2313" i="5"/>
  <c r="AI2312" i="5"/>
  <c r="J2312" i="5"/>
  <c r="AH2312" i="5"/>
  <c r="AJ2312" i="5"/>
  <c r="AD2312" i="5"/>
  <c r="AC2312" i="5"/>
  <c r="AC2311" i="5"/>
  <c r="AD2311" i="5"/>
  <c r="AI2311" i="5"/>
  <c r="J2311" i="5"/>
  <c r="AH2311" i="5"/>
  <c r="AJ2311" i="5"/>
  <c r="J2310" i="5"/>
  <c r="AH2310" i="5"/>
  <c r="AI2310" i="5"/>
  <c r="AJ2310" i="5"/>
  <c r="AC2310" i="5"/>
  <c r="AD2310" i="5"/>
  <c r="J2309" i="5"/>
  <c r="AH2309" i="5"/>
  <c r="AI2309" i="5"/>
  <c r="AJ2309" i="5"/>
  <c r="AC2309" i="5"/>
  <c r="AD2309" i="5"/>
  <c r="AC2308" i="5"/>
  <c r="AD2308" i="5"/>
  <c r="J2308" i="5"/>
  <c r="AH2308" i="5"/>
  <c r="AI2308" i="5"/>
  <c r="AJ2308" i="5"/>
  <c r="AC2307" i="5"/>
  <c r="AD2307" i="5"/>
  <c r="J2307" i="5"/>
  <c r="AH2307" i="5"/>
  <c r="AJ2307" i="5"/>
  <c r="AI2307" i="5"/>
  <c r="AH2306" i="5"/>
  <c r="AJ2306" i="5"/>
  <c r="J2306" i="5"/>
  <c r="AI2306" i="5"/>
  <c r="AC2306" i="5"/>
  <c r="AD2306" i="5"/>
  <c r="AI2305" i="5"/>
  <c r="J2305" i="5"/>
  <c r="AH2305" i="5"/>
  <c r="AJ2305" i="5"/>
  <c r="AD2305" i="5"/>
  <c r="AC2305" i="5"/>
  <c r="AJ2304" i="5"/>
  <c r="AH2304" i="5"/>
  <c r="J2304" i="5"/>
  <c r="AI2304" i="5"/>
  <c r="AD2304" i="5"/>
  <c r="AC2304" i="5"/>
  <c r="AJ2303" i="5"/>
  <c r="J2303" i="5"/>
  <c r="AI2303" i="5"/>
  <c r="AH2303" i="5"/>
  <c r="AD2303" i="5"/>
  <c r="AC2303" i="5"/>
  <c r="AH2302" i="5"/>
  <c r="AI2302" i="5"/>
  <c r="J2302" i="5"/>
  <c r="AJ2302" i="5"/>
  <c r="AC2302" i="5"/>
  <c r="AD2302" i="5"/>
  <c r="AC2301" i="5"/>
  <c r="AD2301" i="5"/>
  <c r="AJ2301" i="5"/>
  <c r="AI2301" i="5"/>
  <c r="J2301" i="5"/>
  <c r="AH2301" i="5"/>
  <c r="AJ2300" i="5"/>
  <c r="AI2300" i="5"/>
  <c r="J2300" i="5"/>
  <c r="AH2300" i="5"/>
  <c r="AD2300" i="5"/>
  <c r="AC2300" i="5"/>
  <c r="AH2299" i="5"/>
  <c r="J2299" i="5"/>
  <c r="AJ2299" i="5"/>
  <c r="AI2299" i="5"/>
  <c r="AC2299" i="5"/>
  <c r="AD2299" i="5"/>
  <c r="AC2298" i="5"/>
  <c r="AD2298" i="5"/>
  <c r="AH2298" i="5"/>
  <c r="AJ2298" i="5"/>
  <c r="J2298" i="5"/>
  <c r="AI2298" i="5"/>
  <c r="AD2297" i="5"/>
  <c r="AC2297" i="5"/>
  <c r="AH2297" i="5"/>
  <c r="AI2297" i="5"/>
  <c r="J2297" i="5"/>
  <c r="AJ2297" i="5"/>
  <c r="J2296" i="5"/>
  <c r="AH2296" i="5"/>
  <c r="AI2296" i="5"/>
  <c r="AJ2296" i="5"/>
  <c r="AC2295" i="5"/>
  <c r="AD2295" i="5"/>
  <c r="J2295" i="5"/>
  <c r="AH2295" i="5"/>
  <c r="AI2295" i="5"/>
  <c r="AJ2295" i="5"/>
  <c r="AC2294" i="5"/>
  <c r="AD2294" i="5"/>
  <c r="J2294" i="5"/>
  <c r="AH2294" i="5"/>
  <c r="AI2294" i="5"/>
  <c r="AJ2294" i="5"/>
  <c r="AC2293" i="5"/>
  <c r="AD2293" i="5"/>
  <c r="J2293" i="5"/>
  <c r="AH2293" i="5"/>
  <c r="AI2293" i="5"/>
  <c r="AJ2293" i="5"/>
  <c r="AC2292" i="5"/>
  <c r="AD2292" i="5"/>
  <c r="J2292" i="5"/>
  <c r="AH2292" i="5"/>
  <c r="AI2292" i="5"/>
  <c r="AJ2292" i="5"/>
  <c r="AC2291" i="5"/>
  <c r="AD2291" i="5"/>
  <c r="J2291" i="5"/>
  <c r="AH2291" i="5"/>
  <c r="AI2291" i="5"/>
  <c r="AJ2291" i="5"/>
  <c r="AC2290" i="5"/>
  <c r="AD2290" i="5"/>
  <c r="J2290" i="5"/>
  <c r="AH2290" i="5"/>
  <c r="AI2290" i="5"/>
  <c r="AJ2290" i="5"/>
  <c r="AC2289" i="5"/>
  <c r="AD2289" i="5"/>
  <c r="J2289" i="5"/>
  <c r="AH2289" i="5"/>
  <c r="AI2289" i="5"/>
  <c r="AJ2289" i="5"/>
  <c r="AC2288" i="5"/>
  <c r="AD2288" i="5"/>
  <c r="J2288" i="5"/>
  <c r="AH2288" i="5"/>
  <c r="AI2288" i="5"/>
  <c r="AJ2288" i="5"/>
  <c r="AC2287" i="5"/>
  <c r="AD2287" i="5"/>
  <c r="J2287" i="5"/>
  <c r="AH2287" i="5"/>
  <c r="AI2287" i="5"/>
  <c r="AJ2287" i="5"/>
  <c r="AC2286" i="5"/>
  <c r="AD2286" i="5"/>
  <c r="J2286" i="5"/>
  <c r="AH2286" i="5"/>
  <c r="AI2286" i="5"/>
  <c r="AJ2286" i="5"/>
  <c r="AC2285" i="5"/>
  <c r="AD2285" i="5"/>
  <c r="J2285" i="5"/>
  <c r="AH2285" i="5"/>
  <c r="AI2285" i="5"/>
  <c r="AJ2285" i="5"/>
  <c r="AC2284" i="5"/>
  <c r="AD2284" i="5"/>
  <c r="J2284" i="5"/>
  <c r="AH2284" i="5"/>
  <c r="AI2284" i="5"/>
  <c r="AJ2284" i="5"/>
  <c r="AC2283" i="5"/>
  <c r="AD2283" i="5"/>
  <c r="J2283" i="5"/>
  <c r="AH2283" i="5"/>
  <c r="AI2283" i="5"/>
  <c r="AJ2283" i="5"/>
  <c r="AC2282" i="5"/>
  <c r="AD2282" i="5"/>
  <c r="J2282" i="5"/>
  <c r="AH2282" i="5"/>
  <c r="AI2282" i="5"/>
  <c r="AJ2282" i="5"/>
  <c r="AC2281" i="5"/>
  <c r="AD2281" i="5"/>
  <c r="J2281" i="5"/>
  <c r="AH2281" i="5"/>
  <c r="AI2281" i="5"/>
  <c r="AJ2281" i="5"/>
  <c r="AC2280" i="5"/>
  <c r="AD2280" i="5"/>
  <c r="J2280" i="5"/>
  <c r="AH2280" i="5"/>
  <c r="AI2280" i="5"/>
  <c r="AJ2280" i="5"/>
  <c r="AC2279" i="5"/>
  <c r="AD2279" i="5"/>
  <c r="J2279" i="5"/>
  <c r="AH2279" i="5"/>
  <c r="AI2279" i="5"/>
  <c r="AJ2279" i="5"/>
  <c r="AC2278" i="5"/>
  <c r="AD2278" i="5"/>
  <c r="J2278" i="5"/>
  <c r="AH2278" i="5"/>
  <c r="AI2278" i="5"/>
  <c r="AJ2278" i="5"/>
  <c r="AC2277" i="5"/>
  <c r="AD2277" i="5"/>
  <c r="J2277" i="5"/>
  <c r="AH2277" i="5"/>
  <c r="AI2277" i="5"/>
  <c r="AJ2277" i="5"/>
  <c r="AC2276" i="5"/>
  <c r="AD2276" i="5"/>
  <c r="J2276" i="5"/>
  <c r="AH2276" i="5"/>
  <c r="AI2276" i="5"/>
  <c r="AJ2276" i="5"/>
  <c r="AC2275" i="5"/>
  <c r="AD2275" i="5"/>
  <c r="J2275" i="5"/>
  <c r="AH2275" i="5"/>
  <c r="AI2275" i="5"/>
  <c r="AJ2275" i="5"/>
  <c r="AC2274" i="5"/>
  <c r="AD2274" i="5"/>
  <c r="J2274" i="5"/>
  <c r="AH2274" i="5"/>
  <c r="AI2274" i="5"/>
  <c r="AJ2274" i="5"/>
  <c r="AC2273" i="5"/>
  <c r="AD2273" i="5"/>
  <c r="J2273" i="5"/>
  <c r="AH2273" i="5"/>
  <c r="AI2273" i="5"/>
  <c r="AJ2273" i="5"/>
  <c r="AC2272" i="5"/>
  <c r="AD2272" i="5"/>
  <c r="J2272" i="5"/>
  <c r="AH2272" i="5"/>
  <c r="AI2272" i="5"/>
  <c r="AJ2272" i="5"/>
  <c r="AC2271" i="5"/>
  <c r="AD2271" i="5"/>
  <c r="J2271" i="5"/>
  <c r="AH2271" i="5"/>
  <c r="AI2271" i="5"/>
  <c r="AJ2271" i="5"/>
  <c r="AC2270" i="5"/>
  <c r="AD2270" i="5"/>
  <c r="J2270" i="5"/>
  <c r="AH2270" i="5"/>
  <c r="AI2270" i="5"/>
  <c r="AJ2270" i="5"/>
  <c r="AC2269" i="5"/>
  <c r="AD2269" i="5"/>
  <c r="J2269" i="5"/>
  <c r="AH2269" i="5"/>
  <c r="AI2269" i="5"/>
  <c r="AJ2269" i="5"/>
  <c r="AC2268" i="5"/>
  <c r="AD2268" i="5"/>
  <c r="J2268" i="5"/>
  <c r="AH2268" i="5"/>
  <c r="AI2268" i="5"/>
  <c r="AJ2268" i="5"/>
  <c r="AC2267" i="5"/>
  <c r="AD2267" i="5"/>
  <c r="J2267" i="5"/>
  <c r="AH2267" i="5"/>
  <c r="AI2267" i="5"/>
  <c r="AJ2267" i="5"/>
  <c r="J2266" i="5"/>
  <c r="AH2266" i="5"/>
  <c r="AI2266" i="5"/>
  <c r="AJ2266" i="5"/>
  <c r="AC2266" i="5"/>
  <c r="AD2266" i="5"/>
  <c r="J2265" i="5"/>
  <c r="AH2265" i="5"/>
  <c r="AI2265" i="5"/>
  <c r="AJ2265" i="5"/>
  <c r="AC2265" i="5"/>
  <c r="AD2265" i="5"/>
  <c r="J2264" i="5"/>
  <c r="AH2264" i="5"/>
  <c r="AI2264" i="5"/>
  <c r="AJ2264" i="5"/>
  <c r="AC2264" i="5"/>
  <c r="AD2264" i="5"/>
  <c r="J2263" i="5"/>
  <c r="AH2263" i="5"/>
  <c r="AI2263" i="5"/>
  <c r="AJ2263" i="5"/>
  <c r="AC2263" i="5"/>
  <c r="AD2263" i="5"/>
  <c r="J2262" i="5"/>
  <c r="AH2262" i="5"/>
  <c r="AI2262" i="5"/>
  <c r="AJ2262" i="5"/>
  <c r="AC2262" i="5"/>
  <c r="AD2262" i="5"/>
  <c r="J2261" i="5"/>
  <c r="AH2261" i="5"/>
  <c r="AI2261" i="5"/>
  <c r="AJ2261" i="5"/>
  <c r="AC2261" i="5"/>
  <c r="AD2261" i="5"/>
  <c r="J2259" i="5"/>
  <c r="AH2259" i="5"/>
  <c r="AI2259" i="5"/>
  <c r="AJ2259" i="5"/>
  <c r="AC2259" i="5"/>
  <c r="AD2259" i="5"/>
  <c r="J2258" i="5"/>
  <c r="AH2258" i="5"/>
  <c r="AI2258" i="5"/>
  <c r="AJ2258" i="5"/>
  <c r="AC2258" i="5"/>
  <c r="AD2258" i="5"/>
  <c r="J2257" i="5"/>
  <c r="AH2257" i="5"/>
  <c r="AI2257" i="5"/>
  <c r="AJ2257" i="5"/>
  <c r="AC2257" i="5"/>
  <c r="AD2257" i="5"/>
  <c r="J2256" i="5"/>
  <c r="AH2256" i="5"/>
  <c r="AI2256" i="5"/>
  <c r="AJ2256" i="5"/>
  <c r="AC2256" i="5"/>
  <c r="AD2256" i="5"/>
  <c r="AC2255" i="5"/>
  <c r="AD2255" i="5"/>
  <c r="J2255" i="5"/>
  <c r="AH2255" i="5"/>
  <c r="AI2255" i="5"/>
  <c r="AJ2255" i="5"/>
  <c r="AC2254" i="5"/>
  <c r="AD2254" i="5"/>
  <c r="J2254" i="5"/>
  <c r="AH2254" i="5"/>
  <c r="AI2254" i="5"/>
  <c r="AJ2254" i="5"/>
  <c r="AC2253" i="5"/>
  <c r="AD2253" i="5"/>
  <c r="J2253" i="5"/>
  <c r="AH2253" i="5"/>
  <c r="AI2253" i="5"/>
  <c r="AJ2253" i="5"/>
  <c r="J2252" i="5"/>
  <c r="AH2252" i="5"/>
  <c r="AI2252" i="5"/>
  <c r="AJ2252" i="5"/>
  <c r="AC2252" i="5"/>
  <c r="AD2252" i="5"/>
  <c r="J2251" i="5"/>
  <c r="AH2251" i="5"/>
  <c r="AI2251" i="5"/>
  <c r="AJ2251" i="5"/>
  <c r="AC2251" i="5"/>
  <c r="AD2251" i="5"/>
  <c r="J2250" i="5"/>
  <c r="AH2250" i="5"/>
  <c r="AI2250" i="5"/>
  <c r="AJ2250" i="5"/>
  <c r="AC2250" i="5"/>
  <c r="AD2250" i="5"/>
  <c r="AC2249" i="5"/>
  <c r="AD2249" i="5"/>
  <c r="J2249" i="5"/>
  <c r="AH2249" i="5"/>
  <c r="AI2249" i="5"/>
  <c r="AJ2249" i="5"/>
  <c r="AC2248" i="5"/>
  <c r="AD2248" i="5"/>
  <c r="J2248" i="5"/>
  <c r="AH2248" i="5"/>
  <c r="AI2248" i="5"/>
  <c r="AJ2248" i="5"/>
  <c r="J2247" i="5"/>
  <c r="AH2247" i="5"/>
  <c r="AI2247" i="5"/>
  <c r="AJ2247" i="5"/>
  <c r="AC2247" i="5"/>
  <c r="AD2247" i="5"/>
  <c r="AC2246" i="5"/>
  <c r="AD2246" i="5"/>
  <c r="J2246" i="5"/>
  <c r="AH2246" i="5"/>
  <c r="AI2246" i="5"/>
  <c r="AJ2246" i="5"/>
  <c r="AC2245" i="5"/>
  <c r="AD2245" i="5"/>
  <c r="J2245" i="5"/>
  <c r="AH2245" i="5"/>
  <c r="AI2245" i="5"/>
  <c r="AJ2245" i="5"/>
  <c r="J2244" i="5"/>
  <c r="AH2244" i="5"/>
  <c r="AI2244" i="5"/>
  <c r="AJ2244" i="5"/>
  <c r="AC2244" i="5"/>
  <c r="AD2244" i="5"/>
  <c r="J2243" i="5"/>
  <c r="AH2243" i="5"/>
  <c r="AI2243" i="5"/>
  <c r="AJ2243" i="5"/>
  <c r="AC2243" i="5"/>
  <c r="AD2243" i="5"/>
  <c r="AC2242" i="5"/>
  <c r="AD2242" i="5"/>
  <c r="J2242" i="5"/>
  <c r="AH2242" i="5"/>
  <c r="AI2242" i="5"/>
  <c r="AJ2242" i="5"/>
  <c r="AC2241" i="5"/>
  <c r="AD2241" i="5"/>
  <c r="J2241" i="5"/>
  <c r="AH2241" i="5"/>
  <c r="AI2241" i="5"/>
  <c r="AJ2241" i="5"/>
  <c r="J2240" i="5"/>
  <c r="AH2240" i="5"/>
  <c r="AI2240" i="5"/>
  <c r="AJ2240" i="5"/>
  <c r="AC2240" i="5"/>
  <c r="AD2240" i="5"/>
  <c r="AC2239" i="5"/>
  <c r="AD2239" i="5"/>
  <c r="J2239" i="5"/>
  <c r="AH2239" i="5"/>
  <c r="AI2239" i="5"/>
  <c r="AJ2239" i="5"/>
  <c r="AC2238" i="5"/>
  <c r="AD2238" i="5"/>
  <c r="J2238" i="5"/>
  <c r="AH2238" i="5"/>
  <c r="AI2238" i="5"/>
  <c r="AJ2238" i="5"/>
  <c r="AC2237" i="5"/>
  <c r="AD2237" i="5"/>
  <c r="J2237" i="5"/>
  <c r="AH2237" i="5"/>
  <c r="AI2237" i="5"/>
  <c r="AJ2237" i="5"/>
  <c r="AC2236" i="5"/>
  <c r="AD2236" i="5"/>
  <c r="J2236" i="5"/>
  <c r="AH2236" i="5"/>
  <c r="AI2236" i="5"/>
  <c r="AJ2236" i="5"/>
  <c r="J2235" i="5"/>
  <c r="AH2235" i="5"/>
  <c r="AI2235" i="5"/>
  <c r="AJ2235" i="5"/>
  <c r="AC2235" i="5"/>
  <c r="AD2235" i="5"/>
  <c r="AC2234" i="5"/>
  <c r="AD2234" i="5"/>
  <c r="J2234" i="5"/>
  <c r="AH2234" i="5"/>
  <c r="AI2234" i="5"/>
  <c r="AJ2234" i="5"/>
  <c r="AC2233" i="5"/>
  <c r="AD2233" i="5"/>
  <c r="J2233" i="5"/>
  <c r="AH2233" i="5"/>
  <c r="AI2233" i="5"/>
  <c r="AJ2233" i="5"/>
  <c r="J2232" i="5"/>
  <c r="AH2232" i="5"/>
  <c r="AI2232" i="5"/>
  <c r="AJ2232" i="5"/>
  <c r="AC2232" i="5"/>
  <c r="AD2232" i="5"/>
  <c r="AC2231" i="5"/>
  <c r="AD2231" i="5"/>
  <c r="J2231" i="5"/>
  <c r="AH2231" i="5"/>
  <c r="AI2231" i="5"/>
  <c r="AJ2231" i="5"/>
  <c r="AC2230" i="5"/>
  <c r="AD2230" i="5"/>
  <c r="J2230" i="5"/>
  <c r="AH2230" i="5"/>
  <c r="AI2230" i="5"/>
  <c r="AJ2230" i="5"/>
  <c r="AC2229" i="5"/>
  <c r="AD2229" i="5"/>
  <c r="J2229" i="5"/>
  <c r="AH2229" i="5"/>
  <c r="AI2229" i="5"/>
  <c r="AJ2229" i="5"/>
  <c r="J2228" i="5"/>
  <c r="AH2228" i="5"/>
  <c r="AI2228" i="5"/>
  <c r="AJ2228" i="5"/>
  <c r="AC2228" i="5"/>
  <c r="AD2228" i="5"/>
  <c r="AC2227" i="5"/>
  <c r="AD2227" i="5"/>
  <c r="J2227" i="5"/>
  <c r="AH2227" i="5"/>
  <c r="AI2227" i="5"/>
  <c r="AJ2227" i="5"/>
  <c r="J2226" i="5"/>
  <c r="AH2226" i="5"/>
  <c r="AI2226" i="5"/>
  <c r="AJ2226" i="5"/>
  <c r="AC2226" i="5"/>
  <c r="AD2226" i="5"/>
  <c r="AC2225" i="5"/>
  <c r="AD2225" i="5"/>
  <c r="J2225" i="5"/>
  <c r="AH2225" i="5"/>
  <c r="AI2225" i="5"/>
  <c r="AJ2225" i="5"/>
  <c r="AC2224" i="5"/>
  <c r="AD2224" i="5"/>
  <c r="J2224" i="5"/>
  <c r="AH2224" i="5"/>
  <c r="AI2224" i="5"/>
  <c r="AJ2224" i="5"/>
  <c r="J2223" i="5"/>
  <c r="AH2223" i="5"/>
  <c r="AI2223" i="5"/>
  <c r="AJ2223" i="5"/>
  <c r="AC2223" i="5"/>
  <c r="AD2223" i="5"/>
  <c r="AC2222" i="5"/>
  <c r="AD2222" i="5"/>
  <c r="J2222" i="5"/>
  <c r="AH2222" i="5"/>
  <c r="AI2222" i="5"/>
  <c r="AJ2222" i="5"/>
  <c r="J2221" i="5"/>
  <c r="AH2221" i="5"/>
  <c r="AI2221" i="5"/>
  <c r="AJ2221" i="5"/>
  <c r="AC2221" i="5"/>
  <c r="AD2221" i="5"/>
  <c r="J2220" i="5"/>
  <c r="AH2220" i="5"/>
  <c r="AI2220" i="5"/>
  <c r="AJ2220" i="5"/>
  <c r="AC2220" i="5"/>
  <c r="AD2220" i="5"/>
  <c r="AC2219" i="5"/>
  <c r="AD2219" i="5"/>
  <c r="J2219" i="5"/>
  <c r="AH2219" i="5"/>
  <c r="AI2219" i="5"/>
  <c r="AJ2219" i="5"/>
  <c r="J2218" i="5"/>
  <c r="AH2218" i="5"/>
  <c r="AI2218" i="5"/>
  <c r="AJ2218" i="5"/>
  <c r="AC2218" i="5"/>
  <c r="AD2218" i="5"/>
  <c r="AC2217" i="5"/>
  <c r="AD2217" i="5"/>
  <c r="J2217" i="5"/>
  <c r="AH2217" i="5"/>
  <c r="AI2217" i="5"/>
  <c r="AJ2217" i="5"/>
  <c r="AC2216" i="5"/>
  <c r="AD2216" i="5"/>
  <c r="J2216" i="5"/>
  <c r="AH2216" i="5"/>
  <c r="AI2216" i="5"/>
  <c r="AJ2216" i="5"/>
  <c r="AC2215" i="5"/>
  <c r="AD2215" i="5"/>
  <c r="J2215" i="5"/>
  <c r="AH2215" i="5"/>
  <c r="AI2215" i="5"/>
  <c r="AJ2215" i="5"/>
  <c r="AC2214" i="5"/>
  <c r="AD2214" i="5"/>
  <c r="J2214" i="5"/>
  <c r="AH2214" i="5"/>
  <c r="AI2214" i="5"/>
  <c r="AJ2214" i="5"/>
  <c r="J2213" i="5"/>
  <c r="AH2213" i="5"/>
  <c r="AI2213" i="5"/>
  <c r="AJ2213" i="5"/>
  <c r="AC2213" i="5"/>
  <c r="AD2213" i="5"/>
  <c r="AC2212" i="5"/>
  <c r="AD2212" i="5"/>
  <c r="J2212" i="5"/>
  <c r="AH2212" i="5"/>
  <c r="AI2212" i="5"/>
  <c r="AJ2212" i="5"/>
  <c r="AC2211" i="5"/>
  <c r="AD2211" i="5"/>
  <c r="J2211" i="5"/>
  <c r="AH2211" i="5"/>
  <c r="AI2211" i="5"/>
  <c r="AJ2211" i="5"/>
  <c r="J2210" i="5"/>
  <c r="AJ2210" i="5"/>
  <c r="AH2210" i="5"/>
  <c r="AI2210" i="5"/>
  <c r="AC2210" i="5"/>
  <c r="AD2210" i="5"/>
  <c r="AC2209" i="5"/>
  <c r="AD2209" i="5"/>
  <c r="AI2209" i="5"/>
  <c r="J2209" i="5"/>
  <c r="AH2209" i="5"/>
  <c r="AJ2209" i="5"/>
  <c r="AC2208" i="5"/>
  <c r="AD2208" i="5"/>
  <c r="AJ2208" i="5"/>
  <c r="AH2208" i="5"/>
  <c r="AI2208" i="5"/>
  <c r="J2208" i="5"/>
  <c r="AD2207" i="5"/>
  <c r="AC2207" i="5"/>
  <c r="AH2207" i="5"/>
  <c r="J2207" i="5"/>
  <c r="AJ2207" i="5"/>
  <c r="AI2207" i="5"/>
  <c r="AD2206" i="5"/>
  <c r="AC2206" i="5"/>
  <c r="AJ2206" i="5"/>
  <c r="J2206" i="5"/>
  <c r="AI2206" i="5"/>
  <c r="AH2206" i="5"/>
  <c r="AJ2205" i="5"/>
  <c r="AI2205" i="5"/>
  <c r="J2205" i="5"/>
  <c r="AH2205" i="5"/>
  <c r="AD2205" i="5"/>
  <c r="AC2205" i="5"/>
  <c r="AJ2204" i="5"/>
  <c r="J2204" i="5"/>
  <c r="AH2204" i="5"/>
  <c r="AI2204" i="5"/>
  <c r="AD2204" i="5"/>
  <c r="AC2204" i="5"/>
  <c r="AC2203" i="5"/>
  <c r="AD2203" i="5"/>
  <c r="AI2203" i="5"/>
  <c r="J2203" i="5"/>
  <c r="AJ2203" i="5"/>
  <c r="AH2203" i="5"/>
  <c r="X2202" i="5"/>
  <c r="AP2202" i="5"/>
  <c r="AT2202" i="5"/>
  <c r="W2202" i="5"/>
  <c r="AO2202" i="5" s="1"/>
  <c r="AH2202" i="5"/>
  <c r="J2202" i="5"/>
  <c r="Y2202" i="5" s="1"/>
  <c r="Z2202" i="5" s="1"/>
  <c r="AJ2202" i="5"/>
  <c r="AI2202" i="5"/>
  <c r="AD2202" i="5"/>
  <c r="AC2202" i="5"/>
  <c r="AH2201" i="5"/>
  <c r="J2201" i="5"/>
  <c r="AJ2201" i="5"/>
  <c r="AI2201" i="5"/>
  <c r="AD2201" i="5"/>
  <c r="AC2201" i="5"/>
  <c r="AD2200" i="5"/>
  <c r="AC2200" i="5"/>
  <c r="AH2200" i="5"/>
  <c r="AJ2200" i="5"/>
  <c r="J2200" i="5"/>
  <c r="AI2200" i="5"/>
  <c r="AC2199" i="5"/>
  <c r="AD2199" i="5"/>
  <c r="AH2199" i="5"/>
  <c r="AJ2199" i="5"/>
  <c r="J2199" i="5"/>
  <c r="AI2199" i="5"/>
  <c r="AH2198" i="5"/>
  <c r="AI2198" i="5"/>
  <c r="J2198" i="5"/>
  <c r="AJ2198" i="5"/>
  <c r="AC2198" i="5"/>
  <c r="AD2198" i="5"/>
  <c r="AJ2197" i="5"/>
  <c r="J2197" i="5"/>
  <c r="AH2197" i="5"/>
  <c r="AI2197" i="5"/>
  <c r="AD2197" i="5"/>
  <c r="AC2197" i="5"/>
  <c r="AI2196" i="5"/>
  <c r="AJ2196" i="5"/>
  <c r="AH2196" i="5"/>
  <c r="J2196" i="5"/>
  <c r="AC2196" i="5"/>
  <c r="AD2196" i="5"/>
  <c r="AJ2195" i="5"/>
  <c r="AI2195" i="5"/>
  <c r="J2195" i="5"/>
  <c r="AH2195" i="5"/>
  <c r="AC2195" i="5"/>
  <c r="AD2195" i="5"/>
  <c r="J2194" i="5"/>
  <c r="AI2194" i="5"/>
  <c r="AH2194" i="5"/>
  <c r="AJ2194" i="5"/>
  <c r="AD2194" i="5"/>
  <c r="AC2194" i="5"/>
  <c r="AI2193" i="5"/>
  <c r="AJ2193" i="5"/>
  <c r="J2193" i="5"/>
  <c r="AH2193" i="5"/>
  <c r="AC2193" i="5"/>
  <c r="AD2193" i="5"/>
  <c r="AH2192" i="5"/>
  <c r="AI2192" i="5"/>
  <c r="J2192" i="5"/>
  <c r="AJ2192" i="5"/>
  <c r="AD2192" i="5"/>
  <c r="AC2192" i="5"/>
  <c r="AH2191" i="5"/>
  <c r="AJ2191" i="5"/>
  <c r="J2191" i="5"/>
  <c r="AI2191" i="5"/>
  <c r="AC2191" i="5"/>
  <c r="AD2191" i="5"/>
  <c r="AD2190" i="5"/>
  <c r="AC2190" i="5"/>
  <c r="AH2190" i="5"/>
  <c r="J2190" i="5"/>
  <c r="AI2190" i="5"/>
  <c r="AJ2190" i="5"/>
  <c r="AD2189" i="5"/>
  <c r="AC2189" i="5"/>
  <c r="AI2189" i="5"/>
  <c r="J2189" i="5"/>
  <c r="AJ2189" i="5"/>
  <c r="AH2189" i="5"/>
  <c r="AJ2188" i="5"/>
  <c r="J2188" i="5"/>
  <c r="AH2188" i="5"/>
  <c r="AI2188" i="5"/>
  <c r="AD2188" i="5"/>
  <c r="AC2188" i="5"/>
  <c r="J2187" i="5"/>
  <c r="AJ2187" i="5"/>
  <c r="AH2187" i="5"/>
  <c r="AI2187" i="5"/>
  <c r="AC2186" i="5"/>
  <c r="AD2186" i="5"/>
  <c r="J2186" i="5"/>
  <c r="AH2186" i="5"/>
  <c r="AI2186" i="5"/>
  <c r="AJ2186" i="5"/>
  <c r="AC2185" i="5"/>
  <c r="AD2185" i="5"/>
  <c r="J2185" i="5"/>
  <c r="AH2185" i="5"/>
  <c r="AI2185" i="5"/>
  <c r="AJ2185" i="5"/>
  <c r="AC2184" i="5"/>
  <c r="AD2184" i="5"/>
  <c r="J2184" i="5"/>
  <c r="AH2184" i="5"/>
  <c r="AI2184" i="5"/>
  <c r="AJ2184" i="5"/>
  <c r="AC2183" i="5"/>
  <c r="AD2183" i="5"/>
  <c r="J2183" i="5"/>
  <c r="AH2183" i="5"/>
  <c r="AI2183" i="5"/>
  <c r="AJ2183" i="5"/>
  <c r="J2182" i="5"/>
  <c r="AH2182" i="5"/>
  <c r="AI2182" i="5"/>
  <c r="AJ2182" i="5"/>
  <c r="AC2182" i="5"/>
  <c r="AD2182" i="5"/>
  <c r="J2181" i="5"/>
  <c r="AH2181" i="5"/>
  <c r="AI2181" i="5"/>
  <c r="AJ2181" i="5"/>
  <c r="AC2181" i="5"/>
  <c r="AD2181" i="5"/>
  <c r="J2180" i="5"/>
  <c r="AH2180" i="5"/>
  <c r="AI2180" i="5"/>
  <c r="AJ2180" i="5"/>
  <c r="AC2180" i="5"/>
  <c r="AD2180" i="5"/>
  <c r="AC2179" i="5"/>
  <c r="AD2179" i="5"/>
  <c r="J2179" i="5"/>
  <c r="AH2179" i="5"/>
  <c r="AI2179" i="5"/>
  <c r="AJ2179" i="5"/>
  <c r="AC2178" i="5"/>
  <c r="AD2178" i="5"/>
  <c r="J2178" i="5"/>
  <c r="AH2178" i="5"/>
  <c r="AI2178" i="5"/>
  <c r="AJ2178" i="5"/>
  <c r="AC2177" i="5"/>
  <c r="AD2177" i="5"/>
  <c r="J2177" i="5"/>
  <c r="AH2177" i="5"/>
  <c r="AI2177" i="5"/>
  <c r="AJ2177" i="5"/>
  <c r="AC2176" i="5"/>
  <c r="AD2176" i="5"/>
  <c r="J2176" i="5"/>
  <c r="AH2176" i="5"/>
  <c r="AI2176" i="5"/>
  <c r="AJ2176" i="5"/>
  <c r="J2175" i="5"/>
  <c r="AH2175" i="5"/>
  <c r="AI2175" i="5"/>
  <c r="AJ2175" i="5"/>
  <c r="AC2175" i="5"/>
  <c r="AD2175" i="5"/>
  <c r="AC2174" i="5"/>
  <c r="AD2174" i="5"/>
  <c r="J2174" i="5"/>
  <c r="AH2174" i="5"/>
  <c r="AI2174" i="5"/>
  <c r="AJ2174" i="5"/>
  <c r="AC2173" i="5"/>
  <c r="AD2173" i="5"/>
  <c r="J2173" i="5"/>
  <c r="AH2173" i="5"/>
  <c r="AI2173" i="5"/>
  <c r="AJ2173" i="5"/>
  <c r="AC2172" i="5"/>
  <c r="AD2172" i="5"/>
  <c r="J2172" i="5"/>
  <c r="AH2172" i="5"/>
  <c r="AI2172" i="5"/>
  <c r="AJ2172" i="5"/>
  <c r="AC2171" i="5"/>
  <c r="AD2171" i="5"/>
  <c r="J2171" i="5"/>
  <c r="AH2171" i="5"/>
  <c r="AI2171" i="5"/>
  <c r="AJ2171" i="5"/>
  <c r="AH2170" i="5"/>
  <c r="AI2170" i="5"/>
  <c r="J2170" i="5"/>
  <c r="AJ2170" i="5"/>
  <c r="AD2170" i="5"/>
  <c r="AC2170" i="5"/>
  <c r="AC2169" i="5"/>
  <c r="AD2169" i="5"/>
  <c r="AH2169" i="5"/>
  <c r="AI2169" i="5"/>
  <c r="J2169" i="5"/>
  <c r="AJ2169" i="5"/>
  <c r="AC2168" i="5"/>
  <c r="AD2168" i="5"/>
  <c r="J2168" i="5"/>
  <c r="AH2168" i="5"/>
  <c r="AI2168" i="5"/>
  <c r="AJ2168" i="5"/>
  <c r="AC2167" i="5"/>
  <c r="AD2167" i="5"/>
  <c r="AH2167" i="5"/>
  <c r="AI2167" i="5"/>
  <c r="AJ2167" i="5"/>
  <c r="J2167" i="5"/>
  <c r="AJ2166" i="5"/>
  <c r="J2166" i="5"/>
  <c r="AH2166" i="5"/>
  <c r="AI2166" i="5"/>
  <c r="AC2166" i="5"/>
  <c r="AD2166" i="5"/>
  <c r="J2165" i="5"/>
  <c r="AI2165" i="5"/>
  <c r="AH2165" i="5"/>
  <c r="AJ2165" i="5"/>
  <c r="AD2165" i="5"/>
  <c r="AC2165" i="5"/>
  <c r="J2164" i="5"/>
  <c r="AI2164" i="5"/>
  <c r="AH2164" i="5"/>
  <c r="AJ2164" i="5"/>
  <c r="AD2164" i="5"/>
  <c r="AC2164" i="5"/>
  <c r="AJ2163" i="5"/>
  <c r="AH2163" i="5"/>
  <c r="J2163" i="5"/>
  <c r="AI2163" i="5"/>
  <c r="AC2163" i="5"/>
  <c r="AD2163" i="5"/>
  <c r="AC2162" i="5"/>
  <c r="AD2162" i="5"/>
  <c r="AJ2162" i="5"/>
  <c r="AI2162" i="5"/>
  <c r="J2162" i="5"/>
  <c r="AH2162" i="5"/>
  <c r="AD2161" i="5"/>
  <c r="AC2161" i="5"/>
  <c r="AH2161" i="5"/>
  <c r="J2161" i="5"/>
  <c r="AJ2161" i="5"/>
  <c r="AI2161" i="5"/>
  <c r="AJ2160" i="5"/>
  <c r="J2160" i="5"/>
  <c r="AH2160" i="5"/>
  <c r="AI2160" i="5"/>
  <c r="AD2160" i="5"/>
  <c r="AC2160" i="5"/>
  <c r="AD2159" i="5"/>
  <c r="AC2159" i="5"/>
  <c r="AH2159" i="5"/>
  <c r="AI2159" i="5"/>
  <c r="J2159" i="5"/>
  <c r="AJ2159" i="5"/>
  <c r="AJ2158" i="5"/>
  <c r="J2158" i="5"/>
  <c r="AH2158" i="5"/>
  <c r="AI2158" i="5"/>
  <c r="AD2158" i="5"/>
  <c r="AC2158" i="5"/>
  <c r="AD2157" i="5"/>
  <c r="AC2157" i="5"/>
  <c r="AJ2157" i="5"/>
  <c r="J2157" i="5"/>
  <c r="AI2157" i="5"/>
  <c r="AH2157" i="5"/>
  <c r="AJ2156" i="5"/>
  <c r="J2156" i="5"/>
  <c r="AH2156" i="5"/>
  <c r="AI2156" i="5"/>
  <c r="AD2156" i="5"/>
  <c r="AC2156" i="5"/>
  <c r="J2155" i="5"/>
  <c r="AJ2155" i="5"/>
  <c r="AH2155" i="5"/>
  <c r="AI2155" i="5"/>
  <c r="AD2155" i="5"/>
  <c r="AC2155" i="5"/>
  <c r="AD2154" i="5"/>
  <c r="AC2154" i="5"/>
  <c r="AJ2154" i="5"/>
  <c r="AH2154" i="5"/>
  <c r="J2154" i="5"/>
  <c r="AI2154" i="5"/>
  <c r="AC2153" i="5"/>
  <c r="AD2153" i="5"/>
  <c r="AI2153" i="5"/>
  <c r="AJ2153" i="5"/>
  <c r="J2153" i="5"/>
  <c r="AH2153" i="5"/>
  <c r="AC2152" i="5"/>
  <c r="AD2152" i="5"/>
  <c r="AJ2152" i="5"/>
  <c r="J2152" i="5"/>
  <c r="AI2152" i="5"/>
  <c r="AH2152" i="5"/>
  <c r="AC2151" i="5"/>
  <c r="AD2151" i="5"/>
  <c r="AI2151" i="5"/>
  <c r="AJ2151" i="5"/>
  <c r="AH2151" i="5"/>
  <c r="J2151" i="5"/>
  <c r="AC2150" i="5"/>
  <c r="AD2150" i="5"/>
  <c r="J2150" i="5"/>
  <c r="AH2150" i="5"/>
  <c r="AI2150" i="5"/>
  <c r="AJ2150" i="5"/>
  <c r="AC2149" i="5"/>
  <c r="AD2149" i="5"/>
  <c r="J2149" i="5"/>
  <c r="AH2149" i="5"/>
  <c r="AI2149" i="5"/>
  <c r="AJ2149" i="5"/>
  <c r="AC2148" i="5"/>
  <c r="AD2148" i="5"/>
  <c r="J2148" i="5"/>
  <c r="AH2148" i="5"/>
  <c r="AI2148" i="5"/>
  <c r="AJ2148" i="5"/>
  <c r="AC2147" i="5"/>
  <c r="AD2147" i="5"/>
  <c r="J2147" i="5"/>
  <c r="AH2147" i="5"/>
  <c r="AI2147" i="5"/>
  <c r="AJ2147" i="5"/>
  <c r="AC2146" i="5"/>
  <c r="AD2146" i="5"/>
  <c r="J2146" i="5"/>
  <c r="AH2146" i="5"/>
  <c r="AI2146" i="5"/>
  <c r="AJ2146" i="5"/>
  <c r="AC2145" i="5"/>
  <c r="AD2145" i="5"/>
  <c r="J2145" i="5"/>
  <c r="AH2145" i="5"/>
  <c r="AI2145" i="5"/>
  <c r="AJ2145" i="5"/>
  <c r="AC2144" i="5"/>
  <c r="AD2144" i="5"/>
  <c r="J2144" i="5"/>
  <c r="AH2144" i="5"/>
  <c r="AI2144" i="5"/>
  <c r="AJ2144" i="5"/>
  <c r="AC2143" i="5"/>
  <c r="AD2143" i="5"/>
  <c r="J2143" i="5"/>
  <c r="AH2143" i="5"/>
  <c r="AI2143" i="5"/>
  <c r="AJ2143" i="5"/>
  <c r="AC2142" i="5"/>
  <c r="AD2142" i="5"/>
  <c r="J2142" i="5"/>
  <c r="AH2142" i="5"/>
  <c r="AI2142" i="5"/>
  <c r="AJ2142" i="5"/>
  <c r="AC2141" i="5"/>
  <c r="AD2141" i="5"/>
  <c r="J2141" i="5"/>
  <c r="AH2141" i="5"/>
  <c r="AI2141" i="5"/>
  <c r="AJ2141" i="5"/>
  <c r="AC2140" i="5"/>
  <c r="AD2140" i="5"/>
  <c r="J2140" i="5"/>
  <c r="AH2140" i="5"/>
  <c r="AI2140" i="5"/>
  <c r="AJ2140" i="5"/>
  <c r="AC2139" i="5"/>
  <c r="AD2139" i="5"/>
  <c r="J2139" i="5"/>
  <c r="AH2139" i="5"/>
  <c r="AI2139" i="5"/>
  <c r="AJ2139" i="5"/>
  <c r="AC2138" i="5"/>
  <c r="AD2138" i="5"/>
  <c r="J2138" i="5"/>
  <c r="AH2138" i="5"/>
  <c r="AI2138" i="5"/>
  <c r="AJ2138" i="5"/>
  <c r="AC2137" i="5"/>
  <c r="AD2137" i="5"/>
  <c r="J2137" i="5"/>
  <c r="AH2137" i="5"/>
  <c r="AI2137" i="5"/>
  <c r="AJ2137" i="5"/>
  <c r="AC2136" i="5"/>
  <c r="AD2136" i="5"/>
  <c r="J2136" i="5"/>
  <c r="AH2136" i="5"/>
  <c r="AI2136" i="5"/>
  <c r="AJ2136" i="5"/>
  <c r="AC2135" i="5"/>
  <c r="AD2135" i="5"/>
  <c r="J2135" i="5"/>
  <c r="AH2135" i="5"/>
  <c r="AI2135" i="5"/>
  <c r="AJ2135" i="5"/>
  <c r="AC2134" i="5"/>
  <c r="AD2134" i="5"/>
  <c r="J2134" i="5"/>
  <c r="AH2134" i="5"/>
  <c r="AI2134" i="5"/>
  <c r="AJ2134" i="5"/>
  <c r="AC2133" i="5"/>
  <c r="AD2133" i="5"/>
  <c r="J2133" i="5"/>
  <c r="AH2133" i="5"/>
  <c r="AI2133" i="5"/>
  <c r="AJ2133" i="5"/>
  <c r="AC2132" i="5"/>
  <c r="AD2132" i="5"/>
  <c r="J2132" i="5"/>
  <c r="AH2132" i="5"/>
  <c r="AI2132" i="5"/>
  <c r="AJ2132" i="5"/>
  <c r="AC2131" i="5"/>
  <c r="AD2131" i="5"/>
  <c r="J2131" i="5"/>
  <c r="AH2131" i="5"/>
  <c r="AI2131" i="5"/>
  <c r="AJ2131" i="5"/>
  <c r="AC2130" i="5"/>
  <c r="AD2130" i="5"/>
  <c r="J2130" i="5"/>
  <c r="AH2130" i="5"/>
  <c r="AI2130" i="5"/>
  <c r="AJ2130" i="5"/>
  <c r="AC2129" i="5"/>
  <c r="AD2129" i="5"/>
  <c r="J2129" i="5"/>
  <c r="AH2129" i="5"/>
  <c r="AI2129" i="5"/>
  <c r="AJ2129" i="5"/>
  <c r="AC2128" i="5"/>
  <c r="AD2128" i="5"/>
  <c r="J2128" i="5"/>
  <c r="AH2128" i="5"/>
  <c r="AI2128" i="5"/>
  <c r="AJ2128" i="5"/>
  <c r="AC2127" i="5"/>
  <c r="AD2127" i="5"/>
  <c r="J2127" i="5"/>
  <c r="AH2127" i="5"/>
  <c r="AI2127" i="5"/>
  <c r="AJ2127" i="5"/>
  <c r="AC2126" i="5"/>
  <c r="AD2126" i="5"/>
  <c r="J2126" i="5"/>
  <c r="AH2126" i="5"/>
  <c r="AI2126" i="5"/>
  <c r="AJ2126" i="5"/>
  <c r="AC2125" i="5"/>
  <c r="AD2125" i="5"/>
  <c r="J2125" i="5"/>
  <c r="AH2125" i="5"/>
  <c r="AI2125" i="5"/>
  <c r="AJ2125" i="5"/>
  <c r="AC2124" i="5"/>
  <c r="AD2124" i="5"/>
  <c r="J2124" i="5"/>
  <c r="AH2124" i="5"/>
  <c r="AI2124" i="5"/>
  <c r="AJ2124" i="5"/>
  <c r="AC2123" i="5"/>
  <c r="AD2123" i="5"/>
  <c r="J2123" i="5"/>
  <c r="AH2123" i="5"/>
  <c r="AI2123" i="5"/>
  <c r="AJ2123" i="5"/>
  <c r="AC2122" i="5"/>
  <c r="AD2122" i="5"/>
  <c r="J2122" i="5"/>
  <c r="AH2122" i="5"/>
  <c r="AI2122" i="5"/>
  <c r="AJ2122" i="5"/>
  <c r="AC2121" i="5"/>
  <c r="AD2121" i="5"/>
  <c r="J2121" i="5"/>
  <c r="AH2121" i="5"/>
  <c r="AI2121" i="5"/>
  <c r="AJ2121" i="5"/>
  <c r="AC2120" i="5"/>
  <c r="AD2120" i="5"/>
  <c r="J2120" i="5"/>
  <c r="AH2120" i="5"/>
  <c r="AI2120" i="5"/>
  <c r="AJ2120" i="5"/>
  <c r="AC2119" i="5"/>
  <c r="AD2119" i="5"/>
  <c r="J2119" i="5"/>
  <c r="AH2119" i="5"/>
  <c r="AI2119" i="5"/>
  <c r="AJ2119" i="5"/>
  <c r="AC2118" i="5"/>
  <c r="AD2118" i="5"/>
  <c r="J2118" i="5"/>
  <c r="AH2118" i="5"/>
  <c r="AI2118" i="5"/>
  <c r="AJ2118" i="5"/>
  <c r="AC2117" i="5"/>
  <c r="AD2117" i="5"/>
  <c r="J2117" i="5"/>
  <c r="AH2117" i="5"/>
  <c r="AI2117" i="5"/>
  <c r="AJ2117" i="5"/>
  <c r="AC2116" i="5"/>
  <c r="AD2116" i="5"/>
  <c r="J2116" i="5"/>
  <c r="AH2116" i="5"/>
  <c r="AI2116" i="5"/>
  <c r="AJ2116" i="5"/>
  <c r="AC2115" i="5"/>
  <c r="AD2115" i="5"/>
  <c r="J2115" i="5"/>
  <c r="AH2115" i="5"/>
  <c r="AI2115" i="5"/>
  <c r="AJ2115" i="5"/>
  <c r="J2114" i="5"/>
  <c r="AH2114" i="5"/>
  <c r="AI2114" i="5"/>
  <c r="AJ2114" i="5"/>
  <c r="AC2114" i="5"/>
  <c r="AD2114" i="5"/>
  <c r="J2113" i="5"/>
  <c r="AH2113" i="5"/>
  <c r="AI2113" i="5"/>
  <c r="AJ2113" i="5"/>
  <c r="AC2113" i="5"/>
  <c r="AD2113" i="5"/>
  <c r="AC2112" i="5"/>
  <c r="AD2112" i="5"/>
  <c r="J2112" i="5"/>
  <c r="AH2112" i="5"/>
  <c r="AI2112" i="5"/>
  <c r="AJ2112" i="5"/>
  <c r="J2111" i="5"/>
  <c r="AH2111" i="5"/>
  <c r="AI2111" i="5"/>
  <c r="AJ2111" i="5"/>
  <c r="AC2111" i="5"/>
  <c r="AD2111" i="5"/>
  <c r="J2110" i="5"/>
  <c r="AH2110" i="5"/>
  <c r="AI2110" i="5"/>
  <c r="AJ2110" i="5"/>
  <c r="AC2110" i="5"/>
  <c r="AD2110" i="5"/>
  <c r="J2109" i="5"/>
  <c r="AH2109" i="5"/>
  <c r="AI2109" i="5"/>
  <c r="AJ2109" i="5"/>
  <c r="AC2109" i="5"/>
  <c r="AD2109" i="5"/>
  <c r="AC2108" i="5"/>
  <c r="AD2108" i="5"/>
  <c r="J2108" i="5"/>
  <c r="AH2108" i="5"/>
  <c r="AI2108" i="5"/>
  <c r="AJ2108" i="5"/>
  <c r="AC2107" i="5"/>
  <c r="AD2107" i="5"/>
  <c r="J2107" i="5"/>
  <c r="AH2107" i="5"/>
  <c r="AI2107" i="5"/>
  <c r="AJ2107" i="5"/>
  <c r="AC2106" i="5"/>
  <c r="AD2106" i="5"/>
  <c r="J2106" i="5"/>
  <c r="AH2106" i="5"/>
  <c r="AI2106" i="5"/>
  <c r="AJ2106" i="5"/>
  <c r="AC2105" i="5"/>
  <c r="AD2105" i="5"/>
  <c r="J2105" i="5"/>
  <c r="AH2105" i="5"/>
  <c r="AI2105" i="5"/>
  <c r="AJ2105" i="5"/>
  <c r="AC2104" i="5"/>
  <c r="AD2104" i="5"/>
  <c r="J2104" i="5"/>
  <c r="AH2104" i="5"/>
  <c r="AI2104" i="5"/>
  <c r="AJ2104" i="5"/>
  <c r="AC2103" i="5"/>
  <c r="AD2103" i="5"/>
  <c r="J2103" i="5"/>
  <c r="AH2103" i="5"/>
  <c r="AI2103" i="5"/>
  <c r="AJ2103" i="5"/>
  <c r="J2102" i="5"/>
  <c r="AH2102" i="5"/>
  <c r="AI2102" i="5"/>
  <c r="AJ2102" i="5"/>
  <c r="AC2102" i="5"/>
  <c r="AD2102" i="5"/>
  <c r="AC2101" i="5"/>
  <c r="AD2101" i="5"/>
  <c r="J2101" i="5"/>
  <c r="AH2101" i="5"/>
  <c r="AI2101" i="5"/>
  <c r="AJ2101" i="5"/>
  <c r="AC2100" i="5"/>
  <c r="AD2100" i="5"/>
  <c r="J2100" i="5"/>
  <c r="AH2100" i="5"/>
  <c r="AI2100" i="5"/>
  <c r="AJ2100" i="5"/>
  <c r="AC2099" i="5"/>
  <c r="AD2099" i="5"/>
  <c r="J2099" i="5"/>
  <c r="AH2099" i="5"/>
  <c r="AI2099" i="5"/>
  <c r="AJ2099" i="5"/>
  <c r="J2098" i="5"/>
  <c r="AH2098" i="5"/>
  <c r="AI2098" i="5"/>
  <c r="AJ2098" i="5"/>
  <c r="AC2098" i="5"/>
  <c r="AD2098" i="5"/>
  <c r="J2097" i="5"/>
  <c r="AH2097" i="5"/>
  <c r="AI2097" i="5"/>
  <c r="AJ2097" i="5"/>
  <c r="AC2097" i="5"/>
  <c r="AD2097" i="5"/>
  <c r="J2096" i="5"/>
  <c r="AH2096" i="5"/>
  <c r="AI2096" i="5"/>
  <c r="AJ2096" i="5"/>
  <c r="AC2096" i="5"/>
  <c r="AD2096" i="5"/>
  <c r="AC2095" i="5"/>
  <c r="AD2095" i="5"/>
  <c r="J2095" i="5"/>
  <c r="AH2095" i="5"/>
  <c r="AI2095" i="5"/>
  <c r="AJ2095" i="5"/>
  <c r="AC2094" i="5"/>
  <c r="AD2094" i="5"/>
  <c r="J2094" i="5"/>
  <c r="AH2094" i="5"/>
  <c r="AI2094" i="5"/>
  <c r="AJ2094" i="5"/>
  <c r="AC2093" i="5"/>
  <c r="AD2093" i="5"/>
  <c r="J2093" i="5"/>
  <c r="AH2093" i="5"/>
  <c r="AI2093" i="5"/>
  <c r="AJ2093" i="5"/>
  <c r="AC2092" i="5"/>
  <c r="AD2092" i="5"/>
  <c r="J2092" i="5"/>
  <c r="AH2092" i="5"/>
  <c r="AI2092" i="5"/>
  <c r="AJ2092" i="5"/>
  <c r="J2091" i="5"/>
  <c r="AH2091" i="5"/>
  <c r="AI2091" i="5"/>
  <c r="AJ2091" i="5"/>
  <c r="AC2091" i="5"/>
  <c r="AD2091" i="5"/>
  <c r="J2090" i="5"/>
  <c r="Y2090" i="5" s="1"/>
  <c r="Z2090" i="5" s="1"/>
  <c r="AH2090" i="5"/>
  <c r="AI2090" i="5"/>
  <c r="AJ2090" i="5"/>
  <c r="AC2090" i="5"/>
  <c r="AD2090" i="5"/>
  <c r="AP2090" i="5"/>
  <c r="AT2090" i="5"/>
  <c r="W2090" i="5"/>
  <c r="AO2090" i="5" s="1"/>
  <c r="X2090" i="5"/>
  <c r="AC2089" i="5"/>
  <c r="AD2089" i="5"/>
  <c r="J2089" i="5"/>
  <c r="AH2089" i="5"/>
  <c r="AI2089" i="5"/>
  <c r="AJ2089" i="5"/>
  <c r="AC2088" i="5"/>
  <c r="AD2088" i="5"/>
  <c r="J2088" i="5"/>
  <c r="AH2088" i="5"/>
  <c r="AI2088" i="5"/>
  <c r="AJ2088" i="5"/>
  <c r="AC2087" i="5"/>
  <c r="AD2087" i="5"/>
  <c r="J2087" i="5"/>
  <c r="AH2087" i="5"/>
  <c r="AI2087" i="5"/>
  <c r="AJ2087" i="5"/>
  <c r="J2086" i="5"/>
  <c r="AH2086" i="5"/>
  <c r="AI2086" i="5"/>
  <c r="AJ2086" i="5"/>
  <c r="AC2086" i="5"/>
  <c r="AD2086" i="5"/>
  <c r="J2085" i="5"/>
  <c r="AH2085" i="5"/>
  <c r="AI2085" i="5"/>
  <c r="AJ2085" i="5"/>
  <c r="AC2085" i="5"/>
  <c r="AD2085" i="5"/>
  <c r="J2084" i="5"/>
  <c r="AH2084" i="5"/>
  <c r="AI2084" i="5"/>
  <c r="AJ2084" i="5"/>
  <c r="AC2084" i="5"/>
  <c r="AD2084" i="5"/>
  <c r="AC2083" i="5"/>
  <c r="AD2083" i="5"/>
  <c r="J2083" i="5"/>
  <c r="AH2083" i="5"/>
  <c r="AI2083" i="5"/>
  <c r="AJ2083" i="5"/>
  <c r="AC2082" i="5"/>
  <c r="AD2082" i="5"/>
  <c r="J2082" i="5"/>
  <c r="AH2082" i="5"/>
  <c r="AI2082" i="5"/>
  <c r="AJ2082" i="5"/>
  <c r="AC2081" i="5"/>
  <c r="AD2081" i="5"/>
  <c r="J2081" i="5"/>
  <c r="AH2081" i="5"/>
  <c r="AI2081" i="5"/>
  <c r="AJ2081" i="5"/>
  <c r="AC2080" i="5"/>
  <c r="AD2080" i="5"/>
  <c r="J2080" i="5"/>
  <c r="AH2080" i="5"/>
  <c r="AI2080" i="5"/>
  <c r="AJ2080" i="5"/>
  <c r="J2079" i="5"/>
  <c r="AH2079" i="5"/>
  <c r="AI2079" i="5"/>
  <c r="AJ2079" i="5"/>
  <c r="AC2079" i="5"/>
  <c r="AD2079" i="5"/>
  <c r="J2078" i="5"/>
  <c r="AH2078" i="5"/>
  <c r="AI2078" i="5"/>
  <c r="AJ2078" i="5"/>
  <c r="AC2077" i="5"/>
  <c r="AD2077" i="5"/>
  <c r="J2077" i="5"/>
  <c r="AH2077" i="5"/>
  <c r="AI2077" i="5"/>
  <c r="AJ2077" i="5"/>
  <c r="AC2076" i="5"/>
  <c r="AD2076" i="5"/>
  <c r="J2076" i="5"/>
  <c r="AH2076" i="5"/>
  <c r="AI2076" i="5"/>
  <c r="AJ2076" i="5"/>
  <c r="AC2075" i="5"/>
  <c r="AD2075" i="5"/>
  <c r="J2075" i="5"/>
  <c r="AH2075" i="5"/>
  <c r="AI2075" i="5"/>
  <c r="AJ2075" i="5"/>
  <c r="AC2074" i="5"/>
  <c r="AD2074" i="5"/>
  <c r="J2074" i="5"/>
  <c r="AH2074" i="5"/>
  <c r="AI2074" i="5"/>
  <c r="AJ2074" i="5"/>
  <c r="AC2073" i="5"/>
  <c r="AD2073" i="5"/>
  <c r="J2073" i="5"/>
  <c r="AH2073" i="5"/>
  <c r="AI2073" i="5"/>
  <c r="AJ2073" i="5"/>
  <c r="AC2072" i="5"/>
  <c r="AD2072" i="5"/>
  <c r="J2072" i="5"/>
  <c r="AH2072" i="5"/>
  <c r="AI2072" i="5"/>
  <c r="AJ2072" i="5"/>
  <c r="AC2071" i="5"/>
  <c r="AD2071" i="5"/>
  <c r="J2071" i="5"/>
  <c r="AH2071" i="5"/>
  <c r="AI2071" i="5"/>
  <c r="AJ2071" i="5"/>
  <c r="AC2070" i="5"/>
  <c r="AD2070" i="5"/>
  <c r="J2070" i="5"/>
  <c r="AH2070" i="5"/>
  <c r="AI2070" i="5"/>
  <c r="AJ2070" i="5"/>
  <c r="AC2069" i="5"/>
  <c r="AD2069" i="5"/>
  <c r="J2069" i="5"/>
  <c r="AH2069" i="5"/>
  <c r="AI2069" i="5"/>
  <c r="AJ2069" i="5"/>
  <c r="AC2068" i="5"/>
  <c r="AD2068" i="5"/>
  <c r="J2068" i="5"/>
  <c r="AH2068" i="5"/>
  <c r="AI2068" i="5"/>
  <c r="AJ2068" i="5"/>
  <c r="AC2067" i="5"/>
  <c r="AD2067" i="5"/>
  <c r="J2067" i="5"/>
  <c r="AH2067" i="5"/>
  <c r="AI2067" i="5"/>
  <c r="AJ2067" i="5"/>
  <c r="AC2066" i="5"/>
  <c r="AD2066" i="5"/>
  <c r="J2066" i="5"/>
  <c r="AH2066" i="5"/>
  <c r="AI2066" i="5"/>
  <c r="AJ2066" i="5"/>
  <c r="AC2065" i="5"/>
  <c r="AD2065" i="5"/>
  <c r="J2065" i="5"/>
  <c r="AH2065" i="5"/>
  <c r="AI2065" i="5"/>
  <c r="AJ2065" i="5"/>
  <c r="AC2064" i="5"/>
  <c r="AD2064" i="5"/>
  <c r="J2064" i="5"/>
  <c r="AH2064" i="5"/>
  <c r="AI2064" i="5"/>
  <c r="AJ2064" i="5"/>
  <c r="AC2063" i="5"/>
  <c r="AD2063" i="5"/>
  <c r="J2063" i="5"/>
  <c r="AH2063" i="5"/>
  <c r="AI2063" i="5"/>
  <c r="AJ2063" i="5"/>
  <c r="AC2062" i="5"/>
  <c r="AD2062" i="5"/>
  <c r="J2062" i="5"/>
  <c r="AH2062" i="5"/>
  <c r="AI2062" i="5"/>
  <c r="AJ2062" i="5"/>
  <c r="AC2061" i="5"/>
  <c r="AD2061" i="5"/>
  <c r="J2061" i="5"/>
  <c r="AH2061" i="5"/>
  <c r="AI2061" i="5"/>
  <c r="AJ2061" i="5"/>
  <c r="AC2060" i="5"/>
  <c r="AD2060" i="5"/>
  <c r="J2060" i="5"/>
  <c r="AH2060" i="5"/>
  <c r="AI2060" i="5"/>
  <c r="AJ2060" i="5"/>
  <c r="AC2059" i="5"/>
  <c r="AD2059" i="5"/>
  <c r="J2059" i="5"/>
  <c r="AH2059" i="5"/>
  <c r="AI2059" i="5"/>
  <c r="AJ2059" i="5"/>
  <c r="AC2058" i="5"/>
  <c r="AD2058" i="5"/>
  <c r="J2058" i="5"/>
  <c r="AH2058" i="5"/>
  <c r="AI2058" i="5"/>
  <c r="AJ2058" i="5"/>
  <c r="AC2057" i="5"/>
  <c r="AD2057" i="5"/>
  <c r="J2057" i="5"/>
  <c r="AH2057" i="5"/>
  <c r="AI2057" i="5"/>
  <c r="AJ2057" i="5"/>
  <c r="AC2056" i="5"/>
  <c r="AD2056" i="5"/>
  <c r="J2056" i="5"/>
  <c r="AH2056" i="5"/>
  <c r="AI2056" i="5"/>
  <c r="AJ2056" i="5"/>
  <c r="AC2055" i="5"/>
  <c r="AD2055" i="5"/>
  <c r="J2055" i="5"/>
  <c r="AH2055" i="5"/>
  <c r="AI2055" i="5"/>
  <c r="AJ2055" i="5"/>
  <c r="AC2054" i="5"/>
  <c r="AD2054" i="5"/>
  <c r="J2054" i="5"/>
  <c r="AH2054" i="5"/>
  <c r="AI2054" i="5"/>
  <c r="AJ2054" i="5"/>
  <c r="AC2053" i="5"/>
  <c r="AD2053" i="5"/>
  <c r="J2053" i="5"/>
  <c r="AH2053" i="5"/>
  <c r="AI2053" i="5"/>
  <c r="AJ2053" i="5"/>
  <c r="AC2052" i="5"/>
  <c r="AD2052" i="5"/>
  <c r="J2052" i="5"/>
  <c r="AH2052" i="5"/>
  <c r="AI2052" i="5"/>
  <c r="AJ2052" i="5"/>
  <c r="AC2051" i="5"/>
  <c r="AD2051" i="5"/>
  <c r="J2051" i="5"/>
  <c r="AH2051" i="5"/>
  <c r="AI2051" i="5"/>
  <c r="AJ2051" i="5"/>
  <c r="B8" i="1"/>
  <c r="Y2499" i="5"/>
  <c r="Z2499" i="5" s="1"/>
  <c r="Y2493" i="5"/>
  <c r="Z2493" i="5" s="1"/>
  <c r="Y2490" i="5"/>
  <c r="Z2490" i="5" s="1"/>
  <c r="Y2481" i="5"/>
  <c r="Z2481" i="5" s="1"/>
  <c r="Y2472" i="5"/>
  <c r="Z2472" i="5" s="1"/>
  <c r="Y2468" i="5"/>
  <c r="Z2468" i="5" s="1"/>
  <c r="Y2466" i="5"/>
  <c r="Z2466" i="5" s="1"/>
  <c r="Y2459" i="5"/>
  <c r="Z2459" i="5" s="1"/>
  <c r="Y2456" i="5"/>
  <c r="Z2456" i="5" s="1"/>
  <c r="Y2454" i="5"/>
  <c r="Z2454" i="5" s="1"/>
  <c r="Y2452" i="5"/>
  <c r="Z2452" i="5" s="1"/>
  <c r="Y2506" i="5"/>
  <c r="Z2506" i="5" s="1"/>
  <c r="Y2505" i="5"/>
  <c r="Z2505" i="5" s="1"/>
  <c r="Y2504" i="5"/>
  <c r="Z2504" i="5" s="1"/>
  <c r="Y2503" i="5"/>
  <c r="Z2503" i="5" s="1"/>
  <c r="Y2501" i="5"/>
  <c r="Z2501" i="5" s="1"/>
  <c r="Y2497" i="5"/>
  <c r="Z2497" i="5" s="1"/>
  <c r="Y2492" i="5"/>
  <c r="Z2492" i="5" s="1"/>
  <c r="Y2491" i="5"/>
  <c r="Z2491" i="5" s="1"/>
  <c r="Y2485" i="5"/>
  <c r="Z2485" i="5" s="1"/>
  <c r="Y2483" i="5"/>
  <c r="Z2483" i="5" s="1"/>
  <c r="Y2482" i="5"/>
  <c r="Z2482" i="5" s="1"/>
  <c r="Y2479" i="5"/>
  <c r="Z2479" i="5" s="1"/>
  <c r="Y2477" i="5"/>
  <c r="Z2477" i="5" s="1"/>
  <c r="Y2471" i="5"/>
  <c r="Z2471" i="5" s="1"/>
  <c r="Y2469" i="5"/>
  <c r="Z2469" i="5" s="1"/>
  <c r="Y2465" i="5"/>
  <c r="Z2465" i="5" s="1"/>
  <c r="Y2464" i="5"/>
  <c r="Z2464" i="5" s="1"/>
  <c r="Y2462" i="5"/>
  <c r="Z2462" i="5" s="1"/>
  <c r="Y2460" i="5"/>
  <c r="Z2460" i="5" s="1"/>
  <c r="Y2458" i="5"/>
  <c r="Z2458" i="5" s="1"/>
  <c r="Y2457" i="5"/>
  <c r="Z2457" i="5" s="1"/>
  <c r="Y2455" i="5"/>
  <c r="Z2455" i="5" s="1"/>
  <c r="Y2450" i="5"/>
  <c r="Z2450" i="5" s="1"/>
  <c r="Y2448" i="5"/>
  <c r="Z2448" i="5" s="1"/>
  <c r="Y2447" i="5"/>
  <c r="Z2447" i="5" s="1"/>
  <c r="Y2445" i="5"/>
  <c r="Z2445" i="5" s="1"/>
  <c r="Y2444" i="5"/>
  <c r="Z2444" i="5" s="1"/>
  <c r="Y2443" i="5"/>
  <c r="Z2443" i="5" s="1"/>
  <c r="Y2442" i="5"/>
  <c r="Z2442" i="5" s="1"/>
  <c r="Y2439" i="5"/>
  <c r="Z2439" i="5" s="1"/>
  <c r="Y2438" i="5"/>
  <c r="Z2438" i="5" s="1"/>
  <c r="Y2401" i="5"/>
  <c r="Z2401" i="5" s="1"/>
  <c r="AP2478" i="5"/>
  <c r="AT2478" i="5"/>
  <c r="V2347" i="5"/>
  <c r="V2265" i="5"/>
  <c r="V2185" i="5"/>
  <c r="V2125" i="5"/>
  <c r="V2121" i="5"/>
  <c r="V2120" i="5"/>
  <c r="V2119" i="5"/>
  <c r="V2118" i="5"/>
  <c r="V2115" i="5"/>
  <c r="V2204" i="5"/>
  <c r="AL2204" i="5" s="1"/>
  <c r="Y2203" i="5" l="1"/>
  <c r="Z2203" i="5" s="1"/>
  <c r="AT2203" i="5"/>
  <c r="W2203" i="5"/>
  <c r="AO2203" i="5" s="1"/>
  <c r="X2203" i="5"/>
  <c r="AP2203" i="5"/>
  <c r="AL2189" i="5"/>
  <c r="Y2189" i="5"/>
  <c r="Z2189" i="5" s="1"/>
  <c r="Y2192" i="5"/>
  <c r="Z2192" i="5" s="1"/>
  <c r="M2260" i="5"/>
  <c r="K2260" i="5"/>
  <c r="P2260" i="5" s="1"/>
  <c r="L2260" i="5"/>
  <c r="Q2260" i="5" s="1"/>
  <c r="N2260" i="5"/>
  <c r="AP2192" i="5"/>
  <c r="W2192" i="5"/>
  <c r="AO2192" i="5" s="1"/>
  <c r="AT2192" i="5"/>
  <c r="X2192" i="5"/>
  <c r="X2189" i="5"/>
  <c r="AT2189" i="5"/>
  <c r="AP2189" i="5"/>
  <c r="W2189" i="5"/>
  <c r="AO2189" i="5" s="1"/>
  <c r="Y2341" i="5"/>
  <c r="Z2341" i="5" s="1"/>
  <c r="Y2304" i="5"/>
  <c r="Z2304" i="5" s="1"/>
  <c r="AP2304" i="5"/>
  <c r="W2304" i="5"/>
  <c r="AO2304" i="5" s="1"/>
  <c r="AT2304" i="5"/>
  <c r="X2304" i="5"/>
  <c r="AT2341" i="5"/>
  <c r="X2341" i="5"/>
  <c r="AP2341" i="5"/>
  <c r="W2341" i="5"/>
  <c r="AO2341" i="5" s="1"/>
  <c r="K5" i="3"/>
  <c r="B11" i="3"/>
  <c r="E12" i="3"/>
  <c r="B27" i="3"/>
  <c r="B9" i="3"/>
  <c r="B17" i="3"/>
  <c r="D17" i="3"/>
  <c r="B26" i="3"/>
  <c r="K7" i="3"/>
  <c r="B10" i="3"/>
  <c r="B12" i="3"/>
  <c r="B16" i="3"/>
  <c r="K4" i="3"/>
  <c r="B8" i="3"/>
  <c r="E9" i="3"/>
  <c r="D15" i="3"/>
  <c r="Y2378" i="5"/>
  <c r="Z2378" i="5" s="1"/>
  <c r="AP2378" i="5"/>
  <c r="AT2378" i="5"/>
  <c r="W2378" i="5"/>
  <c r="AO2378" i="5" s="1"/>
  <c r="X2378" i="5"/>
  <c r="K8" i="1"/>
  <c r="Y2305" i="5"/>
  <c r="Z2305" i="5" s="1"/>
  <c r="Y2377" i="5"/>
  <c r="Z2377" i="5" s="1"/>
  <c r="Y2368" i="5"/>
  <c r="Z2368" i="5" s="1"/>
  <c r="AP2377" i="5"/>
  <c r="AT2377" i="5"/>
  <c r="W2377" i="5"/>
  <c r="AO2377" i="5" s="1"/>
  <c r="X2377" i="5"/>
  <c r="AP2368" i="5"/>
  <c r="AT2368" i="5"/>
  <c r="W2368" i="5"/>
  <c r="AO2368" i="5" s="1"/>
  <c r="X2368" i="5"/>
  <c r="AP2305" i="5"/>
  <c r="W2305" i="5"/>
  <c r="AO2305" i="5" s="1"/>
  <c r="AT2305" i="5"/>
  <c r="X2305" i="5"/>
  <c r="AL2347" i="5"/>
  <c r="Y2347" i="5"/>
  <c r="Z2347" i="5" s="1"/>
  <c r="AQ2550" i="5"/>
  <c r="AR2550" i="5"/>
  <c r="AU2550" i="5"/>
  <c r="AV2550" i="5"/>
  <c r="T2550" i="5"/>
  <c r="S2550" i="5"/>
  <c r="AA2550" i="5" s="1"/>
  <c r="AQ2549" i="5"/>
  <c r="AR2549" i="5"/>
  <c r="AU2549" i="5"/>
  <c r="AV2549" i="5"/>
  <c r="T2549" i="5"/>
  <c r="S2549" i="5"/>
  <c r="AA2549" i="5" s="1"/>
  <c r="AQ2548" i="5"/>
  <c r="AR2548" i="5"/>
  <c r="AU2548" i="5"/>
  <c r="AV2548" i="5"/>
  <c r="T2548" i="5"/>
  <c r="S2548" i="5"/>
  <c r="AA2548" i="5" s="1"/>
  <c r="AQ2547" i="5"/>
  <c r="AR2547" i="5"/>
  <c r="AU2547" i="5"/>
  <c r="AV2547" i="5"/>
  <c r="T2547" i="5"/>
  <c r="S2547" i="5"/>
  <c r="AA2547" i="5" s="1"/>
  <c r="AQ2546" i="5"/>
  <c r="AR2546" i="5"/>
  <c r="AU2546" i="5"/>
  <c r="AV2546" i="5"/>
  <c r="T2546" i="5"/>
  <c r="S2546" i="5"/>
  <c r="AA2546" i="5" s="1"/>
  <c r="AQ2545" i="5"/>
  <c r="AR2545" i="5"/>
  <c r="AU2545" i="5"/>
  <c r="AV2545" i="5"/>
  <c r="T2545" i="5"/>
  <c r="S2545" i="5"/>
  <c r="AA2545" i="5" s="1"/>
  <c r="AQ2544" i="5"/>
  <c r="AR2544" i="5"/>
  <c r="AU2544" i="5"/>
  <c r="AV2544" i="5"/>
  <c r="T2544" i="5"/>
  <c r="S2544" i="5"/>
  <c r="AA2544" i="5" s="1"/>
  <c r="AQ2543" i="5"/>
  <c r="AR2543" i="5"/>
  <c r="AU2543" i="5"/>
  <c r="AV2543" i="5"/>
  <c r="T2543" i="5"/>
  <c r="S2543" i="5"/>
  <c r="AA2543" i="5" s="1"/>
  <c r="AQ2542" i="5"/>
  <c r="AR2542" i="5"/>
  <c r="AU2542" i="5"/>
  <c r="AV2542" i="5"/>
  <c r="T2542" i="5"/>
  <c r="S2542" i="5"/>
  <c r="AA2542" i="5" s="1"/>
  <c r="AQ2541" i="5"/>
  <c r="AR2541" i="5"/>
  <c r="AU2541" i="5"/>
  <c r="AV2541" i="5"/>
  <c r="T2541" i="5"/>
  <c r="S2541" i="5"/>
  <c r="AA2541" i="5" s="1"/>
  <c r="AQ2540" i="5"/>
  <c r="AR2540" i="5"/>
  <c r="AU2540" i="5"/>
  <c r="AV2540" i="5"/>
  <c r="T2540" i="5"/>
  <c r="S2540" i="5"/>
  <c r="AA2540" i="5" s="1"/>
  <c r="AQ2539" i="5"/>
  <c r="AR2539" i="5"/>
  <c r="AU2539" i="5"/>
  <c r="AV2539" i="5"/>
  <c r="T2539" i="5"/>
  <c r="S2539" i="5"/>
  <c r="AA2539" i="5" s="1"/>
  <c r="AQ2538" i="5"/>
  <c r="AR2538" i="5"/>
  <c r="AU2538" i="5"/>
  <c r="AV2538" i="5"/>
  <c r="T2538" i="5"/>
  <c r="S2538" i="5"/>
  <c r="AA2538" i="5" s="1"/>
  <c r="AQ2537" i="5"/>
  <c r="AR2537" i="5"/>
  <c r="AU2537" i="5"/>
  <c r="AV2537" i="5"/>
  <c r="T2537" i="5"/>
  <c r="S2537" i="5"/>
  <c r="AA2537" i="5" s="1"/>
  <c r="AQ2536" i="5"/>
  <c r="AR2536" i="5"/>
  <c r="AU2536" i="5"/>
  <c r="AV2536" i="5"/>
  <c r="T2536" i="5"/>
  <c r="S2536" i="5"/>
  <c r="AA2536" i="5" s="1"/>
  <c r="AQ2535" i="5"/>
  <c r="AR2535" i="5"/>
  <c r="AU2535" i="5"/>
  <c r="AV2535" i="5"/>
  <c r="T2535" i="5"/>
  <c r="S2535" i="5"/>
  <c r="AA2535" i="5" s="1"/>
  <c r="AQ2534" i="5"/>
  <c r="AR2534" i="5"/>
  <c r="AU2534" i="5"/>
  <c r="AV2534" i="5"/>
  <c r="T2534" i="5"/>
  <c r="S2534" i="5"/>
  <c r="AA2534" i="5" s="1"/>
  <c r="AQ2533" i="5"/>
  <c r="AR2533" i="5"/>
  <c r="AU2533" i="5"/>
  <c r="AV2533" i="5"/>
  <c r="T2533" i="5"/>
  <c r="S2533" i="5"/>
  <c r="AA2533" i="5" s="1"/>
  <c r="AQ2532" i="5"/>
  <c r="AR2532" i="5"/>
  <c r="AU2532" i="5"/>
  <c r="AV2532" i="5"/>
  <c r="T2532" i="5"/>
  <c r="S2532" i="5"/>
  <c r="AA2532" i="5" s="1"/>
  <c r="AQ2531" i="5"/>
  <c r="AR2531" i="5"/>
  <c r="AU2531" i="5"/>
  <c r="AV2531" i="5"/>
  <c r="T2531" i="5"/>
  <c r="S2531" i="5"/>
  <c r="AA2531" i="5" s="1"/>
  <c r="AQ2530" i="5"/>
  <c r="AR2530" i="5"/>
  <c r="AU2530" i="5"/>
  <c r="AV2530" i="5"/>
  <c r="T2530" i="5"/>
  <c r="S2530" i="5"/>
  <c r="AA2530" i="5" s="1"/>
  <c r="AQ2529" i="5"/>
  <c r="AR2529" i="5"/>
  <c r="AU2529" i="5"/>
  <c r="AV2529" i="5"/>
  <c r="T2529" i="5"/>
  <c r="S2529" i="5"/>
  <c r="AA2529" i="5" s="1"/>
  <c r="AQ2528" i="5"/>
  <c r="AR2528" i="5"/>
  <c r="AU2528" i="5"/>
  <c r="AV2528" i="5"/>
  <c r="T2528" i="5"/>
  <c r="S2528" i="5"/>
  <c r="AA2528" i="5" s="1"/>
  <c r="AQ2527" i="5"/>
  <c r="AR2527" i="5"/>
  <c r="AU2527" i="5"/>
  <c r="AV2527" i="5"/>
  <c r="T2527" i="5"/>
  <c r="S2527" i="5"/>
  <c r="AA2527" i="5" s="1"/>
  <c r="AQ2526" i="5"/>
  <c r="AR2526" i="5"/>
  <c r="AU2526" i="5"/>
  <c r="AV2526" i="5"/>
  <c r="T2526" i="5"/>
  <c r="S2526" i="5"/>
  <c r="AA2526" i="5" s="1"/>
  <c r="AQ2525" i="5"/>
  <c r="AR2525" i="5"/>
  <c r="AU2525" i="5"/>
  <c r="AV2525" i="5"/>
  <c r="T2525" i="5"/>
  <c r="S2525" i="5"/>
  <c r="AA2525" i="5" s="1"/>
  <c r="AQ2524" i="5"/>
  <c r="AR2524" i="5"/>
  <c r="AU2524" i="5"/>
  <c r="AV2524" i="5"/>
  <c r="T2524" i="5"/>
  <c r="S2524" i="5"/>
  <c r="AA2524" i="5" s="1"/>
  <c r="AQ2523" i="5"/>
  <c r="AR2523" i="5"/>
  <c r="AU2523" i="5"/>
  <c r="AV2523" i="5"/>
  <c r="T2523" i="5"/>
  <c r="S2523" i="5"/>
  <c r="AA2523" i="5" s="1"/>
  <c r="AQ2522" i="5"/>
  <c r="AR2522" i="5"/>
  <c r="AU2522" i="5"/>
  <c r="AV2522" i="5"/>
  <c r="T2522" i="5"/>
  <c r="S2522" i="5"/>
  <c r="AA2522" i="5" s="1"/>
  <c r="AQ2521" i="5"/>
  <c r="AR2521" i="5"/>
  <c r="AU2521" i="5"/>
  <c r="AV2521" i="5"/>
  <c r="T2521" i="5"/>
  <c r="S2521" i="5"/>
  <c r="AA2521" i="5" s="1"/>
  <c r="AQ2520" i="5"/>
  <c r="AR2520" i="5"/>
  <c r="AU2520" i="5"/>
  <c r="AV2520" i="5"/>
  <c r="T2520" i="5"/>
  <c r="S2520" i="5"/>
  <c r="AA2520" i="5" s="1"/>
  <c r="AQ2519" i="5"/>
  <c r="AR2519" i="5"/>
  <c r="AU2519" i="5"/>
  <c r="AV2519" i="5"/>
  <c r="T2519" i="5"/>
  <c r="S2519" i="5"/>
  <c r="AA2519" i="5" s="1"/>
  <c r="AQ2518" i="5"/>
  <c r="AR2518" i="5"/>
  <c r="AU2518" i="5"/>
  <c r="AV2518" i="5"/>
  <c r="T2518" i="5"/>
  <c r="S2518" i="5"/>
  <c r="AA2518" i="5" s="1"/>
  <c r="AQ2517" i="5"/>
  <c r="AR2517" i="5"/>
  <c r="AU2517" i="5"/>
  <c r="AV2517" i="5"/>
  <c r="T2517" i="5"/>
  <c r="S2517" i="5"/>
  <c r="AA2517" i="5" s="1"/>
  <c r="AQ2516" i="5"/>
  <c r="AR2516" i="5"/>
  <c r="AU2516" i="5"/>
  <c r="AV2516" i="5"/>
  <c r="T2516" i="5"/>
  <c r="S2516" i="5"/>
  <c r="AA2516" i="5" s="1"/>
  <c r="AQ2515" i="5"/>
  <c r="AR2515" i="5"/>
  <c r="AU2515" i="5"/>
  <c r="AV2515" i="5"/>
  <c r="T2515" i="5"/>
  <c r="S2515" i="5"/>
  <c r="AA2515" i="5" s="1"/>
  <c r="AQ2514" i="5"/>
  <c r="AR2514" i="5"/>
  <c r="AU2514" i="5"/>
  <c r="AV2514" i="5"/>
  <c r="T2514" i="5"/>
  <c r="S2514" i="5"/>
  <c r="AA2514" i="5" s="1"/>
  <c r="T2513" i="5"/>
  <c r="S2513" i="5"/>
  <c r="AA2513" i="5" s="1"/>
  <c r="AQ2513" i="5"/>
  <c r="AR2513" i="5"/>
  <c r="AU2513" i="5"/>
  <c r="AV2513" i="5"/>
  <c r="T2512" i="5"/>
  <c r="S2512" i="5"/>
  <c r="AA2512" i="5" s="1"/>
  <c r="AQ2512" i="5"/>
  <c r="AR2512" i="5"/>
  <c r="AU2512" i="5"/>
  <c r="AV2512" i="5"/>
  <c r="T2511" i="5"/>
  <c r="S2511" i="5"/>
  <c r="AA2511" i="5" s="1"/>
  <c r="AQ2511" i="5"/>
  <c r="AR2511" i="5"/>
  <c r="AU2511" i="5"/>
  <c r="AV2511" i="5"/>
  <c r="T2510" i="5"/>
  <c r="S2510" i="5"/>
  <c r="AA2510" i="5" s="1"/>
  <c r="AQ2510" i="5"/>
  <c r="AR2510" i="5"/>
  <c r="AU2510" i="5"/>
  <c r="AV2510" i="5"/>
  <c r="T2509" i="5"/>
  <c r="S2509" i="5"/>
  <c r="AA2509" i="5" s="1"/>
  <c r="AQ2509" i="5"/>
  <c r="AR2509" i="5"/>
  <c r="AU2509" i="5"/>
  <c r="AV2509" i="5"/>
  <c r="T2508" i="5"/>
  <c r="S2508" i="5"/>
  <c r="AA2508" i="5" s="1"/>
  <c r="AQ2508" i="5"/>
  <c r="AR2508" i="5"/>
  <c r="AU2508" i="5"/>
  <c r="AV2508" i="5"/>
  <c r="T2507" i="5"/>
  <c r="S2507" i="5"/>
  <c r="AA2507" i="5" s="1"/>
  <c r="AQ2507" i="5"/>
  <c r="AR2507" i="5"/>
  <c r="AU2507" i="5"/>
  <c r="AV2507" i="5"/>
  <c r="T2506" i="5"/>
  <c r="S2506" i="5"/>
  <c r="AA2506" i="5" s="1"/>
  <c r="AQ2506" i="5"/>
  <c r="AR2506" i="5"/>
  <c r="AU2506" i="5"/>
  <c r="AV2506" i="5"/>
  <c r="T2505" i="5"/>
  <c r="S2505" i="5"/>
  <c r="AA2505" i="5" s="1"/>
  <c r="AQ2505" i="5"/>
  <c r="AR2505" i="5"/>
  <c r="AU2505" i="5"/>
  <c r="AV2505" i="5"/>
  <c r="AQ2504" i="5"/>
  <c r="AR2504" i="5"/>
  <c r="AU2504" i="5"/>
  <c r="AV2504" i="5"/>
  <c r="T2504" i="5"/>
  <c r="S2504" i="5"/>
  <c r="AA2504" i="5" s="1"/>
  <c r="AQ2503" i="5"/>
  <c r="AR2503" i="5"/>
  <c r="AU2503" i="5"/>
  <c r="AV2503" i="5"/>
  <c r="T2503" i="5"/>
  <c r="S2503" i="5"/>
  <c r="AA2503" i="5" s="1"/>
  <c r="AQ2502" i="5"/>
  <c r="AR2502" i="5"/>
  <c r="AU2502" i="5"/>
  <c r="AV2502" i="5"/>
  <c r="T2502" i="5"/>
  <c r="S2502" i="5"/>
  <c r="AA2502" i="5" s="1"/>
  <c r="AQ2501" i="5"/>
  <c r="AR2501" i="5"/>
  <c r="AU2501" i="5"/>
  <c r="AV2501" i="5"/>
  <c r="T2501" i="5"/>
  <c r="S2501" i="5"/>
  <c r="AA2501" i="5" s="1"/>
  <c r="T2500" i="5"/>
  <c r="S2500" i="5"/>
  <c r="AA2500" i="5" s="1"/>
  <c r="AQ2500" i="5"/>
  <c r="AR2500" i="5"/>
  <c r="AU2500" i="5"/>
  <c r="AV2500" i="5"/>
  <c r="AQ2499" i="5"/>
  <c r="AR2499" i="5"/>
  <c r="AU2499" i="5"/>
  <c r="AV2499" i="5"/>
  <c r="T2499" i="5"/>
  <c r="S2499" i="5"/>
  <c r="AA2499" i="5" s="1"/>
  <c r="AQ2498" i="5"/>
  <c r="AR2498" i="5"/>
  <c r="AU2498" i="5"/>
  <c r="AV2498" i="5"/>
  <c r="T2498" i="5"/>
  <c r="S2498" i="5"/>
  <c r="AA2498" i="5" s="1"/>
  <c r="T2497" i="5"/>
  <c r="S2497" i="5"/>
  <c r="AA2497" i="5" s="1"/>
  <c r="AQ2497" i="5"/>
  <c r="AR2497" i="5"/>
  <c r="AU2497" i="5"/>
  <c r="AV2497" i="5"/>
  <c r="AQ2496" i="5"/>
  <c r="AR2496" i="5"/>
  <c r="AU2496" i="5"/>
  <c r="AV2496" i="5"/>
  <c r="T2496" i="5"/>
  <c r="S2496" i="5"/>
  <c r="AA2496" i="5" s="1"/>
  <c r="T2495" i="5"/>
  <c r="S2495" i="5"/>
  <c r="AA2495" i="5" s="1"/>
  <c r="AQ2495" i="5"/>
  <c r="AR2495" i="5"/>
  <c r="AU2495" i="5"/>
  <c r="AV2495" i="5"/>
  <c r="AQ2494" i="5"/>
  <c r="AR2494" i="5"/>
  <c r="AU2494" i="5"/>
  <c r="AV2494" i="5"/>
  <c r="T2494" i="5"/>
  <c r="S2494" i="5"/>
  <c r="AA2494" i="5" s="1"/>
  <c r="T2493" i="5"/>
  <c r="S2493" i="5"/>
  <c r="AA2493" i="5" s="1"/>
  <c r="AQ2493" i="5"/>
  <c r="AR2493" i="5"/>
  <c r="AU2493" i="5"/>
  <c r="AV2493" i="5"/>
  <c r="AQ2492" i="5"/>
  <c r="AR2492" i="5"/>
  <c r="AU2492" i="5"/>
  <c r="AV2492" i="5"/>
  <c r="T2492" i="5"/>
  <c r="S2492" i="5"/>
  <c r="AA2492" i="5" s="1"/>
  <c r="T2491" i="5"/>
  <c r="S2491" i="5"/>
  <c r="AA2491" i="5" s="1"/>
  <c r="AQ2491" i="5"/>
  <c r="AR2491" i="5"/>
  <c r="AU2491" i="5"/>
  <c r="AV2491" i="5"/>
  <c r="T2490" i="5"/>
  <c r="S2490" i="5"/>
  <c r="AA2490" i="5" s="1"/>
  <c r="AQ2490" i="5"/>
  <c r="AR2490" i="5"/>
  <c r="AU2490" i="5"/>
  <c r="AV2490" i="5"/>
  <c r="AQ2489" i="5"/>
  <c r="AR2489" i="5"/>
  <c r="AU2489" i="5"/>
  <c r="AV2489" i="5"/>
  <c r="T2489" i="5"/>
  <c r="S2489" i="5"/>
  <c r="AA2489" i="5" s="1"/>
  <c r="AQ2488" i="5"/>
  <c r="AR2488" i="5"/>
  <c r="AU2488" i="5"/>
  <c r="AV2488" i="5"/>
  <c r="T2488" i="5"/>
  <c r="S2488" i="5"/>
  <c r="AA2488" i="5" s="1"/>
  <c r="T2487" i="5"/>
  <c r="S2487" i="5"/>
  <c r="AA2487" i="5" s="1"/>
  <c r="AQ2487" i="5"/>
  <c r="AR2487" i="5"/>
  <c r="AU2487" i="5"/>
  <c r="AV2487" i="5"/>
  <c r="AQ2486" i="5"/>
  <c r="AR2486" i="5"/>
  <c r="AU2486" i="5"/>
  <c r="AV2486" i="5"/>
  <c r="S2486" i="5"/>
  <c r="AA2486" i="5" s="1"/>
  <c r="T2486" i="5"/>
  <c r="AQ2485" i="5"/>
  <c r="AR2485" i="5"/>
  <c r="AU2485" i="5"/>
  <c r="AV2485" i="5"/>
  <c r="T2485" i="5"/>
  <c r="S2485" i="5"/>
  <c r="AA2485" i="5" s="1"/>
  <c r="T2484" i="5"/>
  <c r="S2484" i="5"/>
  <c r="AA2484" i="5" s="1"/>
  <c r="AQ2484" i="5"/>
  <c r="AR2484" i="5"/>
  <c r="AU2484" i="5"/>
  <c r="AV2484" i="5"/>
  <c r="T2483" i="5"/>
  <c r="S2483" i="5"/>
  <c r="AA2483" i="5" s="1"/>
  <c r="AQ2483" i="5"/>
  <c r="AR2483" i="5"/>
  <c r="AU2483" i="5"/>
  <c r="AV2483" i="5"/>
  <c r="AQ2482" i="5"/>
  <c r="AR2482" i="5"/>
  <c r="AU2482" i="5"/>
  <c r="AV2482" i="5"/>
  <c r="T2482" i="5"/>
  <c r="S2482" i="5"/>
  <c r="AA2482" i="5" s="1"/>
  <c r="AQ2481" i="5"/>
  <c r="AR2481" i="5"/>
  <c r="AU2481" i="5"/>
  <c r="AV2481" i="5"/>
  <c r="T2481" i="5"/>
  <c r="S2481" i="5"/>
  <c r="AA2481" i="5" s="1"/>
  <c r="T2480" i="5"/>
  <c r="S2480" i="5"/>
  <c r="AA2480" i="5" s="1"/>
  <c r="AQ2480" i="5"/>
  <c r="AR2480" i="5"/>
  <c r="AU2480" i="5"/>
  <c r="AV2480" i="5"/>
  <c r="AQ2479" i="5"/>
  <c r="AR2479" i="5"/>
  <c r="AU2479" i="5"/>
  <c r="AV2479" i="5"/>
  <c r="T2479" i="5"/>
  <c r="S2479" i="5"/>
  <c r="AA2479" i="5" s="1"/>
  <c r="T2478" i="5"/>
  <c r="S2478" i="5"/>
  <c r="AA2478" i="5" s="1"/>
  <c r="AQ2477" i="5"/>
  <c r="AR2477" i="5"/>
  <c r="AU2477" i="5"/>
  <c r="AV2477" i="5"/>
  <c r="T2477" i="5"/>
  <c r="S2477" i="5"/>
  <c r="AA2477" i="5" s="1"/>
  <c r="AQ2476" i="5"/>
  <c r="AR2476" i="5"/>
  <c r="AU2476" i="5"/>
  <c r="AV2476" i="5"/>
  <c r="T2476" i="5"/>
  <c r="S2476" i="5"/>
  <c r="AA2476" i="5" s="1"/>
  <c r="T2475" i="5"/>
  <c r="S2475" i="5"/>
  <c r="AA2475" i="5" s="1"/>
  <c r="AQ2475" i="5"/>
  <c r="AR2475" i="5"/>
  <c r="AU2475" i="5"/>
  <c r="AV2475" i="5"/>
  <c r="AQ2474" i="5"/>
  <c r="AR2474" i="5"/>
  <c r="AU2474" i="5"/>
  <c r="AV2474" i="5"/>
  <c r="T2474" i="5"/>
  <c r="S2474" i="5"/>
  <c r="AA2474" i="5" s="1"/>
  <c r="AQ2473" i="5"/>
  <c r="AR2473" i="5"/>
  <c r="AU2473" i="5"/>
  <c r="AV2473" i="5"/>
  <c r="T2473" i="5"/>
  <c r="S2473" i="5"/>
  <c r="AA2473" i="5" s="1"/>
  <c r="AQ2472" i="5"/>
  <c r="AR2472" i="5"/>
  <c r="AU2472" i="5"/>
  <c r="AV2472" i="5"/>
  <c r="T2472" i="5"/>
  <c r="S2472" i="5"/>
  <c r="AA2472" i="5" s="1"/>
  <c r="AQ2471" i="5"/>
  <c r="AR2471" i="5"/>
  <c r="AU2471" i="5"/>
  <c r="AV2471" i="5"/>
  <c r="T2471" i="5"/>
  <c r="S2471" i="5"/>
  <c r="AA2471" i="5" s="1"/>
  <c r="T2470" i="5"/>
  <c r="S2470" i="5"/>
  <c r="AA2470" i="5" s="1"/>
  <c r="AQ2470" i="5"/>
  <c r="AR2470" i="5"/>
  <c r="AU2470" i="5"/>
  <c r="AV2470" i="5"/>
  <c r="AQ2469" i="5"/>
  <c r="AR2469" i="5"/>
  <c r="AU2469" i="5"/>
  <c r="AV2469" i="5"/>
  <c r="T2469" i="5"/>
  <c r="S2469" i="5"/>
  <c r="AA2469" i="5" s="1"/>
  <c r="AQ2468" i="5"/>
  <c r="AR2468" i="5"/>
  <c r="AU2468" i="5"/>
  <c r="AV2468" i="5"/>
  <c r="T2468" i="5"/>
  <c r="S2468" i="5"/>
  <c r="AA2468" i="5" s="1"/>
  <c r="T2467" i="5"/>
  <c r="S2467" i="5"/>
  <c r="AA2467" i="5" s="1"/>
  <c r="AQ2467" i="5"/>
  <c r="AR2467" i="5"/>
  <c r="AU2467" i="5"/>
  <c r="AV2467" i="5"/>
  <c r="AQ2466" i="5"/>
  <c r="AR2466" i="5"/>
  <c r="AU2466" i="5"/>
  <c r="AV2466" i="5"/>
  <c r="T2466" i="5"/>
  <c r="S2466" i="5"/>
  <c r="AA2466" i="5" s="1"/>
  <c r="T2465" i="5"/>
  <c r="S2465" i="5"/>
  <c r="AA2465" i="5" s="1"/>
  <c r="AQ2465" i="5"/>
  <c r="AR2465" i="5"/>
  <c r="AU2465" i="5"/>
  <c r="AV2465" i="5"/>
  <c r="AQ2464" i="5"/>
  <c r="AR2464" i="5"/>
  <c r="AU2464" i="5"/>
  <c r="AV2464" i="5"/>
  <c r="T2464" i="5"/>
  <c r="S2464" i="5"/>
  <c r="AA2464" i="5" s="1"/>
  <c r="AQ2463" i="5"/>
  <c r="AR2463" i="5"/>
  <c r="AU2463" i="5"/>
  <c r="AV2463" i="5"/>
  <c r="T2463" i="5"/>
  <c r="S2463" i="5"/>
  <c r="AA2463" i="5" s="1"/>
  <c r="T2462" i="5"/>
  <c r="S2462" i="5"/>
  <c r="AA2462" i="5" s="1"/>
  <c r="AQ2462" i="5"/>
  <c r="AR2462" i="5"/>
  <c r="AU2462" i="5"/>
  <c r="AV2462" i="5"/>
  <c r="AQ2461" i="5"/>
  <c r="AR2461" i="5"/>
  <c r="AU2461" i="5"/>
  <c r="AV2461" i="5"/>
  <c r="S2461" i="5"/>
  <c r="AA2461" i="5" s="1"/>
  <c r="T2461" i="5"/>
  <c r="AQ2460" i="5"/>
  <c r="AR2460" i="5"/>
  <c r="AU2460" i="5"/>
  <c r="AV2460" i="5"/>
  <c r="T2460" i="5"/>
  <c r="S2460" i="5"/>
  <c r="AA2460" i="5" s="1"/>
  <c r="AQ2459" i="5"/>
  <c r="AR2459" i="5"/>
  <c r="AU2459" i="5"/>
  <c r="AV2459" i="5"/>
  <c r="T2459" i="5"/>
  <c r="S2459" i="5"/>
  <c r="AA2459" i="5" s="1"/>
  <c r="AQ2458" i="5"/>
  <c r="AR2458" i="5"/>
  <c r="AU2458" i="5"/>
  <c r="AV2458" i="5"/>
  <c r="T2458" i="5"/>
  <c r="S2458" i="5"/>
  <c r="AA2458" i="5" s="1"/>
  <c r="AQ2457" i="5"/>
  <c r="AR2457" i="5"/>
  <c r="AU2457" i="5"/>
  <c r="AV2457" i="5"/>
  <c r="T2457" i="5"/>
  <c r="S2457" i="5"/>
  <c r="AA2457" i="5" s="1"/>
  <c r="AQ2456" i="5"/>
  <c r="AR2456" i="5"/>
  <c r="AU2456" i="5"/>
  <c r="AV2456" i="5"/>
  <c r="T2456" i="5"/>
  <c r="S2456" i="5"/>
  <c r="AA2456" i="5" s="1"/>
  <c r="AQ2455" i="5"/>
  <c r="AR2455" i="5"/>
  <c r="AU2455" i="5"/>
  <c r="AV2455" i="5"/>
  <c r="T2455" i="5"/>
  <c r="S2455" i="5"/>
  <c r="AA2455" i="5" s="1"/>
  <c r="AQ2454" i="5"/>
  <c r="AR2454" i="5"/>
  <c r="AU2454" i="5"/>
  <c r="AV2454" i="5"/>
  <c r="T2454" i="5"/>
  <c r="S2454" i="5"/>
  <c r="AA2454" i="5" s="1"/>
  <c r="AQ2453" i="5"/>
  <c r="AR2453" i="5"/>
  <c r="AU2453" i="5"/>
  <c r="AV2453" i="5"/>
  <c r="T2453" i="5"/>
  <c r="S2453" i="5"/>
  <c r="AA2453" i="5" s="1"/>
  <c r="AQ2452" i="5"/>
  <c r="AR2452" i="5"/>
  <c r="AU2452" i="5"/>
  <c r="AV2452" i="5"/>
  <c r="T2452" i="5"/>
  <c r="S2452" i="5"/>
  <c r="AA2452" i="5" s="1"/>
  <c r="AQ2451" i="5"/>
  <c r="AR2451" i="5"/>
  <c r="AU2451" i="5"/>
  <c r="AV2451" i="5"/>
  <c r="T2451" i="5"/>
  <c r="S2451" i="5"/>
  <c r="AA2451" i="5" s="1"/>
  <c r="T2450" i="5"/>
  <c r="S2450" i="5"/>
  <c r="AA2450" i="5" s="1"/>
  <c r="AQ2450" i="5"/>
  <c r="AR2450" i="5"/>
  <c r="AU2450" i="5"/>
  <c r="AV2450" i="5"/>
  <c r="AQ2449" i="5"/>
  <c r="AR2449" i="5"/>
  <c r="AU2449" i="5"/>
  <c r="AV2449" i="5"/>
  <c r="T2449" i="5"/>
  <c r="S2449" i="5"/>
  <c r="AA2449" i="5" s="1"/>
  <c r="AQ2448" i="5"/>
  <c r="AR2448" i="5"/>
  <c r="AU2448" i="5"/>
  <c r="AV2448" i="5"/>
  <c r="T2448" i="5"/>
  <c r="S2448" i="5"/>
  <c r="AA2448" i="5" s="1"/>
  <c r="AQ2447" i="5"/>
  <c r="AR2447" i="5"/>
  <c r="AU2447" i="5"/>
  <c r="AV2447" i="5"/>
  <c r="T2447" i="5"/>
  <c r="S2447" i="5"/>
  <c r="AA2447" i="5" s="1"/>
  <c r="AQ2446" i="5"/>
  <c r="AR2446" i="5"/>
  <c r="AU2446" i="5"/>
  <c r="AV2446" i="5"/>
  <c r="T2446" i="5"/>
  <c r="S2446" i="5"/>
  <c r="AA2446" i="5" s="1"/>
  <c r="S2445" i="5"/>
  <c r="AA2445" i="5" s="1"/>
  <c r="T2445" i="5"/>
  <c r="AQ2445" i="5"/>
  <c r="AR2445" i="5"/>
  <c r="AV2445" i="5"/>
  <c r="AU2445" i="5"/>
  <c r="AQ2444" i="5"/>
  <c r="AR2444" i="5"/>
  <c r="AU2444" i="5"/>
  <c r="AV2444" i="5"/>
  <c r="T2444" i="5"/>
  <c r="S2444" i="5"/>
  <c r="AA2444" i="5" s="1"/>
  <c r="AQ2443" i="5"/>
  <c r="AR2443" i="5"/>
  <c r="AU2443" i="5"/>
  <c r="AV2443" i="5"/>
  <c r="T2443" i="5"/>
  <c r="S2443" i="5"/>
  <c r="AA2443" i="5" s="1"/>
  <c r="AQ2442" i="5"/>
  <c r="AR2442" i="5"/>
  <c r="AU2442" i="5"/>
  <c r="AV2442" i="5"/>
  <c r="T2442" i="5"/>
  <c r="S2442" i="5"/>
  <c r="AA2442" i="5" s="1"/>
  <c r="AQ2441" i="5"/>
  <c r="AR2441" i="5"/>
  <c r="AU2441" i="5"/>
  <c r="AV2441" i="5"/>
  <c r="T2441" i="5"/>
  <c r="S2441" i="5"/>
  <c r="AA2441" i="5" s="1"/>
  <c r="AQ2440" i="5"/>
  <c r="AR2440" i="5"/>
  <c r="AU2440" i="5"/>
  <c r="AV2440" i="5"/>
  <c r="T2440" i="5"/>
  <c r="S2440" i="5"/>
  <c r="AA2440" i="5" s="1"/>
  <c r="AQ2439" i="5"/>
  <c r="AR2439" i="5"/>
  <c r="AU2439" i="5"/>
  <c r="AV2439" i="5"/>
  <c r="T2439" i="5"/>
  <c r="S2439" i="5"/>
  <c r="AA2439" i="5" s="1"/>
  <c r="T2438" i="5"/>
  <c r="S2438" i="5"/>
  <c r="AA2438" i="5" s="1"/>
  <c r="AQ2438" i="5"/>
  <c r="AR2438" i="5"/>
  <c r="AU2438" i="5"/>
  <c r="AV2438" i="5"/>
  <c r="AQ2437" i="5"/>
  <c r="AR2437" i="5"/>
  <c r="AU2437" i="5"/>
  <c r="AV2437" i="5"/>
  <c r="T2437" i="5"/>
  <c r="S2437" i="5"/>
  <c r="AA2437" i="5" s="1"/>
  <c r="AQ2436" i="5"/>
  <c r="AR2436" i="5"/>
  <c r="AU2436" i="5"/>
  <c r="AV2436" i="5"/>
  <c r="T2436" i="5"/>
  <c r="S2436" i="5"/>
  <c r="AA2436" i="5" s="1"/>
  <c r="T2435" i="5"/>
  <c r="S2435" i="5"/>
  <c r="AA2435" i="5" s="1"/>
  <c r="AQ2435" i="5"/>
  <c r="AR2435" i="5"/>
  <c r="AU2435" i="5"/>
  <c r="AV2435" i="5"/>
  <c r="AQ2434" i="5"/>
  <c r="AR2434" i="5"/>
  <c r="AU2434" i="5"/>
  <c r="AV2434" i="5"/>
  <c r="T2434" i="5"/>
  <c r="S2434" i="5"/>
  <c r="AA2434" i="5" s="1"/>
  <c r="AQ2433" i="5"/>
  <c r="AR2433" i="5"/>
  <c r="AU2433" i="5"/>
  <c r="AV2433" i="5"/>
  <c r="T2433" i="5"/>
  <c r="S2433" i="5"/>
  <c r="AA2433" i="5" s="1"/>
  <c r="T2432" i="5"/>
  <c r="S2432" i="5"/>
  <c r="AA2432" i="5" s="1"/>
  <c r="AQ2432" i="5"/>
  <c r="AR2432" i="5"/>
  <c r="AU2432" i="5"/>
  <c r="AV2432" i="5"/>
  <c r="T2431" i="5"/>
  <c r="S2431" i="5"/>
  <c r="AA2431" i="5" s="1"/>
  <c r="AQ2431" i="5"/>
  <c r="AR2431" i="5"/>
  <c r="AU2431" i="5"/>
  <c r="AV2431" i="5"/>
  <c r="AQ2430" i="5"/>
  <c r="AR2430" i="5"/>
  <c r="AU2430" i="5"/>
  <c r="AV2430" i="5"/>
  <c r="T2430" i="5"/>
  <c r="S2430" i="5"/>
  <c r="AA2430" i="5" s="1"/>
  <c r="AQ2429" i="5"/>
  <c r="AR2429" i="5"/>
  <c r="AU2429" i="5"/>
  <c r="AV2429" i="5"/>
  <c r="T2429" i="5"/>
  <c r="S2429" i="5"/>
  <c r="AA2429" i="5" s="1"/>
  <c r="AQ2428" i="5"/>
  <c r="AR2428" i="5"/>
  <c r="AU2428" i="5"/>
  <c r="AV2428" i="5"/>
  <c r="T2428" i="5"/>
  <c r="S2428" i="5"/>
  <c r="AA2428" i="5" s="1"/>
  <c r="AQ2427" i="5"/>
  <c r="AR2427" i="5"/>
  <c r="AU2427" i="5"/>
  <c r="AV2427" i="5"/>
  <c r="T2427" i="5"/>
  <c r="S2427" i="5"/>
  <c r="AA2427" i="5" s="1"/>
  <c r="T2426" i="5"/>
  <c r="S2426" i="5"/>
  <c r="AA2426" i="5" s="1"/>
  <c r="AQ2426" i="5"/>
  <c r="AR2426" i="5"/>
  <c r="AU2426" i="5"/>
  <c r="AV2426" i="5"/>
  <c r="T2425" i="5"/>
  <c r="S2425" i="5"/>
  <c r="AA2425" i="5" s="1"/>
  <c r="AQ2425" i="5"/>
  <c r="AR2425" i="5"/>
  <c r="AU2425" i="5"/>
  <c r="AV2425" i="5"/>
  <c r="AQ2424" i="5"/>
  <c r="AR2424" i="5"/>
  <c r="AU2424" i="5"/>
  <c r="AV2424" i="5"/>
  <c r="T2424" i="5"/>
  <c r="S2424" i="5"/>
  <c r="AA2424" i="5" s="1"/>
  <c r="T2423" i="5"/>
  <c r="S2423" i="5"/>
  <c r="AA2423" i="5" s="1"/>
  <c r="AQ2423" i="5"/>
  <c r="AR2423" i="5"/>
  <c r="AU2423" i="5"/>
  <c r="AV2423" i="5"/>
  <c r="T2422" i="5"/>
  <c r="S2422" i="5"/>
  <c r="AA2422" i="5" s="1"/>
  <c r="AQ2422" i="5"/>
  <c r="AR2422" i="5"/>
  <c r="AU2422" i="5"/>
  <c r="AV2422" i="5"/>
  <c r="T2421" i="5"/>
  <c r="S2421" i="5"/>
  <c r="AA2421" i="5" s="1"/>
  <c r="AQ2421" i="5"/>
  <c r="AR2421" i="5"/>
  <c r="AU2421" i="5"/>
  <c r="AV2421" i="5"/>
  <c r="AQ2420" i="5"/>
  <c r="AR2420" i="5"/>
  <c r="AU2420" i="5"/>
  <c r="AV2420" i="5"/>
  <c r="T2420" i="5"/>
  <c r="S2420" i="5"/>
  <c r="AA2420" i="5" s="1"/>
  <c r="AQ2419" i="5"/>
  <c r="AR2419" i="5"/>
  <c r="AU2419" i="5"/>
  <c r="AV2419" i="5"/>
  <c r="T2419" i="5"/>
  <c r="S2419" i="5"/>
  <c r="AA2419" i="5" s="1"/>
  <c r="AQ2418" i="5"/>
  <c r="AR2418" i="5"/>
  <c r="AU2418" i="5"/>
  <c r="AV2418" i="5"/>
  <c r="T2418" i="5"/>
  <c r="S2418" i="5"/>
  <c r="AA2418" i="5" s="1"/>
  <c r="T2417" i="5"/>
  <c r="S2417" i="5"/>
  <c r="AA2417" i="5" s="1"/>
  <c r="AQ2417" i="5"/>
  <c r="AR2417" i="5"/>
  <c r="AU2417" i="5"/>
  <c r="AV2417" i="5"/>
  <c r="T2416" i="5"/>
  <c r="S2416" i="5"/>
  <c r="AA2416" i="5" s="1"/>
  <c r="AQ2416" i="5"/>
  <c r="AR2416" i="5"/>
  <c r="AU2416" i="5"/>
  <c r="AV2416" i="5"/>
  <c r="AQ2415" i="5"/>
  <c r="AR2415" i="5"/>
  <c r="AU2415" i="5"/>
  <c r="AV2415" i="5"/>
  <c r="T2415" i="5"/>
  <c r="S2415" i="5"/>
  <c r="AA2415" i="5" s="1"/>
  <c r="AQ2414" i="5"/>
  <c r="AR2414" i="5"/>
  <c r="AU2414" i="5"/>
  <c r="AV2414" i="5"/>
  <c r="T2414" i="5"/>
  <c r="S2414" i="5"/>
  <c r="AA2414" i="5" s="1"/>
  <c r="T2413" i="5"/>
  <c r="S2413" i="5"/>
  <c r="AA2413" i="5" s="1"/>
  <c r="AQ2413" i="5"/>
  <c r="AR2413" i="5"/>
  <c r="AU2413" i="5"/>
  <c r="AV2413" i="5"/>
  <c r="AQ2412" i="5"/>
  <c r="AR2412" i="5"/>
  <c r="AU2412" i="5"/>
  <c r="AV2412" i="5"/>
  <c r="T2412" i="5"/>
  <c r="S2412" i="5"/>
  <c r="AA2412" i="5" s="1"/>
  <c r="T2411" i="5"/>
  <c r="S2411" i="5"/>
  <c r="AA2411" i="5" s="1"/>
  <c r="AQ2411" i="5"/>
  <c r="AR2411" i="5"/>
  <c r="AU2411" i="5"/>
  <c r="AV2411" i="5"/>
  <c r="AQ2410" i="5"/>
  <c r="AR2410" i="5"/>
  <c r="AU2410" i="5"/>
  <c r="AV2410" i="5"/>
  <c r="T2410" i="5"/>
  <c r="S2410" i="5"/>
  <c r="AA2410" i="5" s="1"/>
  <c r="AQ2409" i="5"/>
  <c r="AR2409" i="5"/>
  <c r="AU2409" i="5"/>
  <c r="AV2409" i="5"/>
  <c r="T2409" i="5"/>
  <c r="S2409" i="5"/>
  <c r="AA2409" i="5" s="1"/>
  <c r="T2408" i="5"/>
  <c r="S2408" i="5"/>
  <c r="AA2408" i="5" s="1"/>
  <c r="AQ2408" i="5"/>
  <c r="AR2408" i="5"/>
  <c r="AU2408" i="5"/>
  <c r="AV2408" i="5"/>
  <c r="T2407" i="5"/>
  <c r="S2407" i="5"/>
  <c r="AA2407" i="5" s="1"/>
  <c r="AQ2407" i="5"/>
  <c r="AR2407" i="5"/>
  <c r="AU2407" i="5"/>
  <c r="AV2407" i="5"/>
  <c r="T2406" i="5"/>
  <c r="S2406" i="5"/>
  <c r="AA2406" i="5" s="1"/>
  <c r="AQ2406" i="5"/>
  <c r="AR2406" i="5"/>
  <c r="AU2406" i="5"/>
  <c r="AV2406" i="5"/>
  <c r="AQ2405" i="5"/>
  <c r="AR2405" i="5"/>
  <c r="AU2405" i="5"/>
  <c r="AV2405" i="5"/>
  <c r="T2405" i="5"/>
  <c r="S2405" i="5"/>
  <c r="AA2405" i="5" s="1"/>
  <c r="T2404" i="5"/>
  <c r="S2404" i="5"/>
  <c r="AA2404" i="5" s="1"/>
  <c r="AQ2404" i="5"/>
  <c r="AR2404" i="5"/>
  <c r="AU2404" i="5"/>
  <c r="AV2404" i="5"/>
  <c r="AQ2403" i="5"/>
  <c r="AR2403" i="5"/>
  <c r="AU2403" i="5"/>
  <c r="AV2403" i="5"/>
  <c r="T2403" i="5"/>
  <c r="S2403" i="5"/>
  <c r="AA2403" i="5" s="1"/>
  <c r="T2402" i="5"/>
  <c r="S2402" i="5"/>
  <c r="AA2402" i="5" s="1"/>
  <c r="AQ2402" i="5"/>
  <c r="AR2402" i="5"/>
  <c r="AU2402" i="5"/>
  <c r="AV2402" i="5"/>
  <c r="AQ2401" i="5"/>
  <c r="AR2401" i="5"/>
  <c r="AU2401" i="5"/>
  <c r="AV2401" i="5"/>
  <c r="T2401" i="5"/>
  <c r="S2401" i="5"/>
  <c r="AA2401" i="5" s="1"/>
  <c r="AQ2400" i="5"/>
  <c r="AR2400" i="5"/>
  <c r="AU2400" i="5"/>
  <c r="AV2400" i="5"/>
  <c r="T2400" i="5"/>
  <c r="S2400" i="5"/>
  <c r="AA2400" i="5" s="1"/>
  <c r="AQ2399" i="5"/>
  <c r="AR2399" i="5"/>
  <c r="AU2399" i="5"/>
  <c r="AV2399" i="5"/>
  <c r="T2399" i="5"/>
  <c r="S2399" i="5"/>
  <c r="AA2399" i="5" s="1"/>
  <c r="T2398" i="5"/>
  <c r="S2398" i="5"/>
  <c r="AA2398" i="5" s="1"/>
  <c r="AQ2398" i="5"/>
  <c r="AR2398" i="5"/>
  <c r="AU2398" i="5"/>
  <c r="AV2398" i="5"/>
  <c r="AQ2397" i="5"/>
  <c r="AR2397" i="5"/>
  <c r="AU2397" i="5"/>
  <c r="AV2397" i="5"/>
  <c r="T2397" i="5"/>
  <c r="S2397" i="5"/>
  <c r="AA2397" i="5" s="1"/>
  <c r="AQ2396" i="5"/>
  <c r="AR2396" i="5"/>
  <c r="AU2396" i="5"/>
  <c r="AV2396" i="5"/>
  <c r="T2396" i="5"/>
  <c r="S2396" i="5"/>
  <c r="AA2396" i="5" s="1"/>
  <c r="T2395" i="5"/>
  <c r="S2395" i="5"/>
  <c r="AA2395" i="5" s="1"/>
  <c r="AQ2395" i="5"/>
  <c r="AR2395" i="5"/>
  <c r="AU2395" i="5"/>
  <c r="AV2395" i="5"/>
  <c r="T2394" i="5"/>
  <c r="S2394" i="5"/>
  <c r="AA2394" i="5" s="1"/>
  <c r="AQ2394" i="5"/>
  <c r="AR2394" i="5"/>
  <c r="AU2394" i="5"/>
  <c r="AV2394" i="5"/>
  <c r="T2393" i="5"/>
  <c r="S2393" i="5"/>
  <c r="AA2393" i="5" s="1"/>
  <c r="AQ2393" i="5"/>
  <c r="AR2393" i="5"/>
  <c r="AU2393" i="5"/>
  <c r="AV2393" i="5"/>
  <c r="T2392" i="5"/>
  <c r="S2392" i="5"/>
  <c r="AA2392" i="5" s="1"/>
  <c r="AQ2392" i="5"/>
  <c r="AR2392" i="5"/>
  <c r="AU2392" i="5"/>
  <c r="AV2392" i="5"/>
  <c r="AQ2391" i="5"/>
  <c r="AR2391" i="5"/>
  <c r="AU2391" i="5"/>
  <c r="AV2391" i="5"/>
  <c r="T2391" i="5"/>
  <c r="S2391" i="5"/>
  <c r="AA2391" i="5" s="1"/>
  <c r="T2390" i="5"/>
  <c r="S2390" i="5"/>
  <c r="AA2390" i="5" s="1"/>
  <c r="AQ2390" i="5"/>
  <c r="AR2390" i="5"/>
  <c r="AU2390" i="5"/>
  <c r="AV2390" i="5"/>
  <c r="T2389" i="5"/>
  <c r="S2389" i="5"/>
  <c r="AA2389" i="5" s="1"/>
  <c r="AQ2389" i="5"/>
  <c r="AR2389" i="5"/>
  <c r="AU2389" i="5"/>
  <c r="AV2389" i="5"/>
  <c r="AQ2388" i="5"/>
  <c r="AR2388" i="5"/>
  <c r="AU2388" i="5"/>
  <c r="AV2388" i="5"/>
  <c r="T2388" i="5"/>
  <c r="S2388" i="5"/>
  <c r="AA2388" i="5" s="1"/>
  <c r="T2387" i="5"/>
  <c r="S2387" i="5"/>
  <c r="AA2387" i="5" s="1"/>
  <c r="AQ2387" i="5"/>
  <c r="AR2387" i="5"/>
  <c r="AU2387" i="5"/>
  <c r="AV2387" i="5"/>
  <c r="AQ2386" i="5"/>
  <c r="AR2386" i="5"/>
  <c r="AU2386" i="5"/>
  <c r="AV2386" i="5"/>
  <c r="T2386" i="5"/>
  <c r="S2386" i="5"/>
  <c r="AA2386" i="5" s="1"/>
  <c r="AQ2385" i="5"/>
  <c r="AR2385" i="5"/>
  <c r="AU2385" i="5"/>
  <c r="AV2385" i="5"/>
  <c r="T2385" i="5"/>
  <c r="S2385" i="5"/>
  <c r="AA2385" i="5" s="1"/>
  <c r="AQ2384" i="5"/>
  <c r="AR2384" i="5"/>
  <c r="AU2384" i="5"/>
  <c r="AV2384" i="5"/>
  <c r="T2384" i="5"/>
  <c r="S2384" i="5"/>
  <c r="AA2384" i="5" s="1"/>
  <c r="T2383" i="5"/>
  <c r="S2383" i="5"/>
  <c r="AA2383" i="5" s="1"/>
  <c r="AQ2383" i="5"/>
  <c r="AR2383" i="5"/>
  <c r="AU2383" i="5"/>
  <c r="AV2383" i="5"/>
  <c r="T2382" i="5"/>
  <c r="S2382" i="5"/>
  <c r="AA2382" i="5" s="1"/>
  <c r="AQ2382" i="5"/>
  <c r="AR2382" i="5"/>
  <c r="AU2382" i="5"/>
  <c r="AV2382" i="5"/>
  <c r="S2381" i="5"/>
  <c r="AA2381" i="5" s="1"/>
  <c r="T2381" i="5"/>
  <c r="AR2381" i="5"/>
  <c r="AQ2381" i="5"/>
  <c r="AU2381" i="5"/>
  <c r="AV2381" i="5"/>
  <c r="S2380" i="5"/>
  <c r="AA2380" i="5" s="1"/>
  <c r="T2380" i="5"/>
  <c r="AV2380" i="5"/>
  <c r="AU2380" i="5"/>
  <c r="AQ2380" i="5"/>
  <c r="AR2380" i="5"/>
  <c r="N2379" i="5"/>
  <c r="L2379" i="5"/>
  <c r="Q2379" i="5" s="1"/>
  <c r="M2379" i="5"/>
  <c r="U2379" i="5" s="1"/>
  <c r="K2379" i="5"/>
  <c r="P2379" i="5" s="1"/>
  <c r="M2378" i="5"/>
  <c r="K2378" i="5"/>
  <c r="P2378" i="5" s="1"/>
  <c r="N2378" i="5"/>
  <c r="L2378" i="5"/>
  <c r="Q2378" i="5" s="1"/>
  <c r="N2377" i="5"/>
  <c r="L2377" i="5"/>
  <c r="Q2377" i="5" s="1"/>
  <c r="M2377" i="5"/>
  <c r="U2377" i="5" s="1"/>
  <c r="K2377" i="5"/>
  <c r="P2377" i="5" s="1"/>
  <c r="AQ2376" i="5"/>
  <c r="AR2376" i="5"/>
  <c r="AU2376" i="5"/>
  <c r="AV2376" i="5"/>
  <c r="M2376" i="5"/>
  <c r="K2376" i="5"/>
  <c r="P2376" i="5" s="1"/>
  <c r="N2376" i="5"/>
  <c r="L2376" i="5"/>
  <c r="Q2376" i="5" s="1"/>
  <c r="M2375" i="5"/>
  <c r="K2375" i="5"/>
  <c r="P2375" i="5" s="1"/>
  <c r="N2375" i="5"/>
  <c r="L2375" i="5"/>
  <c r="Q2375" i="5" s="1"/>
  <c r="M2374" i="5"/>
  <c r="K2374" i="5"/>
  <c r="P2374" i="5" s="1"/>
  <c r="N2374" i="5"/>
  <c r="L2374" i="5"/>
  <c r="Q2374" i="5" s="1"/>
  <c r="M2373" i="5"/>
  <c r="K2373" i="5"/>
  <c r="P2373" i="5" s="1"/>
  <c r="N2373" i="5"/>
  <c r="L2373" i="5"/>
  <c r="Q2373" i="5" s="1"/>
  <c r="M2372" i="5"/>
  <c r="K2372" i="5"/>
  <c r="P2372" i="5" s="1"/>
  <c r="N2372" i="5"/>
  <c r="L2372" i="5"/>
  <c r="Q2372" i="5" s="1"/>
  <c r="M2371" i="5"/>
  <c r="K2371" i="5"/>
  <c r="P2371" i="5" s="1"/>
  <c r="N2371" i="5"/>
  <c r="L2371" i="5"/>
  <c r="Q2371" i="5" s="1"/>
  <c r="M2370" i="5"/>
  <c r="K2370" i="5"/>
  <c r="P2370" i="5" s="1"/>
  <c r="N2370" i="5"/>
  <c r="L2370" i="5"/>
  <c r="Q2370" i="5" s="1"/>
  <c r="K2369" i="5"/>
  <c r="P2369" i="5" s="1"/>
  <c r="M2369" i="5"/>
  <c r="L2369" i="5"/>
  <c r="Q2369" i="5" s="1"/>
  <c r="N2369" i="5"/>
  <c r="M2368" i="5"/>
  <c r="K2368" i="5"/>
  <c r="P2368" i="5" s="1"/>
  <c r="N2368" i="5"/>
  <c r="L2368" i="5"/>
  <c r="Q2368" i="5" s="1"/>
  <c r="M2367" i="5"/>
  <c r="K2367" i="5"/>
  <c r="P2367" i="5" s="1"/>
  <c r="N2367" i="5"/>
  <c r="L2367" i="5"/>
  <c r="Q2367" i="5" s="1"/>
  <c r="M2366" i="5"/>
  <c r="K2366" i="5"/>
  <c r="P2366" i="5" s="1"/>
  <c r="N2366" i="5"/>
  <c r="L2366" i="5"/>
  <c r="Q2366" i="5" s="1"/>
  <c r="M2365" i="5"/>
  <c r="K2365" i="5"/>
  <c r="P2365" i="5" s="1"/>
  <c r="N2365" i="5"/>
  <c r="L2365" i="5"/>
  <c r="Q2365" i="5" s="1"/>
  <c r="M2364" i="5"/>
  <c r="K2364" i="5"/>
  <c r="P2364" i="5" s="1"/>
  <c r="N2364" i="5"/>
  <c r="L2364" i="5"/>
  <c r="Q2364" i="5" s="1"/>
  <c r="M2363" i="5"/>
  <c r="K2363" i="5"/>
  <c r="P2363" i="5" s="1"/>
  <c r="N2363" i="5"/>
  <c r="L2363" i="5"/>
  <c r="Q2363" i="5" s="1"/>
  <c r="M2362" i="5"/>
  <c r="K2362" i="5"/>
  <c r="P2362" i="5" s="1"/>
  <c r="N2362" i="5"/>
  <c r="L2362" i="5"/>
  <c r="Q2362" i="5" s="1"/>
  <c r="M2361" i="5"/>
  <c r="K2361" i="5"/>
  <c r="P2361" i="5" s="1"/>
  <c r="N2361" i="5"/>
  <c r="L2361" i="5"/>
  <c r="Q2361" i="5" s="1"/>
  <c r="M2360" i="5"/>
  <c r="K2360" i="5"/>
  <c r="P2360" i="5" s="1"/>
  <c r="N2360" i="5"/>
  <c r="L2360" i="5"/>
  <c r="Q2360" i="5" s="1"/>
  <c r="M2359" i="5"/>
  <c r="K2359" i="5"/>
  <c r="P2359" i="5" s="1"/>
  <c r="N2359" i="5"/>
  <c r="L2359" i="5"/>
  <c r="Q2359" i="5" s="1"/>
  <c r="M2358" i="5"/>
  <c r="K2358" i="5"/>
  <c r="P2358" i="5" s="1"/>
  <c r="N2358" i="5"/>
  <c r="L2358" i="5"/>
  <c r="Q2358" i="5" s="1"/>
  <c r="M2357" i="5"/>
  <c r="K2357" i="5"/>
  <c r="P2357" i="5" s="1"/>
  <c r="N2357" i="5"/>
  <c r="L2357" i="5"/>
  <c r="Q2357" i="5" s="1"/>
  <c r="M2356" i="5"/>
  <c r="K2356" i="5"/>
  <c r="P2356" i="5" s="1"/>
  <c r="N2356" i="5"/>
  <c r="L2356" i="5"/>
  <c r="Q2356" i="5" s="1"/>
  <c r="M2355" i="5"/>
  <c r="K2355" i="5"/>
  <c r="P2355" i="5" s="1"/>
  <c r="N2355" i="5"/>
  <c r="L2355" i="5"/>
  <c r="Q2355" i="5" s="1"/>
  <c r="M2354" i="5"/>
  <c r="K2354" i="5"/>
  <c r="P2354" i="5" s="1"/>
  <c r="N2354" i="5"/>
  <c r="L2354" i="5"/>
  <c r="Q2354" i="5" s="1"/>
  <c r="M2353" i="5"/>
  <c r="K2353" i="5"/>
  <c r="P2353" i="5" s="1"/>
  <c r="N2353" i="5"/>
  <c r="L2353" i="5"/>
  <c r="Q2353" i="5" s="1"/>
  <c r="M2352" i="5"/>
  <c r="K2352" i="5"/>
  <c r="P2352" i="5" s="1"/>
  <c r="N2352" i="5"/>
  <c r="L2352" i="5"/>
  <c r="Q2352" i="5" s="1"/>
  <c r="M2351" i="5"/>
  <c r="K2351" i="5"/>
  <c r="P2351" i="5" s="1"/>
  <c r="N2351" i="5"/>
  <c r="L2351" i="5"/>
  <c r="Q2351" i="5" s="1"/>
  <c r="M2350" i="5"/>
  <c r="K2350" i="5"/>
  <c r="P2350" i="5" s="1"/>
  <c r="N2350" i="5"/>
  <c r="L2350" i="5"/>
  <c r="Q2350" i="5" s="1"/>
  <c r="M2349" i="5"/>
  <c r="K2349" i="5"/>
  <c r="P2349" i="5" s="1"/>
  <c r="N2349" i="5"/>
  <c r="L2349" i="5"/>
  <c r="Q2349" i="5" s="1"/>
  <c r="M2348" i="5"/>
  <c r="K2348" i="5"/>
  <c r="P2348" i="5" s="1"/>
  <c r="N2348" i="5"/>
  <c r="L2348" i="5"/>
  <c r="Q2348" i="5" s="1"/>
  <c r="M2347" i="5"/>
  <c r="K2347" i="5"/>
  <c r="P2347" i="5" s="1"/>
  <c r="N2347" i="5"/>
  <c r="L2347" i="5"/>
  <c r="Q2347" i="5" s="1"/>
  <c r="M2346" i="5"/>
  <c r="K2346" i="5"/>
  <c r="P2346" i="5" s="1"/>
  <c r="N2346" i="5"/>
  <c r="L2346" i="5"/>
  <c r="Q2346" i="5" s="1"/>
  <c r="M2345" i="5"/>
  <c r="K2345" i="5"/>
  <c r="P2345" i="5" s="1"/>
  <c r="N2345" i="5"/>
  <c r="L2345" i="5"/>
  <c r="Q2345" i="5" s="1"/>
  <c r="M2344" i="5"/>
  <c r="K2344" i="5"/>
  <c r="P2344" i="5" s="1"/>
  <c r="N2344" i="5"/>
  <c r="L2344" i="5"/>
  <c r="Q2344" i="5" s="1"/>
  <c r="M2343" i="5"/>
  <c r="K2343" i="5"/>
  <c r="P2343" i="5" s="1"/>
  <c r="N2343" i="5"/>
  <c r="L2343" i="5"/>
  <c r="Q2343" i="5" s="1"/>
  <c r="AQ2343" i="5"/>
  <c r="AR2343" i="5"/>
  <c r="AU2343" i="5"/>
  <c r="AV2343" i="5"/>
  <c r="M2342" i="5"/>
  <c r="K2342" i="5"/>
  <c r="P2342" i="5" s="1"/>
  <c r="N2342" i="5"/>
  <c r="L2342" i="5"/>
  <c r="Q2342" i="5" s="1"/>
  <c r="N2341" i="5"/>
  <c r="L2341" i="5"/>
  <c r="Q2341" i="5" s="1"/>
  <c r="M2341" i="5"/>
  <c r="U2341" i="5" s="1"/>
  <c r="K2341" i="5"/>
  <c r="P2341" i="5" s="1"/>
  <c r="N2340" i="5"/>
  <c r="L2340" i="5"/>
  <c r="Q2340" i="5" s="1"/>
  <c r="M2340" i="5"/>
  <c r="U2340" i="5" s="1"/>
  <c r="K2340" i="5"/>
  <c r="P2340" i="5" s="1"/>
  <c r="AU2340" i="5"/>
  <c r="AV2340" i="5"/>
  <c r="AR2340" i="5"/>
  <c r="AQ2340" i="5"/>
  <c r="N2339" i="5"/>
  <c r="L2339" i="5"/>
  <c r="Q2339" i="5" s="1"/>
  <c r="M2339" i="5"/>
  <c r="K2339" i="5"/>
  <c r="P2339" i="5" s="1"/>
  <c r="N2338" i="5"/>
  <c r="L2338" i="5"/>
  <c r="Q2338" i="5" s="1"/>
  <c r="M2338" i="5"/>
  <c r="U2338" i="5" s="1"/>
  <c r="K2338" i="5"/>
  <c r="P2338" i="5" s="1"/>
  <c r="M2337" i="5"/>
  <c r="K2337" i="5"/>
  <c r="P2337" i="5" s="1"/>
  <c r="N2337" i="5"/>
  <c r="L2337" i="5"/>
  <c r="Q2337" i="5" s="1"/>
  <c r="M2336" i="5"/>
  <c r="K2336" i="5"/>
  <c r="P2336" i="5" s="1"/>
  <c r="N2336" i="5"/>
  <c r="L2336" i="5"/>
  <c r="Q2336" i="5" s="1"/>
  <c r="N2335" i="5"/>
  <c r="L2335" i="5"/>
  <c r="Q2335" i="5" s="1"/>
  <c r="M2335" i="5"/>
  <c r="K2335" i="5"/>
  <c r="P2335" i="5" s="1"/>
  <c r="M2334" i="5"/>
  <c r="K2334" i="5"/>
  <c r="P2334" i="5" s="1"/>
  <c r="N2334" i="5"/>
  <c r="L2334" i="5"/>
  <c r="Q2334" i="5" s="1"/>
  <c r="M2333" i="5"/>
  <c r="K2333" i="5"/>
  <c r="P2333" i="5" s="1"/>
  <c r="N2333" i="5"/>
  <c r="L2333" i="5"/>
  <c r="Q2333" i="5" s="1"/>
  <c r="M2332" i="5"/>
  <c r="K2332" i="5"/>
  <c r="P2332" i="5" s="1"/>
  <c r="N2332" i="5"/>
  <c r="L2332" i="5"/>
  <c r="Q2332" i="5" s="1"/>
  <c r="M2331" i="5"/>
  <c r="K2331" i="5"/>
  <c r="P2331" i="5" s="1"/>
  <c r="N2331" i="5"/>
  <c r="L2331" i="5"/>
  <c r="Q2331" i="5" s="1"/>
  <c r="M2330" i="5"/>
  <c r="K2330" i="5"/>
  <c r="P2330" i="5" s="1"/>
  <c r="N2330" i="5"/>
  <c r="L2330" i="5"/>
  <c r="Q2330" i="5" s="1"/>
  <c r="M2329" i="5"/>
  <c r="K2329" i="5"/>
  <c r="P2329" i="5" s="1"/>
  <c r="N2329" i="5"/>
  <c r="L2329" i="5"/>
  <c r="Q2329" i="5" s="1"/>
  <c r="M2328" i="5"/>
  <c r="K2328" i="5"/>
  <c r="P2328" i="5" s="1"/>
  <c r="N2328" i="5"/>
  <c r="L2328" i="5"/>
  <c r="Q2328" i="5" s="1"/>
  <c r="M2327" i="5"/>
  <c r="K2327" i="5"/>
  <c r="P2327" i="5" s="1"/>
  <c r="N2327" i="5"/>
  <c r="L2327" i="5"/>
  <c r="Q2327" i="5" s="1"/>
  <c r="M2326" i="5"/>
  <c r="K2326" i="5"/>
  <c r="P2326" i="5" s="1"/>
  <c r="N2326" i="5"/>
  <c r="L2326" i="5"/>
  <c r="Q2326" i="5" s="1"/>
  <c r="M2325" i="5"/>
  <c r="K2325" i="5"/>
  <c r="P2325" i="5" s="1"/>
  <c r="N2325" i="5"/>
  <c r="L2325" i="5"/>
  <c r="Q2325" i="5" s="1"/>
  <c r="M2324" i="5"/>
  <c r="K2324" i="5"/>
  <c r="P2324" i="5" s="1"/>
  <c r="N2324" i="5"/>
  <c r="L2324" i="5"/>
  <c r="Q2324" i="5" s="1"/>
  <c r="M2323" i="5"/>
  <c r="K2323" i="5"/>
  <c r="P2323" i="5" s="1"/>
  <c r="N2323" i="5"/>
  <c r="L2323" i="5"/>
  <c r="Q2323" i="5" s="1"/>
  <c r="M2322" i="5"/>
  <c r="K2322" i="5"/>
  <c r="P2322" i="5" s="1"/>
  <c r="N2322" i="5"/>
  <c r="L2322" i="5"/>
  <c r="Q2322" i="5" s="1"/>
  <c r="M2321" i="5"/>
  <c r="K2321" i="5"/>
  <c r="P2321" i="5" s="1"/>
  <c r="N2321" i="5"/>
  <c r="L2321" i="5"/>
  <c r="Q2321" i="5" s="1"/>
  <c r="M2320" i="5"/>
  <c r="K2320" i="5"/>
  <c r="P2320" i="5" s="1"/>
  <c r="N2320" i="5"/>
  <c r="L2320" i="5"/>
  <c r="Q2320" i="5" s="1"/>
  <c r="M2319" i="5"/>
  <c r="K2319" i="5"/>
  <c r="P2319" i="5" s="1"/>
  <c r="N2319" i="5"/>
  <c r="L2319" i="5"/>
  <c r="Q2319" i="5" s="1"/>
  <c r="M2318" i="5"/>
  <c r="K2318" i="5"/>
  <c r="P2318" i="5" s="1"/>
  <c r="N2318" i="5"/>
  <c r="L2318" i="5"/>
  <c r="Q2318" i="5" s="1"/>
  <c r="M2317" i="5"/>
  <c r="K2317" i="5"/>
  <c r="P2317" i="5" s="1"/>
  <c r="N2317" i="5"/>
  <c r="L2317" i="5"/>
  <c r="Q2317" i="5" s="1"/>
  <c r="M2316" i="5"/>
  <c r="K2316" i="5"/>
  <c r="P2316" i="5" s="1"/>
  <c r="N2316" i="5"/>
  <c r="L2316" i="5"/>
  <c r="Q2316" i="5" s="1"/>
  <c r="M2315" i="5"/>
  <c r="K2315" i="5"/>
  <c r="P2315" i="5" s="1"/>
  <c r="N2315" i="5"/>
  <c r="L2315" i="5"/>
  <c r="Q2315" i="5" s="1"/>
  <c r="M2314" i="5"/>
  <c r="K2314" i="5"/>
  <c r="P2314" i="5" s="1"/>
  <c r="N2314" i="5"/>
  <c r="L2314" i="5"/>
  <c r="Q2314" i="5" s="1"/>
  <c r="M2313" i="5"/>
  <c r="K2313" i="5"/>
  <c r="P2313" i="5" s="1"/>
  <c r="N2313" i="5"/>
  <c r="L2313" i="5"/>
  <c r="Q2313" i="5" s="1"/>
  <c r="M2312" i="5"/>
  <c r="K2312" i="5"/>
  <c r="P2312" i="5" s="1"/>
  <c r="N2312" i="5"/>
  <c r="L2312" i="5"/>
  <c r="Q2312" i="5" s="1"/>
  <c r="M2311" i="5"/>
  <c r="K2311" i="5"/>
  <c r="P2311" i="5" s="1"/>
  <c r="N2311" i="5"/>
  <c r="L2311" i="5"/>
  <c r="Q2311" i="5" s="1"/>
  <c r="M2310" i="5"/>
  <c r="K2310" i="5"/>
  <c r="P2310" i="5" s="1"/>
  <c r="N2310" i="5"/>
  <c r="L2310" i="5"/>
  <c r="Q2310" i="5" s="1"/>
  <c r="M2309" i="5"/>
  <c r="K2309" i="5"/>
  <c r="P2309" i="5" s="1"/>
  <c r="N2309" i="5"/>
  <c r="L2309" i="5"/>
  <c r="Q2309" i="5" s="1"/>
  <c r="M2308" i="5"/>
  <c r="K2308" i="5"/>
  <c r="P2308" i="5" s="1"/>
  <c r="N2308" i="5"/>
  <c r="L2308" i="5"/>
  <c r="Q2308" i="5" s="1"/>
  <c r="N2307" i="5"/>
  <c r="L2307" i="5"/>
  <c r="Q2307" i="5" s="1"/>
  <c r="M2307" i="5"/>
  <c r="U2307" i="5" s="1"/>
  <c r="K2307" i="5"/>
  <c r="P2307" i="5" s="1"/>
  <c r="N2306" i="5"/>
  <c r="L2306" i="5"/>
  <c r="Q2306" i="5" s="1"/>
  <c r="M2306" i="5"/>
  <c r="U2306" i="5" s="1"/>
  <c r="K2306" i="5"/>
  <c r="P2306" i="5" s="1"/>
  <c r="M2305" i="5"/>
  <c r="K2305" i="5"/>
  <c r="P2305" i="5" s="1"/>
  <c r="N2305" i="5"/>
  <c r="L2305" i="5"/>
  <c r="Q2305" i="5" s="1"/>
  <c r="N2304" i="5"/>
  <c r="L2304" i="5"/>
  <c r="Q2304" i="5" s="1"/>
  <c r="M2304" i="5"/>
  <c r="K2304" i="5"/>
  <c r="P2304" i="5" s="1"/>
  <c r="N2303" i="5"/>
  <c r="L2303" i="5"/>
  <c r="Q2303" i="5" s="1"/>
  <c r="M2303" i="5"/>
  <c r="U2303" i="5" s="1"/>
  <c r="K2303" i="5"/>
  <c r="P2303" i="5" s="1"/>
  <c r="M2302" i="5"/>
  <c r="K2302" i="5"/>
  <c r="P2302" i="5" s="1"/>
  <c r="N2302" i="5"/>
  <c r="L2302" i="5"/>
  <c r="Q2302" i="5" s="1"/>
  <c r="N2301" i="5"/>
  <c r="L2301" i="5"/>
  <c r="Q2301" i="5" s="1"/>
  <c r="M2301" i="5"/>
  <c r="U2301" i="5" s="1"/>
  <c r="K2301" i="5"/>
  <c r="P2301" i="5" s="1"/>
  <c r="N2300" i="5"/>
  <c r="L2300" i="5"/>
  <c r="Q2300" i="5" s="1"/>
  <c r="M2300" i="5"/>
  <c r="U2300" i="5" s="1"/>
  <c r="K2300" i="5"/>
  <c r="P2300" i="5" s="1"/>
  <c r="N2299" i="5"/>
  <c r="L2299" i="5"/>
  <c r="Q2299" i="5" s="1"/>
  <c r="M2299" i="5"/>
  <c r="U2299" i="5" s="1"/>
  <c r="K2299" i="5"/>
  <c r="P2299" i="5" s="1"/>
  <c r="N2298" i="5"/>
  <c r="L2298" i="5"/>
  <c r="Q2298" i="5" s="1"/>
  <c r="M2298" i="5"/>
  <c r="U2298" i="5" s="1"/>
  <c r="K2298" i="5"/>
  <c r="P2298" i="5" s="1"/>
  <c r="M2297" i="5"/>
  <c r="K2297" i="5"/>
  <c r="P2297" i="5" s="1"/>
  <c r="N2297" i="5"/>
  <c r="L2297" i="5"/>
  <c r="Q2297" i="5" s="1"/>
  <c r="M2296" i="5"/>
  <c r="K2296" i="5"/>
  <c r="P2296" i="5" s="1"/>
  <c r="N2296" i="5"/>
  <c r="L2296" i="5"/>
  <c r="Q2296" i="5" s="1"/>
  <c r="M2295" i="5"/>
  <c r="K2295" i="5"/>
  <c r="P2295" i="5" s="1"/>
  <c r="N2295" i="5"/>
  <c r="L2295" i="5"/>
  <c r="Q2295" i="5" s="1"/>
  <c r="M2294" i="5"/>
  <c r="K2294" i="5"/>
  <c r="P2294" i="5" s="1"/>
  <c r="N2294" i="5"/>
  <c r="L2294" i="5"/>
  <c r="Q2294" i="5" s="1"/>
  <c r="M2293" i="5"/>
  <c r="K2293" i="5"/>
  <c r="P2293" i="5" s="1"/>
  <c r="N2293" i="5"/>
  <c r="L2293" i="5"/>
  <c r="Q2293" i="5" s="1"/>
  <c r="M2292" i="5"/>
  <c r="K2292" i="5"/>
  <c r="P2292" i="5" s="1"/>
  <c r="N2292" i="5"/>
  <c r="L2292" i="5"/>
  <c r="Q2292" i="5" s="1"/>
  <c r="M2291" i="5"/>
  <c r="K2291" i="5"/>
  <c r="P2291" i="5" s="1"/>
  <c r="N2291" i="5"/>
  <c r="L2291" i="5"/>
  <c r="Q2291" i="5" s="1"/>
  <c r="M2290" i="5"/>
  <c r="K2290" i="5"/>
  <c r="P2290" i="5" s="1"/>
  <c r="N2290" i="5"/>
  <c r="L2290" i="5"/>
  <c r="Q2290" i="5" s="1"/>
  <c r="M2289" i="5"/>
  <c r="K2289" i="5"/>
  <c r="P2289" i="5" s="1"/>
  <c r="N2289" i="5"/>
  <c r="L2289" i="5"/>
  <c r="Q2289" i="5" s="1"/>
  <c r="M2288" i="5"/>
  <c r="K2288" i="5"/>
  <c r="P2288" i="5" s="1"/>
  <c r="N2288" i="5"/>
  <c r="L2288" i="5"/>
  <c r="Q2288" i="5" s="1"/>
  <c r="M2287" i="5"/>
  <c r="K2287" i="5"/>
  <c r="P2287" i="5" s="1"/>
  <c r="N2287" i="5"/>
  <c r="L2287" i="5"/>
  <c r="Q2287" i="5" s="1"/>
  <c r="M2286" i="5"/>
  <c r="K2286" i="5"/>
  <c r="P2286" i="5" s="1"/>
  <c r="N2286" i="5"/>
  <c r="L2286" i="5"/>
  <c r="Q2286" i="5" s="1"/>
  <c r="M2285" i="5"/>
  <c r="K2285" i="5"/>
  <c r="P2285" i="5" s="1"/>
  <c r="N2285" i="5"/>
  <c r="L2285" i="5"/>
  <c r="Q2285" i="5" s="1"/>
  <c r="M2284" i="5"/>
  <c r="K2284" i="5"/>
  <c r="P2284" i="5" s="1"/>
  <c r="N2284" i="5"/>
  <c r="L2284" i="5"/>
  <c r="Q2284" i="5" s="1"/>
  <c r="M2283" i="5"/>
  <c r="K2283" i="5"/>
  <c r="P2283" i="5" s="1"/>
  <c r="N2283" i="5"/>
  <c r="L2283" i="5"/>
  <c r="Q2283" i="5" s="1"/>
  <c r="M2282" i="5"/>
  <c r="K2282" i="5"/>
  <c r="P2282" i="5" s="1"/>
  <c r="N2282" i="5"/>
  <c r="L2282" i="5"/>
  <c r="Q2282" i="5" s="1"/>
  <c r="M2281" i="5"/>
  <c r="K2281" i="5"/>
  <c r="P2281" i="5" s="1"/>
  <c r="N2281" i="5"/>
  <c r="L2281" i="5"/>
  <c r="Q2281" i="5" s="1"/>
  <c r="M2280" i="5"/>
  <c r="K2280" i="5"/>
  <c r="P2280" i="5" s="1"/>
  <c r="N2280" i="5"/>
  <c r="L2280" i="5"/>
  <c r="Q2280" i="5" s="1"/>
  <c r="M2279" i="5"/>
  <c r="K2279" i="5"/>
  <c r="P2279" i="5" s="1"/>
  <c r="N2279" i="5"/>
  <c r="L2279" i="5"/>
  <c r="Q2279" i="5" s="1"/>
  <c r="M2278" i="5"/>
  <c r="K2278" i="5"/>
  <c r="P2278" i="5" s="1"/>
  <c r="N2278" i="5"/>
  <c r="L2278" i="5"/>
  <c r="Q2278" i="5" s="1"/>
  <c r="M2277" i="5"/>
  <c r="K2277" i="5"/>
  <c r="P2277" i="5" s="1"/>
  <c r="N2277" i="5"/>
  <c r="L2277" i="5"/>
  <c r="Q2277" i="5" s="1"/>
  <c r="M2276" i="5"/>
  <c r="K2276" i="5"/>
  <c r="P2276" i="5" s="1"/>
  <c r="N2276" i="5"/>
  <c r="L2276" i="5"/>
  <c r="Q2276" i="5" s="1"/>
  <c r="M2275" i="5"/>
  <c r="K2275" i="5"/>
  <c r="P2275" i="5" s="1"/>
  <c r="N2275" i="5"/>
  <c r="L2275" i="5"/>
  <c r="Q2275" i="5" s="1"/>
  <c r="M2274" i="5"/>
  <c r="K2274" i="5"/>
  <c r="P2274" i="5" s="1"/>
  <c r="N2274" i="5"/>
  <c r="L2274" i="5"/>
  <c r="Q2274" i="5" s="1"/>
  <c r="M2273" i="5"/>
  <c r="K2273" i="5"/>
  <c r="P2273" i="5" s="1"/>
  <c r="N2273" i="5"/>
  <c r="L2273" i="5"/>
  <c r="Q2273" i="5" s="1"/>
  <c r="M2272" i="5"/>
  <c r="K2272" i="5"/>
  <c r="P2272" i="5" s="1"/>
  <c r="N2272" i="5"/>
  <c r="L2272" i="5"/>
  <c r="Q2272" i="5" s="1"/>
  <c r="M2271" i="5"/>
  <c r="K2271" i="5"/>
  <c r="P2271" i="5" s="1"/>
  <c r="N2271" i="5"/>
  <c r="L2271" i="5"/>
  <c r="Q2271" i="5" s="1"/>
  <c r="M2270" i="5"/>
  <c r="K2270" i="5"/>
  <c r="P2270" i="5" s="1"/>
  <c r="N2270" i="5"/>
  <c r="L2270" i="5"/>
  <c r="Q2270" i="5" s="1"/>
  <c r="M2269" i="5"/>
  <c r="K2269" i="5"/>
  <c r="P2269" i="5" s="1"/>
  <c r="N2269" i="5"/>
  <c r="L2269" i="5"/>
  <c r="Q2269" i="5" s="1"/>
  <c r="M2268" i="5"/>
  <c r="K2268" i="5"/>
  <c r="P2268" i="5" s="1"/>
  <c r="N2268" i="5"/>
  <c r="L2268" i="5"/>
  <c r="Q2268" i="5" s="1"/>
  <c r="M2267" i="5"/>
  <c r="K2267" i="5"/>
  <c r="P2267" i="5" s="1"/>
  <c r="N2267" i="5"/>
  <c r="L2267" i="5"/>
  <c r="Q2267" i="5" s="1"/>
  <c r="M2266" i="5"/>
  <c r="K2266" i="5"/>
  <c r="P2266" i="5" s="1"/>
  <c r="N2266" i="5"/>
  <c r="L2266" i="5"/>
  <c r="Q2266" i="5" s="1"/>
  <c r="M2265" i="5"/>
  <c r="K2265" i="5"/>
  <c r="P2265" i="5" s="1"/>
  <c r="N2265" i="5"/>
  <c r="L2265" i="5"/>
  <c r="Q2265" i="5" s="1"/>
  <c r="M2264" i="5"/>
  <c r="K2264" i="5"/>
  <c r="P2264" i="5" s="1"/>
  <c r="N2264" i="5"/>
  <c r="L2264" i="5"/>
  <c r="Q2264" i="5" s="1"/>
  <c r="M2263" i="5"/>
  <c r="K2263" i="5"/>
  <c r="P2263" i="5" s="1"/>
  <c r="N2263" i="5"/>
  <c r="L2263" i="5"/>
  <c r="Q2263" i="5" s="1"/>
  <c r="M2262" i="5"/>
  <c r="K2262" i="5"/>
  <c r="P2262" i="5" s="1"/>
  <c r="N2262" i="5"/>
  <c r="L2262" i="5"/>
  <c r="Q2262" i="5" s="1"/>
  <c r="M2261" i="5"/>
  <c r="K2261" i="5"/>
  <c r="P2261" i="5" s="1"/>
  <c r="N2261" i="5"/>
  <c r="L2261" i="5"/>
  <c r="Q2261" i="5" s="1"/>
  <c r="M2259" i="5"/>
  <c r="K2259" i="5"/>
  <c r="P2259" i="5" s="1"/>
  <c r="N2259" i="5"/>
  <c r="L2259" i="5"/>
  <c r="Q2259" i="5" s="1"/>
  <c r="M2258" i="5"/>
  <c r="K2258" i="5"/>
  <c r="P2258" i="5" s="1"/>
  <c r="N2258" i="5"/>
  <c r="L2258" i="5"/>
  <c r="Q2258" i="5" s="1"/>
  <c r="M2257" i="5"/>
  <c r="K2257" i="5"/>
  <c r="P2257" i="5" s="1"/>
  <c r="N2257" i="5"/>
  <c r="L2257" i="5"/>
  <c r="Q2257" i="5" s="1"/>
  <c r="M2256" i="5"/>
  <c r="K2256" i="5"/>
  <c r="P2256" i="5" s="1"/>
  <c r="N2256" i="5"/>
  <c r="L2256" i="5"/>
  <c r="Q2256" i="5" s="1"/>
  <c r="M2255" i="5"/>
  <c r="K2255" i="5"/>
  <c r="P2255" i="5" s="1"/>
  <c r="N2255" i="5"/>
  <c r="L2255" i="5"/>
  <c r="Q2255" i="5" s="1"/>
  <c r="M2254" i="5"/>
  <c r="K2254" i="5"/>
  <c r="P2254" i="5" s="1"/>
  <c r="N2254" i="5"/>
  <c r="L2254" i="5"/>
  <c r="Q2254" i="5" s="1"/>
  <c r="M2253" i="5"/>
  <c r="K2253" i="5"/>
  <c r="P2253" i="5" s="1"/>
  <c r="N2253" i="5"/>
  <c r="L2253" i="5"/>
  <c r="Q2253" i="5" s="1"/>
  <c r="M2252" i="5"/>
  <c r="K2252" i="5"/>
  <c r="P2252" i="5" s="1"/>
  <c r="N2252" i="5"/>
  <c r="L2252" i="5"/>
  <c r="Q2252" i="5" s="1"/>
  <c r="M2251" i="5"/>
  <c r="K2251" i="5"/>
  <c r="P2251" i="5" s="1"/>
  <c r="N2251" i="5"/>
  <c r="L2251" i="5"/>
  <c r="Q2251" i="5" s="1"/>
  <c r="M2250" i="5"/>
  <c r="K2250" i="5"/>
  <c r="P2250" i="5" s="1"/>
  <c r="N2250" i="5"/>
  <c r="L2250" i="5"/>
  <c r="Q2250" i="5" s="1"/>
  <c r="M2249" i="5"/>
  <c r="K2249" i="5"/>
  <c r="P2249" i="5" s="1"/>
  <c r="N2249" i="5"/>
  <c r="L2249" i="5"/>
  <c r="Q2249" i="5" s="1"/>
  <c r="M2248" i="5"/>
  <c r="K2248" i="5"/>
  <c r="P2248" i="5" s="1"/>
  <c r="N2248" i="5"/>
  <c r="L2248" i="5"/>
  <c r="Q2248" i="5" s="1"/>
  <c r="M2247" i="5"/>
  <c r="K2247" i="5"/>
  <c r="P2247" i="5" s="1"/>
  <c r="N2247" i="5"/>
  <c r="L2247" i="5"/>
  <c r="Q2247" i="5" s="1"/>
  <c r="M2246" i="5"/>
  <c r="K2246" i="5"/>
  <c r="P2246" i="5" s="1"/>
  <c r="N2246" i="5"/>
  <c r="L2246" i="5"/>
  <c r="Q2246" i="5" s="1"/>
  <c r="M2245" i="5"/>
  <c r="K2245" i="5"/>
  <c r="P2245" i="5" s="1"/>
  <c r="N2245" i="5"/>
  <c r="L2245" i="5"/>
  <c r="Q2245" i="5" s="1"/>
  <c r="M2244" i="5"/>
  <c r="K2244" i="5"/>
  <c r="P2244" i="5" s="1"/>
  <c r="N2244" i="5"/>
  <c r="L2244" i="5"/>
  <c r="Q2244" i="5" s="1"/>
  <c r="M2243" i="5"/>
  <c r="K2243" i="5"/>
  <c r="P2243" i="5" s="1"/>
  <c r="N2243" i="5"/>
  <c r="L2243" i="5"/>
  <c r="Q2243" i="5" s="1"/>
  <c r="M2242" i="5"/>
  <c r="K2242" i="5"/>
  <c r="P2242" i="5" s="1"/>
  <c r="N2242" i="5"/>
  <c r="L2242" i="5"/>
  <c r="Q2242" i="5" s="1"/>
  <c r="M2241" i="5"/>
  <c r="K2241" i="5"/>
  <c r="P2241" i="5" s="1"/>
  <c r="N2241" i="5"/>
  <c r="L2241" i="5"/>
  <c r="Q2241" i="5" s="1"/>
  <c r="M2240" i="5"/>
  <c r="K2240" i="5"/>
  <c r="P2240" i="5" s="1"/>
  <c r="N2240" i="5"/>
  <c r="L2240" i="5"/>
  <c r="Q2240" i="5" s="1"/>
  <c r="M2239" i="5"/>
  <c r="K2239" i="5"/>
  <c r="P2239" i="5" s="1"/>
  <c r="N2239" i="5"/>
  <c r="L2239" i="5"/>
  <c r="Q2239" i="5" s="1"/>
  <c r="M2238" i="5"/>
  <c r="K2238" i="5"/>
  <c r="P2238" i="5" s="1"/>
  <c r="N2238" i="5"/>
  <c r="L2238" i="5"/>
  <c r="Q2238" i="5" s="1"/>
  <c r="M2237" i="5"/>
  <c r="K2237" i="5"/>
  <c r="P2237" i="5" s="1"/>
  <c r="N2237" i="5"/>
  <c r="L2237" i="5"/>
  <c r="Q2237" i="5" s="1"/>
  <c r="M2236" i="5"/>
  <c r="K2236" i="5"/>
  <c r="P2236" i="5" s="1"/>
  <c r="N2236" i="5"/>
  <c r="L2236" i="5"/>
  <c r="Q2236" i="5" s="1"/>
  <c r="M2235" i="5"/>
  <c r="K2235" i="5"/>
  <c r="P2235" i="5" s="1"/>
  <c r="N2235" i="5"/>
  <c r="L2235" i="5"/>
  <c r="Q2235" i="5" s="1"/>
  <c r="M2234" i="5"/>
  <c r="K2234" i="5"/>
  <c r="P2234" i="5" s="1"/>
  <c r="N2234" i="5"/>
  <c r="L2234" i="5"/>
  <c r="Q2234" i="5" s="1"/>
  <c r="M2233" i="5"/>
  <c r="K2233" i="5"/>
  <c r="P2233" i="5" s="1"/>
  <c r="N2233" i="5"/>
  <c r="L2233" i="5"/>
  <c r="Q2233" i="5" s="1"/>
  <c r="M2232" i="5"/>
  <c r="K2232" i="5"/>
  <c r="P2232" i="5" s="1"/>
  <c r="N2232" i="5"/>
  <c r="L2232" i="5"/>
  <c r="Q2232" i="5" s="1"/>
  <c r="M2231" i="5"/>
  <c r="K2231" i="5"/>
  <c r="P2231" i="5" s="1"/>
  <c r="N2231" i="5"/>
  <c r="L2231" i="5"/>
  <c r="Q2231" i="5" s="1"/>
  <c r="M2230" i="5"/>
  <c r="K2230" i="5"/>
  <c r="P2230" i="5" s="1"/>
  <c r="N2230" i="5"/>
  <c r="L2230" i="5"/>
  <c r="Q2230" i="5" s="1"/>
  <c r="M2229" i="5"/>
  <c r="K2229" i="5"/>
  <c r="P2229" i="5" s="1"/>
  <c r="N2229" i="5"/>
  <c r="L2229" i="5"/>
  <c r="Q2229" i="5" s="1"/>
  <c r="M2228" i="5"/>
  <c r="K2228" i="5"/>
  <c r="P2228" i="5" s="1"/>
  <c r="N2228" i="5"/>
  <c r="L2228" i="5"/>
  <c r="Q2228" i="5" s="1"/>
  <c r="M2227" i="5"/>
  <c r="K2227" i="5"/>
  <c r="P2227" i="5" s="1"/>
  <c r="N2227" i="5"/>
  <c r="L2227" i="5"/>
  <c r="Q2227" i="5" s="1"/>
  <c r="M2226" i="5"/>
  <c r="K2226" i="5"/>
  <c r="P2226" i="5" s="1"/>
  <c r="N2226" i="5"/>
  <c r="L2226" i="5"/>
  <c r="Q2226" i="5" s="1"/>
  <c r="M2225" i="5"/>
  <c r="K2225" i="5"/>
  <c r="P2225" i="5" s="1"/>
  <c r="N2225" i="5"/>
  <c r="L2225" i="5"/>
  <c r="Q2225" i="5" s="1"/>
  <c r="M2224" i="5"/>
  <c r="K2224" i="5"/>
  <c r="P2224" i="5" s="1"/>
  <c r="N2224" i="5"/>
  <c r="L2224" i="5"/>
  <c r="Q2224" i="5" s="1"/>
  <c r="M2223" i="5"/>
  <c r="K2223" i="5"/>
  <c r="P2223" i="5" s="1"/>
  <c r="N2223" i="5"/>
  <c r="L2223" i="5"/>
  <c r="Q2223" i="5" s="1"/>
  <c r="M2222" i="5"/>
  <c r="K2222" i="5"/>
  <c r="P2222" i="5" s="1"/>
  <c r="N2222" i="5"/>
  <c r="L2222" i="5"/>
  <c r="Q2222" i="5" s="1"/>
  <c r="M2221" i="5"/>
  <c r="K2221" i="5"/>
  <c r="P2221" i="5" s="1"/>
  <c r="N2221" i="5"/>
  <c r="L2221" i="5"/>
  <c r="Q2221" i="5" s="1"/>
  <c r="M2220" i="5"/>
  <c r="K2220" i="5"/>
  <c r="P2220" i="5" s="1"/>
  <c r="N2220" i="5"/>
  <c r="L2220" i="5"/>
  <c r="Q2220" i="5" s="1"/>
  <c r="M2219" i="5"/>
  <c r="K2219" i="5"/>
  <c r="P2219" i="5" s="1"/>
  <c r="N2219" i="5"/>
  <c r="L2219" i="5"/>
  <c r="Q2219" i="5" s="1"/>
  <c r="M2218" i="5"/>
  <c r="K2218" i="5"/>
  <c r="P2218" i="5" s="1"/>
  <c r="N2218" i="5"/>
  <c r="L2218" i="5"/>
  <c r="Q2218" i="5" s="1"/>
  <c r="M2217" i="5"/>
  <c r="K2217" i="5"/>
  <c r="P2217" i="5" s="1"/>
  <c r="N2217" i="5"/>
  <c r="L2217" i="5"/>
  <c r="Q2217" i="5" s="1"/>
  <c r="M2216" i="5"/>
  <c r="K2216" i="5"/>
  <c r="P2216" i="5" s="1"/>
  <c r="N2216" i="5"/>
  <c r="L2216" i="5"/>
  <c r="Q2216" i="5" s="1"/>
  <c r="M2215" i="5"/>
  <c r="K2215" i="5"/>
  <c r="P2215" i="5" s="1"/>
  <c r="N2215" i="5"/>
  <c r="L2215" i="5"/>
  <c r="Q2215" i="5" s="1"/>
  <c r="M2214" i="5"/>
  <c r="K2214" i="5"/>
  <c r="P2214" i="5" s="1"/>
  <c r="N2214" i="5"/>
  <c r="L2214" i="5"/>
  <c r="Q2214" i="5" s="1"/>
  <c r="M2213" i="5"/>
  <c r="K2213" i="5"/>
  <c r="P2213" i="5" s="1"/>
  <c r="N2213" i="5"/>
  <c r="L2213" i="5"/>
  <c r="Q2213" i="5" s="1"/>
  <c r="M2212" i="5"/>
  <c r="K2212" i="5"/>
  <c r="P2212" i="5" s="1"/>
  <c r="N2212" i="5"/>
  <c r="L2212" i="5"/>
  <c r="Q2212" i="5" s="1"/>
  <c r="M2211" i="5"/>
  <c r="K2211" i="5"/>
  <c r="P2211" i="5" s="1"/>
  <c r="N2211" i="5"/>
  <c r="L2211" i="5"/>
  <c r="Q2211" i="5" s="1"/>
  <c r="N2210" i="5"/>
  <c r="L2210" i="5"/>
  <c r="Q2210" i="5" s="1"/>
  <c r="M2210" i="5"/>
  <c r="K2210" i="5"/>
  <c r="P2210" i="5" s="1"/>
  <c r="M2209" i="5"/>
  <c r="K2209" i="5"/>
  <c r="P2209" i="5" s="1"/>
  <c r="N2209" i="5"/>
  <c r="L2209" i="5"/>
  <c r="Q2209" i="5" s="1"/>
  <c r="N2208" i="5"/>
  <c r="L2208" i="5"/>
  <c r="Q2208" i="5" s="1"/>
  <c r="M2208" i="5"/>
  <c r="K2208" i="5"/>
  <c r="P2208" i="5" s="1"/>
  <c r="N2207" i="5"/>
  <c r="L2207" i="5"/>
  <c r="Q2207" i="5" s="1"/>
  <c r="M2207" i="5"/>
  <c r="K2207" i="5"/>
  <c r="P2207" i="5" s="1"/>
  <c r="N2206" i="5"/>
  <c r="L2206" i="5"/>
  <c r="Q2206" i="5" s="1"/>
  <c r="M2206" i="5"/>
  <c r="K2206" i="5"/>
  <c r="P2206" i="5" s="1"/>
  <c r="N2205" i="5"/>
  <c r="L2205" i="5"/>
  <c r="Q2205" i="5" s="1"/>
  <c r="M2205" i="5"/>
  <c r="U2205" i="5" s="1"/>
  <c r="K2205" i="5"/>
  <c r="P2205" i="5" s="1"/>
  <c r="N2204" i="5"/>
  <c r="L2204" i="5"/>
  <c r="Q2204" i="5" s="1"/>
  <c r="M2204" i="5"/>
  <c r="U2204" i="5" s="1"/>
  <c r="K2204" i="5"/>
  <c r="P2204" i="5" s="1"/>
  <c r="M2203" i="5"/>
  <c r="K2203" i="5"/>
  <c r="P2203" i="5" s="1"/>
  <c r="N2203" i="5"/>
  <c r="L2203" i="5"/>
  <c r="Q2203" i="5" s="1"/>
  <c r="AR2202" i="5"/>
  <c r="AQ2202" i="5"/>
  <c r="AU2202" i="5"/>
  <c r="AV2202" i="5"/>
  <c r="N2202" i="5"/>
  <c r="L2202" i="5"/>
  <c r="Q2202" i="5" s="1"/>
  <c r="M2202" i="5"/>
  <c r="U2202" i="5" s="1"/>
  <c r="K2202" i="5"/>
  <c r="P2202" i="5" s="1"/>
  <c r="N2201" i="5"/>
  <c r="L2201" i="5"/>
  <c r="Q2201" i="5" s="1"/>
  <c r="M2201" i="5"/>
  <c r="U2201" i="5" s="1"/>
  <c r="K2201" i="5"/>
  <c r="P2201" i="5" s="1"/>
  <c r="N2200" i="5"/>
  <c r="L2200" i="5"/>
  <c r="Q2200" i="5" s="1"/>
  <c r="M2200" i="5"/>
  <c r="K2200" i="5"/>
  <c r="P2200" i="5" s="1"/>
  <c r="N2199" i="5"/>
  <c r="L2199" i="5"/>
  <c r="Q2199" i="5" s="1"/>
  <c r="M2199" i="5"/>
  <c r="K2199" i="5"/>
  <c r="P2199" i="5" s="1"/>
  <c r="M2198" i="5"/>
  <c r="K2198" i="5"/>
  <c r="P2198" i="5" s="1"/>
  <c r="N2198" i="5"/>
  <c r="L2198" i="5"/>
  <c r="Q2198" i="5" s="1"/>
  <c r="N2197" i="5"/>
  <c r="L2197" i="5"/>
  <c r="Q2197" i="5" s="1"/>
  <c r="M2197" i="5"/>
  <c r="K2197" i="5"/>
  <c r="P2197" i="5" s="1"/>
  <c r="M2196" i="5"/>
  <c r="K2196" i="5"/>
  <c r="P2196" i="5" s="1"/>
  <c r="N2196" i="5"/>
  <c r="L2196" i="5"/>
  <c r="Q2196" i="5" s="1"/>
  <c r="N2195" i="5"/>
  <c r="L2195" i="5"/>
  <c r="Q2195" i="5" s="1"/>
  <c r="M2195" i="5"/>
  <c r="K2195" i="5"/>
  <c r="P2195" i="5" s="1"/>
  <c r="M2194" i="5"/>
  <c r="K2194" i="5"/>
  <c r="P2194" i="5" s="1"/>
  <c r="N2194" i="5"/>
  <c r="L2194" i="5"/>
  <c r="Q2194" i="5" s="1"/>
  <c r="M2193" i="5"/>
  <c r="K2193" i="5"/>
  <c r="P2193" i="5" s="1"/>
  <c r="N2193" i="5"/>
  <c r="L2193" i="5"/>
  <c r="Q2193" i="5" s="1"/>
  <c r="M2192" i="5"/>
  <c r="K2192" i="5"/>
  <c r="P2192" i="5" s="1"/>
  <c r="N2192" i="5"/>
  <c r="L2192" i="5"/>
  <c r="Q2192" i="5" s="1"/>
  <c r="N2191" i="5"/>
  <c r="L2191" i="5"/>
  <c r="Q2191" i="5" s="1"/>
  <c r="M2191" i="5"/>
  <c r="U2191" i="5" s="1"/>
  <c r="K2191" i="5"/>
  <c r="P2191" i="5" s="1"/>
  <c r="M2190" i="5"/>
  <c r="K2190" i="5"/>
  <c r="P2190" i="5" s="1"/>
  <c r="N2190" i="5"/>
  <c r="L2190" i="5"/>
  <c r="Q2190" i="5" s="1"/>
  <c r="M2189" i="5"/>
  <c r="K2189" i="5"/>
  <c r="P2189" i="5" s="1"/>
  <c r="N2189" i="5"/>
  <c r="L2189" i="5"/>
  <c r="Q2189" i="5" s="1"/>
  <c r="N2188" i="5"/>
  <c r="L2188" i="5"/>
  <c r="Q2188" i="5" s="1"/>
  <c r="M2188" i="5"/>
  <c r="K2188" i="5"/>
  <c r="P2188" i="5" s="1"/>
  <c r="N2187" i="5"/>
  <c r="L2187" i="5"/>
  <c r="Q2187" i="5" s="1"/>
  <c r="M2187" i="5"/>
  <c r="K2187" i="5"/>
  <c r="P2187" i="5" s="1"/>
  <c r="M2186" i="5"/>
  <c r="K2186" i="5"/>
  <c r="P2186" i="5" s="1"/>
  <c r="N2186" i="5"/>
  <c r="L2186" i="5"/>
  <c r="Q2186" i="5" s="1"/>
  <c r="M2185" i="5"/>
  <c r="K2185" i="5"/>
  <c r="P2185" i="5" s="1"/>
  <c r="N2185" i="5"/>
  <c r="L2185" i="5"/>
  <c r="Q2185" i="5" s="1"/>
  <c r="M2184" i="5"/>
  <c r="K2184" i="5"/>
  <c r="P2184" i="5" s="1"/>
  <c r="N2184" i="5"/>
  <c r="L2184" i="5"/>
  <c r="Q2184" i="5" s="1"/>
  <c r="M2183" i="5"/>
  <c r="K2183" i="5"/>
  <c r="P2183" i="5" s="1"/>
  <c r="N2183" i="5"/>
  <c r="L2183" i="5"/>
  <c r="Q2183" i="5" s="1"/>
  <c r="M2182" i="5"/>
  <c r="K2182" i="5"/>
  <c r="P2182" i="5" s="1"/>
  <c r="N2182" i="5"/>
  <c r="L2182" i="5"/>
  <c r="Q2182" i="5" s="1"/>
  <c r="M2181" i="5"/>
  <c r="K2181" i="5"/>
  <c r="P2181" i="5" s="1"/>
  <c r="N2181" i="5"/>
  <c r="L2181" i="5"/>
  <c r="Q2181" i="5" s="1"/>
  <c r="M2180" i="5"/>
  <c r="K2180" i="5"/>
  <c r="P2180" i="5" s="1"/>
  <c r="N2180" i="5"/>
  <c r="L2180" i="5"/>
  <c r="Q2180" i="5" s="1"/>
  <c r="M2179" i="5"/>
  <c r="K2179" i="5"/>
  <c r="P2179" i="5" s="1"/>
  <c r="N2179" i="5"/>
  <c r="L2179" i="5"/>
  <c r="Q2179" i="5" s="1"/>
  <c r="M2178" i="5"/>
  <c r="K2178" i="5"/>
  <c r="P2178" i="5" s="1"/>
  <c r="N2178" i="5"/>
  <c r="L2178" i="5"/>
  <c r="Q2178" i="5" s="1"/>
  <c r="M2177" i="5"/>
  <c r="K2177" i="5"/>
  <c r="P2177" i="5" s="1"/>
  <c r="N2177" i="5"/>
  <c r="L2177" i="5"/>
  <c r="Q2177" i="5" s="1"/>
  <c r="M2176" i="5"/>
  <c r="K2176" i="5"/>
  <c r="P2176" i="5" s="1"/>
  <c r="N2176" i="5"/>
  <c r="L2176" i="5"/>
  <c r="Q2176" i="5" s="1"/>
  <c r="M2175" i="5"/>
  <c r="K2175" i="5"/>
  <c r="P2175" i="5" s="1"/>
  <c r="N2175" i="5"/>
  <c r="L2175" i="5"/>
  <c r="Q2175" i="5" s="1"/>
  <c r="M2174" i="5"/>
  <c r="K2174" i="5"/>
  <c r="P2174" i="5" s="1"/>
  <c r="N2174" i="5"/>
  <c r="L2174" i="5"/>
  <c r="Q2174" i="5" s="1"/>
  <c r="M2173" i="5"/>
  <c r="K2173" i="5"/>
  <c r="P2173" i="5" s="1"/>
  <c r="N2173" i="5"/>
  <c r="L2173" i="5"/>
  <c r="Q2173" i="5" s="1"/>
  <c r="M2172" i="5"/>
  <c r="K2172" i="5"/>
  <c r="P2172" i="5" s="1"/>
  <c r="N2172" i="5"/>
  <c r="L2172" i="5"/>
  <c r="Q2172" i="5" s="1"/>
  <c r="M2171" i="5"/>
  <c r="K2171" i="5"/>
  <c r="P2171" i="5" s="1"/>
  <c r="N2171" i="5"/>
  <c r="L2171" i="5"/>
  <c r="Q2171" i="5" s="1"/>
  <c r="M2170" i="5"/>
  <c r="K2170" i="5"/>
  <c r="P2170" i="5" s="1"/>
  <c r="N2170" i="5"/>
  <c r="L2170" i="5"/>
  <c r="Q2170" i="5" s="1"/>
  <c r="M2169" i="5"/>
  <c r="K2169" i="5"/>
  <c r="P2169" i="5" s="1"/>
  <c r="N2169" i="5"/>
  <c r="L2169" i="5"/>
  <c r="Q2169" i="5" s="1"/>
  <c r="M2168" i="5"/>
  <c r="K2168" i="5"/>
  <c r="P2168" i="5" s="1"/>
  <c r="N2168" i="5"/>
  <c r="L2168" i="5"/>
  <c r="Q2168" i="5" s="1"/>
  <c r="M2167" i="5"/>
  <c r="K2167" i="5"/>
  <c r="P2167" i="5" s="1"/>
  <c r="N2167" i="5"/>
  <c r="L2167" i="5"/>
  <c r="Q2167" i="5" s="1"/>
  <c r="N2166" i="5"/>
  <c r="L2166" i="5"/>
  <c r="Q2166" i="5" s="1"/>
  <c r="M2166" i="5"/>
  <c r="U2166" i="5" s="1"/>
  <c r="K2166" i="5"/>
  <c r="P2166" i="5" s="1"/>
  <c r="M2165" i="5"/>
  <c r="K2165" i="5"/>
  <c r="P2165" i="5" s="1"/>
  <c r="N2165" i="5"/>
  <c r="L2165" i="5"/>
  <c r="Q2165" i="5" s="1"/>
  <c r="M2164" i="5"/>
  <c r="K2164" i="5"/>
  <c r="P2164" i="5" s="1"/>
  <c r="N2164" i="5"/>
  <c r="L2164" i="5"/>
  <c r="Q2164" i="5" s="1"/>
  <c r="N2163" i="5"/>
  <c r="L2163" i="5"/>
  <c r="Q2163" i="5" s="1"/>
  <c r="M2163" i="5"/>
  <c r="U2163" i="5" s="1"/>
  <c r="K2163" i="5"/>
  <c r="P2163" i="5" s="1"/>
  <c r="N2162" i="5"/>
  <c r="L2162" i="5"/>
  <c r="Q2162" i="5" s="1"/>
  <c r="M2162" i="5"/>
  <c r="U2162" i="5" s="1"/>
  <c r="K2162" i="5"/>
  <c r="P2162" i="5" s="1"/>
  <c r="N2161" i="5"/>
  <c r="L2161" i="5"/>
  <c r="Q2161" i="5" s="1"/>
  <c r="M2161" i="5"/>
  <c r="U2161" i="5" s="1"/>
  <c r="K2161" i="5"/>
  <c r="P2161" i="5" s="1"/>
  <c r="N2160" i="5"/>
  <c r="L2160" i="5"/>
  <c r="Q2160" i="5" s="1"/>
  <c r="M2160" i="5"/>
  <c r="U2160" i="5" s="1"/>
  <c r="K2160" i="5"/>
  <c r="P2160" i="5" s="1"/>
  <c r="M2159" i="5"/>
  <c r="K2159" i="5"/>
  <c r="P2159" i="5" s="1"/>
  <c r="N2159" i="5"/>
  <c r="L2159" i="5"/>
  <c r="Q2159" i="5" s="1"/>
  <c r="N2158" i="5"/>
  <c r="L2158" i="5"/>
  <c r="Q2158" i="5" s="1"/>
  <c r="M2158" i="5"/>
  <c r="K2158" i="5"/>
  <c r="P2158" i="5" s="1"/>
  <c r="N2157" i="5"/>
  <c r="L2157" i="5"/>
  <c r="Q2157" i="5" s="1"/>
  <c r="M2157" i="5"/>
  <c r="U2157" i="5" s="1"/>
  <c r="K2157" i="5"/>
  <c r="P2157" i="5" s="1"/>
  <c r="N2156" i="5"/>
  <c r="L2156" i="5"/>
  <c r="Q2156" i="5" s="1"/>
  <c r="M2156" i="5"/>
  <c r="K2156" i="5"/>
  <c r="P2156" i="5" s="1"/>
  <c r="N2155" i="5"/>
  <c r="L2155" i="5"/>
  <c r="Q2155" i="5" s="1"/>
  <c r="M2155" i="5"/>
  <c r="K2155" i="5"/>
  <c r="P2155" i="5" s="1"/>
  <c r="N2154" i="5"/>
  <c r="L2154" i="5"/>
  <c r="Q2154" i="5" s="1"/>
  <c r="M2154" i="5"/>
  <c r="K2154" i="5"/>
  <c r="P2154" i="5" s="1"/>
  <c r="M2153" i="5"/>
  <c r="K2153" i="5"/>
  <c r="P2153" i="5" s="1"/>
  <c r="N2153" i="5"/>
  <c r="L2153" i="5"/>
  <c r="Q2153" i="5" s="1"/>
  <c r="N2152" i="5"/>
  <c r="L2152" i="5"/>
  <c r="Q2152" i="5" s="1"/>
  <c r="M2152" i="5"/>
  <c r="U2152" i="5" s="1"/>
  <c r="K2152" i="5"/>
  <c r="P2152" i="5" s="1"/>
  <c r="M2151" i="5"/>
  <c r="K2151" i="5"/>
  <c r="P2151" i="5" s="1"/>
  <c r="N2151" i="5"/>
  <c r="L2151" i="5"/>
  <c r="Q2151" i="5" s="1"/>
  <c r="M2150" i="5"/>
  <c r="K2150" i="5"/>
  <c r="P2150" i="5" s="1"/>
  <c r="N2150" i="5"/>
  <c r="L2150" i="5"/>
  <c r="Q2150" i="5" s="1"/>
  <c r="M2149" i="5"/>
  <c r="K2149" i="5"/>
  <c r="P2149" i="5" s="1"/>
  <c r="N2149" i="5"/>
  <c r="L2149" i="5"/>
  <c r="Q2149" i="5" s="1"/>
  <c r="M2148" i="5"/>
  <c r="K2148" i="5"/>
  <c r="P2148" i="5" s="1"/>
  <c r="N2148" i="5"/>
  <c r="L2148" i="5"/>
  <c r="Q2148" i="5" s="1"/>
  <c r="M2147" i="5"/>
  <c r="K2147" i="5"/>
  <c r="P2147" i="5" s="1"/>
  <c r="N2147" i="5"/>
  <c r="L2147" i="5"/>
  <c r="Q2147" i="5" s="1"/>
  <c r="M2146" i="5"/>
  <c r="K2146" i="5"/>
  <c r="P2146" i="5" s="1"/>
  <c r="N2146" i="5"/>
  <c r="L2146" i="5"/>
  <c r="Q2146" i="5" s="1"/>
  <c r="M2145" i="5"/>
  <c r="K2145" i="5"/>
  <c r="P2145" i="5" s="1"/>
  <c r="N2145" i="5"/>
  <c r="L2145" i="5"/>
  <c r="Q2145" i="5" s="1"/>
  <c r="M2144" i="5"/>
  <c r="K2144" i="5"/>
  <c r="P2144" i="5" s="1"/>
  <c r="N2144" i="5"/>
  <c r="L2144" i="5"/>
  <c r="Q2144" i="5" s="1"/>
  <c r="M2143" i="5"/>
  <c r="K2143" i="5"/>
  <c r="P2143" i="5" s="1"/>
  <c r="N2143" i="5"/>
  <c r="L2143" i="5"/>
  <c r="Q2143" i="5" s="1"/>
  <c r="M2142" i="5"/>
  <c r="K2142" i="5"/>
  <c r="P2142" i="5" s="1"/>
  <c r="N2142" i="5"/>
  <c r="L2142" i="5"/>
  <c r="Q2142" i="5" s="1"/>
  <c r="M2141" i="5"/>
  <c r="K2141" i="5"/>
  <c r="P2141" i="5" s="1"/>
  <c r="N2141" i="5"/>
  <c r="L2141" i="5"/>
  <c r="Q2141" i="5" s="1"/>
  <c r="M2140" i="5"/>
  <c r="K2140" i="5"/>
  <c r="P2140" i="5" s="1"/>
  <c r="N2140" i="5"/>
  <c r="L2140" i="5"/>
  <c r="Q2140" i="5" s="1"/>
  <c r="M2139" i="5"/>
  <c r="K2139" i="5"/>
  <c r="P2139" i="5" s="1"/>
  <c r="N2139" i="5"/>
  <c r="L2139" i="5"/>
  <c r="Q2139" i="5" s="1"/>
  <c r="M2138" i="5"/>
  <c r="K2138" i="5"/>
  <c r="P2138" i="5" s="1"/>
  <c r="N2138" i="5"/>
  <c r="L2138" i="5"/>
  <c r="Q2138" i="5" s="1"/>
  <c r="M2137" i="5"/>
  <c r="K2137" i="5"/>
  <c r="P2137" i="5" s="1"/>
  <c r="N2137" i="5"/>
  <c r="L2137" i="5"/>
  <c r="Q2137" i="5" s="1"/>
  <c r="M2136" i="5"/>
  <c r="K2136" i="5"/>
  <c r="P2136" i="5" s="1"/>
  <c r="N2136" i="5"/>
  <c r="L2136" i="5"/>
  <c r="Q2136" i="5" s="1"/>
  <c r="M2135" i="5"/>
  <c r="K2135" i="5"/>
  <c r="P2135" i="5" s="1"/>
  <c r="N2135" i="5"/>
  <c r="L2135" i="5"/>
  <c r="Q2135" i="5" s="1"/>
  <c r="M2134" i="5"/>
  <c r="K2134" i="5"/>
  <c r="P2134" i="5" s="1"/>
  <c r="N2134" i="5"/>
  <c r="L2134" i="5"/>
  <c r="Q2134" i="5" s="1"/>
  <c r="M2133" i="5"/>
  <c r="K2133" i="5"/>
  <c r="P2133" i="5" s="1"/>
  <c r="N2133" i="5"/>
  <c r="L2133" i="5"/>
  <c r="Q2133" i="5" s="1"/>
  <c r="M2132" i="5"/>
  <c r="K2132" i="5"/>
  <c r="P2132" i="5" s="1"/>
  <c r="N2132" i="5"/>
  <c r="L2132" i="5"/>
  <c r="Q2132" i="5" s="1"/>
  <c r="M2131" i="5"/>
  <c r="K2131" i="5"/>
  <c r="P2131" i="5" s="1"/>
  <c r="N2131" i="5"/>
  <c r="L2131" i="5"/>
  <c r="Q2131" i="5" s="1"/>
  <c r="M2130" i="5"/>
  <c r="K2130" i="5"/>
  <c r="P2130" i="5" s="1"/>
  <c r="N2130" i="5"/>
  <c r="L2130" i="5"/>
  <c r="Q2130" i="5" s="1"/>
  <c r="M2129" i="5"/>
  <c r="K2129" i="5"/>
  <c r="P2129" i="5" s="1"/>
  <c r="N2129" i="5"/>
  <c r="L2129" i="5"/>
  <c r="Q2129" i="5" s="1"/>
  <c r="M2128" i="5"/>
  <c r="K2128" i="5"/>
  <c r="P2128" i="5" s="1"/>
  <c r="N2128" i="5"/>
  <c r="L2128" i="5"/>
  <c r="Q2128" i="5" s="1"/>
  <c r="M2127" i="5"/>
  <c r="K2127" i="5"/>
  <c r="P2127" i="5" s="1"/>
  <c r="N2127" i="5"/>
  <c r="L2127" i="5"/>
  <c r="Q2127" i="5" s="1"/>
  <c r="M2126" i="5"/>
  <c r="K2126" i="5"/>
  <c r="P2126" i="5" s="1"/>
  <c r="N2126" i="5"/>
  <c r="L2126" i="5"/>
  <c r="Q2126" i="5" s="1"/>
  <c r="M2125" i="5"/>
  <c r="K2125" i="5"/>
  <c r="P2125" i="5" s="1"/>
  <c r="N2125" i="5"/>
  <c r="L2125" i="5"/>
  <c r="Q2125" i="5" s="1"/>
  <c r="M2124" i="5"/>
  <c r="K2124" i="5"/>
  <c r="P2124" i="5" s="1"/>
  <c r="N2124" i="5"/>
  <c r="L2124" i="5"/>
  <c r="Q2124" i="5" s="1"/>
  <c r="M2123" i="5"/>
  <c r="K2123" i="5"/>
  <c r="P2123" i="5" s="1"/>
  <c r="N2123" i="5"/>
  <c r="L2123" i="5"/>
  <c r="Q2123" i="5" s="1"/>
  <c r="M2122" i="5"/>
  <c r="K2122" i="5"/>
  <c r="P2122" i="5" s="1"/>
  <c r="N2122" i="5"/>
  <c r="L2122" i="5"/>
  <c r="Q2122" i="5" s="1"/>
  <c r="M2121" i="5"/>
  <c r="K2121" i="5"/>
  <c r="P2121" i="5" s="1"/>
  <c r="N2121" i="5"/>
  <c r="L2121" i="5"/>
  <c r="Q2121" i="5" s="1"/>
  <c r="M2120" i="5"/>
  <c r="K2120" i="5"/>
  <c r="P2120" i="5" s="1"/>
  <c r="N2120" i="5"/>
  <c r="L2120" i="5"/>
  <c r="Q2120" i="5" s="1"/>
  <c r="M2119" i="5"/>
  <c r="K2119" i="5"/>
  <c r="P2119" i="5" s="1"/>
  <c r="N2119" i="5"/>
  <c r="L2119" i="5"/>
  <c r="Q2119" i="5" s="1"/>
  <c r="M2118" i="5"/>
  <c r="K2118" i="5"/>
  <c r="P2118" i="5" s="1"/>
  <c r="N2118" i="5"/>
  <c r="L2118" i="5"/>
  <c r="Q2118" i="5" s="1"/>
  <c r="M2117" i="5"/>
  <c r="K2117" i="5"/>
  <c r="P2117" i="5" s="1"/>
  <c r="N2117" i="5"/>
  <c r="L2117" i="5"/>
  <c r="Q2117" i="5" s="1"/>
  <c r="M2116" i="5"/>
  <c r="K2116" i="5"/>
  <c r="P2116" i="5" s="1"/>
  <c r="N2116" i="5"/>
  <c r="L2116" i="5"/>
  <c r="Q2116" i="5" s="1"/>
  <c r="M2115" i="5"/>
  <c r="K2115" i="5"/>
  <c r="P2115" i="5" s="1"/>
  <c r="N2115" i="5"/>
  <c r="L2115" i="5"/>
  <c r="Q2115" i="5" s="1"/>
  <c r="M2114" i="5"/>
  <c r="K2114" i="5"/>
  <c r="P2114" i="5" s="1"/>
  <c r="N2114" i="5"/>
  <c r="L2114" i="5"/>
  <c r="Q2114" i="5" s="1"/>
  <c r="M2113" i="5"/>
  <c r="K2113" i="5"/>
  <c r="P2113" i="5" s="1"/>
  <c r="N2113" i="5"/>
  <c r="L2113" i="5"/>
  <c r="Q2113" i="5" s="1"/>
  <c r="M2112" i="5"/>
  <c r="K2112" i="5"/>
  <c r="P2112" i="5" s="1"/>
  <c r="N2112" i="5"/>
  <c r="L2112" i="5"/>
  <c r="Q2112" i="5" s="1"/>
  <c r="M2111" i="5"/>
  <c r="K2111" i="5"/>
  <c r="P2111" i="5" s="1"/>
  <c r="N2111" i="5"/>
  <c r="L2111" i="5"/>
  <c r="Q2111" i="5" s="1"/>
  <c r="M2110" i="5"/>
  <c r="K2110" i="5"/>
  <c r="P2110" i="5" s="1"/>
  <c r="N2110" i="5"/>
  <c r="L2110" i="5"/>
  <c r="Q2110" i="5" s="1"/>
  <c r="M2109" i="5"/>
  <c r="K2109" i="5"/>
  <c r="P2109" i="5" s="1"/>
  <c r="N2109" i="5"/>
  <c r="L2109" i="5"/>
  <c r="Q2109" i="5" s="1"/>
  <c r="M2108" i="5"/>
  <c r="K2108" i="5"/>
  <c r="P2108" i="5" s="1"/>
  <c r="N2108" i="5"/>
  <c r="L2108" i="5"/>
  <c r="Q2108" i="5" s="1"/>
  <c r="M2107" i="5"/>
  <c r="K2107" i="5"/>
  <c r="P2107" i="5" s="1"/>
  <c r="N2107" i="5"/>
  <c r="L2107" i="5"/>
  <c r="Q2107" i="5" s="1"/>
  <c r="M2106" i="5"/>
  <c r="K2106" i="5"/>
  <c r="P2106" i="5" s="1"/>
  <c r="N2106" i="5"/>
  <c r="L2106" i="5"/>
  <c r="Q2106" i="5" s="1"/>
  <c r="M2105" i="5"/>
  <c r="K2105" i="5"/>
  <c r="P2105" i="5" s="1"/>
  <c r="N2105" i="5"/>
  <c r="L2105" i="5"/>
  <c r="Q2105" i="5" s="1"/>
  <c r="M2104" i="5"/>
  <c r="K2104" i="5"/>
  <c r="P2104" i="5" s="1"/>
  <c r="N2104" i="5"/>
  <c r="L2104" i="5"/>
  <c r="Q2104" i="5" s="1"/>
  <c r="M2103" i="5"/>
  <c r="K2103" i="5"/>
  <c r="P2103" i="5" s="1"/>
  <c r="N2103" i="5"/>
  <c r="L2103" i="5"/>
  <c r="Q2103" i="5" s="1"/>
  <c r="M2102" i="5"/>
  <c r="K2102" i="5"/>
  <c r="P2102" i="5" s="1"/>
  <c r="N2102" i="5"/>
  <c r="L2102" i="5"/>
  <c r="Q2102" i="5" s="1"/>
  <c r="M2101" i="5"/>
  <c r="K2101" i="5"/>
  <c r="P2101" i="5" s="1"/>
  <c r="N2101" i="5"/>
  <c r="L2101" i="5"/>
  <c r="Q2101" i="5" s="1"/>
  <c r="M2100" i="5"/>
  <c r="K2100" i="5"/>
  <c r="P2100" i="5" s="1"/>
  <c r="N2100" i="5"/>
  <c r="L2100" i="5"/>
  <c r="Q2100" i="5" s="1"/>
  <c r="M2099" i="5"/>
  <c r="K2099" i="5"/>
  <c r="P2099" i="5" s="1"/>
  <c r="N2099" i="5"/>
  <c r="L2099" i="5"/>
  <c r="Q2099" i="5" s="1"/>
  <c r="M2098" i="5"/>
  <c r="K2098" i="5"/>
  <c r="P2098" i="5" s="1"/>
  <c r="N2098" i="5"/>
  <c r="L2098" i="5"/>
  <c r="Q2098" i="5" s="1"/>
  <c r="M2097" i="5"/>
  <c r="K2097" i="5"/>
  <c r="P2097" i="5" s="1"/>
  <c r="N2097" i="5"/>
  <c r="L2097" i="5"/>
  <c r="Q2097" i="5" s="1"/>
  <c r="M2096" i="5"/>
  <c r="K2096" i="5"/>
  <c r="P2096" i="5" s="1"/>
  <c r="N2096" i="5"/>
  <c r="L2096" i="5"/>
  <c r="Q2096" i="5" s="1"/>
  <c r="M2095" i="5"/>
  <c r="K2095" i="5"/>
  <c r="P2095" i="5" s="1"/>
  <c r="N2095" i="5"/>
  <c r="L2095" i="5"/>
  <c r="Q2095" i="5" s="1"/>
  <c r="M2094" i="5"/>
  <c r="K2094" i="5"/>
  <c r="P2094" i="5" s="1"/>
  <c r="N2094" i="5"/>
  <c r="L2094" i="5"/>
  <c r="Q2094" i="5" s="1"/>
  <c r="M2093" i="5"/>
  <c r="K2093" i="5"/>
  <c r="P2093" i="5" s="1"/>
  <c r="N2093" i="5"/>
  <c r="L2093" i="5"/>
  <c r="Q2093" i="5" s="1"/>
  <c r="M2092" i="5"/>
  <c r="K2092" i="5"/>
  <c r="P2092" i="5" s="1"/>
  <c r="N2092" i="5"/>
  <c r="L2092" i="5"/>
  <c r="Q2092" i="5" s="1"/>
  <c r="M2091" i="5"/>
  <c r="K2091" i="5"/>
  <c r="P2091" i="5" s="1"/>
  <c r="N2091" i="5"/>
  <c r="L2091" i="5"/>
  <c r="Q2091" i="5" s="1"/>
  <c r="M2090" i="5"/>
  <c r="K2090" i="5"/>
  <c r="P2090" i="5" s="1"/>
  <c r="N2090" i="5"/>
  <c r="L2090" i="5"/>
  <c r="Q2090" i="5" s="1"/>
  <c r="AQ2090" i="5"/>
  <c r="AR2090" i="5"/>
  <c r="AU2090" i="5"/>
  <c r="AV2090" i="5"/>
  <c r="M2089" i="5"/>
  <c r="K2089" i="5"/>
  <c r="P2089" i="5" s="1"/>
  <c r="N2089" i="5"/>
  <c r="L2089" i="5"/>
  <c r="Q2089" i="5" s="1"/>
  <c r="M2088" i="5"/>
  <c r="K2088" i="5"/>
  <c r="P2088" i="5" s="1"/>
  <c r="N2088" i="5"/>
  <c r="L2088" i="5"/>
  <c r="Q2088" i="5" s="1"/>
  <c r="M2087" i="5"/>
  <c r="K2087" i="5"/>
  <c r="P2087" i="5" s="1"/>
  <c r="N2087" i="5"/>
  <c r="L2087" i="5"/>
  <c r="Q2087" i="5" s="1"/>
  <c r="M2086" i="5"/>
  <c r="K2086" i="5"/>
  <c r="P2086" i="5" s="1"/>
  <c r="N2086" i="5"/>
  <c r="L2086" i="5"/>
  <c r="Q2086" i="5" s="1"/>
  <c r="M2085" i="5"/>
  <c r="K2085" i="5"/>
  <c r="P2085" i="5" s="1"/>
  <c r="N2085" i="5"/>
  <c r="L2085" i="5"/>
  <c r="Q2085" i="5" s="1"/>
  <c r="M2084" i="5"/>
  <c r="K2084" i="5"/>
  <c r="P2084" i="5" s="1"/>
  <c r="N2084" i="5"/>
  <c r="L2084" i="5"/>
  <c r="Q2084" i="5" s="1"/>
  <c r="M2083" i="5"/>
  <c r="K2083" i="5"/>
  <c r="P2083" i="5" s="1"/>
  <c r="N2083" i="5"/>
  <c r="L2083" i="5"/>
  <c r="Q2083" i="5" s="1"/>
  <c r="M2082" i="5"/>
  <c r="K2082" i="5"/>
  <c r="P2082" i="5" s="1"/>
  <c r="N2082" i="5"/>
  <c r="L2082" i="5"/>
  <c r="Q2082" i="5" s="1"/>
  <c r="M2081" i="5"/>
  <c r="K2081" i="5"/>
  <c r="P2081" i="5" s="1"/>
  <c r="N2081" i="5"/>
  <c r="L2081" i="5"/>
  <c r="Q2081" i="5" s="1"/>
  <c r="M2080" i="5"/>
  <c r="K2080" i="5"/>
  <c r="P2080" i="5" s="1"/>
  <c r="N2080" i="5"/>
  <c r="L2080" i="5"/>
  <c r="Q2080" i="5" s="1"/>
  <c r="M2079" i="5"/>
  <c r="K2079" i="5"/>
  <c r="P2079" i="5" s="1"/>
  <c r="N2079" i="5"/>
  <c r="L2079" i="5"/>
  <c r="Q2079" i="5" s="1"/>
  <c r="M2078" i="5"/>
  <c r="K2078" i="5"/>
  <c r="P2078" i="5" s="1"/>
  <c r="L2078" i="5"/>
  <c r="Q2078" i="5" s="1"/>
  <c r="N2078" i="5"/>
  <c r="M2077" i="5"/>
  <c r="K2077" i="5"/>
  <c r="P2077" i="5" s="1"/>
  <c r="N2077" i="5"/>
  <c r="L2077" i="5"/>
  <c r="Q2077" i="5" s="1"/>
  <c r="M2076" i="5"/>
  <c r="K2076" i="5"/>
  <c r="P2076" i="5" s="1"/>
  <c r="N2076" i="5"/>
  <c r="L2076" i="5"/>
  <c r="Q2076" i="5" s="1"/>
  <c r="M2075" i="5"/>
  <c r="K2075" i="5"/>
  <c r="P2075" i="5" s="1"/>
  <c r="N2075" i="5"/>
  <c r="L2075" i="5"/>
  <c r="Q2075" i="5" s="1"/>
  <c r="M2074" i="5"/>
  <c r="K2074" i="5"/>
  <c r="P2074" i="5" s="1"/>
  <c r="N2074" i="5"/>
  <c r="L2074" i="5"/>
  <c r="Q2074" i="5" s="1"/>
  <c r="M2073" i="5"/>
  <c r="K2073" i="5"/>
  <c r="P2073" i="5" s="1"/>
  <c r="N2073" i="5"/>
  <c r="L2073" i="5"/>
  <c r="Q2073" i="5" s="1"/>
  <c r="M2072" i="5"/>
  <c r="K2072" i="5"/>
  <c r="P2072" i="5" s="1"/>
  <c r="N2072" i="5"/>
  <c r="L2072" i="5"/>
  <c r="Q2072" i="5" s="1"/>
  <c r="M2071" i="5"/>
  <c r="K2071" i="5"/>
  <c r="P2071" i="5" s="1"/>
  <c r="N2071" i="5"/>
  <c r="L2071" i="5"/>
  <c r="Q2071" i="5" s="1"/>
  <c r="M2070" i="5"/>
  <c r="K2070" i="5"/>
  <c r="P2070" i="5" s="1"/>
  <c r="N2070" i="5"/>
  <c r="L2070" i="5"/>
  <c r="Q2070" i="5" s="1"/>
  <c r="M2069" i="5"/>
  <c r="K2069" i="5"/>
  <c r="P2069" i="5" s="1"/>
  <c r="N2069" i="5"/>
  <c r="L2069" i="5"/>
  <c r="Q2069" i="5" s="1"/>
  <c r="M2068" i="5"/>
  <c r="K2068" i="5"/>
  <c r="P2068" i="5" s="1"/>
  <c r="N2068" i="5"/>
  <c r="L2068" i="5"/>
  <c r="Q2068" i="5" s="1"/>
  <c r="M2067" i="5"/>
  <c r="K2067" i="5"/>
  <c r="P2067" i="5" s="1"/>
  <c r="N2067" i="5"/>
  <c r="L2067" i="5"/>
  <c r="Q2067" i="5" s="1"/>
  <c r="M2066" i="5"/>
  <c r="K2066" i="5"/>
  <c r="P2066" i="5" s="1"/>
  <c r="N2066" i="5"/>
  <c r="L2066" i="5"/>
  <c r="Q2066" i="5" s="1"/>
  <c r="M2065" i="5"/>
  <c r="K2065" i="5"/>
  <c r="P2065" i="5" s="1"/>
  <c r="N2065" i="5"/>
  <c r="L2065" i="5"/>
  <c r="Q2065" i="5" s="1"/>
  <c r="M2064" i="5"/>
  <c r="K2064" i="5"/>
  <c r="P2064" i="5" s="1"/>
  <c r="N2064" i="5"/>
  <c r="L2064" i="5"/>
  <c r="Q2064" i="5" s="1"/>
  <c r="M2063" i="5"/>
  <c r="K2063" i="5"/>
  <c r="P2063" i="5" s="1"/>
  <c r="N2063" i="5"/>
  <c r="L2063" i="5"/>
  <c r="Q2063" i="5" s="1"/>
  <c r="M2062" i="5"/>
  <c r="K2062" i="5"/>
  <c r="P2062" i="5" s="1"/>
  <c r="N2062" i="5"/>
  <c r="L2062" i="5"/>
  <c r="Q2062" i="5" s="1"/>
  <c r="M2061" i="5"/>
  <c r="K2061" i="5"/>
  <c r="P2061" i="5" s="1"/>
  <c r="N2061" i="5"/>
  <c r="L2061" i="5"/>
  <c r="Q2061" i="5" s="1"/>
  <c r="M2060" i="5"/>
  <c r="K2060" i="5"/>
  <c r="P2060" i="5" s="1"/>
  <c r="N2060" i="5"/>
  <c r="L2060" i="5"/>
  <c r="Q2060" i="5" s="1"/>
  <c r="M2059" i="5"/>
  <c r="K2059" i="5"/>
  <c r="P2059" i="5" s="1"/>
  <c r="N2059" i="5"/>
  <c r="L2059" i="5"/>
  <c r="Q2059" i="5" s="1"/>
  <c r="M2058" i="5"/>
  <c r="K2058" i="5"/>
  <c r="P2058" i="5" s="1"/>
  <c r="N2058" i="5"/>
  <c r="L2058" i="5"/>
  <c r="Q2058" i="5" s="1"/>
  <c r="M2057" i="5"/>
  <c r="K2057" i="5"/>
  <c r="P2057" i="5" s="1"/>
  <c r="N2057" i="5"/>
  <c r="L2057" i="5"/>
  <c r="Q2057" i="5" s="1"/>
  <c r="M2056" i="5"/>
  <c r="K2056" i="5"/>
  <c r="P2056" i="5" s="1"/>
  <c r="N2056" i="5"/>
  <c r="L2056" i="5"/>
  <c r="Q2056" i="5" s="1"/>
  <c r="M2055" i="5"/>
  <c r="K2055" i="5"/>
  <c r="P2055" i="5" s="1"/>
  <c r="N2055" i="5"/>
  <c r="L2055" i="5"/>
  <c r="Q2055" i="5" s="1"/>
  <c r="M2054" i="5"/>
  <c r="K2054" i="5"/>
  <c r="P2054" i="5" s="1"/>
  <c r="N2054" i="5"/>
  <c r="L2054" i="5"/>
  <c r="Q2054" i="5" s="1"/>
  <c r="M2053" i="5"/>
  <c r="K2053" i="5"/>
  <c r="P2053" i="5" s="1"/>
  <c r="N2053" i="5"/>
  <c r="L2053" i="5"/>
  <c r="Q2053" i="5" s="1"/>
  <c r="M2052" i="5"/>
  <c r="K2052" i="5"/>
  <c r="P2052" i="5" s="1"/>
  <c r="N2052" i="5"/>
  <c r="L2052" i="5"/>
  <c r="Q2052" i="5" s="1"/>
  <c r="M2051" i="5"/>
  <c r="K2051" i="5"/>
  <c r="N2051" i="5"/>
  <c r="B23" i="3" s="1"/>
  <c r="L2051" i="5"/>
  <c r="AR2478" i="5"/>
  <c r="AQ2478" i="5"/>
  <c r="AV2478" i="5"/>
  <c r="AU2478" i="5"/>
  <c r="X2204" i="5"/>
  <c r="AP2204" i="5"/>
  <c r="W2204" i="5"/>
  <c r="AO2204" i="5" s="1"/>
  <c r="AT2204" i="5"/>
  <c r="Y2204" i="5"/>
  <c r="Z2204" i="5" s="1"/>
  <c r="AL2265" i="5"/>
  <c r="Y2265" i="5"/>
  <c r="Z2265" i="5" s="1"/>
  <c r="AL2185" i="5"/>
  <c r="Y2185" i="5"/>
  <c r="Z2185" i="5" s="1"/>
  <c r="AL2125" i="5"/>
  <c r="Y2125" i="5"/>
  <c r="Z2125" i="5" s="1"/>
  <c r="AL2121" i="5"/>
  <c r="Y2121" i="5"/>
  <c r="Z2121" i="5" s="1"/>
  <c r="AL2120" i="5"/>
  <c r="Y2120" i="5"/>
  <c r="Z2120" i="5" s="1"/>
  <c r="AL2119" i="5"/>
  <c r="Y2119" i="5"/>
  <c r="Z2119" i="5" s="1"/>
  <c r="AL2118" i="5"/>
  <c r="Y2118" i="5"/>
  <c r="Z2118" i="5" s="1"/>
  <c r="AL2115" i="5"/>
  <c r="Y2115" i="5"/>
  <c r="Z2115" i="5" s="1"/>
  <c r="U2260" i="5" l="1"/>
  <c r="U2208" i="5"/>
  <c r="U2188" i="5"/>
  <c r="U2158" i="5"/>
  <c r="U2335" i="5"/>
  <c r="U2210" i="5"/>
  <c r="AV2203" i="5"/>
  <c r="AU2203" i="5"/>
  <c r="AQ2203" i="5"/>
  <c r="AR2203" i="5"/>
  <c r="U2195" i="5"/>
  <c r="U2156" i="5"/>
  <c r="U2207" i="5"/>
  <c r="U2187" i="5"/>
  <c r="AU2189" i="5"/>
  <c r="AV2189" i="5"/>
  <c r="AR2189" i="5"/>
  <c r="AQ2189" i="5"/>
  <c r="U2206" i="5"/>
  <c r="U2200" i="5"/>
  <c r="U2155" i="5"/>
  <c r="T2260" i="5"/>
  <c r="V2260" i="5" s="1"/>
  <c r="S2260" i="5"/>
  <c r="AA2260" i="5" s="1"/>
  <c r="AQ2192" i="5"/>
  <c r="AR2192" i="5"/>
  <c r="AV2192" i="5"/>
  <c r="AU2192" i="5"/>
  <c r="AR2304" i="5"/>
  <c r="AQ2304" i="5"/>
  <c r="AV2304" i="5"/>
  <c r="AU2304" i="5"/>
  <c r="B41" i="3"/>
  <c r="B40" i="3"/>
  <c r="M511" i="5"/>
  <c r="N511" i="5" s="1"/>
  <c r="M512" i="5"/>
  <c r="N512" i="5" s="1"/>
  <c r="M513" i="5"/>
  <c r="N513" i="5" s="1"/>
  <c r="M514" i="5"/>
  <c r="N514" i="5" s="1"/>
  <c r="M515" i="5"/>
  <c r="N515" i="5" s="1"/>
  <c r="M516" i="5"/>
  <c r="N516" i="5" s="1"/>
  <c r="M517" i="5"/>
  <c r="N517" i="5" s="1"/>
  <c r="M518" i="5"/>
  <c r="N518" i="5" s="1"/>
  <c r="M519" i="5"/>
  <c r="N519" i="5" s="1"/>
  <c r="M520" i="5"/>
  <c r="N520" i="5" s="1"/>
  <c r="M521" i="5"/>
  <c r="N521" i="5" s="1"/>
  <c r="M522" i="5"/>
  <c r="N522" i="5" s="1"/>
  <c r="M523" i="5"/>
  <c r="N523" i="5" s="1"/>
  <c r="M524" i="5"/>
  <c r="N524" i="5" s="1"/>
  <c r="M525" i="5"/>
  <c r="N525" i="5" s="1"/>
  <c r="M526" i="5"/>
  <c r="N526" i="5" s="1"/>
  <c r="M527" i="5"/>
  <c r="N527" i="5" s="1"/>
  <c r="M528" i="5"/>
  <c r="N528" i="5" s="1"/>
  <c r="M529" i="5"/>
  <c r="N529" i="5" s="1"/>
  <c r="M530" i="5"/>
  <c r="N530" i="5" s="1"/>
  <c r="M531" i="5"/>
  <c r="N531" i="5" s="1"/>
  <c r="M532" i="5"/>
  <c r="N532" i="5" s="1"/>
  <c r="U2154" i="5"/>
  <c r="AU2341" i="5"/>
  <c r="AV2341" i="5"/>
  <c r="AR2341" i="5"/>
  <c r="AQ2341" i="5"/>
  <c r="M533" i="5"/>
  <c r="N533" i="5" s="1"/>
  <c r="M534" i="5"/>
  <c r="N534" i="5" s="1"/>
  <c r="M535" i="5"/>
  <c r="N535" i="5" s="1"/>
  <c r="M536" i="5"/>
  <c r="N536" i="5" s="1"/>
  <c r="M537" i="5"/>
  <c r="N537" i="5" s="1"/>
  <c r="M538" i="5"/>
  <c r="N538" i="5" s="1"/>
  <c r="M539" i="5"/>
  <c r="N539" i="5" s="1"/>
  <c r="M540" i="5"/>
  <c r="N540" i="5" s="1"/>
  <c r="M541" i="5"/>
  <c r="N541" i="5" s="1"/>
  <c r="M542" i="5"/>
  <c r="N542" i="5" s="1"/>
  <c r="M543" i="5"/>
  <c r="N543" i="5" s="1"/>
  <c r="M544" i="5"/>
  <c r="N544" i="5" s="1"/>
  <c r="M545" i="5"/>
  <c r="N545" i="5" s="1"/>
  <c r="M546" i="5"/>
  <c r="N546" i="5" s="1"/>
  <c r="M547" i="5"/>
  <c r="N547" i="5" s="1"/>
  <c r="M548" i="5"/>
  <c r="N548" i="5" s="1"/>
  <c r="M549" i="5"/>
  <c r="N549" i="5" s="1"/>
  <c r="M550" i="5"/>
  <c r="N550" i="5" s="1"/>
  <c r="M551" i="5"/>
  <c r="N551" i="5" s="1"/>
  <c r="M552" i="5"/>
  <c r="N552" i="5" s="1"/>
  <c r="M553" i="5"/>
  <c r="N553" i="5" s="1"/>
  <c r="M554" i="5"/>
  <c r="N554" i="5" s="1"/>
  <c r="M555" i="5"/>
  <c r="N555" i="5" s="1"/>
  <c r="M556" i="5"/>
  <c r="N556" i="5" s="1"/>
  <c r="M557" i="5"/>
  <c r="N557" i="5" s="1"/>
  <c r="M558" i="5"/>
  <c r="N558" i="5" s="1"/>
  <c r="M559" i="5"/>
  <c r="N559" i="5" s="1"/>
  <c r="M560" i="5"/>
  <c r="N560" i="5" s="1"/>
  <c r="M561" i="5"/>
  <c r="N561" i="5" s="1"/>
  <c r="M562" i="5"/>
  <c r="N562" i="5" s="1"/>
  <c r="M563" i="5"/>
  <c r="N563" i="5" s="1"/>
  <c r="M564" i="5"/>
  <c r="N564" i="5" s="1"/>
  <c r="M565" i="5"/>
  <c r="N565" i="5" s="1"/>
  <c r="M566" i="5"/>
  <c r="N566" i="5" s="1"/>
  <c r="M567" i="5"/>
  <c r="N567" i="5" s="1"/>
  <c r="M568" i="5"/>
  <c r="N568" i="5" s="1"/>
  <c r="M569" i="5"/>
  <c r="N569" i="5" s="1"/>
  <c r="M570" i="5"/>
  <c r="N570" i="5" s="1"/>
  <c r="M571" i="5"/>
  <c r="N571" i="5" s="1"/>
  <c r="M572" i="5"/>
  <c r="N572" i="5" s="1"/>
  <c r="M573" i="5"/>
  <c r="N573" i="5" s="1"/>
  <c r="M574" i="5"/>
  <c r="N574" i="5" s="1"/>
  <c r="M575" i="5"/>
  <c r="N575" i="5" s="1"/>
  <c r="M576" i="5"/>
  <c r="N576" i="5" s="1"/>
  <c r="M577" i="5"/>
  <c r="N577" i="5" s="1"/>
  <c r="M578" i="5"/>
  <c r="N578" i="5" s="1"/>
  <c r="M579" i="5"/>
  <c r="N579" i="5" s="1"/>
  <c r="M580" i="5"/>
  <c r="N580" i="5" s="1"/>
  <c r="M581" i="5"/>
  <c r="N581" i="5" s="1"/>
  <c r="M582" i="5"/>
  <c r="N582" i="5" s="1"/>
  <c r="M583" i="5"/>
  <c r="N583" i="5" s="1"/>
  <c r="M584" i="5"/>
  <c r="N584" i="5" s="1"/>
  <c r="M585" i="5"/>
  <c r="N585" i="5" s="1"/>
  <c r="M586" i="5"/>
  <c r="N586" i="5" s="1"/>
  <c r="M587" i="5"/>
  <c r="N587" i="5" s="1"/>
  <c r="M588" i="5"/>
  <c r="N588" i="5" s="1"/>
  <c r="M589" i="5"/>
  <c r="N589" i="5" s="1"/>
  <c r="M590" i="5"/>
  <c r="N590" i="5" s="1"/>
  <c r="M591" i="5"/>
  <c r="N591" i="5" s="1"/>
  <c r="M592" i="5"/>
  <c r="N592" i="5" s="1"/>
  <c r="M593" i="5"/>
  <c r="N593" i="5" s="1"/>
  <c r="M594" i="5"/>
  <c r="N594" i="5" s="1"/>
  <c r="M595" i="5"/>
  <c r="N595" i="5" s="1"/>
  <c r="M596" i="5"/>
  <c r="N596" i="5" s="1"/>
  <c r="M597" i="5"/>
  <c r="N597" i="5" s="1"/>
  <c r="M598" i="5"/>
  <c r="N598" i="5" s="1"/>
  <c r="M599" i="5"/>
  <c r="N599" i="5" s="1"/>
  <c r="M600" i="5"/>
  <c r="N600" i="5" s="1"/>
  <c r="M601" i="5"/>
  <c r="N601" i="5" s="1"/>
  <c r="M602" i="5"/>
  <c r="N602" i="5" s="1"/>
  <c r="M603" i="5"/>
  <c r="N603" i="5" s="1"/>
  <c r="M604" i="5"/>
  <c r="N604" i="5" s="1"/>
  <c r="M605" i="5"/>
  <c r="N605" i="5" s="1"/>
  <c r="M606" i="5"/>
  <c r="N606" i="5" s="1"/>
  <c r="M607" i="5"/>
  <c r="N607" i="5" s="1"/>
  <c r="M608" i="5"/>
  <c r="N608" i="5" s="1"/>
  <c r="M609" i="5"/>
  <c r="N609" i="5" s="1"/>
  <c r="M610" i="5"/>
  <c r="N610" i="5" s="1"/>
  <c r="M611" i="5"/>
  <c r="N611" i="5" s="1"/>
  <c r="M612" i="5"/>
  <c r="N612" i="5" s="1"/>
  <c r="M613" i="5"/>
  <c r="N613" i="5" s="1"/>
  <c r="M614" i="5"/>
  <c r="N614" i="5" s="1"/>
  <c r="M615" i="5"/>
  <c r="N615" i="5" s="1"/>
  <c r="M616" i="5"/>
  <c r="N616" i="5" s="1"/>
  <c r="M617" i="5"/>
  <c r="N617" i="5" s="1"/>
  <c r="M618" i="5"/>
  <c r="N618" i="5" s="1"/>
  <c r="M619" i="5"/>
  <c r="N619" i="5" s="1"/>
  <c r="M620" i="5"/>
  <c r="N620" i="5" s="1"/>
  <c r="M621" i="5"/>
  <c r="N621" i="5" s="1"/>
  <c r="M622" i="5"/>
  <c r="N622" i="5" s="1"/>
  <c r="M623" i="5"/>
  <c r="N623" i="5" s="1"/>
  <c r="M624" i="5"/>
  <c r="N624" i="5" s="1"/>
  <c r="M625" i="5"/>
  <c r="N625" i="5" s="1"/>
  <c r="M626" i="5"/>
  <c r="N626" i="5" s="1"/>
  <c r="M627" i="5"/>
  <c r="N627" i="5" s="1"/>
  <c r="M628" i="5"/>
  <c r="N628" i="5" s="1"/>
  <c r="M629" i="5"/>
  <c r="N629" i="5" s="1"/>
  <c r="M630" i="5"/>
  <c r="N630" i="5" s="1"/>
  <c r="M631" i="5"/>
  <c r="N631" i="5" s="1"/>
  <c r="M632" i="5"/>
  <c r="N632" i="5" s="1"/>
  <c r="M633" i="5"/>
  <c r="N633" i="5" s="1"/>
  <c r="M634" i="5"/>
  <c r="N634" i="5" s="1"/>
  <c r="M635" i="5"/>
  <c r="N635" i="5" s="1"/>
  <c r="M636" i="5"/>
  <c r="N636" i="5" s="1"/>
  <c r="M637" i="5"/>
  <c r="N637" i="5" s="1"/>
  <c r="M638" i="5"/>
  <c r="N638" i="5" s="1"/>
  <c r="M639" i="5"/>
  <c r="N639" i="5" s="1"/>
  <c r="M640" i="5"/>
  <c r="N640" i="5" s="1"/>
  <c r="M641" i="5"/>
  <c r="N641" i="5" s="1"/>
  <c r="M642" i="5"/>
  <c r="N642" i="5" s="1"/>
  <c r="M643" i="5"/>
  <c r="N643" i="5" s="1"/>
  <c r="M644" i="5"/>
  <c r="N644" i="5" s="1"/>
  <c r="M645" i="5"/>
  <c r="N645" i="5" s="1"/>
  <c r="M646" i="5"/>
  <c r="N646" i="5" s="1"/>
  <c r="M647" i="5"/>
  <c r="N647" i="5" s="1"/>
  <c r="M648" i="5"/>
  <c r="N648" i="5" s="1"/>
  <c r="M649" i="5"/>
  <c r="N649" i="5" s="1"/>
  <c r="M650" i="5"/>
  <c r="N650" i="5" s="1"/>
  <c r="M651" i="5"/>
  <c r="N651" i="5" s="1"/>
  <c r="M652" i="5"/>
  <c r="N652" i="5" s="1"/>
  <c r="M653" i="5"/>
  <c r="N653" i="5" s="1"/>
  <c r="M654" i="5"/>
  <c r="N654" i="5" s="1"/>
  <c r="M655" i="5"/>
  <c r="N655" i="5" s="1"/>
  <c r="M656" i="5"/>
  <c r="N656" i="5" s="1"/>
  <c r="M657" i="5"/>
  <c r="N657" i="5" s="1"/>
  <c r="M658" i="5"/>
  <c r="N658" i="5" s="1"/>
  <c r="M659" i="5"/>
  <c r="N659" i="5" s="1"/>
  <c r="M660" i="5"/>
  <c r="N660" i="5" s="1"/>
  <c r="M661" i="5"/>
  <c r="N661" i="5" s="1"/>
  <c r="M662" i="5"/>
  <c r="N662" i="5" s="1"/>
  <c r="M663" i="5"/>
  <c r="N663" i="5" s="1"/>
  <c r="M664" i="5"/>
  <c r="N664" i="5" s="1"/>
  <c r="M665" i="5"/>
  <c r="N665" i="5" s="1"/>
  <c r="M666" i="5"/>
  <c r="N666" i="5" s="1"/>
  <c r="M667" i="5"/>
  <c r="N667" i="5" s="1"/>
  <c r="M668" i="5"/>
  <c r="N668" i="5" s="1"/>
  <c r="M669" i="5"/>
  <c r="N669" i="5" s="1"/>
  <c r="M670" i="5"/>
  <c r="N670" i="5" s="1"/>
  <c r="M671" i="5"/>
  <c r="N671" i="5" s="1"/>
  <c r="M672" i="5"/>
  <c r="N672" i="5" s="1"/>
  <c r="M673" i="5"/>
  <c r="N673" i="5" s="1"/>
  <c r="M674" i="5"/>
  <c r="N674" i="5" s="1"/>
  <c r="M675" i="5"/>
  <c r="N675" i="5" s="1"/>
  <c r="M676" i="5"/>
  <c r="N676" i="5" s="1"/>
  <c r="M677" i="5"/>
  <c r="N677" i="5" s="1"/>
  <c r="M678" i="5"/>
  <c r="N678" i="5" s="1"/>
  <c r="M679" i="5"/>
  <c r="N679" i="5" s="1"/>
  <c r="M680" i="5"/>
  <c r="N680" i="5" s="1"/>
  <c r="M681" i="5"/>
  <c r="N681" i="5" s="1"/>
  <c r="M682" i="5"/>
  <c r="N682" i="5" s="1"/>
  <c r="M683" i="5"/>
  <c r="N683" i="5" s="1"/>
  <c r="M684" i="5"/>
  <c r="N684" i="5" s="1"/>
  <c r="M685" i="5"/>
  <c r="N685" i="5" s="1"/>
  <c r="M686" i="5"/>
  <c r="N686" i="5" s="1"/>
  <c r="M687" i="5"/>
  <c r="N687" i="5" s="1"/>
  <c r="M688" i="5"/>
  <c r="N688" i="5" s="1"/>
  <c r="M689" i="5"/>
  <c r="N689" i="5" s="1"/>
  <c r="M690" i="5"/>
  <c r="N690" i="5" s="1"/>
  <c r="M691" i="5"/>
  <c r="N691" i="5" s="1"/>
  <c r="M692" i="5"/>
  <c r="N692" i="5" s="1"/>
  <c r="M693" i="5"/>
  <c r="N693" i="5" s="1"/>
  <c r="M694" i="5"/>
  <c r="N694" i="5" s="1"/>
  <c r="M695" i="5"/>
  <c r="N695" i="5" s="1"/>
  <c r="M696" i="5"/>
  <c r="N696" i="5" s="1"/>
  <c r="M697" i="5"/>
  <c r="N697" i="5" s="1"/>
  <c r="M698" i="5"/>
  <c r="N698" i="5" s="1"/>
  <c r="M699" i="5"/>
  <c r="N699" i="5" s="1"/>
  <c r="M700" i="5"/>
  <c r="M701" i="5"/>
  <c r="N701" i="5" s="1"/>
  <c r="U2339" i="5"/>
  <c r="U2199" i="5"/>
  <c r="M702" i="5"/>
  <c r="N702" i="5" s="1"/>
  <c r="M703" i="5"/>
  <c r="N703" i="5" s="1"/>
  <c r="M704" i="5"/>
  <c r="N704" i="5" s="1"/>
  <c r="M705" i="5"/>
  <c r="N705" i="5" s="1"/>
  <c r="M706" i="5"/>
  <c r="N706" i="5" s="1"/>
  <c r="M707" i="5"/>
  <c r="N707" i="5" s="1"/>
  <c r="M708" i="5"/>
  <c r="N708" i="5" s="1"/>
  <c r="M709" i="5"/>
  <c r="N709" i="5" s="1"/>
  <c r="M710" i="5"/>
  <c r="N710" i="5" s="1"/>
  <c r="M711" i="5"/>
  <c r="N711" i="5" s="1"/>
  <c r="M712" i="5"/>
  <c r="N712" i="5" s="1"/>
  <c r="M713" i="5"/>
  <c r="N713" i="5" s="1"/>
  <c r="M714" i="5"/>
  <c r="N714" i="5" s="1"/>
  <c r="M715" i="5"/>
  <c r="N715" i="5" s="1"/>
  <c r="M716" i="5"/>
  <c r="N716" i="5" s="1"/>
  <c r="M717" i="5"/>
  <c r="N717" i="5" s="1"/>
  <c r="M718" i="5"/>
  <c r="N718" i="5" s="1"/>
  <c r="M719" i="5"/>
  <c r="N719" i="5" s="1"/>
  <c r="M720" i="5"/>
  <c r="N720" i="5" s="1"/>
  <c r="M721" i="5"/>
  <c r="N721" i="5" s="1"/>
  <c r="M722" i="5"/>
  <c r="N722" i="5" s="1"/>
  <c r="M723" i="5"/>
  <c r="N723" i="5" s="1"/>
  <c r="M724" i="5"/>
  <c r="N724" i="5" s="1"/>
  <c r="M725" i="5"/>
  <c r="N725" i="5" s="1"/>
  <c r="M726" i="5"/>
  <c r="N726" i="5" s="1"/>
  <c r="M727" i="5"/>
  <c r="M728" i="5"/>
  <c r="N728" i="5" s="1"/>
  <c r="M729" i="5"/>
  <c r="N729" i="5" s="1"/>
  <c r="M730" i="5"/>
  <c r="N730" i="5" s="1"/>
  <c r="M731" i="5"/>
  <c r="N731" i="5" s="1"/>
  <c r="M732" i="5"/>
  <c r="N732" i="5" s="1"/>
  <c r="M733" i="5"/>
  <c r="M734" i="5"/>
  <c r="N734" i="5" s="1"/>
  <c r="M735" i="5"/>
  <c r="N735" i="5" s="1"/>
  <c r="M736" i="5"/>
  <c r="N736" i="5" s="1"/>
  <c r="M737" i="5"/>
  <c r="N737" i="5" s="1"/>
  <c r="M738" i="5"/>
  <c r="N738" i="5" s="1"/>
  <c r="M739" i="5"/>
  <c r="N739" i="5" s="1"/>
  <c r="M740" i="5"/>
  <c r="N740" i="5" s="1"/>
  <c r="M741" i="5"/>
  <c r="N741" i="5" s="1"/>
  <c r="M742" i="5"/>
  <c r="N742" i="5" s="1"/>
  <c r="M743" i="5"/>
  <c r="N743" i="5" s="1"/>
  <c r="M744" i="5"/>
  <c r="N744" i="5" s="1"/>
  <c r="M745" i="5"/>
  <c r="N745" i="5" s="1"/>
  <c r="M746" i="5"/>
  <c r="N746" i="5" s="1"/>
  <c r="M747" i="5"/>
  <c r="N747" i="5" s="1"/>
  <c r="M748" i="5"/>
  <c r="N748" i="5" s="1"/>
  <c r="M749" i="5"/>
  <c r="N749" i="5" s="1"/>
  <c r="M750" i="5"/>
  <c r="N750" i="5" s="1"/>
  <c r="M751" i="5"/>
  <c r="N751" i="5" s="1"/>
  <c r="M752" i="5"/>
  <c r="N752" i="5" s="1"/>
  <c r="M753" i="5"/>
  <c r="N753" i="5" s="1"/>
  <c r="M754" i="5"/>
  <c r="M755" i="5"/>
  <c r="M756" i="5"/>
  <c r="N756" i="5" s="1"/>
  <c r="M757" i="5"/>
  <c r="N757" i="5" s="1"/>
  <c r="M758" i="5"/>
  <c r="N758" i="5" s="1"/>
  <c r="M759" i="5"/>
  <c r="N759" i="5" s="1"/>
  <c r="M760" i="5"/>
  <c r="N760" i="5" s="1"/>
  <c r="M761" i="5"/>
  <c r="N761" i="5" s="1"/>
  <c r="M762" i="5"/>
  <c r="N762" i="5" s="1"/>
  <c r="M763" i="5"/>
  <c r="N763" i="5" s="1"/>
  <c r="M764" i="5"/>
  <c r="N764" i="5" s="1"/>
  <c r="M765" i="5"/>
  <c r="N765" i="5" s="1"/>
  <c r="M766" i="5"/>
  <c r="N766" i="5" s="1"/>
  <c r="M767" i="5"/>
  <c r="N767" i="5" s="1"/>
  <c r="M768" i="5"/>
  <c r="N768" i="5" s="1"/>
  <c r="M769" i="5"/>
  <c r="N769" i="5" s="1"/>
  <c r="M770" i="5"/>
  <c r="N770" i="5" s="1"/>
  <c r="M771" i="5"/>
  <c r="N771" i="5" s="1"/>
  <c r="M772" i="5"/>
  <c r="N772" i="5" s="1"/>
  <c r="M773" i="5"/>
  <c r="N773" i="5" s="1"/>
  <c r="M774" i="5"/>
  <c r="N774" i="5" s="1"/>
  <c r="M775" i="5"/>
  <c r="N775" i="5" s="1"/>
  <c r="M776" i="5"/>
  <c r="N776" i="5" s="1"/>
  <c r="M777" i="5"/>
  <c r="N777" i="5" s="1"/>
  <c r="M778" i="5"/>
  <c r="N778" i="5" s="1"/>
  <c r="M779" i="5"/>
  <c r="N779" i="5" s="1"/>
  <c r="M780" i="5"/>
  <c r="N780" i="5" s="1"/>
  <c r="M781" i="5"/>
  <c r="N781" i="5" s="1"/>
  <c r="M782" i="5"/>
  <c r="N782" i="5" s="1"/>
  <c r="M783" i="5"/>
  <c r="N783" i="5" s="1"/>
  <c r="M784" i="5"/>
  <c r="N784" i="5" s="1"/>
  <c r="M785" i="5"/>
  <c r="N785" i="5" s="1"/>
  <c r="M786" i="5"/>
  <c r="N786" i="5" s="1"/>
  <c r="M787" i="5"/>
  <c r="N787" i="5" s="1"/>
  <c r="M788" i="5"/>
  <c r="N788" i="5" s="1"/>
  <c r="M789" i="5"/>
  <c r="N789" i="5" s="1"/>
  <c r="M790" i="5"/>
  <c r="N790" i="5" s="1"/>
  <c r="M791" i="5"/>
  <c r="N791" i="5" s="1"/>
  <c r="M792" i="5"/>
  <c r="N792" i="5" s="1"/>
  <c r="M793" i="5"/>
  <c r="N793" i="5" s="1"/>
  <c r="M794" i="5"/>
  <c r="N794" i="5" s="1"/>
  <c r="M795" i="5"/>
  <c r="N795" i="5" s="1"/>
  <c r="M796" i="5"/>
  <c r="N796" i="5" s="1"/>
  <c r="M797" i="5"/>
  <c r="N797" i="5" s="1"/>
  <c r="M798" i="5"/>
  <c r="N798" i="5" s="1"/>
  <c r="M799" i="5"/>
  <c r="N799" i="5" s="1"/>
  <c r="M800" i="5"/>
  <c r="N800" i="5" s="1"/>
  <c r="M801" i="5"/>
  <c r="N801" i="5" s="1"/>
  <c r="M802" i="5"/>
  <c r="N802" i="5" s="1"/>
  <c r="M803" i="5"/>
  <c r="N803" i="5" s="1"/>
  <c r="M804" i="5"/>
  <c r="N804" i="5" s="1"/>
  <c r="M805" i="5"/>
  <c r="N805" i="5" s="1"/>
  <c r="M806" i="5"/>
  <c r="N806" i="5" s="1"/>
  <c r="M807" i="5"/>
  <c r="N807" i="5" s="1"/>
  <c r="M808" i="5"/>
  <c r="N808" i="5" s="1"/>
  <c r="M809" i="5"/>
  <c r="N809" i="5" s="1"/>
  <c r="M810" i="5"/>
  <c r="N810" i="5" s="1"/>
  <c r="M811" i="5"/>
  <c r="N811" i="5" s="1"/>
  <c r="M896" i="5"/>
  <c r="N896" i="5" s="1"/>
  <c r="M898" i="5"/>
  <c r="N898" i="5" s="1"/>
  <c r="M900" i="5"/>
  <c r="N900" i="5" s="1"/>
  <c r="M901" i="5"/>
  <c r="N901" i="5" s="1"/>
  <c r="M902" i="5"/>
  <c r="N902" i="5" s="1"/>
  <c r="M903" i="5"/>
  <c r="N903" i="5" s="1"/>
  <c r="M904" i="5"/>
  <c r="N904" i="5" s="1"/>
  <c r="M905" i="5"/>
  <c r="N905" i="5" s="1"/>
  <c r="M906" i="5"/>
  <c r="N906" i="5" s="1"/>
  <c r="M907" i="5"/>
  <c r="N907" i="5" s="1"/>
  <c r="M908" i="5"/>
  <c r="N908" i="5" s="1"/>
  <c r="M909" i="5"/>
  <c r="N909" i="5" s="1"/>
  <c r="M910" i="5"/>
  <c r="N910" i="5" s="1"/>
  <c r="M911" i="5"/>
  <c r="N911" i="5" s="1"/>
  <c r="M912" i="5"/>
  <c r="N912" i="5" s="1"/>
  <c r="M913" i="5"/>
  <c r="N913" i="5" s="1"/>
  <c r="M914" i="5"/>
  <c r="N914" i="5" s="1"/>
  <c r="M915" i="5"/>
  <c r="N915" i="5" s="1"/>
  <c r="M916" i="5"/>
  <c r="N916" i="5" s="1"/>
  <c r="M917" i="5"/>
  <c r="N917" i="5" s="1"/>
  <c r="M919" i="5"/>
  <c r="N919" i="5" s="1"/>
  <c r="M921" i="5"/>
  <c r="N921" i="5" s="1"/>
  <c r="M923" i="5"/>
  <c r="N923" i="5" s="1"/>
  <c r="M924" i="5"/>
  <c r="N924" i="5" s="1"/>
  <c r="M926" i="5"/>
  <c r="N926" i="5" s="1"/>
  <c r="M928" i="5"/>
  <c r="N928" i="5" s="1"/>
  <c r="M930" i="5"/>
  <c r="N930" i="5" s="1"/>
  <c r="M932" i="5"/>
  <c r="N932" i="5" s="1"/>
  <c r="M934" i="5"/>
  <c r="N934" i="5" s="1"/>
  <c r="M936" i="5"/>
  <c r="N936" i="5" s="1"/>
  <c r="M937" i="5"/>
  <c r="N937" i="5" s="1"/>
  <c r="M939" i="5"/>
  <c r="N939" i="5" s="1"/>
  <c r="M941" i="5"/>
  <c r="N941" i="5" s="1"/>
  <c r="M943" i="5"/>
  <c r="N943" i="5" s="1"/>
  <c r="M945" i="5"/>
  <c r="N945" i="5" s="1"/>
  <c r="M947" i="5"/>
  <c r="N947" i="5" s="1"/>
  <c r="M949" i="5"/>
  <c r="N949" i="5" s="1"/>
  <c r="M951" i="5"/>
  <c r="N951" i="5" s="1"/>
  <c r="M953" i="5"/>
  <c r="N953" i="5" s="1"/>
  <c r="M954" i="5"/>
  <c r="N954" i="5" s="1"/>
  <c r="M956" i="5"/>
  <c r="N956" i="5" s="1"/>
  <c r="M958" i="5"/>
  <c r="N958" i="5" s="1"/>
  <c r="M960" i="5"/>
  <c r="N960" i="5" s="1"/>
  <c r="M962" i="5"/>
  <c r="N962" i="5" s="1"/>
  <c r="M964" i="5"/>
  <c r="N964" i="5" s="1"/>
  <c r="M966" i="5"/>
  <c r="N966" i="5" s="1"/>
  <c r="M968" i="5"/>
  <c r="N968" i="5" s="1"/>
  <c r="M970" i="5"/>
  <c r="N970" i="5" s="1"/>
  <c r="M972" i="5"/>
  <c r="N972" i="5" s="1"/>
  <c r="M974" i="5"/>
  <c r="N974" i="5" s="1"/>
  <c r="M976" i="5"/>
  <c r="N976" i="5" s="1"/>
  <c r="M978" i="5"/>
  <c r="N978" i="5" s="1"/>
  <c r="M980" i="5"/>
  <c r="N980" i="5" s="1"/>
  <c r="M982" i="5"/>
  <c r="N982" i="5" s="1"/>
  <c r="M984" i="5"/>
  <c r="N984" i="5" s="1"/>
  <c r="M985" i="5"/>
  <c r="N985" i="5" s="1"/>
  <c r="M988" i="5"/>
  <c r="N988" i="5" s="1"/>
  <c r="M989" i="5"/>
  <c r="N989" i="5" s="1"/>
  <c r="M991" i="5"/>
  <c r="N991" i="5" s="1"/>
  <c r="M993" i="5"/>
  <c r="N993" i="5" s="1"/>
  <c r="M995" i="5"/>
  <c r="N995" i="5" s="1"/>
  <c r="M1008" i="5"/>
  <c r="N1008" i="5" s="1"/>
  <c r="M1009" i="5"/>
  <c r="N1009" i="5" s="1"/>
  <c r="M812" i="5"/>
  <c r="N812" i="5" s="1"/>
  <c r="M813" i="5"/>
  <c r="N813" i="5" s="1"/>
  <c r="M814" i="5"/>
  <c r="N814" i="5" s="1"/>
  <c r="M815" i="5"/>
  <c r="N815" i="5" s="1"/>
  <c r="M816" i="5"/>
  <c r="N816" i="5" s="1"/>
  <c r="M817" i="5"/>
  <c r="N817" i="5" s="1"/>
  <c r="M818" i="5"/>
  <c r="N818" i="5" s="1"/>
  <c r="M819" i="5"/>
  <c r="N819" i="5" s="1"/>
  <c r="M820" i="5"/>
  <c r="N820" i="5" s="1"/>
  <c r="M821" i="5"/>
  <c r="N821" i="5" s="1"/>
  <c r="M822" i="5"/>
  <c r="N822" i="5" s="1"/>
  <c r="M823" i="5"/>
  <c r="N823" i="5" s="1"/>
  <c r="M824" i="5"/>
  <c r="N824" i="5" s="1"/>
  <c r="M825" i="5"/>
  <c r="N825" i="5" s="1"/>
  <c r="M826" i="5"/>
  <c r="N826" i="5" s="1"/>
  <c r="M827" i="5"/>
  <c r="N827" i="5" s="1"/>
  <c r="M828" i="5"/>
  <c r="N828" i="5" s="1"/>
  <c r="M829" i="5"/>
  <c r="N829" i="5" s="1"/>
  <c r="M830" i="5"/>
  <c r="N830" i="5" s="1"/>
  <c r="M831" i="5"/>
  <c r="N831" i="5" s="1"/>
  <c r="M832" i="5"/>
  <c r="N832" i="5" s="1"/>
  <c r="M833" i="5"/>
  <c r="N833" i="5" s="1"/>
  <c r="M834" i="5"/>
  <c r="N834" i="5" s="1"/>
  <c r="M835" i="5"/>
  <c r="N835" i="5" s="1"/>
  <c r="M836" i="5"/>
  <c r="N836" i="5" s="1"/>
  <c r="M837" i="5"/>
  <c r="N837" i="5" s="1"/>
  <c r="M838" i="5"/>
  <c r="N838" i="5" s="1"/>
  <c r="M839" i="5"/>
  <c r="N839" i="5" s="1"/>
  <c r="M840" i="5"/>
  <c r="N840" i="5" s="1"/>
  <c r="M841" i="5"/>
  <c r="N841" i="5" s="1"/>
  <c r="M842" i="5"/>
  <c r="N842" i="5" s="1"/>
  <c r="M843" i="5"/>
  <c r="N843" i="5" s="1"/>
  <c r="M844" i="5"/>
  <c r="N844" i="5" s="1"/>
  <c r="M845" i="5"/>
  <c r="N845" i="5" s="1"/>
  <c r="M846" i="5"/>
  <c r="N846" i="5" s="1"/>
  <c r="M847" i="5"/>
  <c r="N847" i="5" s="1"/>
  <c r="M848" i="5"/>
  <c r="N848" i="5" s="1"/>
  <c r="M849" i="5"/>
  <c r="N849" i="5" s="1"/>
  <c r="M850" i="5"/>
  <c r="N850" i="5" s="1"/>
  <c r="M851" i="5"/>
  <c r="N851" i="5" s="1"/>
  <c r="M852" i="5"/>
  <c r="N852" i="5" s="1"/>
  <c r="M853" i="5"/>
  <c r="N853" i="5" s="1"/>
  <c r="M854" i="5"/>
  <c r="N854" i="5" s="1"/>
  <c r="M855" i="5"/>
  <c r="N855" i="5" s="1"/>
  <c r="M856" i="5"/>
  <c r="N856" i="5" s="1"/>
  <c r="M857" i="5"/>
  <c r="N857" i="5" s="1"/>
  <c r="M858" i="5"/>
  <c r="N858" i="5" s="1"/>
  <c r="M859" i="5"/>
  <c r="N859" i="5" s="1"/>
  <c r="M860" i="5"/>
  <c r="N860" i="5" s="1"/>
  <c r="M861" i="5"/>
  <c r="N861" i="5" s="1"/>
  <c r="M862" i="5"/>
  <c r="N862" i="5" s="1"/>
  <c r="M863" i="5"/>
  <c r="N863" i="5" s="1"/>
  <c r="M864" i="5"/>
  <c r="N864" i="5" s="1"/>
  <c r="M865" i="5"/>
  <c r="N865" i="5" s="1"/>
  <c r="M866" i="5"/>
  <c r="N866" i="5" s="1"/>
  <c r="M867" i="5"/>
  <c r="N867" i="5" s="1"/>
  <c r="M868" i="5"/>
  <c r="N868" i="5" s="1"/>
  <c r="M869" i="5"/>
  <c r="N869" i="5" s="1"/>
  <c r="M870" i="5"/>
  <c r="N870" i="5" s="1"/>
  <c r="M871" i="5"/>
  <c r="N871" i="5" s="1"/>
  <c r="M872" i="5"/>
  <c r="N872" i="5" s="1"/>
  <c r="M873" i="5"/>
  <c r="N873" i="5" s="1"/>
  <c r="M874" i="5"/>
  <c r="N874" i="5" s="1"/>
  <c r="M875" i="5"/>
  <c r="N875" i="5" s="1"/>
  <c r="M876" i="5"/>
  <c r="N876" i="5" s="1"/>
  <c r="M877" i="5"/>
  <c r="N877" i="5" s="1"/>
  <c r="M878" i="5"/>
  <c r="N878" i="5" s="1"/>
  <c r="M879" i="5"/>
  <c r="N879" i="5" s="1"/>
  <c r="M880" i="5"/>
  <c r="N880" i="5" s="1"/>
  <c r="M881" i="5"/>
  <c r="N881" i="5" s="1"/>
  <c r="M882" i="5"/>
  <c r="N882" i="5" s="1"/>
  <c r="M883" i="5"/>
  <c r="N883" i="5" s="1"/>
  <c r="M884" i="5"/>
  <c r="N884" i="5" s="1"/>
  <c r="M885" i="5"/>
  <c r="N885" i="5" s="1"/>
  <c r="M886" i="5"/>
  <c r="N886" i="5" s="1"/>
  <c r="M887" i="5"/>
  <c r="N887" i="5" s="1"/>
  <c r="M888" i="5"/>
  <c r="N888" i="5" s="1"/>
  <c r="M889" i="5"/>
  <c r="N889" i="5" s="1"/>
  <c r="M890" i="5"/>
  <c r="N890" i="5" s="1"/>
  <c r="M891" i="5"/>
  <c r="N891" i="5" s="1"/>
  <c r="M892" i="5"/>
  <c r="N892" i="5" s="1"/>
  <c r="M893" i="5"/>
  <c r="N893" i="5" s="1"/>
  <c r="M894" i="5"/>
  <c r="N894" i="5" s="1"/>
  <c r="M895" i="5"/>
  <c r="N895" i="5" s="1"/>
  <c r="M897" i="5"/>
  <c r="N897" i="5" s="1"/>
  <c r="M899" i="5"/>
  <c r="N899" i="5" s="1"/>
  <c r="M918" i="5"/>
  <c r="N918" i="5" s="1"/>
  <c r="M920" i="5"/>
  <c r="N920" i="5" s="1"/>
  <c r="M922" i="5"/>
  <c r="N922" i="5" s="1"/>
  <c r="M925" i="5"/>
  <c r="N925" i="5" s="1"/>
  <c r="M927" i="5"/>
  <c r="N927" i="5" s="1"/>
  <c r="M929" i="5"/>
  <c r="N929" i="5" s="1"/>
  <c r="M931" i="5"/>
  <c r="N931" i="5" s="1"/>
  <c r="M933" i="5"/>
  <c r="N933" i="5" s="1"/>
  <c r="M935" i="5"/>
  <c r="N935" i="5" s="1"/>
  <c r="M938" i="5"/>
  <c r="N938" i="5" s="1"/>
  <c r="M940" i="5"/>
  <c r="N940" i="5" s="1"/>
  <c r="M942" i="5"/>
  <c r="N942" i="5" s="1"/>
  <c r="M944" i="5"/>
  <c r="N944" i="5" s="1"/>
  <c r="M946" i="5"/>
  <c r="N946" i="5" s="1"/>
  <c r="M948" i="5"/>
  <c r="N948" i="5" s="1"/>
  <c r="M950" i="5"/>
  <c r="N950" i="5" s="1"/>
  <c r="M952" i="5"/>
  <c r="N952" i="5" s="1"/>
  <c r="M955" i="5"/>
  <c r="N955" i="5" s="1"/>
  <c r="M957" i="5"/>
  <c r="N957" i="5" s="1"/>
  <c r="M959" i="5"/>
  <c r="N959" i="5" s="1"/>
  <c r="M961" i="5"/>
  <c r="N961" i="5" s="1"/>
  <c r="M963" i="5"/>
  <c r="N963" i="5" s="1"/>
  <c r="M965" i="5"/>
  <c r="N965" i="5" s="1"/>
  <c r="M967" i="5"/>
  <c r="N967" i="5" s="1"/>
  <c r="M969" i="5"/>
  <c r="N969" i="5" s="1"/>
  <c r="M971" i="5"/>
  <c r="N971" i="5" s="1"/>
  <c r="M973" i="5"/>
  <c r="N973" i="5" s="1"/>
  <c r="M975" i="5"/>
  <c r="N975" i="5" s="1"/>
  <c r="M977" i="5"/>
  <c r="N977" i="5" s="1"/>
  <c r="M979" i="5"/>
  <c r="N979" i="5" s="1"/>
  <c r="M981" i="5"/>
  <c r="N981" i="5" s="1"/>
  <c r="M983" i="5"/>
  <c r="N983" i="5" s="1"/>
  <c r="M986" i="5"/>
  <c r="N986" i="5" s="1"/>
  <c r="M987" i="5"/>
  <c r="N987" i="5" s="1"/>
  <c r="M990" i="5"/>
  <c r="N990" i="5" s="1"/>
  <c r="M992" i="5"/>
  <c r="N992" i="5" s="1"/>
  <c r="M994" i="5"/>
  <c r="N994" i="5" s="1"/>
  <c r="M996" i="5"/>
  <c r="N996" i="5" s="1"/>
  <c r="M997" i="5"/>
  <c r="N997" i="5" s="1"/>
  <c r="M998" i="5"/>
  <c r="N998" i="5" s="1"/>
  <c r="M999" i="5"/>
  <c r="N999" i="5" s="1"/>
  <c r="M1000" i="5"/>
  <c r="N1000" i="5" s="1"/>
  <c r="M1001" i="5"/>
  <c r="N1001" i="5" s="1"/>
  <c r="M1002" i="5"/>
  <c r="N1002" i="5" s="1"/>
  <c r="M1003" i="5"/>
  <c r="N1003" i="5" s="1"/>
  <c r="M1004" i="5"/>
  <c r="N1004" i="5" s="1"/>
  <c r="M1005" i="5"/>
  <c r="N1005" i="5" s="1"/>
  <c r="M1006" i="5"/>
  <c r="N1006" i="5" s="1"/>
  <c r="M1007" i="5"/>
  <c r="N1007" i="5" s="1"/>
  <c r="M1010" i="5"/>
  <c r="N1010" i="5" s="1"/>
  <c r="U2304" i="5"/>
  <c r="AQ2378" i="5"/>
  <c r="AR2378" i="5"/>
  <c r="AU2378" i="5"/>
  <c r="AV2378" i="5"/>
  <c r="AR2377" i="5"/>
  <c r="AQ2377" i="5"/>
  <c r="AU2377" i="5"/>
  <c r="AV2377" i="5"/>
  <c r="AQ2368" i="5"/>
  <c r="AR2368" i="5"/>
  <c r="AV2368" i="5"/>
  <c r="AU2368" i="5"/>
  <c r="AQ2305" i="5"/>
  <c r="AR2305" i="5"/>
  <c r="AV2305" i="5"/>
  <c r="AU2305" i="5"/>
  <c r="W2347" i="5"/>
  <c r="AO2347" i="5" s="1"/>
  <c r="AT2347" i="5"/>
  <c r="AP2347" i="5"/>
  <c r="X2347" i="5"/>
  <c r="U2316" i="5"/>
  <c r="U2376" i="5"/>
  <c r="U2342" i="5"/>
  <c r="U2305" i="5"/>
  <c r="U2290" i="5"/>
  <c r="U2281" i="5"/>
  <c r="U2279" i="5"/>
  <c r="U2278" i="5"/>
  <c r="U2277" i="5"/>
  <c r="U2258" i="5"/>
  <c r="U2264" i="5"/>
  <c r="U2173" i="5"/>
  <c r="U2197" i="5"/>
  <c r="U2130" i="5"/>
  <c r="U2123" i="5"/>
  <c r="U2122" i="5"/>
  <c r="U2120" i="5"/>
  <c r="U2117" i="5"/>
  <c r="U2113" i="5"/>
  <c r="U2111" i="5"/>
  <c r="S2379" i="5"/>
  <c r="AA2379" i="5" s="1"/>
  <c r="T2379" i="5"/>
  <c r="V2379" i="5" s="1"/>
  <c r="T2378" i="5"/>
  <c r="S2378" i="5"/>
  <c r="AA2378" i="5" s="1"/>
  <c r="T2377" i="5"/>
  <c r="S2377" i="5"/>
  <c r="AA2377" i="5" s="1"/>
  <c r="S2376" i="5"/>
  <c r="AA2376" i="5" s="1"/>
  <c r="T2376" i="5"/>
  <c r="T2375" i="5"/>
  <c r="V2375" i="5" s="1"/>
  <c r="S2375" i="5"/>
  <c r="AA2375" i="5" s="1"/>
  <c r="T2374" i="5"/>
  <c r="V2374" i="5" s="1"/>
  <c r="S2374" i="5"/>
  <c r="AA2374" i="5" s="1"/>
  <c r="S2373" i="5"/>
  <c r="AA2373" i="5" s="1"/>
  <c r="T2373" i="5"/>
  <c r="V2373" i="5" s="1"/>
  <c r="T2372" i="5"/>
  <c r="V2372" i="5" s="1"/>
  <c r="S2372" i="5"/>
  <c r="AA2372" i="5" s="1"/>
  <c r="T2371" i="5"/>
  <c r="V2371" i="5" s="1"/>
  <c r="S2371" i="5"/>
  <c r="AA2371" i="5" s="1"/>
  <c r="T2370" i="5"/>
  <c r="V2370" i="5" s="1"/>
  <c r="S2370" i="5"/>
  <c r="AA2370" i="5" s="1"/>
  <c r="S2369" i="5"/>
  <c r="AA2369" i="5" s="1"/>
  <c r="T2369" i="5"/>
  <c r="V2369" i="5" s="1"/>
  <c r="T2368" i="5"/>
  <c r="S2368" i="5"/>
  <c r="AA2368" i="5" s="1"/>
  <c r="T2367" i="5"/>
  <c r="V2367" i="5" s="1"/>
  <c r="S2367" i="5"/>
  <c r="AA2367" i="5" s="1"/>
  <c r="T2366" i="5"/>
  <c r="V2366" i="5" s="1"/>
  <c r="S2366" i="5"/>
  <c r="AA2366" i="5" s="1"/>
  <c r="T2365" i="5"/>
  <c r="V2365" i="5" s="1"/>
  <c r="S2365" i="5"/>
  <c r="AA2365" i="5" s="1"/>
  <c r="T2364" i="5"/>
  <c r="V2364" i="5" s="1"/>
  <c r="S2364" i="5"/>
  <c r="AA2364" i="5" s="1"/>
  <c r="T2363" i="5"/>
  <c r="V2363" i="5" s="1"/>
  <c r="S2363" i="5"/>
  <c r="AA2363" i="5" s="1"/>
  <c r="T2362" i="5"/>
  <c r="V2362" i="5" s="1"/>
  <c r="S2362" i="5"/>
  <c r="AA2362" i="5" s="1"/>
  <c r="T2361" i="5"/>
  <c r="V2361" i="5" s="1"/>
  <c r="S2361" i="5"/>
  <c r="AA2361" i="5" s="1"/>
  <c r="T2360" i="5"/>
  <c r="V2360" i="5" s="1"/>
  <c r="S2360" i="5"/>
  <c r="AA2360" i="5" s="1"/>
  <c r="T2359" i="5"/>
  <c r="V2359" i="5" s="1"/>
  <c r="S2359" i="5"/>
  <c r="AA2359" i="5" s="1"/>
  <c r="T2358" i="5"/>
  <c r="V2358" i="5" s="1"/>
  <c r="S2358" i="5"/>
  <c r="AA2358" i="5" s="1"/>
  <c r="T2357" i="5"/>
  <c r="V2357" i="5" s="1"/>
  <c r="S2357" i="5"/>
  <c r="AA2357" i="5" s="1"/>
  <c r="T2356" i="5"/>
  <c r="V2356" i="5" s="1"/>
  <c r="S2356" i="5"/>
  <c r="AA2356" i="5" s="1"/>
  <c r="T2355" i="5"/>
  <c r="V2355" i="5" s="1"/>
  <c r="S2355" i="5"/>
  <c r="AA2355" i="5" s="1"/>
  <c r="T2354" i="5"/>
  <c r="V2354" i="5" s="1"/>
  <c r="S2354" i="5"/>
  <c r="AA2354" i="5" s="1"/>
  <c r="T2353" i="5"/>
  <c r="V2353" i="5" s="1"/>
  <c r="S2353" i="5"/>
  <c r="AA2353" i="5" s="1"/>
  <c r="T2352" i="5"/>
  <c r="V2352" i="5" s="1"/>
  <c r="S2352" i="5"/>
  <c r="AA2352" i="5" s="1"/>
  <c r="T2351" i="5"/>
  <c r="V2351" i="5" s="1"/>
  <c r="S2351" i="5"/>
  <c r="AA2351" i="5" s="1"/>
  <c r="T2350" i="5"/>
  <c r="V2350" i="5" s="1"/>
  <c r="S2350" i="5"/>
  <c r="AA2350" i="5" s="1"/>
  <c r="T2349" i="5"/>
  <c r="V2349" i="5" s="1"/>
  <c r="S2349" i="5"/>
  <c r="AA2349" i="5" s="1"/>
  <c r="T2348" i="5"/>
  <c r="V2348" i="5" s="1"/>
  <c r="S2348" i="5"/>
  <c r="AA2348" i="5" s="1"/>
  <c r="T2347" i="5"/>
  <c r="S2347" i="5"/>
  <c r="AA2347" i="5" s="1"/>
  <c r="T2346" i="5"/>
  <c r="V2346" i="5" s="1"/>
  <c r="S2346" i="5"/>
  <c r="AA2346" i="5" s="1"/>
  <c r="T2345" i="5"/>
  <c r="V2345" i="5" s="1"/>
  <c r="S2345" i="5"/>
  <c r="AA2345" i="5" s="1"/>
  <c r="T2344" i="5"/>
  <c r="V2344" i="5" s="1"/>
  <c r="S2344" i="5"/>
  <c r="AA2344" i="5" s="1"/>
  <c r="T2343" i="5"/>
  <c r="S2343" i="5"/>
  <c r="AA2343" i="5" s="1"/>
  <c r="T2342" i="5"/>
  <c r="V2342" i="5" s="1"/>
  <c r="S2342" i="5"/>
  <c r="AA2342" i="5" s="1"/>
  <c r="S2341" i="5"/>
  <c r="AA2341" i="5" s="1"/>
  <c r="T2341" i="5"/>
  <c r="T2340" i="5"/>
  <c r="S2340" i="5"/>
  <c r="AA2340" i="5" s="1"/>
  <c r="T2339" i="5"/>
  <c r="V2339" i="5" s="1"/>
  <c r="S2339" i="5"/>
  <c r="AA2339" i="5" s="1"/>
  <c r="T2338" i="5"/>
  <c r="V2338" i="5" s="1"/>
  <c r="S2338" i="5"/>
  <c r="AA2338" i="5" s="1"/>
  <c r="S2337" i="5"/>
  <c r="AA2337" i="5" s="1"/>
  <c r="T2337" i="5"/>
  <c r="V2337" i="5" s="1"/>
  <c r="T2336" i="5"/>
  <c r="V2336" i="5" s="1"/>
  <c r="S2336" i="5"/>
  <c r="AA2336" i="5" s="1"/>
  <c r="T2335" i="5"/>
  <c r="V2335" i="5" s="1"/>
  <c r="S2335" i="5"/>
  <c r="AA2335" i="5" s="1"/>
  <c r="T2334" i="5"/>
  <c r="V2334" i="5" s="1"/>
  <c r="S2334" i="5"/>
  <c r="AA2334" i="5" s="1"/>
  <c r="S2333" i="5"/>
  <c r="AA2333" i="5" s="1"/>
  <c r="T2333" i="5"/>
  <c r="V2333" i="5" s="1"/>
  <c r="T2332" i="5"/>
  <c r="V2332" i="5" s="1"/>
  <c r="S2332" i="5"/>
  <c r="AA2332" i="5" s="1"/>
  <c r="T2331" i="5"/>
  <c r="V2331" i="5" s="1"/>
  <c r="S2331" i="5"/>
  <c r="AA2331" i="5" s="1"/>
  <c r="T2330" i="5"/>
  <c r="V2330" i="5" s="1"/>
  <c r="S2330" i="5"/>
  <c r="AA2330" i="5" s="1"/>
  <c r="T2329" i="5"/>
  <c r="V2329" i="5" s="1"/>
  <c r="S2329" i="5"/>
  <c r="AA2329" i="5" s="1"/>
  <c r="T2328" i="5"/>
  <c r="V2328" i="5" s="1"/>
  <c r="S2328" i="5"/>
  <c r="AA2328" i="5" s="1"/>
  <c r="T2327" i="5"/>
  <c r="V2327" i="5" s="1"/>
  <c r="S2327" i="5"/>
  <c r="AA2327" i="5" s="1"/>
  <c r="T2326" i="5"/>
  <c r="V2326" i="5" s="1"/>
  <c r="S2326" i="5"/>
  <c r="AA2326" i="5" s="1"/>
  <c r="T2325" i="5"/>
  <c r="V2325" i="5" s="1"/>
  <c r="S2325" i="5"/>
  <c r="AA2325" i="5" s="1"/>
  <c r="T2324" i="5"/>
  <c r="V2324" i="5" s="1"/>
  <c r="S2324" i="5"/>
  <c r="AA2324" i="5" s="1"/>
  <c r="T2323" i="5"/>
  <c r="V2323" i="5" s="1"/>
  <c r="S2323" i="5"/>
  <c r="AA2323" i="5" s="1"/>
  <c r="T2322" i="5"/>
  <c r="V2322" i="5" s="1"/>
  <c r="S2322" i="5"/>
  <c r="AA2322" i="5" s="1"/>
  <c r="T2321" i="5"/>
  <c r="V2321" i="5" s="1"/>
  <c r="S2321" i="5"/>
  <c r="AA2321" i="5" s="1"/>
  <c r="T2320" i="5"/>
  <c r="V2320" i="5" s="1"/>
  <c r="S2320" i="5"/>
  <c r="AA2320" i="5" s="1"/>
  <c r="T2319" i="5"/>
  <c r="V2319" i="5" s="1"/>
  <c r="S2319" i="5"/>
  <c r="AA2319" i="5" s="1"/>
  <c r="T2318" i="5"/>
  <c r="V2318" i="5" s="1"/>
  <c r="S2318" i="5"/>
  <c r="AA2318" i="5" s="1"/>
  <c r="T2317" i="5"/>
  <c r="V2317" i="5" s="1"/>
  <c r="S2317" i="5"/>
  <c r="AA2317" i="5" s="1"/>
  <c r="T2316" i="5"/>
  <c r="V2316" i="5" s="1"/>
  <c r="S2316" i="5"/>
  <c r="AA2316" i="5" s="1"/>
  <c r="T2315" i="5"/>
  <c r="V2315" i="5" s="1"/>
  <c r="S2315" i="5"/>
  <c r="AA2315" i="5" s="1"/>
  <c r="T2314" i="5"/>
  <c r="V2314" i="5" s="1"/>
  <c r="S2314" i="5"/>
  <c r="AA2314" i="5" s="1"/>
  <c r="T2313" i="5"/>
  <c r="V2313" i="5" s="1"/>
  <c r="S2313" i="5"/>
  <c r="AA2313" i="5" s="1"/>
  <c r="T2312" i="5"/>
  <c r="V2312" i="5" s="1"/>
  <c r="S2312" i="5"/>
  <c r="AA2312" i="5" s="1"/>
  <c r="T2311" i="5"/>
  <c r="V2311" i="5" s="1"/>
  <c r="S2311" i="5"/>
  <c r="AA2311" i="5" s="1"/>
  <c r="T2310" i="5"/>
  <c r="V2310" i="5" s="1"/>
  <c r="S2310" i="5"/>
  <c r="AA2310" i="5" s="1"/>
  <c r="T2309" i="5"/>
  <c r="V2309" i="5" s="1"/>
  <c r="S2309" i="5"/>
  <c r="AA2309" i="5" s="1"/>
  <c r="T2308" i="5"/>
  <c r="V2308" i="5" s="1"/>
  <c r="S2308" i="5"/>
  <c r="AA2308" i="5" s="1"/>
  <c r="T2307" i="5"/>
  <c r="V2307" i="5" s="1"/>
  <c r="S2307" i="5"/>
  <c r="AA2307" i="5" s="1"/>
  <c r="S2306" i="5"/>
  <c r="AA2306" i="5" s="1"/>
  <c r="T2306" i="5"/>
  <c r="V2306" i="5" s="1"/>
  <c r="S2305" i="5"/>
  <c r="AA2305" i="5" s="1"/>
  <c r="T2305" i="5"/>
  <c r="T2304" i="5"/>
  <c r="S2304" i="5"/>
  <c r="AA2304" i="5" s="1"/>
  <c r="T2303" i="5"/>
  <c r="V2303" i="5" s="1"/>
  <c r="S2303" i="5"/>
  <c r="AA2303" i="5" s="1"/>
  <c r="T2302" i="5"/>
  <c r="V2302" i="5" s="1"/>
  <c r="S2302" i="5"/>
  <c r="AA2302" i="5" s="1"/>
  <c r="S2301" i="5"/>
  <c r="AA2301" i="5" s="1"/>
  <c r="T2301" i="5"/>
  <c r="V2301" i="5" s="1"/>
  <c r="T2300" i="5"/>
  <c r="V2300" i="5" s="1"/>
  <c r="S2300" i="5"/>
  <c r="AA2300" i="5" s="1"/>
  <c r="S2299" i="5"/>
  <c r="AA2299" i="5" s="1"/>
  <c r="T2299" i="5"/>
  <c r="V2299" i="5" s="1"/>
  <c r="S2298" i="5"/>
  <c r="AA2298" i="5" s="1"/>
  <c r="T2298" i="5"/>
  <c r="V2298" i="5" s="1"/>
  <c r="T2297" i="5"/>
  <c r="V2297" i="5" s="1"/>
  <c r="S2297" i="5"/>
  <c r="AA2297" i="5" s="1"/>
  <c r="T2296" i="5"/>
  <c r="V2296" i="5" s="1"/>
  <c r="S2296" i="5"/>
  <c r="AA2296" i="5" s="1"/>
  <c r="T2295" i="5"/>
  <c r="V2295" i="5" s="1"/>
  <c r="S2295" i="5"/>
  <c r="AA2295" i="5" s="1"/>
  <c r="T2294" i="5"/>
  <c r="V2294" i="5" s="1"/>
  <c r="S2294" i="5"/>
  <c r="AA2294" i="5" s="1"/>
  <c r="T2293" i="5"/>
  <c r="V2293" i="5" s="1"/>
  <c r="S2293" i="5"/>
  <c r="AA2293" i="5" s="1"/>
  <c r="T2292" i="5"/>
  <c r="V2292" i="5" s="1"/>
  <c r="S2292" i="5"/>
  <c r="AA2292" i="5" s="1"/>
  <c r="T2291" i="5"/>
  <c r="V2291" i="5" s="1"/>
  <c r="S2291" i="5"/>
  <c r="AA2291" i="5" s="1"/>
  <c r="T2290" i="5"/>
  <c r="V2290" i="5" s="1"/>
  <c r="S2290" i="5"/>
  <c r="AA2290" i="5" s="1"/>
  <c r="T2289" i="5"/>
  <c r="V2289" i="5" s="1"/>
  <c r="S2289" i="5"/>
  <c r="AA2289" i="5" s="1"/>
  <c r="T2288" i="5"/>
  <c r="V2288" i="5" s="1"/>
  <c r="S2288" i="5"/>
  <c r="AA2288" i="5" s="1"/>
  <c r="S2287" i="5"/>
  <c r="AA2287" i="5" s="1"/>
  <c r="T2287" i="5"/>
  <c r="V2287" i="5" s="1"/>
  <c r="T2286" i="5"/>
  <c r="V2286" i="5" s="1"/>
  <c r="S2286" i="5"/>
  <c r="AA2286" i="5" s="1"/>
  <c r="S2285" i="5"/>
  <c r="AA2285" i="5" s="1"/>
  <c r="T2285" i="5"/>
  <c r="V2285" i="5" s="1"/>
  <c r="T2284" i="5"/>
  <c r="V2284" i="5" s="1"/>
  <c r="S2284" i="5"/>
  <c r="AA2284" i="5" s="1"/>
  <c r="T2283" i="5"/>
  <c r="V2283" i="5" s="1"/>
  <c r="S2283" i="5"/>
  <c r="AA2283" i="5" s="1"/>
  <c r="T2282" i="5"/>
  <c r="V2282" i="5" s="1"/>
  <c r="S2282" i="5"/>
  <c r="AA2282" i="5" s="1"/>
  <c r="T2281" i="5"/>
  <c r="V2281" i="5" s="1"/>
  <c r="S2281" i="5"/>
  <c r="AA2281" i="5" s="1"/>
  <c r="T2280" i="5"/>
  <c r="V2280" i="5" s="1"/>
  <c r="S2280" i="5"/>
  <c r="AA2280" i="5" s="1"/>
  <c r="T2279" i="5"/>
  <c r="V2279" i="5" s="1"/>
  <c r="S2279" i="5"/>
  <c r="AA2279" i="5" s="1"/>
  <c r="T2278" i="5"/>
  <c r="V2278" i="5" s="1"/>
  <c r="S2278" i="5"/>
  <c r="AA2278" i="5" s="1"/>
  <c r="T2277" i="5"/>
  <c r="V2277" i="5" s="1"/>
  <c r="S2277" i="5"/>
  <c r="AA2277" i="5" s="1"/>
  <c r="T2276" i="5"/>
  <c r="V2276" i="5" s="1"/>
  <c r="S2276" i="5"/>
  <c r="AA2276" i="5" s="1"/>
  <c r="T2275" i="5"/>
  <c r="V2275" i="5" s="1"/>
  <c r="S2275" i="5"/>
  <c r="AA2275" i="5" s="1"/>
  <c r="T2274" i="5"/>
  <c r="V2274" i="5" s="1"/>
  <c r="S2274" i="5"/>
  <c r="AA2274" i="5" s="1"/>
  <c r="T2273" i="5"/>
  <c r="V2273" i="5" s="1"/>
  <c r="S2273" i="5"/>
  <c r="AA2273" i="5" s="1"/>
  <c r="T2272" i="5"/>
  <c r="V2272" i="5" s="1"/>
  <c r="S2272" i="5"/>
  <c r="AA2272" i="5" s="1"/>
  <c r="T2271" i="5"/>
  <c r="V2271" i="5" s="1"/>
  <c r="S2271" i="5"/>
  <c r="AA2271" i="5" s="1"/>
  <c r="T2270" i="5"/>
  <c r="V2270" i="5" s="1"/>
  <c r="S2270" i="5"/>
  <c r="AA2270" i="5" s="1"/>
  <c r="T2269" i="5"/>
  <c r="V2269" i="5" s="1"/>
  <c r="S2269" i="5"/>
  <c r="AA2269" i="5" s="1"/>
  <c r="T2268" i="5"/>
  <c r="V2268" i="5" s="1"/>
  <c r="S2268" i="5"/>
  <c r="AA2268" i="5" s="1"/>
  <c r="T2267" i="5"/>
  <c r="V2267" i="5" s="1"/>
  <c r="S2267" i="5"/>
  <c r="AA2267" i="5" s="1"/>
  <c r="T2266" i="5"/>
  <c r="V2266" i="5" s="1"/>
  <c r="S2266" i="5"/>
  <c r="AA2266" i="5" s="1"/>
  <c r="T2265" i="5"/>
  <c r="S2265" i="5"/>
  <c r="AA2265" i="5" s="1"/>
  <c r="T2264" i="5"/>
  <c r="V2264" i="5" s="1"/>
  <c r="S2264" i="5"/>
  <c r="AA2264" i="5" s="1"/>
  <c r="S2263" i="5"/>
  <c r="AA2263" i="5" s="1"/>
  <c r="T2263" i="5"/>
  <c r="V2263" i="5" s="1"/>
  <c r="T2262" i="5"/>
  <c r="V2262" i="5" s="1"/>
  <c r="S2262" i="5"/>
  <c r="AA2262" i="5" s="1"/>
  <c r="T2261" i="5"/>
  <c r="V2261" i="5" s="1"/>
  <c r="S2261" i="5"/>
  <c r="AA2261" i="5" s="1"/>
  <c r="Y2260" i="5"/>
  <c r="AL2260" i="5"/>
  <c r="T2259" i="5"/>
  <c r="V2259" i="5" s="1"/>
  <c r="S2259" i="5"/>
  <c r="AA2259" i="5" s="1"/>
  <c r="T2258" i="5"/>
  <c r="V2258" i="5" s="1"/>
  <c r="S2258" i="5"/>
  <c r="AA2258" i="5" s="1"/>
  <c r="T2257" i="5"/>
  <c r="V2257" i="5" s="1"/>
  <c r="S2257" i="5"/>
  <c r="AA2257" i="5" s="1"/>
  <c r="T2256" i="5"/>
  <c r="V2256" i="5" s="1"/>
  <c r="S2256" i="5"/>
  <c r="AA2256" i="5" s="1"/>
  <c r="T2255" i="5"/>
  <c r="V2255" i="5" s="1"/>
  <c r="S2255" i="5"/>
  <c r="AA2255" i="5" s="1"/>
  <c r="T2254" i="5"/>
  <c r="V2254" i="5" s="1"/>
  <c r="S2254" i="5"/>
  <c r="AA2254" i="5" s="1"/>
  <c r="T2253" i="5"/>
  <c r="V2253" i="5" s="1"/>
  <c r="S2253" i="5"/>
  <c r="AA2253" i="5" s="1"/>
  <c r="T2252" i="5"/>
  <c r="V2252" i="5" s="1"/>
  <c r="S2252" i="5"/>
  <c r="AA2252" i="5" s="1"/>
  <c r="T2251" i="5"/>
  <c r="V2251" i="5" s="1"/>
  <c r="S2251" i="5"/>
  <c r="AA2251" i="5" s="1"/>
  <c r="T2250" i="5"/>
  <c r="V2250" i="5" s="1"/>
  <c r="S2250" i="5"/>
  <c r="AA2250" i="5" s="1"/>
  <c r="T2249" i="5"/>
  <c r="V2249" i="5" s="1"/>
  <c r="S2249" i="5"/>
  <c r="AA2249" i="5" s="1"/>
  <c r="T2248" i="5"/>
  <c r="V2248" i="5" s="1"/>
  <c r="S2248" i="5"/>
  <c r="AA2248" i="5" s="1"/>
  <c r="T2247" i="5"/>
  <c r="V2247" i="5" s="1"/>
  <c r="S2247" i="5"/>
  <c r="AA2247" i="5" s="1"/>
  <c r="T2246" i="5"/>
  <c r="V2246" i="5" s="1"/>
  <c r="S2246" i="5"/>
  <c r="AA2246" i="5" s="1"/>
  <c r="T2245" i="5"/>
  <c r="V2245" i="5" s="1"/>
  <c r="S2245" i="5"/>
  <c r="AA2245" i="5" s="1"/>
  <c r="T2244" i="5"/>
  <c r="V2244" i="5" s="1"/>
  <c r="S2244" i="5"/>
  <c r="AA2244" i="5" s="1"/>
  <c r="T2243" i="5"/>
  <c r="V2243" i="5" s="1"/>
  <c r="S2243" i="5"/>
  <c r="AA2243" i="5" s="1"/>
  <c r="T2242" i="5"/>
  <c r="V2242" i="5" s="1"/>
  <c r="S2242" i="5"/>
  <c r="AA2242" i="5" s="1"/>
  <c r="T2241" i="5"/>
  <c r="V2241" i="5" s="1"/>
  <c r="S2241" i="5"/>
  <c r="AA2241" i="5" s="1"/>
  <c r="T2240" i="5"/>
  <c r="V2240" i="5" s="1"/>
  <c r="S2240" i="5"/>
  <c r="AA2240" i="5" s="1"/>
  <c r="T2239" i="5"/>
  <c r="V2239" i="5" s="1"/>
  <c r="S2239" i="5"/>
  <c r="AA2239" i="5" s="1"/>
  <c r="T2238" i="5"/>
  <c r="V2238" i="5" s="1"/>
  <c r="S2238" i="5"/>
  <c r="AA2238" i="5" s="1"/>
  <c r="T2237" i="5"/>
  <c r="V2237" i="5" s="1"/>
  <c r="S2237" i="5"/>
  <c r="AA2237" i="5" s="1"/>
  <c r="T2236" i="5"/>
  <c r="V2236" i="5" s="1"/>
  <c r="S2236" i="5"/>
  <c r="AA2236" i="5" s="1"/>
  <c r="T2235" i="5"/>
  <c r="V2235" i="5" s="1"/>
  <c r="S2235" i="5"/>
  <c r="AA2235" i="5" s="1"/>
  <c r="T2234" i="5"/>
  <c r="V2234" i="5" s="1"/>
  <c r="S2234" i="5"/>
  <c r="AA2234" i="5" s="1"/>
  <c r="T2233" i="5"/>
  <c r="V2233" i="5" s="1"/>
  <c r="S2233" i="5"/>
  <c r="AA2233" i="5" s="1"/>
  <c r="S2232" i="5"/>
  <c r="AA2232" i="5" s="1"/>
  <c r="T2232" i="5"/>
  <c r="V2232" i="5" s="1"/>
  <c r="T2231" i="5"/>
  <c r="V2231" i="5" s="1"/>
  <c r="S2231" i="5"/>
  <c r="AA2231" i="5" s="1"/>
  <c r="T2230" i="5"/>
  <c r="V2230" i="5" s="1"/>
  <c r="S2230" i="5"/>
  <c r="AA2230" i="5" s="1"/>
  <c r="T2229" i="5"/>
  <c r="V2229" i="5" s="1"/>
  <c r="S2229" i="5"/>
  <c r="AA2229" i="5" s="1"/>
  <c r="T2228" i="5"/>
  <c r="V2228" i="5" s="1"/>
  <c r="S2228" i="5"/>
  <c r="AA2228" i="5" s="1"/>
  <c r="T2227" i="5"/>
  <c r="V2227" i="5" s="1"/>
  <c r="S2227" i="5"/>
  <c r="AA2227" i="5" s="1"/>
  <c r="T2226" i="5"/>
  <c r="V2226" i="5" s="1"/>
  <c r="S2226" i="5"/>
  <c r="AA2226" i="5" s="1"/>
  <c r="T2225" i="5"/>
  <c r="V2225" i="5" s="1"/>
  <c r="S2225" i="5"/>
  <c r="AA2225" i="5" s="1"/>
  <c r="T2224" i="5"/>
  <c r="V2224" i="5" s="1"/>
  <c r="S2224" i="5"/>
  <c r="AA2224" i="5" s="1"/>
  <c r="T2223" i="5"/>
  <c r="V2223" i="5" s="1"/>
  <c r="S2223" i="5"/>
  <c r="AA2223" i="5" s="1"/>
  <c r="T2222" i="5"/>
  <c r="V2222" i="5" s="1"/>
  <c r="S2222" i="5"/>
  <c r="AA2222" i="5" s="1"/>
  <c r="T2221" i="5"/>
  <c r="V2221" i="5" s="1"/>
  <c r="S2221" i="5"/>
  <c r="AA2221" i="5" s="1"/>
  <c r="T2220" i="5"/>
  <c r="V2220" i="5" s="1"/>
  <c r="S2220" i="5"/>
  <c r="AA2220" i="5" s="1"/>
  <c r="T2219" i="5"/>
  <c r="V2219" i="5" s="1"/>
  <c r="S2219" i="5"/>
  <c r="AA2219" i="5" s="1"/>
  <c r="T2218" i="5"/>
  <c r="V2218" i="5" s="1"/>
  <c r="S2218" i="5"/>
  <c r="AA2218" i="5" s="1"/>
  <c r="T2217" i="5"/>
  <c r="V2217" i="5" s="1"/>
  <c r="S2217" i="5"/>
  <c r="AA2217" i="5" s="1"/>
  <c r="T2216" i="5"/>
  <c r="V2216" i="5" s="1"/>
  <c r="S2216" i="5"/>
  <c r="AA2216" i="5" s="1"/>
  <c r="T2215" i="5"/>
  <c r="V2215" i="5" s="1"/>
  <c r="S2215" i="5"/>
  <c r="AA2215" i="5" s="1"/>
  <c r="T2214" i="5"/>
  <c r="V2214" i="5" s="1"/>
  <c r="S2214" i="5"/>
  <c r="AA2214" i="5" s="1"/>
  <c r="T2213" i="5"/>
  <c r="V2213" i="5" s="1"/>
  <c r="S2213" i="5"/>
  <c r="AA2213" i="5" s="1"/>
  <c r="T2212" i="5"/>
  <c r="V2212" i="5" s="1"/>
  <c r="S2212" i="5"/>
  <c r="AA2212" i="5" s="1"/>
  <c r="S2211" i="5"/>
  <c r="AA2211" i="5" s="1"/>
  <c r="T2211" i="5"/>
  <c r="V2211" i="5" s="1"/>
  <c r="S2210" i="5"/>
  <c r="AA2210" i="5" s="1"/>
  <c r="T2210" i="5"/>
  <c r="V2210" i="5" s="1"/>
  <c r="T2209" i="5"/>
  <c r="V2209" i="5" s="1"/>
  <c r="S2209" i="5"/>
  <c r="AA2209" i="5" s="1"/>
  <c r="T2208" i="5"/>
  <c r="V2208" i="5" s="1"/>
  <c r="S2208" i="5"/>
  <c r="AA2208" i="5" s="1"/>
  <c r="S2207" i="5"/>
  <c r="AA2207" i="5" s="1"/>
  <c r="T2207" i="5"/>
  <c r="V2207" i="5" s="1"/>
  <c r="T2206" i="5"/>
  <c r="V2206" i="5" s="1"/>
  <c r="S2206" i="5"/>
  <c r="AA2206" i="5" s="1"/>
  <c r="T2205" i="5"/>
  <c r="V2205" i="5" s="1"/>
  <c r="S2205" i="5"/>
  <c r="AA2205" i="5" s="1"/>
  <c r="T2204" i="5"/>
  <c r="S2204" i="5"/>
  <c r="AA2204" i="5" s="1"/>
  <c r="S2203" i="5"/>
  <c r="AA2203" i="5" s="1"/>
  <c r="T2203" i="5"/>
  <c r="S2202" i="5"/>
  <c r="AA2202" i="5" s="1"/>
  <c r="T2202" i="5"/>
  <c r="S2201" i="5"/>
  <c r="AA2201" i="5" s="1"/>
  <c r="T2201" i="5"/>
  <c r="V2201" i="5" s="1"/>
  <c r="S2200" i="5"/>
  <c r="AA2200" i="5" s="1"/>
  <c r="T2200" i="5"/>
  <c r="V2200" i="5" s="1"/>
  <c r="S2199" i="5"/>
  <c r="AA2199" i="5" s="1"/>
  <c r="T2199" i="5"/>
  <c r="V2199" i="5" s="1"/>
  <c r="T2198" i="5"/>
  <c r="V2198" i="5" s="1"/>
  <c r="S2198" i="5"/>
  <c r="AA2198" i="5" s="1"/>
  <c r="S2197" i="5"/>
  <c r="AA2197" i="5" s="1"/>
  <c r="T2197" i="5"/>
  <c r="V2197" i="5" s="1"/>
  <c r="T2196" i="5"/>
  <c r="V2196" i="5" s="1"/>
  <c r="S2196" i="5"/>
  <c r="AA2196" i="5" s="1"/>
  <c r="S2195" i="5"/>
  <c r="AA2195" i="5" s="1"/>
  <c r="T2195" i="5"/>
  <c r="V2195" i="5" s="1"/>
  <c r="S2194" i="5"/>
  <c r="AA2194" i="5" s="1"/>
  <c r="T2194" i="5"/>
  <c r="V2194" i="5" s="1"/>
  <c r="S2193" i="5"/>
  <c r="AA2193" i="5" s="1"/>
  <c r="T2193" i="5"/>
  <c r="V2193" i="5" s="1"/>
  <c r="T2192" i="5"/>
  <c r="S2192" i="5"/>
  <c r="AA2192" i="5" s="1"/>
  <c r="T2191" i="5"/>
  <c r="V2191" i="5" s="1"/>
  <c r="S2191" i="5"/>
  <c r="AA2191" i="5" s="1"/>
  <c r="S2190" i="5"/>
  <c r="AA2190" i="5" s="1"/>
  <c r="T2190" i="5"/>
  <c r="V2190" i="5" s="1"/>
  <c r="S2189" i="5"/>
  <c r="AA2189" i="5" s="1"/>
  <c r="T2189" i="5"/>
  <c r="S2188" i="5"/>
  <c r="AA2188" i="5" s="1"/>
  <c r="T2188" i="5"/>
  <c r="V2188" i="5" s="1"/>
  <c r="S2187" i="5"/>
  <c r="AA2187" i="5" s="1"/>
  <c r="T2187" i="5"/>
  <c r="V2187" i="5" s="1"/>
  <c r="T2186" i="5"/>
  <c r="V2186" i="5" s="1"/>
  <c r="S2186" i="5"/>
  <c r="AA2186" i="5" s="1"/>
  <c r="T2185" i="5"/>
  <c r="S2185" i="5"/>
  <c r="AA2185" i="5" s="1"/>
  <c r="T2184" i="5"/>
  <c r="V2184" i="5" s="1"/>
  <c r="S2184" i="5"/>
  <c r="AA2184" i="5" s="1"/>
  <c r="T2183" i="5"/>
  <c r="V2183" i="5" s="1"/>
  <c r="S2183" i="5"/>
  <c r="AA2183" i="5" s="1"/>
  <c r="T2182" i="5"/>
  <c r="V2182" i="5" s="1"/>
  <c r="S2182" i="5"/>
  <c r="AA2182" i="5" s="1"/>
  <c r="T2181" i="5"/>
  <c r="V2181" i="5" s="1"/>
  <c r="S2181" i="5"/>
  <c r="AA2181" i="5" s="1"/>
  <c r="T2180" i="5"/>
  <c r="V2180" i="5" s="1"/>
  <c r="S2180" i="5"/>
  <c r="AA2180" i="5" s="1"/>
  <c r="T2179" i="5"/>
  <c r="V2179" i="5" s="1"/>
  <c r="S2179" i="5"/>
  <c r="AA2179" i="5" s="1"/>
  <c r="T2178" i="5"/>
  <c r="V2178" i="5" s="1"/>
  <c r="S2178" i="5"/>
  <c r="AA2178" i="5" s="1"/>
  <c r="T2177" i="5"/>
  <c r="V2177" i="5" s="1"/>
  <c r="S2177" i="5"/>
  <c r="AA2177" i="5" s="1"/>
  <c r="T2176" i="5"/>
  <c r="V2176" i="5" s="1"/>
  <c r="S2176" i="5"/>
  <c r="AA2176" i="5" s="1"/>
  <c r="T2175" i="5"/>
  <c r="V2175" i="5" s="1"/>
  <c r="S2175" i="5"/>
  <c r="AA2175" i="5" s="1"/>
  <c r="T2174" i="5"/>
  <c r="V2174" i="5" s="1"/>
  <c r="S2174" i="5"/>
  <c r="AA2174" i="5" s="1"/>
  <c r="T2173" i="5"/>
  <c r="V2173" i="5" s="1"/>
  <c r="S2173" i="5"/>
  <c r="AA2173" i="5" s="1"/>
  <c r="T2172" i="5"/>
  <c r="V2172" i="5" s="1"/>
  <c r="S2172" i="5"/>
  <c r="AA2172" i="5" s="1"/>
  <c r="T2171" i="5"/>
  <c r="V2171" i="5" s="1"/>
  <c r="S2171" i="5"/>
  <c r="AA2171" i="5" s="1"/>
  <c r="T2170" i="5"/>
  <c r="V2170" i="5" s="1"/>
  <c r="S2170" i="5"/>
  <c r="AA2170" i="5" s="1"/>
  <c r="T2169" i="5"/>
  <c r="V2169" i="5" s="1"/>
  <c r="S2169" i="5"/>
  <c r="AA2169" i="5" s="1"/>
  <c r="S2168" i="5"/>
  <c r="AA2168" i="5" s="1"/>
  <c r="T2168" i="5"/>
  <c r="V2168" i="5" s="1"/>
  <c r="S2167" i="5"/>
  <c r="AA2167" i="5" s="1"/>
  <c r="T2167" i="5"/>
  <c r="V2167" i="5" s="1"/>
  <c r="S2166" i="5"/>
  <c r="AA2166" i="5" s="1"/>
  <c r="T2166" i="5"/>
  <c r="V2166" i="5" s="1"/>
  <c r="T2165" i="5"/>
  <c r="V2165" i="5" s="1"/>
  <c r="S2165" i="5"/>
  <c r="AA2165" i="5" s="1"/>
  <c r="T2164" i="5"/>
  <c r="V2164" i="5" s="1"/>
  <c r="S2164" i="5"/>
  <c r="AA2164" i="5" s="1"/>
  <c r="S2163" i="5"/>
  <c r="AA2163" i="5" s="1"/>
  <c r="T2163" i="5"/>
  <c r="V2163" i="5" s="1"/>
  <c r="T2162" i="5"/>
  <c r="V2162" i="5" s="1"/>
  <c r="S2162" i="5"/>
  <c r="AA2162" i="5" s="1"/>
  <c r="T2161" i="5"/>
  <c r="V2161" i="5" s="1"/>
  <c r="S2161" i="5"/>
  <c r="AA2161" i="5" s="1"/>
  <c r="S2160" i="5"/>
  <c r="AA2160" i="5" s="1"/>
  <c r="T2160" i="5"/>
  <c r="V2160" i="5" s="1"/>
  <c r="S2159" i="5"/>
  <c r="AA2159" i="5" s="1"/>
  <c r="T2159" i="5"/>
  <c r="V2159" i="5" s="1"/>
  <c r="S2158" i="5"/>
  <c r="AA2158" i="5" s="1"/>
  <c r="T2158" i="5"/>
  <c r="V2158" i="5" s="1"/>
  <c r="T2157" i="5"/>
  <c r="V2157" i="5" s="1"/>
  <c r="S2157" i="5"/>
  <c r="AA2157" i="5" s="1"/>
  <c r="T2156" i="5"/>
  <c r="V2156" i="5" s="1"/>
  <c r="S2156" i="5"/>
  <c r="AA2156" i="5" s="1"/>
  <c r="T2155" i="5"/>
  <c r="V2155" i="5" s="1"/>
  <c r="S2155" i="5"/>
  <c r="AA2155" i="5" s="1"/>
  <c r="T2154" i="5"/>
  <c r="V2154" i="5" s="1"/>
  <c r="S2154" i="5"/>
  <c r="AA2154" i="5" s="1"/>
  <c r="T2153" i="5"/>
  <c r="V2153" i="5" s="1"/>
  <c r="S2153" i="5"/>
  <c r="AA2153" i="5" s="1"/>
  <c r="T2152" i="5"/>
  <c r="V2152" i="5" s="1"/>
  <c r="S2152" i="5"/>
  <c r="AA2152" i="5" s="1"/>
  <c r="T2151" i="5"/>
  <c r="V2151" i="5" s="1"/>
  <c r="S2151" i="5"/>
  <c r="AA2151" i="5" s="1"/>
  <c r="T2150" i="5"/>
  <c r="V2150" i="5" s="1"/>
  <c r="S2150" i="5"/>
  <c r="AA2150" i="5" s="1"/>
  <c r="T2149" i="5"/>
  <c r="V2149" i="5" s="1"/>
  <c r="S2149" i="5"/>
  <c r="AA2149" i="5" s="1"/>
  <c r="T2148" i="5"/>
  <c r="V2148" i="5" s="1"/>
  <c r="S2148" i="5"/>
  <c r="AA2148" i="5" s="1"/>
  <c r="T2147" i="5"/>
  <c r="V2147" i="5" s="1"/>
  <c r="S2147" i="5"/>
  <c r="AA2147" i="5" s="1"/>
  <c r="T2146" i="5"/>
  <c r="V2146" i="5" s="1"/>
  <c r="S2146" i="5"/>
  <c r="AA2146" i="5" s="1"/>
  <c r="T2145" i="5"/>
  <c r="V2145" i="5" s="1"/>
  <c r="S2145" i="5"/>
  <c r="AA2145" i="5" s="1"/>
  <c r="T2144" i="5"/>
  <c r="V2144" i="5" s="1"/>
  <c r="S2144" i="5"/>
  <c r="AA2144" i="5" s="1"/>
  <c r="T2143" i="5"/>
  <c r="V2143" i="5" s="1"/>
  <c r="S2143" i="5"/>
  <c r="AA2143" i="5" s="1"/>
  <c r="T2142" i="5"/>
  <c r="V2142" i="5" s="1"/>
  <c r="S2142" i="5"/>
  <c r="AA2142" i="5" s="1"/>
  <c r="T2141" i="5"/>
  <c r="V2141" i="5" s="1"/>
  <c r="S2141" i="5"/>
  <c r="AA2141" i="5" s="1"/>
  <c r="T2140" i="5"/>
  <c r="V2140" i="5" s="1"/>
  <c r="S2140" i="5"/>
  <c r="AA2140" i="5" s="1"/>
  <c r="T2139" i="5"/>
  <c r="V2139" i="5" s="1"/>
  <c r="S2139" i="5"/>
  <c r="AA2139" i="5" s="1"/>
  <c r="T2138" i="5"/>
  <c r="V2138" i="5" s="1"/>
  <c r="S2138" i="5"/>
  <c r="AA2138" i="5" s="1"/>
  <c r="T2137" i="5"/>
  <c r="V2137" i="5" s="1"/>
  <c r="S2137" i="5"/>
  <c r="AA2137" i="5" s="1"/>
  <c r="S2136" i="5"/>
  <c r="AA2136" i="5" s="1"/>
  <c r="T2136" i="5"/>
  <c r="V2136" i="5" s="1"/>
  <c r="T2135" i="5"/>
  <c r="V2135" i="5" s="1"/>
  <c r="S2135" i="5"/>
  <c r="AA2135" i="5" s="1"/>
  <c r="T2134" i="5"/>
  <c r="V2134" i="5" s="1"/>
  <c r="S2134" i="5"/>
  <c r="AA2134" i="5" s="1"/>
  <c r="T2133" i="5"/>
  <c r="V2133" i="5" s="1"/>
  <c r="S2133" i="5"/>
  <c r="AA2133" i="5" s="1"/>
  <c r="T2132" i="5"/>
  <c r="V2132" i="5" s="1"/>
  <c r="S2132" i="5"/>
  <c r="AA2132" i="5" s="1"/>
  <c r="T2131" i="5"/>
  <c r="V2131" i="5" s="1"/>
  <c r="S2131" i="5"/>
  <c r="AA2131" i="5" s="1"/>
  <c r="T2130" i="5"/>
  <c r="V2130" i="5" s="1"/>
  <c r="S2130" i="5"/>
  <c r="AA2130" i="5" s="1"/>
  <c r="T2129" i="5"/>
  <c r="V2129" i="5" s="1"/>
  <c r="S2129" i="5"/>
  <c r="AA2129" i="5" s="1"/>
  <c r="T2128" i="5"/>
  <c r="V2128" i="5" s="1"/>
  <c r="S2128" i="5"/>
  <c r="AA2128" i="5" s="1"/>
  <c r="T2127" i="5"/>
  <c r="V2127" i="5" s="1"/>
  <c r="S2127" i="5"/>
  <c r="AA2127" i="5" s="1"/>
  <c r="T2126" i="5"/>
  <c r="V2126" i="5" s="1"/>
  <c r="S2126" i="5"/>
  <c r="AA2126" i="5" s="1"/>
  <c r="T2125" i="5"/>
  <c r="S2125" i="5"/>
  <c r="AA2125" i="5" s="1"/>
  <c r="T2124" i="5"/>
  <c r="V2124" i="5" s="1"/>
  <c r="S2124" i="5"/>
  <c r="AA2124" i="5" s="1"/>
  <c r="T2123" i="5"/>
  <c r="V2123" i="5" s="1"/>
  <c r="S2123" i="5"/>
  <c r="AA2123" i="5" s="1"/>
  <c r="T2122" i="5"/>
  <c r="V2122" i="5" s="1"/>
  <c r="S2122" i="5"/>
  <c r="AA2122" i="5" s="1"/>
  <c r="T2121" i="5"/>
  <c r="S2121" i="5"/>
  <c r="AA2121" i="5" s="1"/>
  <c r="T2120" i="5"/>
  <c r="S2120" i="5"/>
  <c r="AA2120" i="5" s="1"/>
  <c r="T2119" i="5"/>
  <c r="S2119" i="5"/>
  <c r="AA2119" i="5" s="1"/>
  <c r="T2118" i="5"/>
  <c r="S2118" i="5"/>
  <c r="AA2118" i="5" s="1"/>
  <c r="T2117" i="5"/>
  <c r="V2117" i="5" s="1"/>
  <c r="S2117" i="5"/>
  <c r="AA2117" i="5" s="1"/>
  <c r="T2116" i="5"/>
  <c r="V2116" i="5" s="1"/>
  <c r="S2116" i="5"/>
  <c r="AA2116" i="5" s="1"/>
  <c r="T2115" i="5"/>
  <c r="S2115" i="5"/>
  <c r="AA2115" i="5" s="1"/>
  <c r="T2114" i="5"/>
  <c r="V2114" i="5" s="1"/>
  <c r="S2114" i="5"/>
  <c r="AA2114" i="5" s="1"/>
  <c r="T2113" i="5"/>
  <c r="V2113" i="5" s="1"/>
  <c r="S2113" i="5"/>
  <c r="AA2113" i="5" s="1"/>
  <c r="T2112" i="5"/>
  <c r="V2112" i="5" s="1"/>
  <c r="S2112" i="5"/>
  <c r="AA2112" i="5" s="1"/>
  <c r="T2111" i="5"/>
  <c r="V2111" i="5" s="1"/>
  <c r="S2111" i="5"/>
  <c r="AA2111" i="5" s="1"/>
  <c r="T2110" i="5"/>
  <c r="V2110" i="5" s="1"/>
  <c r="S2110" i="5"/>
  <c r="AA2110" i="5" s="1"/>
  <c r="T2109" i="5"/>
  <c r="V2109" i="5" s="1"/>
  <c r="S2109" i="5"/>
  <c r="AA2109" i="5" s="1"/>
  <c r="S2108" i="5"/>
  <c r="AA2108" i="5" s="1"/>
  <c r="T2108" i="5"/>
  <c r="V2108" i="5" s="1"/>
  <c r="T2107" i="5"/>
  <c r="V2107" i="5" s="1"/>
  <c r="S2107" i="5"/>
  <c r="AA2107" i="5" s="1"/>
  <c r="S2106" i="5"/>
  <c r="AA2106" i="5" s="1"/>
  <c r="T2106" i="5"/>
  <c r="V2106" i="5" s="1"/>
  <c r="T2105" i="5"/>
  <c r="V2105" i="5" s="1"/>
  <c r="S2105" i="5"/>
  <c r="AA2105" i="5" s="1"/>
  <c r="T2104" i="5"/>
  <c r="V2104" i="5" s="1"/>
  <c r="S2104" i="5"/>
  <c r="AA2104" i="5" s="1"/>
  <c r="T2103" i="5"/>
  <c r="V2103" i="5" s="1"/>
  <c r="S2103" i="5"/>
  <c r="AA2103" i="5" s="1"/>
  <c r="S2102" i="5"/>
  <c r="AA2102" i="5" s="1"/>
  <c r="T2102" i="5"/>
  <c r="V2102" i="5" s="1"/>
  <c r="S2101" i="5"/>
  <c r="AA2101" i="5" s="1"/>
  <c r="T2101" i="5"/>
  <c r="V2101" i="5" s="1"/>
  <c r="T2100" i="5"/>
  <c r="V2100" i="5" s="1"/>
  <c r="S2100" i="5"/>
  <c r="AA2100" i="5" s="1"/>
  <c r="T2099" i="5"/>
  <c r="V2099" i="5" s="1"/>
  <c r="S2099" i="5"/>
  <c r="AA2099" i="5" s="1"/>
  <c r="T2098" i="5"/>
  <c r="V2098" i="5" s="1"/>
  <c r="S2098" i="5"/>
  <c r="AA2098" i="5" s="1"/>
  <c r="T2097" i="5"/>
  <c r="V2097" i="5" s="1"/>
  <c r="S2097" i="5"/>
  <c r="AA2097" i="5" s="1"/>
  <c r="T2096" i="5"/>
  <c r="V2096" i="5" s="1"/>
  <c r="S2096" i="5"/>
  <c r="AA2096" i="5" s="1"/>
  <c r="T2095" i="5"/>
  <c r="V2095" i="5" s="1"/>
  <c r="S2095" i="5"/>
  <c r="AA2095" i="5" s="1"/>
  <c r="T2094" i="5"/>
  <c r="V2094" i="5" s="1"/>
  <c r="S2094" i="5"/>
  <c r="AA2094" i="5" s="1"/>
  <c r="T2093" i="5"/>
  <c r="V2093" i="5" s="1"/>
  <c r="S2093" i="5"/>
  <c r="AA2093" i="5" s="1"/>
  <c r="S2092" i="5"/>
  <c r="AA2092" i="5" s="1"/>
  <c r="T2092" i="5"/>
  <c r="V2092" i="5" s="1"/>
  <c r="T2091" i="5"/>
  <c r="V2091" i="5" s="1"/>
  <c r="S2091" i="5"/>
  <c r="AA2091" i="5" s="1"/>
  <c r="T2090" i="5"/>
  <c r="S2090" i="5"/>
  <c r="AA2090" i="5" s="1"/>
  <c r="T2089" i="5"/>
  <c r="V2089" i="5" s="1"/>
  <c r="S2089" i="5"/>
  <c r="AA2089" i="5" s="1"/>
  <c r="T2088" i="5"/>
  <c r="V2088" i="5" s="1"/>
  <c r="S2088" i="5"/>
  <c r="AA2088" i="5" s="1"/>
  <c r="T2087" i="5"/>
  <c r="V2087" i="5" s="1"/>
  <c r="S2087" i="5"/>
  <c r="AA2087" i="5" s="1"/>
  <c r="T2086" i="5"/>
  <c r="V2086" i="5" s="1"/>
  <c r="S2086" i="5"/>
  <c r="AA2086" i="5" s="1"/>
  <c r="T2085" i="5"/>
  <c r="V2085" i="5" s="1"/>
  <c r="S2085" i="5"/>
  <c r="AA2085" i="5" s="1"/>
  <c r="T2084" i="5"/>
  <c r="V2084" i="5" s="1"/>
  <c r="S2084" i="5"/>
  <c r="AA2084" i="5" s="1"/>
  <c r="T2083" i="5"/>
  <c r="V2083" i="5" s="1"/>
  <c r="S2083" i="5"/>
  <c r="AA2083" i="5" s="1"/>
  <c r="T2082" i="5"/>
  <c r="V2082" i="5" s="1"/>
  <c r="S2082" i="5"/>
  <c r="AA2082" i="5" s="1"/>
  <c r="S2081" i="5"/>
  <c r="AA2081" i="5" s="1"/>
  <c r="T2081" i="5"/>
  <c r="V2081" i="5" s="1"/>
  <c r="T2080" i="5"/>
  <c r="V2080" i="5" s="1"/>
  <c r="S2080" i="5"/>
  <c r="AA2080" i="5" s="1"/>
  <c r="T2079" i="5"/>
  <c r="V2079" i="5" s="1"/>
  <c r="S2079" i="5"/>
  <c r="AA2079" i="5" s="1"/>
  <c r="S2078" i="5"/>
  <c r="AA2078" i="5" s="1"/>
  <c r="T2078" i="5"/>
  <c r="V2078" i="5" s="1"/>
  <c r="T2077" i="5"/>
  <c r="V2077" i="5" s="1"/>
  <c r="S2077" i="5"/>
  <c r="AA2077" i="5" s="1"/>
  <c r="S2076" i="5"/>
  <c r="AA2076" i="5" s="1"/>
  <c r="T2076" i="5"/>
  <c r="V2076" i="5" s="1"/>
  <c r="T2075" i="5"/>
  <c r="V2075" i="5" s="1"/>
  <c r="S2075" i="5"/>
  <c r="AA2075" i="5" s="1"/>
  <c r="T2074" i="5"/>
  <c r="V2074" i="5" s="1"/>
  <c r="S2074" i="5"/>
  <c r="AA2074" i="5" s="1"/>
  <c r="T2073" i="5"/>
  <c r="V2073" i="5" s="1"/>
  <c r="S2073" i="5"/>
  <c r="AA2073" i="5" s="1"/>
  <c r="T2072" i="5"/>
  <c r="V2072" i="5" s="1"/>
  <c r="S2072" i="5"/>
  <c r="AA2072" i="5" s="1"/>
  <c r="T2071" i="5"/>
  <c r="V2071" i="5" s="1"/>
  <c r="S2071" i="5"/>
  <c r="AA2071" i="5" s="1"/>
  <c r="T2070" i="5"/>
  <c r="V2070" i="5" s="1"/>
  <c r="S2070" i="5"/>
  <c r="AA2070" i="5" s="1"/>
  <c r="T2069" i="5"/>
  <c r="V2069" i="5" s="1"/>
  <c r="S2069" i="5"/>
  <c r="AA2069" i="5" s="1"/>
  <c r="T2068" i="5"/>
  <c r="V2068" i="5" s="1"/>
  <c r="S2068" i="5"/>
  <c r="AA2068" i="5" s="1"/>
  <c r="T2067" i="5"/>
  <c r="V2067" i="5" s="1"/>
  <c r="S2067" i="5"/>
  <c r="AA2067" i="5" s="1"/>
  <c r="T2066" i="5"/>
  <c r="V2066" i="5" s="1"/>
  <c r="S2066" i="5"/>
  <c r="AA2066" i="5" s="1"/>
  <c r="S2065" i="5"/>
  <c r="AA2065" i="5" s="1"/>
  <c r="T2065" i="5"/>
  <c r="V2065" i="5" s="1"/>
  <c r="S2064" i="5"/>
  <c r="AA2064" i="5" s="1"/>
  <c r="T2064" i="5"/>
  <c r="V2064" i="5" s="1"/>
  <c r="T2063" i="5"/>
  <c r="V2063" i="5" s="1"/>
  <c r="S2063" i="5"/>
  <c r="AA2063" i="5" s="1"/>
  <c r="T2062" i="5"/>
  <c r="V2062" i="5" s="1"/>
  <c r="S2062" i="5"/>
  <c r="AA2062" i="5" s="1"/>
  <c r="T2061" i="5"/>
  <c r="V2061" i="5" s="1"/>
  <c r="S2061" i="5"/>
  <c r="AA2061" i="5" s="1"/>
  <c r="S2060" i="5"/>
  <c r="AA2060" i="5" s="1"/>
  <c r="T2060" i="5"/>
  <c r="V2060" i="5" s="1"/>
  <c r="T2059" i="5"/>
  <c r="V2059" i="5" s="1"/>
  <c r="S2059" i="5"/>
  <c r="AA2059" i="5" s="1"/>
  <c r="T2058" i="5"/>
  <c r="V2058" i="5" s="1"/>
  <c r="S2058" i="5"/>
  <c r="AA2058" i="5" s="1"/>
  <c r="T2057" i="5"/>
  <c r="V2057" i="5" s="1"/>
  <c r="S2057" i="5"/>
  <c r="AA2057" i="5" s="1"/>
  <c r="T2056" i="5"/>
  <c r="V2056" i="5" s="1"/>
  <c r="S2056" i="5"/>
  <c r="AA2056" i="5" s="1"/>
  <c r="S2055" i="5"/>
  <c r="AA2055" i="5" s="1"/>
  <c r="T2055" i="5"/>
  <c r="V2055" i="5" s="1"/>
  <c r="S2054" i="5"/>
  <c r="AA2054" i="5" s="1"/>
  <c r="T2054" i="5"/>
  <c r="V2054" i="5" s="1"/>
  <c r="T2053" i="5"/>
  <c r="V2053" i="5" s="1"/>
  <c r="S2053" i="5"/>
  <c r="AA2053" i="5" s="1"/>
  <c r="S2052" i="5"/>
  <c r="AA2052" i="5" s="1"/>
  <c r="T2052" i="5"/>
  <c r="V2052" i="5" s="1"/>
  <c r="B21" i="3"/>
  <c r="U2051" i="5"/>
  <c r="B15" i="3" s="1"/>
  <c r="B20" i="3"/>
  <c r="P2051" i="5"/>
  <c r="B22" i="3"/>
  <c r="Q2051" i="5"/>
  <c r="E11" i="3" s="1"/>
  <c r="AU2347" i="5"/>
  <c r="AV2347" i="5"/>
  <c r="AQ2347" i="5"/>
  <c r="AR2347" i="5"/>
  <c r="AQ2204" i="5"/>
  <c r="AR2204" i="5"/>
  <c r="AV2204" i="5"/>
  <c r="AU2204" i="5"/>
  <c r="AP2265" i="5"/>
  <c r="AT2265" i="5"/>
  <c r="W2265" i="5"/>
  <c r="AO2265" i="5" s="1"/>
  <c r="X2265" i="5"/>
  <c r="AP2185" i="5"/>
  <c r="AT2185" i="5"/>
  <c r="W2185" i="5"/>
  <c r="AO2185" i="5" s="1"/>
  <c r="X2185" i="5"/>
  <c r="AP2125" i="5"/>
  <c r="AT2125" i="5"/>
  <c r="W2125" i="5"/>
  <c r="AO2125" i="5" s="1"/>
  <c r="X2125" i="5"/>
  <c r="AP2121" i="5"/>
  <c r="AT2121" i="5"/>
  <c r="W2121" i="5"/>
  <c r="AO2121" i="5" s="1"/>
  <c r="X2121" i="5"/>
  <c r="AP2120" i="5"/>
  <c r="AT2120" i="5"/>
  <c r="W2120" i="5"/>
  <c r="AO2120" i="5" s="1"/>
  <c r="X2120" i="5"/>
  <c r="AP2119" i="5"/>
  <c r="AT2119" i="5"/>
  <c r="W2119" i="5"/>
  <c r="AO2119" i="5" s="1"/>
  <c r="X2119" i="5"/>
  <c r="AP2118" i="5"/>
  <c r="AT2118" i="5"/>
  <c r="W2118" i="5"/>
  <c r="AO2118" i="5" s="1"/>
  <c r="X2118" i="5"/>
  <c r="AP2115" i="5"/>
  <c r="AT2115" i="5"/>
  <c r="W2115" i="5"/>
  <c r="AO2115" i="5" s="1"/>
  <c r="X2115" i="5"/>
  <c r="U2378" i="5"/>
  <c r="U2375" i="5"/>
  <c r="U2374" i="5"/>
  <c r="U2359" i="5"/>
  <c r="U2347" i="5"/>
  <c r="U2333" i="5"/>
  <c r="U2322" i="5"/>
  <c r="U2232" i="5"/>
  <c r="U2230" i="5"/>
  <c r="U2182" i="5"/>
  <c r="U2121" i="5"/>
  <c r="U2116" i="5"/>
  <c r="U2114" i="5"/>
  <c r="U2357" i="5"/>
  <c r="U2349" i="5"/>
  <c r="U2346" i="5"/>
  <c r="U2327" i="5"/>
  <c r="U2265" i="5"/>
  <c r="U2262" i="5"/>
  <c r="U2211" i="5"/>
  <c r="U2183" i="5"/>
  <c r="U2181" i="5"/>
  <c r="U2178" i="5"/>
  <c r="U2127" i="5"/>
  <c r="U2124" i="5"/>
  <c r="U2083" i="5"/>
  <c r="U2373" i="5"/>
  <c r="U2372" i="5"/>
  <c r="U2353" i="5"/>
  <c r="U2329" i="5"/>
  <c r="U2328" i="5"/>
  <c r="U2302" i="5"/>
  <c r="U2297" i="5"/>
  <c r="U2295" i="5"/>
  <c r="U2291" i="5"/>
  <c r="U2241" i="5"/>
  <c r="U2138" i="5"/>
  <c r="U2371" i="5"/>
  <c r="U2370" i="5"/>
  <c r="U2369" i="5"/>
  <c r="U2363" i="5"/>
  <c r="U2362" i="5"/>
  <c r="U2354" i="5"/>
  <c r="U2332" i="5"/>
  <c r="U2331" i="5"/>
  <c r="U2330" i="5"/>
  <c r="U2320" i="5"/>
  <c r="U2319" i="5"/>
  <c r="U2296" i="5"/>
  <c r="U2292" i="5"/>
  <c r="U2274" i="5"/>
  <c r="U2269" i="5"/>
  <c r="U2268" i="5"/>
  <c r="U2229" i="5"/>
  <c r="U2228" i="5"/>
  <c r="U2226" i="5"/>
  <c r="U2225" i="5"/>
  <c r="U2224" i="5"/>
  <c r="U2174" i="5"/>
  <c r="U2360" i="5"/>
  <c r="U2356" i="5"/>
  <c r="U2324" i="5"/>
  <c r="U2321" i="5"/>
  <c r="U2318" i="5"/>
  <c r="U2236" i="5"/>
  <c r="U2213" i="5"/>
  <c r="U2212" i="5"/>
  <c r="U2209" i="5"/>
  <c r="U2118" i="5"/>
  <c r="U2115" i="5"/>
  <c r="U2084" i="5"/>
  <c r="U2368" i="5"/>
  <c r="U2367" i="5"/>
  <c r="U2366" i="5"/>
  <c r="U2365" i="5"/>
  <c r="U2364" i="5"/>
  <c r="U2358" i="5"/>
  <c r="U2352" i="5"/>
  <c r="U2351" i="5"/>
  <c r="U2350" i="5"/>
  <c r="U2261" i="5"/>
  <c r="U2240" i="5"/>
  <c r="U2239" i="5"/>
  <c r="U2238" i="5"/>
  <c r="U2179" i="5"/>
  <c r="U2136" i="5"/>
  <c r="U2337" i="5"/>
  <c r="U2336" i="5"/>
  <c r="U2334" i="5"/>
  <c r="U2233" i="5"/>
  <c r="U2231" i="5"/>
  <c r="U2159" i="5"/>
  <c r="U2153" i="5"/>
  <c r="U2148" i="5"/>
  <c r="U2144" i="5"/>
  <c r="U2315" i="5"/>
  <c r="U2314" i="5"/>
  <c r="U2313" i="5"/>
  <c r="U2312" i="5"/>
  <c r="U2311" i="5"/>
  <c r="U2310" i="5"/>
  <c r="U2309" i="5"/>
  <c r="U2308" i="5"/>
  <c r="U2273" i="5"/>
  <c r="U2270" i="5"/>
  <c r="U2267" i="5"/>
  <c r="U2218" i="5"/>
  <c r="U2217" i="5"/>
  <c r="U2216" i="5"/>
  <c r="U2126" i="5"/>
  <c r="U2125" i="5"/>
  <c r="U2119" i="5"/>
  <c r="U2112" i="5"/>
  <c r="U2287" i="5"/>
  <c r="U2286" i="5"/>
  <c r="U2285" i="5"/>
  <c r="U2284" i="5"/>
  <c r="U2283" i="5"/>
  <c r="U2282" i="5"/>
  <c r="U2275" i="5"/>
  <c r="U2272" i="5"/>
  <c r="U2263" i="5"/>
  <c r="U2259" i="5"/>
  <c r="U2244" i="5"/>
  <c r="U2243" i="5"/>
  <c r="U2242" i="5"/>
  <c r="U2223" i="5"/>
  <c r="U2222" i="5"/>
  <c r="U2220" i="5"/>
  <c r="U2151" i="5"/>
  <c r="U2147" i="5"/>
  <c r="U2257" i="5"/>
  <c r="U2256" i="5"/>
  <c r="U2255" i="5"/>
  <c r="U2254" i="5"/>
  <c r="U2253" i="5"/>
  <c r="U2252" i="5"/>
  <c r="U2251" i="5"/>
  <c r="U2250" i="5"/>
  <c r="U2249" i="5"/>
  <c r="U2248" i="5"/>
  <c r="U2247" i="5"/>
  <c r="U2246" i="5"/>
  <c r="U2245" i="5"/>
  <c r="U2135" i="5"/>
  <c r="U2198" i="5"/>
  <c r="U2196" i="5"/>
  <c r="U2194" i="5"/>
  <c r="U2193" i="5"/>
  <c r="U2192" i="5"/>
  <c r="U2190" i="5"/>
  <c r="U2189" i="5"/>
  <c r="U2186" i="5"/>
  <c r="U2185" i="5"/>
  <c r="U2172" i="5"/>
  <c r="U2171" i="5"/>
  <c r="U2170" i="5"/>
  <c r="U2169" i="5"/>
  <c r="U2168" i="5"/>
  <c r="U2167" i="5"/>
  <c r="U2165" i="5"/>
  <c r="U2164" i="5"/>
  <c r="U2150" i="5"/>
  <c r="U2149" i="5"/>
  <c r="U2146" i="5"/>
  <c r="U2145" i="5"/>
  <c r="U2142" i="5"/>
  <c r="U2137" i="5"/>
  <c r="U2110" i="5"/>
  <c r="U2109" i="5"/>
  <c r="U2108" i="5"/>
  <c r="U2107" i="5"/>
  <c r="U2106" i="5"/>
  <c r="U2105" i="5"/>
  <c r="U2104" i="5"/>
  <c r="U2103" i="5"/>
  <c r="U2102" i="5"/>
  <c r="U2101" i="5"/>
  <c r="U2100" i="5"/>
  <c r="U2099" i="5"/>
  <c r="U2098" i="5"/>
  <c r="U2097" i="5"/>
  <c r="U2096" i="5"/>
  <c r="U2095" i="5"/>
  <c r="U2094" i="5"/>
  <c r="U2093" i="5"/>
  <c r="U2092" i="5"/>
  <c r="U2091" i="5"/>
  <c r="U2090" i="5"/>
  <c r="U2089" i="5"/>
  <c r="U2088" i="5"/>
  <c r="U2087" i="5"/>
  <c r="U2086" i="5"/>
  <c r="U2082" i="5"/>
  <c r="U2081" i="5"/>
  <c r="U2080" i="5"/>
  <c r="U2079" i="5"/>
  <c r="U2078" i="5"/>
  <c r="U2077" i="5"/>
  <c r="U2076" i="5"/>
  <c r="U2075" i="5"/>
  <c r="U2074" i="5"/>
  <c r="U2073" i="5"/>
  <c r="U2072" i="5"/>
  <c r="U2071" i="5"/>
  <c r="U2070" i="5"/>
  <c r="U2069" i="5"/>
  <c r="U2068" i="5"/>
  <c r="U2067" i="5"/>
  <c r="U2066" i="5"/>
  <c r="U2065" i="5"/>
  <c r="U2064" i="5"/>
  <c r="U2063" i="5"/>
  <c r="U2062" i="5"/>
  <c r="U2061" i="5"/>
  <c r="U2060" i="5"/>
  <c r="U2059" i="5"/>
  <c r="U2058" i="5"/>
  <c r="U2057" i="5"/>
  <c r="U2056" i="5"/>
  <c r="U2055" i="5"/>
  <c r="U2054" i="5"/>
  <c r="U2053" i="5"/>
  <c r="U2052" i="5"/>
  <c r="U2294" i="5"/>
  <c r="U2293" i="5"/>
  <c r="U2237" i="5"/>
  <c r="U2235" i="5"/>
  <c r="U2234" i="5"/>
  <c r="U2203" i="5"/>
  <c r="U2184" i="5"/>
  <c r="U2177" i="5"/>
  <c r="U2326" i="5"/>
  <c r="U2325" i="5"/>
  <c r="U2323" i="5"/>
  <c r="U2289" i="5"/>
  <c r="U2276" i="5"/>
  <c r="U2271" i="5"/>
  <c r="U2266" i="5"/>
  <c r="U2227" i="5"/>
  <c r="U2176" i="5"/>
  <c r="U2175" i="5"/>
  <c r="U2085" i="5"/>
  <c r="U2361" i="5"/>
  <c r="U2355" i="5"/>
  <c r="U2348" i="5"/>
  <c r="U2345" i="5"/>
  <c r="U2344" i="5"/>
  <c r="U2343" i="5"/>
  <c r="U2317" i="5"/>
  <c r="U2288" i="5"/>
  <c r="U2280" i="5"/>
  <c r="U2221" i="5"/>
  <c r="U2219" i="5"/>
  <c r="U2215" i="5"/>
  <c r="U2214" i="5"/>
  <c r="U2180" i="5"/>
  <c r="U2143" i="5"/>
  <c r="U2141" i="5"/>
  <c r="U2140" i="5"/>
  <c r="U2139" i="5"/>
  <c r="U2134" i="5"/>
  <c r="U2133" i="5"/>
  <c r="U2132" i="5"/>
  <c r="U2131" i="5"/>
  <c r="U2129" i="5"/>
  <c r="U2128" i="5"/>
  <c r="N700" i="5" l="1"/>
  <c r="N754" i="5"/>
  <c r="N755" i="5"/>
  <c r="N733" i="5"/>
  <c r="N727" i="5"/>
  <c r="Y2379" i="5"/>
  <c r="AL2379" i="5"/>
  <c r="Y2375" i="5"/>
  <c r="AL2375" i="5"/>
  <c r="Y2374" i="5"/>
  <c r="AL2374" i="5"/>
  <c r="Y2373" i="5"/>
  <c r="AL2373" i="5"/>
  <c r="Y2372" i="5"/>
  <c r="AL2372" i="5"/>
  <c r="Y2371" i="5"/>
  <c r="AL2371" i="5"/>
  <c r="Y2370" i="5"/>
  <c r="AL2370" i="5"/>
  <c r="Y2369" i="5"/>
  <c r="AL2369" i="5"/>
  <c r="Y2367" i="5"/>
  <c r="AL2367" i="5"/>
  <c r="Y2366" i="5"/>
  <c r="AL2366" i="5"/>
  <c r="Y2365" i="5"/>
  <c r="AL2365" i="5"/>
  <c r="Y2364" i="5"/>
  <c r="AL2364" i="5"/>
  <c r="Y2363" i="5"/>
  <c r="AL2363" i="5"/>
  <c r="Y2362" i="5"/>
  <c r="AL2362" i="5"/>
  <c r="Y2361" i="5"/>
  <c r="AL2361" i="5"/>
  <c r="Y2360" i="5"/>
  <c r="AL2360" i="5"/>
  <c r="Y2359" i="5"/>
  <c r="AL2359" i="5"/>
  <c r="Y2358" i="5"/>
  <c r="AL2358" i="5"/>
  <c r="Y2357" i="5"/>
  <c r="AL2357" i="5"/>
  <c r="Y2356" i="5"/>
  <c r="AL2356" i="5"/>
  <c r="Y2355" i="5"/>
  <c r="AL2355" i="5"/>
  <c r="Y2354" i="5"/>
  <c r="AL2354" i="5"/>
  <c r="Y2353" i="5"/>
  <c r="AL2353" i="5"/>
  <c r="Y2352" i="5"/>
  <c r="AL2352" i="5"/>
  <c r="Y2351" i="5"/>
  <c r="AL2351" i="5"/>
  <c r="Y2350" i="5"/>
  <c r="AL2350" i="5"/>
  <c r="Y2349" i="5"/>
  <c r="AL2349" i="5"/>
  <c r="Y2348" i="5"/>
  <c r="AL2348" i="5"/>
  <c r="Y2346" i="5"/>
  <c r="AL2346" i="5"/>
  <c r="Y2345" i="5"/>
  <c r="AL2345" i="5"/>
  <c r="Y2344" i="5"/>
  <c r="AL2344" i="5"/>
  <c r="Y2342" i="5"/>
  <c r="AL2342" i="5"/>
  <c r="Y2339" i="5"/>
  <c r="AL2339" i="5"/>
  <c r="Y2338" i="5"/>
  <c r="AL2338" i="5"/>
  <c r="Y2337" i="5"/>
  <c r="AL2337" i="5"/>
  <c r="Y2336" i="5"/>
  <c r="AL2336" i="5"/>
  <c r="Y2335" i="5"/>
  <c r="AL2335" i="5"/>
  <c r="Y2334" i="5"/>
  <c r="AL2334" i="5"/>
  <c r="Y2333" i="5"/>
  <c r="AL2333" i="5"/>
  <c r="Y2332" i="5"/>
  <c r="AL2332" i="5"/>
  <c r="Y2331" i="5"/>
  <c r="AL2331" i="5"/>
  <c r="Y2330" i="5"/>
  <c r="AL2330" i="5"/>
  <c r="Y2329" i="5"/>
  <c r="AL2329" i="5"/>
  <c r="Y2328" i="5"/>
  <c r="AL2328" i="5"/>
  <c r="Y2327" i="5"/>
  <c r="AL2327" i="5"/>
  <c r="Y2326" i="5"/>
  <c r="AL2326" i="5"/>
  <c r="Y2325" i="5"/>
  <c r="AL2325" i="5"/>
  <c r="Y2324" i="5"/>
  <c r="AL2324" i="5"/>
  <c r="Y2323" i="5"/>
  <c r="AL2323" i="5"/>
  <c r="Y2322" i="5"/>
  <c r="AL2322" i="5"/>
  <c r="Y2321" i="5"/>
  <c r="AL2321" i="5"/>
  <c r="Y2320" i="5"/>
  <c r="AL2320" i="5"/>
  <c r="Y2319" i="5"/>
  <c r="AL2319" i="5"/>
  <c r="Y2318" i="5"/>
  <c r="AL2318" i="5"/>
  <c r="Y2317" i="5"/>
  <c r="AL2317" i="5"/>
  <c r="Y2316" i="5"/>
  <c r="AL2316" i="5"/>
  <c r="Y2315" i="5"/>
  <c r="AL2315" i="5"/>
  <c r="Y2314" i="5"/>
  <c r="AL2314" i="5"/>
  <c r="Y2313" i="5"/>
  <c r="AL2313" i="5"/>
  <c r="Y2312" i="5"/>
  <c r="AL2312" i="5"/>
  <c r="Y2311" i="5"/>
  <c r="AL2311" i="5"/>
  <c r="Y2310" i="5"/>
  <c r="AL2310" i="5"/>
  <c r="Y2309" i="5"/>
  <c r="AL2309" i="5"/>
  <c r="Y2308" i="5"/>
  <c r="AL2308" i="5"/>
  <c r="Y2307" i="5"/>
  <c r="AL2307" i="5"/>
  <c r="Y2306" i="5"/>
  <c r="AL2306" i="5"/>
  <c r="Y2303" i="5"/>
  <c r="AL2303" i="5"/>
  <c r="Y2302" i="5"/>
  <c r="AL2302" i="5"/>
  <c r="Y2301" i="5"/>
  <c r="AL2301" i="5"/>
  <c r="Y2300" i="5"/>
  <c r="AL2300" i="5"/>
  <c r="Y2299" i="5"/>
  <c r="AL2299" i="5"/>
  <c r="Y2298" i="5"/>
  <c r="AL2298" i="5"/>
  <c r="Y2297" i="5"/>
  <c r="AL2297" i="5"/>
  <c r="Y2296" i="5"/>
  <c r="AL2296" i="5"/>
  <c r="Y2295" i="5"/>
  <c r="AL2295" i="5"/>
  <c r="Y2294" i="5"/>
  <c r="AL2294" i="5"/>
  <c r="Y2293" i="5"/>
  <c r="AL2293" i="5"/>
  <c r="Y2292" i="5"/>
  <c r="AL2292" i="5"/>
  <c r="Y2291" i="5"/>
  <c r="AL2291" i="5"/>
  <c r="Y2290" i="5"/>
  <c r="AL2290" i="5"/>
  <c r="Y2289" i="5"/>
  <c r="AL2289" i="5"/>
  <c r="Y2288" i="5"/>
  <c r="AL2288" i="5"/>
  <c r="Y2287" i="5"/>
  <c r="AL2287" i="5"/>
  <c r="Y2286" i="5"/>
  <c r="AL2286" i="5"/>
  <c r="Y2285" i="5"/>
  <c r="AL2285" i="5"/>
  <c r="Y2284" i="5"/>
  <c r="AL2284" i="5"/>
  <c r="Y2283" i="5"/>
  <c r="AL2283" i="5"/>
  <c r="Y2282" i="5"/>
  <c r="AL2282" i="5"/>
  <c r="Y2281" i="5"/>
  <c r="AL2281" i="5"/>
  <c r="Y2280" i="5"/>
  <c r="AL2280" i="5"/>
  <c r="Y2279" i="5"/>
  <c r="AL2279" i="5"/>
  <c r="Y2278" i="5"/>
  <c r="AL2278" i="5"/>
  <c r="Y2277" i="5"/>
  <c r="AL2277" i="5"/>
  <c r="Y2276" i="5"/>
  <c r="AL2276" i="5"/>
  <c r="Y2275" i="5"/>
  <c r="AL2275" i="5"/>
  <c r="Y2274" i="5"/>
  <c r="AL2274" i="5"/>
  <c r="Y2273" i="5"/>
  <c r="AL2273" i="5"/>
  <c r="Y2272" i="5"/>
  <c r="AL2272" i="5"/>
  <c r="Y2271" i="5"/>
  <c r="AL2271" i="5"/>
  <c r="Y2270" i="5"/>
  <c r="AL2270" i="5"/>
  <c r="Y2269" i="5"/>
  <c r="AL2269" i="5"/>
  <c r="Y2268" i="5"/>
  <c r="AL2268" i="5"/>
  <c r="Y2267" i="5"/>
  <c r="AL2267" i="5"/>
  <c r="Y2266" i="5"/>
  <c r="AL2266" i="5"/>
  <c r="Y2264" i="5"/>
  <c r="AL2264" i="5"/>
  <c r="Y2263" i="5"/>
  <c r="AL2263" i="5"/>
  <c r="Y2262" i="5"/>
  <c r="AL2262" i="5"/>
  <c r="Y2261" i="5"/>
  <c r="AL2261" i="5"/>
  <c r="AT2260" i="5"/>
  <c r="AP2260" i="5"/>
  <c r="Y2259" i="5"/>
  <c r="AL2259" i="5"/>
  <c r="Y2258" i="5"/>
  <c r="AL2258" i="5"/>
  <c r="Y2257" i="5"/>
  <c r="AL2257" i="5"/>
  <c r="Y2256" i="5"/>
  <c r="AL2256" i="5"/>
  <c r="Y2255" i="5"/>
  <c r="AL2255" i="5"/>
  <c r="Y2254" i="5"/>
  <c r="AL2254" i="5"/>
  <c r="Y2253" i="5"/>
  <c r="AL2253" i="5"/>
  <c r="Y2252" i="5"/>
  <c r="AL2252" i="5"/>
  <c r="Y2251" i="5"/>
  <c r="AL2251" i="5"/>
  <c r="Y2250" i="5"/>
  <c r="AL2250" i="5"/>
  <c r="Y2249" i="5"/>
  <c r="AL2249" i="5"/>
  <c r="Y2248" i="5"/>
  <c r="AL2248" i="5"/>
  <c r="Y2247" i="5"/>
  <c r="AL2247" i="5"/>
  <c r="Y2246" i="5"/>
  <c r="AL2246" i="5"/>
  <c r="Y2245" i="5"/>
  <c r="AL2245" i="5"/>
  <c r="Y2244" i="5"/>
  <c r="AL2244" i="5"/>
  <c r="Y2243" i="5"/>
  <c r="AL2243" i="5"/>
  <c r="Y2242" i="5"/>
  <c r="AL2242" i="5"/>
  <c r="Y2241" i="5"/>
  <c r="AL2241" i="5"/>
  <c r="Y2240" i="5"/>
  <c r="AL2240" i="5"/>
  <c r="Y2239" i="5"/>
  <c r="AL2239" i="5"/>
  <c r="Y2238" i="5"/>
  <c r="AL2238" i="5"/>
  <c r="Y2237" i="5"/>
  <c r="AL2237" i="5"/>
  <c r="Y2236" i="5"/>
  <c r="AL2236" i="5"/>
  <c r="Y2235" i="5"/>
  <c r="AL2235" i="5"/>
  <c r="Y2234" i="5"/>
  <c r="AL2234" i="5"/>
  <c r="Y2233" i="5"/>
  <c r="AL2233" i="5"/>
  <c r="Y2232" i="5"/>
  <c r="AL2232" i="5"/>
  <c r="Y2231" i="5"/>
  <c r="AL2231" i="5"/>
  <c r="Y2230" i="5"/>
  <c r="AL2230" i="5"/>
  <c r="Y2229" i="5"/>
  <c r="AL2229" i="5"/>
  <c r="Y2228" i="5"/>
  <c r="AL2228" i="5"/>
  <c r="Y2227" i="5"/>
  <c r="AL2227" i="5"/>
  <c r="Y2226" i="5"/>
  <c r="AL2226" i="5"/>
  <c r="Y2225" i="5"/>
  <c r="AL2225" i="5"/>
  <c r="Y2224" i="5"/>
  <c r="AL2224" i="5"/>
  <c r="Y2223" i="5"/>
  <c r="AL2223" i="5"/>
  <c r="Y2222" i="5"/>
  <c r="AL2222" i="5"/>
  <c r="Y2221" i="5"/>
  <c r="AL2221" i="5"/>
  <c r="Y2220" i="5"/>
  <c r="AL2220" i="5"/>
  <c r="Y2219" i="5"/>
  <c r="AL2219" i="5"/>
  <c r="Y2218" i="5"/>
  <c r="AL2218" i="5"/>
  <c r="Y2217" i="5"/>
  <c r="AL2217" i="5"/>
  <c r="Y2216" i="5"/>
  <c r="AL2216" i="5"/>
  <c r="Y2215" i="5"/>
  <c r="AL2215" i="5"/>
  <c r="Y2214" i="5"/>
  <c r="AL2214" i="5"/>
  <c r="Y2213" i="5"/>
  <c r="AL2213" i="5"/>
  <c r="Y2212" i="5"/>
  <c r="AL2212" i="5"/>
  <c r="Y2211" i="5"/>
  <c r="AL2211" i="5"/>
  <c r="Y2210" i="5"/>
  <c r="AL2210" i="5"/>
  <c r="Y2209" i="5"/>
  <c r="AL2209" i="5"/>
  <c r="Y2208" i="5"/>
  <c r="AL2208" i="5"/>
  <c r="Y2207" i="5"/>
  <c r="AL2207" i="5"/>
  <c r="Y2206" i="5"/>
  <c r="AL2206" i="5"/>
  <c r="Y2205" i="5"/>
  <c r="AL2205" i="5"/>
  <c r="Y2201" i="5"/>
  <c r="AL2201" i="5"/>
  <c r="Y2200" i="5"/>
  <c r="AL2200" i="5"/>
  <c r="Y2199" i="5"/>
  <c r="AL2199" i="5"/>
  <c r="Y2198" i="5"/>
  <c r="AL2198" i="5"/>
  <c r="Y2197" i="5"/>
  <c r="AL2197" i="5"/>
  <c r="Y2196" i="5"/>
  <c r="AL2196" i="5"/>
  <c r="Y2195" i="5"/>
  <c r="AL2195" i="5"/>
  <c r="Y2194" i="5"/>
  <c r="AL2194" i="5"/>
  <c r="Y2193" i="5"/>
  <c r="AL2193" i="5"/>
  <c r="Y2191" i="5"/>
  <c r="AL2191" i="5"/>
  <c r="Y2190" i="5"/>
  <c r="AL2190" i="5"/>
  <c r="Y2188" i="5"/>
  <c r="AL2188" i="5"/>
  <c r="Y2187" i="5"/>
  <c r="AL2187" i="5"/>
  <c r="Y2186" i="5"/>
  <c r="AL2186" i="5"/>
  <c r="Y2184" i="5"/>
  <c r="AL2184" i="5"/>
  <c r="Y2183" i="5"/>
  <c r="AL2183" i="5"/>
  <c r="Y2182" i="5"/>
  <c r="AL2182" i="5"/>
  <c r="Y2181" i="5"/>
  <c r="AL2181" i="5"/>
  <c r="Y2180" i="5"/>
  <c r="AL2180" i="5"/>
  <c r="Y2179" i="5"/>
  <c r="AL2179" i="5"/>
  <c r="Y2178" i="5"/>
  <c r="AL2178" i="5"/>
  <c r="Y2177" i="5"/>
  <c r="AL2177" i="5"/>
  <c r="Y2176" i="5"/>
  <c r="AL2176" i="5"/>
  <c r="Y2175" i="5"/>
  <c r="AL2175" i="5"/>
  <c r="Y2174" i="5"/>
  <c r="AL2174" i="5"/>
  <c r="Y2173" i="5"/>
  <c r="AL2173" i="5"/>
  <c r="Y2172" i="5"/>
  <c r="AL2172" i="5"/>
  <c r="Y2171" i="5"/>
  <c r="AL2171" i="5"/>
  <c r="Y2170" i="5"/>
  <c r="AL2170" i="5"/>
  <c r="Y2169" i="5"/>
  <c r="AL2169" i="5"/>
  <c r="Y2168" i="5"/>
  <c r="AL2168" i="5"/>
  <c r="Y2167" i="5"/>
  <c r="AL2167" i="5"/>
  <c r="Y2166" i="5"/>
  <c r="AL2166" i="5"/>
  <c r="Y2165" i="5"/>
  <c r="AL2165" i="5"/>
  <c r="Y2164" i="5"/>
  <c r="AL2164" i="5"/>
  <c r="Y2163" i="5"/>
  <c r="AL2163" i="5"/>
  <c r="Y2162" i="5"/>
  <c r="AL2162" i="5"/>
  <c r="Y2161" i="5"/>
  <c r="AL2161" i="5"/>
  <c r="Y2160" i="5"/>
  <c r="AL2160" i="5"/>
  <c r="Y2159" i="5"/>
  <c r="AL2159" i="5"/>
  <c r="Y2158" i="5"/>
  <c r="AL2158" i="5"/>
  <c r="Y2157" i="5"/>
  <c r="AL2157" i="5"/>
  <c r="Y2156" i="5"/>
  <c r="AL2156" i="5"/>
  <c r="Y2155" i="5"/>
  <c r="AL2155" i="5"/>
  <c r="Y2154" i="5"/>
  <c r="AL2154" i="5"/>
  <c r="Y2153" i="5"/>
  <c r="AL2153" i="5"/>
  <c r="Y2152" i="5"/>
  <c r="AL2152" i="5"/>
  <c r="Y2151" i="5"/>
  <c r="AL2151" i="5"/>
  <c r="Y2150" i="5"/>
  <c r="AL2150" i="5"/>
  <c r="Y2149" i="5"/>
  <c r="AL2149" i="5"/>
  <c r="Y2148" i="5"/>
  <c r="AL2148" i="5"/>
  <c r="Y2147" i="5"/>
  <c r="AL2147" i="5"/>
  <c r="Y2146" i="5"/>
  <c r="AL2146" i="5"/>
  <c r="Y2145" i="5"/>
  <c r="AL2145" i="5"/>
  <c r="Y2144" i="5"/>
  <c r="AL2144" i="5"/>
  <c r="Y2143" i="5"/>
  <c r="AL2143" i="5"/>
  <c r="Y2142" i="5"/>
  <c r="AL2142" i="5"/>
  <c r="Y2141" i="5"/>
  <c r="AL2141" i="5"/>
  <c r="Y2140" i="5"/>
  <c r="AL2140" i="5"/>
  <c r="Y2139" i="5"/>
  <c r="AL2139" i="5"/>
  <c r="Y2138" i="5"/>
  <c r="AL2138" i="5"/>
  <c r="Y2137" i="5"/>
  <c r="AL2137" i="5"/>
  <c r="Y2136" i="5"/>
  <c r="AL2136" i="5"/>
  <c r="Y2135" i="5"/>
  <c r="AL2135" i="5"/>
  <c r="Y2134" i="5"/>
  <c r="AL2134" i="5"/>
  <c r="Y2133" i="5"/>
  <c r="AL2133" i="5"/>
  <c r="Y2132" i="5"/>
  <c r="AL2132" i="5"/>
  <c r="Y2131" i="5"/>
  <c r="AL2131" i="5"/>
  <c r="Y2130" i="5"/>
  <c r="AL2130" i="5"/>
  <c r="Y2129" i="5"/>
  <c r="AL2129" i="5"/>
  <c r="Y2128" i="5"/>
  <c r="AL2128" i="5"/>
  <c r="Y2127" i="5"/>
  <c r="AL2127" i="5"/>
  <c r="Y2126" i="5"/>
  <c r="AL2126" i="5"/>
  <c r="Y2124" i="5"/>
  <c r="AL2124" i="5"/>
  <c r="Y2123" i="5"/>
  <c r="AL2123" i="5"/>
  <c r="Y2122" i="5"/>
  <c r="AL2122" i="5"/>
  <c r="Y2117" i="5"/>
  <c r="AL2117" i="5"/>
  <c r="Y2116" i="5"/>
  <c r="AL2116" i="5"/>
  <c r="Y2114" i="5"/>
  <c r="AL2114" i="5"/>
  <c r="Y2113" i="5"/>
  <c r="AL2113" i="5"/>
  <c r="Y2112" i="5"/>
  <c r="AL2112" i="5"/>
  <c r="Y2111" i="5"/>
  <c r="AL2111" i="5"/>
  <c r="Y2110" i="5"/>
  <c r="AL2110" i="5"/>
  <c r="Y2109" i="5"/>
  <c r="AL2109" i="5"/>
  <c r="Y2108" i="5"/>
  <c r="AL2108" i="5"/>
  <c r="Y2107" i="5"/>
  <c r="AL2107" i="5"/>
  <c r="Y2106" i="5"/>
  <c r="AL2106" i="5"/>
  <c r="Y2105" i="5"/>
  <c r="AL2105" i="5"/>
  <c r="Y2104" i="5"/>
  <c r="AL2104" i="5"/>
  <c r="Y2103" i="5"/>
  <c r="AL2103" i="5"/>
  <c r="Y2102" i="5"/>
  <c r="AL2102" i="5"/>
  <c r="Y2101" i="5"/>
  <c r="AL2101" i="5"/>
  <c r="Y2100" i="5"/>
  <c r="AL2100" i="5"/>
  <c r="Y2099" i="5"/>
  <c r="AL2099" i="5"/>
  <c r="Y2098" i="5"/>
  <c r="AL2098" i="5"/>
  <c r="Y2097" i="5"/>
  <c r="AL2097" i="5"/>
  <c r="Y2096" i="5"/>
  <c r="AL2096" i="5"/>
  <c r="Y2095" i="5"/>
  <c r="AL2095" i="5"/>
  <c r="Y2094" i="5"/>
  <c r="AL2094" i="5"/>
  <c r="Y2093" i="5"/>
  <c r="AL2093" i="5"/>
  <c r="Y2092" i="5"/>
  <c r="AL2092" i="5"/>
  <c r="Y2091" i="5"/>
  <c r="AL2091" i="5"/>
  <c r="Y2089" i="5"/>
  <c r="AL2089" i="5"/>
  <c r="Y2088" i="5"/>
  <c r="AL2088" i="5"/>
  <c r="Y2087" i="5"/>
  <c r="AL2087" i="5"/>
  <c r="Y2086" i="5"/>
  <c r="AL2086" i="5"/>
  <c r="Y2085" i="5"/>
  <c r="AL2085" i="5"/>
  <c r="Y2084" i="5"/>
  <c r="AL2084" i="5"/>
  <c r="Y2083" i="5"/>
  <c r="AL2083" i="5"/>
  <c r="Y2082" i="5"/>
  <c r="AL2082" i="5"/>
  <c r="Y2081" i="5"/>
  <c r="AL2081" i="5"/>
  <c r="Y2080" i="5"/>
  <c r="AL2080" i="5"/>
  <c r="Y2079" i="5"/>
  <c r="AL2079" i="5"/>
  <c r="Y2078" i="5"/>
  <c r="AL2078" i="5"/>
  <c r="Y2077" i="5"/>
  <c r="AL2077" i="5"/>
  <c r="Y2076" i="5"/>
  <c r="AL2076" i="5"/>
  <c r="Y2075" i="5"/>
  <c r="AL2075" i="5"/>
  <c r="Y2074" i="5"/>
  <c r="AL2074" i="5"/>
  <c r="Y2073" i="5"/>
  <c r="AL2073" i="5"/>
  <c r="Y2072" i="5"/>
  <c r="AL2072" i="5"/>
  <c r="Y2071" i="5"/>
  <c r="AL2071" i="5"/>
  <c r="Y2070" i="5"/>
  <c r="AL2070" i="5"/>
  <c r="Y2069" i="5"/>
  <c r="AL2069" i="5"/>
  <c r="Y2068" i="5"/>
  <c r="AL2068" i="5"/>
  <c r="Y2067" i="5"/>
  <c r="AL2067" i="5"/>
  <c r="Y2066" i="5"/>
  <c r="AL2066" i="5"/>
  <c r="Y2065" i="5"/>
  <c r="AL2065" i="5"/>
  <c r="Y2064" i="5"/>
  <c r="AL2064" i="5"/>
  <c r="Y2063" i="5"/>
  <c r="AL2063" i="5"/>
  <c r="Y2062" i="5"/>
  <c r="AL2062" i="5"/>
  <c r="Y2061" i="5"/>
  <c r="AL2061" i="5"/>
  <c r="Y2060" i="5"/>
  <c r="AL2060" i="5"/>
  <c r="Y2059" i="5"/>
  <c r="AL2059" i="5"/>
  <c r="Y2058" i="5"/>
  <c r="AL2058" i="5"/>
  <c r="Y2057" i="5"/>
  <c r="AL2057" i="5"/>
  <c r="Y2056" i="5"/>
  <c r="AL2056" i="5"/>
  <c r="Y2055" i="5"/>
  <c r="AL2055" i="5"/>
  <c r="Y2054" i="5"/>
  <c r="AL2054" i="5"/>
  <c r="Y2053" i="5"/>
  <c r="AL2053" i="5"/>
  <c r="Y2052" i="5"/>
  <c r="AL2052" i="5"/>
  <c r="E10" i="3"/>
  <c r="S2051" i="5"/>
  <c r="T2051" i="5"/>
  <c r="AQ2265" i="5"/>
  <c r="AR2265" i="5"/>
  <c r="AU2265" i="5"/>
  <c r="AV2265" i="5"/>
  <c r="AQ2185" i="5"/>
  <c r="AR2185" i="5"/>
  <c r="AU2185" i="5"/>
  <c r="AV2185" i="5"/>
  <c r="AQ2125" i="5"/>
  <c r="AR2125" i="5"/>
  <c r="AU2125" i="5"/>
  <c r="AV2125" i="5"/>
  <c r="AQ2121" i="5"/>
  <c r="AR2121" i="5"/>
  <c r="AU2121" i="5"/>
  <c r="AV2121" i="5"/>
  <c r="AQ2120" i="5"/>
  <c r="AR2120" i="5"/>
  <c r="AU2120" i="5"/>
  <c r="AV2120" i="5"/>
  <c r="AQ2119" i="5"/>
  <c r="AR2119" i="5"/>
  <c r="AU2119" i="5"/>
  <c r="AV2119" i="5"/>
  <c r="AQ2118" i="5"/>
  <c r="AR2118" i="5"/>
  <c r="AU2118" i="5"/>
  <c r="AV2118" i="5"/>
  <c r="AQ2115" i="5"/>
  <c r="AR2115" i="5"/>
  <c r="AU2115" i="5"/>
  <c r="AV2115" i="5"/>
  <c r="K34" i="3" l="1"/>
  <c r="K36" i="3"/>
  <c r="K35" i="3"/>
  <c r="K37" i="3"/>
  <c r="K38" i="3"/>
  <c r="AP2379" i="5"/>
  <c r="AT2379" i="5"/>
  <c r="W2379" i="5"/>
  <c r="AO2379" i="5" s="1"/>
  <c r="X2379" i="5"/>
  <c r="AT2375" i="5"/>
  <c r="AP2375" i="5"/>
  <c r="AP2374" i="5"/>
  <c r="AT2374" i="5"/>
  <c r="W2373" i="5"/>
  <c r="AO2373" i="5" s="1"/>
  <c r="AT2373" i="5"/>
  <c r="AP2373" i="5"/>
  <c r="X2373" i="5"/>
  <c r="AT2372" i="5"/>
  <c r="AP2372" i="5"/>
  <c r="AP2371" i="5"/>
  <c r="AT2371" i="5"/>
  <c r="W2371" i="5"/>
  <c r="AO2371" i="5" s="1"/>
  <c r="X2371" i="5"/>
  <c r="AP2370" i="5"/>
  <c r="AT2370" i="5"/>
  <c r="AT2369" i="5"/>
  <c r="AP2369" i="5"/>
  <c r="AP2367" i="5"/>
  <c r="AT2367" i="5"/>
  <c r="AT2366" i="5"/>
  <c r="AP2366" i="5"/>
  <c r="AP2365" i="5"/>
  <c r="AT2365" i="5"/>
  <c r="AP2364" i="5"/>
  <c r="AT2364" i="5"/>
  <c r="AP2363" i="5"/>
  <c r="AT2363" i="5"/>
  <c r="AP2362" i="5"/>
  <c r="AT2362" i="5"/>
  <c r="AP2361" i="5"/>
  <c r="AT2361" i="5"/>
  <c r="AP2360" i="5"/>
  <c r="AT2360" i="5"/>
  <c r="AP2359" i="5"/>
  <c r="AT2359" i="5"/>
  <c r="AP2358" i="5"/>
  <c r="AT2358" i="5"/>
  <c r="AP2357" i="5"/>
  <c r="AT2357" i="5"/>
  <c r="AP2356" i="5"/>
  <c r="AT2356" i="5"/>
  <c r="AP2355" i="5"/>
  <c r="AT2355" i="5"/>
  <c r="AP2354" i="5"/>
  <c r="AT2354" i="5"/>
  <c r="AP2353" i="5"/>
  <c r="AT2353" i="5"/>
  <c r="AP2352" i="5"/>
  <c r="AT2352" i="5"/>
  <c r="AP2351" i="5"/>
  <c r="AT2351" i="5"/>
  <c r="AP2350" i="5"/>
  <c r="AT2350" i="5"/>
  <c r="AP2349" i="5"/>
  <c r="AT2349" i="5"/>
  <c r="AP2348" i="5"/>
  <c r="AT2348" i="5"/>
  <c r="AP2346" i="5"/>
  <c r="AT2346" i="5"/>
  <c r="AP2345" i="5"/>
  <c r="AT2345" i="5"/>
  <c r="AP2344" i="5"/>
  <c r="AT2344" i="5"/>
  <c r="AP2342" i="5"/>
  <c r="AT2342" i="5"/>
  <c r="AT2339" i="5"/>
  <c r="AP2339" i="5"/>
  <c r="AP2338" i="5"/>
  <c r="AT2338" i="5"/>
  <c r="AP2337" i="5"/>
  <c r="AT2337" i="5"/>
  <c r="AT2336" i="5"/>
  <c r="AP2336" i="5"/>
  <c r="AP2335" i="5"/>
  <c r="AT2335" i="5"/>
  <c r="AT2334" i="5"/>
  <c r="AP2334" i="5"/>
  <c r="AP2333" i="5"/>
  <c r="AT2333" i="5"/>
  <c r="AT2332" i="5"/>
  <c r="AP2332" i="5"/>
  <c r="AP2331" i="5"/>
  <c r="AT2331" i="5"/>
  <c r="AP2330" i="5"/>
  <c r="AT2330" i="5"/>
  <c r="AP2329" i="5"/>
  <c r="AT2329" i="5"/>
  <c r="AP2328" i="5"/>
  <c r="AT2328" i="5"/>
  <c r="AP2327" i="5"/>
  <c r="AT2327" i="5"/>
  <c r="AP2326" i="5"/>
  <c r="AT2326" i="5"/>
  <c r="AP2325" i="5"/>
  <c r="AT2325" i="5"/>
  <c r="AT2324" i="5"/>
  <c r="AP2324" i="5"/>
  <c r="AP2323" i="5"/>
  <c r="AT2323" i="5"/>
  <c r="AP2322" i="5"/>
  <c r="AT2322" i="5"/>
  <c r="AT2321" i="5"/>
  <c r="AP2321" i="5"/>
  <c r="AP2320" i="5"/>
  <c r="AT2320" i="5"/>
  <c r="AP2319" i="5"/>
  <c r="AT2319" i="5"/>
  <c r="AP2318" i="5"/>
  <c r="AT2318" i="5"/>
  <c r="AT2317" i="5"/>
  <c r="AP2317" i="5"/>
  <c r="AP2316" i="5"/>
  <c r="AT2316" i="5"/>
  <c r="AP2315" i="5"/>
  <c r="AT2315" i="5"/>
  <c r="AP2314" i="5"/>
  <c r="AT2314" i="5"/>
  <c r="AP2313" i="5"/>
  <c r="AT2313" i="5"/>
  <c r="AP2312" i="5"/>
  <c r="AT2312" i="5"/>
  <c r="AP2311" i="5"/>
  <c r="AT2311" i="5"/>
  <c r="AP2310" i="5"/>
  <c r="AT2310" i="5"/>
  <c r="AP2309" i="5"/>
  <c r="AT2309" i="5"/>
  <c r="AP2308" i="5"/>
  <c r="AT2308" i="5"/>
  <c r="AP2307" i="5"/>
  <c r="AT2307" i="5"/>
  <c r="AP2306" i="5"/>
  <c r="AT2306" i="5"/>
  <c r="AP2303" i="5"/>
  <c r="AT2303" i="5"/>
  <c r="AP2302" i="5"/>
  <c r="AT2302" i="5"/>
  <c r="AP2301" i="5"/>
  <c r="AT2301" i="5"/>
  <c r="AT2300" i="5"/>
  <c r="AP2300" i="5"/>
  <c r="AP2299" i="5"/>
  <c r="AT2299" i="5"/>
  <c r="AP2298" i="5"/>
  <c r="AT2298" i="5"/>
  <c r="AP2297" i="5"/>
  <c r="AT2297" i="5"/>
  <c r="AP2296" i="5"/>
  <c r="AT2296" i="5"/>
  <c r="AP2295" i="5"/>
  <c r="AT2295" i="5"/>
  <c r="AP2294" i="5"/>
  <c r="AT2294" i="5"/>
  <c r="AP2293" i="5"/>
  <c r="AT2293" i="5"/>
  <c r="AP2292" i="5"/>
  <c r="AT2292" i="5"/>
  <c r="AP2291" i="5"/>
  <c r="AT2291" i="5"/>
  <c r="AP2290" i="5"/>
  <c r="AT2290" i="5"/>
  <c r="AP2289" i="5"/>
  <c r="AT2289" i="5"/>
  <c r="AP2288" i="5"/>
  <c r="AT2288" i="5"/>
  <c r="AP2287" i="5"/>
  <c r="AT2287" i="5"/>
  <c r="AP2286" i="5"/>
  <c r="AT2286" i="5"/>
  <c r="AP2285" i="5"/>
  <c r="AT2285" i="5"/>
  <c r="AP2284" i="5"/>
  <c r="AT2284" i="5"/>
  <c r="AP2283" i="5"/>
  <c r="AT2283" i="5"/>
  <c r="AP2282" i="5"/>
  <c r="AT2282" i="5"/>
  <c r="AP2281" i="5"/>
  <c r="AT2281" i="5"/>
  <c r="AP2280" i="5"/>
  <c r="AT2280" i="5"/>
  <c r="AP2279" i="5"/>
  <c r="AT2279" i="5"/>
  <c r="AP2278" i="5"/>
  <c r="AT2278" i="5"/>
  <c r="AP2277" i="5"/>
  <c r="AT2277" i="5"/>
  <c r="AP2276" i="5"/>
  <c r="AT2276" i="5"/>
  <c r="AP2275" i="5"/>
  <c r="AT2275" i="5"/>
  <c r="AP2274" i="5"/>
  <c r="AT2274" i="5"/>
  <c r="AP2273" i="5"/>
  <c r="AT2273" i="5"/>
  <c r="AP2272" i="5"/>
  <c r="AT2272" i="5"/>
  <c r="W2272" i="5"/>
  <c r="AO2272" i="5" s="1"/>
  <c r="X2272" i="5"/>
  <c r="AP2271" i="5"/>
  <c r="AT2271" i="5"/>
  <c r="AP2270" i="5"/>
  <c r="AT2270" i="5"/>
  <c r="AP2269" i="5"/>
  <c r="AT2269" i="5"/>
  <c r="AP2268" i="5"/>
  <c r="AT2268" i="5"/>
  <c r="AP2267" i="5"/>
  <c r="AT2267" i="5"/>
  <c r="AP2266" i="5"/>
  <c r="AT2266" i="5"/>
  <c r="AP2264" i="5"/>
  <c r="AT2264" i="5"/>
  <c r="AP2263" i="5"/>
  <c r="AT2263" i="5"/>
  <c r="AP2262" i="5"/>
  <c r="AT2262" i="5"/>
  <c r="AP2261" i="5"/>
  <c r="AT2261" i="5"/>
  <c r="AU2260" i="5"/>
  <c r="AQ2260" i="5"/>
  <c r="AR2260" i="5"/>
  <c r="AP2259" i="5"/>
  <c r="AT2259" i="5"/>
  <c r="AP2258" i="5"/>
  <c r="AT2258" i="5"/>
  <c r="AP2257" i="5"/>
  <c r="AT2257" i="5"/>
  <c r="AP2256" i="5"/>
  <c r="AT2256" i="5"/>
  <c r="AP2255" i="5"/>
  <c r="AT2255" i="5"/>
  <c r="AP2254" i="5"/>
  <c r="AT2254" i="5"/>
  <c r="AP2253" i="5"/>
  <c r="AT2253" i="5"/>
  <c r="AP2252" i="5"/>
  <c r="AT2252" i="5"/>
  <c r="AP2251" i="5"/>
  <c r="AT2251" i="5"/>
  <c r="AP2250" i="5"/>
  <c r="AT2250" i="5"/>
  <c r="AP2249" i="5"/>
  <c r="AT2249" i="5"/>
  <c r="AP2248" i="5"/>
  <c r="AT2248" i="5"/>
  <c r="AP2247" i="5"/>
  <c r="AT2247" i="5"/>
  <c r="AP2246" i="5"/>
  <c r="AT2246" i="5"/>
  <c r="AP2245" i="5"/>
  <c r="AT2245" i="5"/>
  <c r="AP2244" i="5"/>
  <c r="AT2244" i="5"/>
  <c r="AP2243" i="5"/>
  <c r="AT2243" i="5"/>
  <c r="AP2242" i="5"/>
  <c r="AT2242" i="5"/>
  <c r="AP2241" i="5"/>
  <c r="AT2241" i="5"/>
  <c r="AP2240" i="5"/>
  <c r="AT2240" i="5"/>
  <c r="AP2239" i="5"/>
  <c r="AT2239" i="5"/>
  <c r="AP2238" i="5"/>
  <c r="AT2238" i="5"/>
  <c r="AP2237" i="5"/>
  <c r="AT2237" i="5"/>
  <c r="AP2236" i="5"/>
  <c r="AT2236" i="5"/>
  <c r="AT2235" i="5"/>
  <c r="AP2235" i="5"/>
  <c r="AP2234" i="5"/>
  <c r="AT2234" i="5"/>
  <c r="AP2233" i="5"/>
  <c r="AT2233" i="5"/>
  <c r="AP2232" i="5"/>
  <c r="AT2232" i="5"/>
  <c r="AP2231" i="5"/>
  <c r="AT2231" i="5"/>
  <c r="AP2230" i="5"/>
  <c r="AT2230" i="5"/>
  <c r="AP2229" i="5"/>
  <c r="AT2229" i="5"/>
  <c r="AP2228" i="5"/>
  <c r="AT2228" i="5"/>
  <c r="AP2227" i="5"/>
  <c r="AT2227" i="5"/>
  <c r="AP2226" i="5"/>
  <c r="AT2226" i="5"/>
  <c r="AP2225" i="5"/>
  <c r="AT2225" i="5"/>
  <c r="AP2224" i="5"/>
  <c r="AT2224" i="5"/>
  <c r="AP2223" i="5"/>
  <c r="AT2223" i="5"/>
  <c r="AP2222" i="5"/>
  <c r="AT2222" i="5"/>
  <c r="AP2221" i="5"/>
  <c r="AT2221" i="5"/>
  <c r="AT2220" i="5"/>
  <c r="AP2220" i="5"/>
  <c r="AP2219" i="5"/>
  <c r="AT2219" i="5"/>
  <c r="AP2218" i="5"/>
  <c r="AT2218" i="5"/>
  <c r="AP2217" i="5"/>
  <c r="AT2217" i="5"/>
  <c r="AP2216" i="5"/>
  <c r="AT2216" i="5"/>
  <c r="AP2215" i="5"/>
  <c r="AT2215" i="5"/>
  <c r="AP2214" i="5"/>
  <c r="AT2214" i="5"/>
  <c r="AP2213" i="5"/>
  <c r="AT2213" i="5"/>
  <c r="AP2212" i="5"/>
  <c r="AT2212" i="5"/>
  <c r="AP2211" i="5"/>
  <c r="AT2211" i="5"/>
  <c r="AP2210" i="5"/>
  <c r="AT2210" i="5"/>
  <c r="AT2209" i="5"/>
  <c r="AP2209" i="5"/>
  <c r="AP2208" i="5"/>
  <c r="AT2208" i="5"/>
  <c r="AP2207" i="5"/>
  <c r="AT2207" i="5"/>
  <c r="W2206" i="5"/>
  <c r="AO2206" i="5" s="1"/>
  <c r="AT2206" i="5"/>
  <c r="AP2206" i="5"/>
  <c r="X2206" i="5"/>
  <c r="X2205" i="5"/>
  <c r="AP2205" i="5"/>
  <c r="AT2205" i="5"/>
  <c r="W2205" i="5"/>
  <c r="AO2205" i="5" s="1"/>
  <c r="AP2201" i="5"/>
  <c r="AT2201" i="5"/>
  <c r="AP2200" i="5"/>
  <c r="AT2200" i="5"/>
  <c r="W2199" i="5"/>
  <c r="AO2199" i="5" s="1"/>
  <c r="X2199" i="5"/>
  <c r="AP2199" i="5"/>
  <c r="AT2199" i="5"/>
  <c r="AT2198" i="5"/>
  <c r="AP2198" i="5"/>
  <c r="AP2197" i="5"/>
  <c r="AT2197" i="5"/>
  <c r="AP2196" i="5"/>
  <c r="AT2196" i="5"/>
  <c r="AP2195" i="5"/>
  <c r="AT2195" i="5"/>
  <c r="AP2194" i="5"/>
  <c r="AT2194" i="5"/>
  <c r="AT2193" i="5"/>
  <c r="AP2193" i="5"/>
  <c r="AP2191" i="5"/>
  <c r="AT2191" i="5"/>
  <c r="AT2190" i="5"/>
  <c r="AP2190" i="5"/>
  <c r="AP2188" i="5"/>
  <c r="AT2188" i="5"/>
  <c r="AT2187" i="5"/>
  <c r="AP2187" i="5"/>
  <c r="AP2186" i="5"/>
  <c r="AT2186" i="5"/>
  <c r="AP2184" i="5"/>
  <c r="AT2184" i="5"/>
  <c r="AP2183" i="5"/>
  <c r="AT2183" i="5"/>
  <c r="AP2182" i="5"/>
  <c r="AT2182" i="5"/>
  <c r="AP2181" i="5"/>
  <c r="AT2181" i="5"/>
  <c r="AT2180" i="5"/>
  <c r="AP2180" i="5"/>
  <c r="AP2179" i="5"/>
  <c r="AT2179" i="5"/>
  <c r="AP2178" i="5"/>
  <c r="AT2178" i="5"/>
  <c r="AP2177" i="5"/>
  <c r="AT2177" i="5"/>
  <c r="AP2176" i="5"/>
  <c r="AT2176" i="5"/>
  <c r="AP2175" i="5"/>
  <c r="AT2175" i="5"/>
  <c r="AP2174" i="5"/>
  <c r="AT2174" i="5"/>
  <c r="AP2173" i="5"/>
  <c r="AT2173" i="5"/>
  <c r="AP2172" i="5"/>
  <c r="AT2172" i="5"/>
  <c r="AP2171" i="5"/>
  <c r="AT2171" i="5"/>
  <c r="AT2170" i="5"/>
  <c r="AP2170" i="5"/>
  <c r="AT2169" i="5"/>
  <c r="AP2169" i="5"/>
  <c r="AT2168" i="5"/>
  <c r="AP2168" i="5"/>
  <c r="AT2167" i="5"/>
  <c r="AP2167" i="5"/>
  <c r="AP2166" i="5"/>
  <c r="AT2166" i="5"/>
  <c r="AT2165" i="5"/>
  <c r="AP2165" i="5"/>
  <c r="AP2164" i="5"/>
  <c r="AT2164" i="5"/>
  <c r="AT2163" i="5"/>
  <c r="AP2163" i="5"/>
  <c r="AP2162" i="5"/>
  <c r="AT2162" i="5"/>
  <c r="AT2161" i="5"/>
  <c r="AP2161" i="5"/>
  <c r="AP2160" i="5"/>
  <c r="AT2160" i="5"/>
  <c r="AP2159" i="5"/>
  <c r="AT2159" i="5"/>
  <c r="AT2158" i="5"/>
  <c r="AP2158" i="5"/>
  <c r="AT2157" i="5"/>
  <c r="AP2157" i="5"/>
  <c r="AP2156" i="5"/>
  <c r="AT2156" i="5"/>
  <c r="AP2155" i="5"/>
  <c r="AT2155" i="5"/>
  <c r="AP2154" i="5"/>
  <c r="AT2154" i="5"/>
  <c r="AP2153" i="5"/>
  <c r="AT2153" i="5"/>
  <c r="AT2152" i="5"/>
  <c r="AP2152" i="5"/>
  <c r="AT2151" i="5"/>
  <c r="AP2151" i="5"/>
  <c r="AP2150" i="5"/>
  <c r="AT2150" i="5"/>
  <c r="AP2149" i="5"/>
  <c r="AT2149" i="5"/>
  <c r="AP2148" i="5"/>
  <c r="AT2148" i="5"/>
  <c r="AP2147" i="5"/>
  <c r="AT2147" i="5"/>
  <c r="AP2146" i="5"/>
  <c r="AT2146" i="5"/>
  <c r="AP2145" i="5"/>
  <c r="AT2145" i="5"/>
  <c r="AP2144" i="5"/>
  <c r="AT2144" i="5"/>
  <c r="AP2143" i="5"/>
  <c r="AT2143" i="5"/>
  <c r="AP2142" i="5"/>
  <c r="AT2142" i="5"/>
  <c r="AP2141" i="5"/>
  <c r="AT2141" i="5"/>
  <c r="AP2140" i="5"/>
  <c r="AT2140" i="5"/>
  <c r="AP2139" i="5"/>
  <c r="AT2139" i="5"/>
  <c r="AP2138" i="5"/>
  <c r="AT2138" i="5"/>
  <c r="AP2137" i="5"/>
  <c r="AT2137" i="5"/>
  <c r="AP2136" i="5"/>
  <c r="AT2136" i="5"/>
  <c r="AP2135" i="5"/>
  <c r="AT2135" i="5"/>
  <c r="AP2134" i="5"/>
  <c r="AT2134" i="5"/>
  <c r="AP2133" i="5"/>
  <c r="AT2133" i="5"/>
  <c r="AP2132" i="5"/>
  <c r="AT2132" i="5"/>
  <c r="AP2131" i="5"/>
  <c r="AT2131" i="5"/>
  <c r="AP2130" i="5"/>
  <c r="AT2130" i="5"/>
  <c r="AP2129" i="5"/>
  <c r="AT2129" i="5"/>
  <c r="AP2128" i="5"/>
  <c r="AT2128" i="5"/>
  <c r="AP2127" i="5"/>
  <c r="AT2127" i="5"/>
  <c r="AP2126" i="5"/>
  <c r="AT2126" i="5"/>
  <c r="AP2124" i="5"/>
  <c r="AT2124" i="5"/>
  <c r="AP2123" i="5"/>
  <c r="AT2123" i="5"/>
  <c r="AP2122" i="5"/>
  <c r="AT2122" i="5"/>
  <c r="W2122" i="5"/>
  <c r="AO2122" i="5" s="1"/>
  <c r="X2122" i="5"/>
  <c r="AP2117" i="5"/>
  <c r="AT2117" i="5"/>
  <c r="W2117" i="5"/>
  <c r="AO2117" i="5" s="1"/>
  <c r="X2117" i="5"/>
  <c r="AP2116" i="5"/>
  <c r="AT2116" i="5"/>
  <c r="W2116" i="5"/>
  <c r="AO2116" i="5" s="1"/>
  <c r="X2116" i="5"/>
  <c r="AP2114" i="5"/>
  <c r="AT2114" i="5"/>
  <c r="AP2113" i="5"/>
  <c r="AT2113" i="5"/>
  <c r="AP2112" i="5"/>
  <c r="AT2112" i="5"/>
  <c r="AP2111" i="5"/>
  <c r="AT2111" i="5"/>
  <c r="AP2110" i="5"/>
  <c r="AT2110" i="5"/>
  <c r="AP2109" i="5"/>
  <c r="AT2109" i="5"/>
  <c r="AP2108" i="5"/>
  <c r="AT2108" i="5"/>
  <c r="AP2107" i="5"/>
  <c r="AT2107" i="5"/>
  <c r="AP2106" i="5"/>
  <c r="AT2106" i="5"/>
  <c r="AP2105" i="5"/>
  <c r="AT2105" i="5"/>
  <c r="AP2104" i="5"/>
  <c r="AT2104" i="5"/>
  <c r="AP2103" i="5"/>
  <c r="AT2103" i="5"/>
  <c r="W2103" i="5"/>
  <c r="AO2103" i="5" s="1"/>
  <c r="X2103" i="5"/>
  <c r="AP2102" i="5"/>
  <c r="AT2102" i="5"/>
  <c r="AP2101" i="5"/>
  <c r="AT2101" i="5"/>
  <c r="AP2100" i="5"/>
  <c r="AT2100" i="5"/>
  <c r="AP2099" i="5"/>
  <c r="AT2099" i="5"/>
  <c r="AP2098" i="5"/>
  <c r="AT2098" i="5"/>
  <c r="AP2097" i="5"/>
  <c r="AT2097" i="5"/>
  <c r="AP2096" i="5"/>
  <c r="AT2096" i="5"/>
  <c r="W2096" i="5"/>
  <c r="AO2096" i="5" s="1"/>
  <c r="X2096" i="5"/>
  <c r="AP2095" i="5"/>
  <c r="AT2095" i="5"/>
  <c r="AP2094" i="5"/>
  <c r="AT2094" i="5"/>
  <c r="AP2093" i="5"/>
  <c r="AT2093" i="5"/>
  <c r="AP2092" i="5"/>
  <c r="AT2092" i="5"/>
  <c r="AP2091" i="5"/>
  <c r="AT2091" i="5"/>
  <c r="AP2089" i="5"/>
  <c r="AT2089" i="5"/>
  <c r="AP2088" i="5"/>
  <c r="AT2088" i="5"/>
  <c r="AP2087" i="5"/>
  <c r="AT2087" i="5"/>
  <c r="AP2086" i="5"/>
  <c r="AT2086" i="5"/>
  <c r="AP2085" i="5"/>
  <c r="AT2085" i="5"/>
  <c r="AP2084" i="5"/>
  <c r="AT2084" i="5"/>
  <c r="AP2083" i="5"/>
  <c r="AT2083" i="5"/>
  <c r="AP2082" i="5"/>
  <c r="AT2082" i="5"/>
  <c r="AP2081" i="5"/>
  <c r="AT2081" i="5"/>
  <c r="AP2080" i="5"/>
  <c r="AT2080" i="5"/>
  <c r="AP2079" i="5"/>
  <c r="AT2079" i="5"/>
  <c r="AT2078" i="5"/>
  <c r="AP2078" i="5"/>
  <c r="AP2077" i="5"/>
  <c r="AT2077" i="5"/>
  <c r="AP2076" i="5"/>
  <c r="AT2076" i="5"/>
  <c r="AP2075" i="5"/>
  <c r="AT2075" i="5"/>
  <c r="AP2074" i="5"/>
  <c r="AT2074" i="5"/>
  <c r="AP2073" i="5"/>
  <c r="AT2073" i="5"/>
  <c r="AP2072" i="5"/>
  <c r="AT2072" i="5"/>
  <c r="AP2071" i="5"/>
  <c r="AT2071" i="5"/>
  <c r="AP2070" i="5"/>
  <c r="AT2070" i="5"/>
  <c r="AP2069" i="5"/>
  <c r="AT2069" i="5"/>
  <c r="AP2068" i="5"/>
  <c r="AT2068" i="5"/>
  <c r="AP2067" i="5"/>
  <c r="AT2067" i="5"/>
  <c r="AP2066" i="5"/>
  <c r="AT2066" i="5"/>
  <c r="AP2065" i="5"/>
  <c r="AT2065" i="5"/>
  <c r="AP2064" i="5"/>
  <c r="AT2064" i="5"/>
  <c r="AP2063" i="5"/>
  <c r="AT2063" i="5"/>
  <c r="AP2062" i="5"/>
  <c r="AT2062" i="5"/>
  <c r="AP2061" i="5"/>
  <c r="AT2061" i="5"/>
  <c r="AP2060" i="5"/>
  <c r="AT2060" i="5"/>
  <c r="AP2059" i="5"/>
  <c r="AT2059" i="5"/>
  <c r="AP2058" i="5"/>
  <c r="AT2058" i="5"/>
  <c r="AP2057" i="5"/>
  <c r="AT2057" i="5"/>
  <c r="AP2056" i="5"/>
  <c r="AT2056" i="5"/>
  <c r="AP2055" i="5"/>
  <c r="AT2055" i="5"/>
  <c r="AP2054" i="5"/>
  <c r="AT2054" i="5"/>
  <c r="AP2053" i="5"/>
  <c r="AT2053" i="5"/>
  <c r="AP2052" i="5"/>
  <c r="AT2052" i="5"/>
  <c r="B14" i="3"/>
  <c r="AA2051" i="5"/>
  <c r="B13" i="3"/>
  <c r="V2051" i="5"/>
  <c r="B34" i="3" l="1"/>
  <c r="E34" i="3"/>
  <c r="A34" i="3"/>
  <c r="C34" i="3"/>
  <c r="E36" i="3"/>
  <c r="B36" i="3"/>
  <c r="C36" i="3"/>
  <c r="A36" i="3"/>
  <c r="E35" i="3"/>
  <c r="B35" i="3"/>
  <c r="A35" i="3"/>
  <c r="C35" i="3"/>
  <c r="B37" i="3"/>
  <c r="E37" i="3"/>
  <c r="C37" i="3"/>
  <c r="A37" i="3"/>
  <c r="B38" i="3"/>
  <c r="E38" i="3"/>
  <c r="C38" i="3"/>
  <c r="A38" i="3"/>
  <c r="AR2379" i="5"/>
  <c r="AQ2379" i="5"/>
  <c r="AU2379" i="5"/>
  <c r="AV2379" i="5"/>
  <c r="AU2375" i="5"/>
  <c r="AR2375" i="5"/>
  <c r="AQ2375" i="5"/>
  <c r="AQ2374" i="5"/>
  <c r="AR2374" i="5"/>
  <c r="AU2374" i="5"/>
  <c r="AU2373" i="5"/>
  <c r="AV2373" i="5"/>
  <c r="AR2373" i="5"/>
  <c r="AQ2373" i="5"/>
  <c r="AU2372" i="5"/>
  <c r="AQ2372" i="5"/>
  <c r="AR2372" i="5"/>
  <c r="AQ2371" i="5"/>
  <c r="AR2371" i="5"/>
  <c r="AU2371" i="5"/>
  <c r="AV2371" i="5"/>
  <c r="AQ2370" i="5"/>
  <c r="AR2370" i="5"/>
  <c r="AU2370" i="5"/>
  <c r="AU2369" i="5"/>
  <c r="AQ2369" i="5"/>
  <c r="AR2369" i="5"/>
  <c r="AQ2367" i="5"/>
  <c r="AU2367" i="5"/>
  <c r="AU2366" i="5"/>
  <c r="AR2366" i="5"/>
  <c r="AQ2366" i="5"/>
  <c r="AQ2365" i="5"/>
  <c r="AR2365" i="5"/>
  <c r="AU2365" i="5"/>
  <c r="AQ2364" i="5"/>
  <c r="AR2364" i="5"/>
  <c r="AU2364" i="5"/>
  <c r="AQ2363" i="5"/>
  <c r="AU2363" i="5"/>
  <c r="AQ2362" i="5"/>
  <c r="AR2362" i="5"/>
  <c r="AU2362" i="5"/>
  <c r="AQ2361" i="5"/>
  <c r="AR2361" i="5"/>
  <c r="AU2361" i="5"/>
  <c r="AQ2360" i="5"/>
  <c r="AU2360" i="5"/>
  <c r="AQ2359" i="5"/>
  <c r="AU2359" i="5"/>
  <c r="AQ2358" i="5"/>
  <c r="AR2358" i="5"/>
  <c r="AU2358" i="5"/>
  <c r="AQ2357" i="5"/>
  <c r="AU2357" i="5"/>
  <c r="AQ2356" i="5"/>
  <c r="AU2356" i="5"/>
  <c r="AQ2355" i="5"/>
  <c r="AR2355" i="5"/>
  <c r="AU2355" i="5"/>
  <c r="AQ2354" i="5"/>
  <c r="AR2354" i="5"/>
  <c r="AU2354" i="5"/>
  <c r="AQ2353" i="5"/>
  <c r="AU2353" i="5"/>
  <c r="AQ2352" i="5"/>
  <c r="AU2352" i="5"/>
  <c r="AQ2351" i="5"/>
  <c r="AR2351" i="5"/>
  <c r="AU2351" i="5"/>
  <c r="AQ2350" i="5"/>
  <c r="AU2350" i="5"/>
  <c r="AQ2349" i="5"/>
  <c r="AR2349" i="5"/>
  <c r="AU2349" i="5"/>
  <c r="AQ2348" i="5"/>
  <c r="AR2348" i="5"/>
  <c r="AU2348" i="5"/>
  <c r="AQ2346" i="5"/>
  <c r="AR2346" i="5"/>
  <c r="AU2346" i="5"/>
  <c r="AQ2345" i="5"/>
  <c r="AR2345" i="5"/>
  <c r="AU2345" i="5"/>
  <c r="AQ2344" i="5"/>
  <c r="AR2344" i="5"/>
  <c r="AU2344" i="5"/>
  <c r="AQ2342" i="5"/>
  <c r="AR2342" i="5"/>
  <c r="AU2342" i="5"/>
  <c r="AU2339" i="5"/>
  <c r="AR2339" i="5"/>
  <c r="AQ2339" i="5"/>
  <c r="AR2338" i="5"/>
  <c r="AQ2338" i="5"/>
  <c r="AU2338" i="5"/>
  <c r="AR2337" i="5"/>
  <c r="AQ2337" i="5"/>
  <c r="AU2337" i="5"/>
  <c r="AU2336" i="5"/>
  <c r="AR2336" i="5"/>
  <c r="AQ2336" i="5"/>
  <c r="AR2335" i="5"/>
  <c r="AQ2335" i="5"/>
  <c r="AU2335" i="5"/>
  <c r="AU2334" i="5"/>
  <c r="AQ2334" i="5"/>
  <c r="AQ2333" i="5"/>
  <c r="AR2333" i="5"/>
  <c r="AU2333" i="5"/>
  <c r="AU2332" i="5"/>
  <c r="AR2332" i="5"/>
  <c r="AQ2332" i="5"/>
  <c r="AQ2331" i="5"/>
  <c r="AU2331" i="5"/>
  <c r="AQ2330" i="5"/>
  <c r="AR2330" i="5"/>
  <c r="AU2330" i="5"/>
  <c r="AQ2329" i="5"/>
  <c r="AR2329" i="5"/>
  <c r="AU2329" i="5"/>
  <c r="AQ2328" i="5"/>
  <c r="AU2328" i="5"/>
  <c r="AQ2327" i="5"/>
  <c r="AU2327" i="5"/>
  <c r="AQ2326" i="5"/>
  <c r="AR2326" i="5"/>
  <c r="AU2326" i="5"/>
  <c r="AQ2325" i="5"/>
  <c r="AR2325" i="5"/>
  <c r="AU2325" i="5"/>
  <c r="AU2324" i="5"/>
  <c r="AQ2324" i="5"/>
  <c r="AQ2323" i="5"/>
  <c r="AR2323" i="5"/>
  <c r="AU2323" i="5"/>
  <c r="AQ2322" i="5"/>
  <c r="AU2322" i="5"/>
  <c r="AU2321" i="5"/>
  <c r="AQ2321" i="5"/>
  <c r="AQ2320" i="5"/>
  <c r="AU2320" i="5"/>
  <c r="AQ2319" i="5"/>
  <c r="AU2319" i="5"/>
  <c r="AQ2318" i="5"/>
  <c r="AU2318" i="5"/>
  <c r="AU2317" i="5"/>
  <c r="AR2317" i="5"/>
  <c r="AQ2317" i="5"/>
  <c r="AQ2316" i="5"/>
  <c r="AR2316" i="5"/>
  <c r="AU2316" i="5"/>
  <c r="AR2315" i="5"/>
  <c r="AQ2315" i="5"/>
  <c r="AU2315" i="5"/>
  <c r="AR2314" i="5"/>
  <c r="AQ2314" i="5"/>
  <c r="AU2314" i="5"/>
  <c r="AQ2313" i="5"/>
  <c r="AU2313" i="5"/>
  <c r="AQ2312" i="5"/>
  <c r="AU2312" i="5"/>
  <c r="AQ2311" i="5"/>
  <c r="AU2311" i="5"/>
  <c r="AR2310" i="5"/>
  <c r="AQ2310" i="5"/>
  <c r="AU2310" i="5"/>
  <c r="AQ2309" i="5"/>
  <c r="AR2309" i="5"/>
  <c r="AU2309" i="5"/>
  <c r="AQ2308" i="5"/>
  <c r="AR2308" i="5"/>
  <c r="AU2308" i="5"/>
  <c r="AQ2307" i="5"/>
  <c r="AR2307" i="5"/>
  <c r="AU2307" i="5"/>
  <c r="AQ2306" i="5"/>
  <c r="AR2306" i="5"/>
  <c r="AU2306" i="5"/>
  <c r="AR2303" i="5"/>
  <c r="AQ2303" i="5"/>
  <c r="AU2303" i="5"/>
  <c r="AR2302" i="5"/>
  <c r="AQ2302" i="5"/>
  <c r="AU2302" i="5"/>
  <c r="AQ2301" i="5"/>
  <c r="AR2301" i="5"/>
  <c r="AU2301" i="5"/>
  <c r="AU2300" i="5"/>
  <c r="AR2300" i="5"/>
  <c r="AQ2300" i="5"/>
  <c r="AQ2299" i="5"/>
  <c r="AU2299" i="5"/>
  <c r="AR2298" i="5"/>
  <c r="AQ2298" i="5"/>
  <c r="AU2298" i="5"/>
  <c r="AQ2297" i="5"/>
  <c r="AR2297" i="5"/>
  <c r="AU2297" i="5"/>
  <c r="AQ2296" i="5"/>
  <c r="AR2296" i="5"/>
  <c r="AU2296" i="5"/>
  <c r="AQ2295" i="5"/>
  <c r="AR2295" i="5"/>
  <c r="AU2295" i="5"/>
  <c r="AQ2294" i="5"/>
  <c r="AR2294" i="5"/>
  <c r="AU2294" i="5"/>
  <c r="AQ2293" i="5"/>
  <c r="AR2293" i="5"/>
  <c r="AU2293" i="5"/>
  <c r="AQ2292" i="5"/>
  <c r="AR2292" i="5"/>
  <c r="AU2292" i="5"/>
  <c r="AQ2291" i="5"/>
  <c r="AR2291" i="5"/>
  <c r="AU2291" i="5"/>
  <c r="AQ2290" i="5"/>
  <c r="AR2290" i="5"/>
  <c r="AU2290" i="5"/>
  <c r="AQ2289" i="5"/>
  <c r="AU2289" i="5"/>
  <c r="AQ2288" i="5"/>
  <c r="AR2288" i="5"/>
  <c r="AU2288" i="5"/>
  <c r="AQ2287" i="5"/>
  <c r="AR2287" i="5"/>
  <c r="AU2287" i="5"/>
  <c r="AQ2286" i="5"/>
  <c r="AU2286" i="5"/>
  <c r="AQ2285" i="5"/>
  <c r="AR2285" i="5"/>
  <c r="AU2285" i="5"/>
  <c r="AQ2284" i="5"/>
  <c r="AR2284" i="5"/>
  <c r="AU2284" i="5"/>
  <c r="AQ2283" i="5"/>
  <c r="AR2283" i="5"/>
  <c r="AU2283" i="5"/>
  <c r="AQ2282" i="5"/>
  <c r="AR2282" i="5"/>
  <c r="AU2282" i="5"/>
  <c r="AQ2281" i="5"/>
  <c r="AU2281" i="5"/>
  <c r="AQ2280" i="5"/>
  <c r="AR2280" i="5"/>
  <c r="AU2280" i="5"/>
  <c r="AQ2279" i="5"/>
  <c r="AR2279" i="5"/>
  <c r="AU2279" i="5"/>
  <c r="AQ2278" i="5"/>
  <c r="AR2278" i="5"/>
  <c r="AU2278" i="5"/>
  <c r="AQ2277" i="5"/>
  <c r="AR2277" i="5"/>
  <c r="AU2277" i="5"/>
  <c r="AQ2276" i="5"/>
  <c r="AR2276" i="5"/>
  <c r="AU2276" i="5"/>
  <c r="AQ2275" i="5"/>
  <c r="AR2275" i="5"/>
  <c r="AU2275" i="5"/>
  <c r="AQ2274" i="5"/>
  <c r="AR2274" i="5"/>
  <c r="AU2274" i="5"/>
  <c r="AQ2273" i="5"/>
  <c r="AR2273" i="5"/>
  <c r="AU2273" i="5"/>
  <c r="AQ2272" i="5"/>
  <c r="AR2272" i="5"/>
  <c r="AU2272" i="5"/>
  <c r="AV2272" i="5"/>
  <c r="AQ2271" i="5"/>
  <c r="AR2271" i="5"/>
  <c r="AU2271" i="5"/>
  <c r="AQ2270" i="5"/>
  <c r="AR2270" i="5"/>
  <c r="AU2270" i="5"/>
  <c r="AQ2269" i="5"/>
  <c r="AR2269" i="5"/>
  <c r="AU2269" i="5"/>
  <c r="AQ2268" i="5"/>
  <c r="AR2268" i="5"/>
  <c r="AU2268" i="5"/>
  <c r="AQ2267" i="5"/>
  <c r="AR2267" i="5"/>
  <c r="AU2267" i="5"/>
  <c r="AQ2266" i="5"/>
  <c r="AU2266" i="5"/>
  <c r="AQ2264" i="5"/>
  <c r="AR2264" i="5"/>
  <c r="AU2264" i="5"/>
  <c r="AQ2263" i="5"/>
  <c r="AR2263" i="5"/>
  <c r="AU2263" i="5"/>
  <c r="AQ2262" i="5"/>
  <c r="AR2262" i="5"/>
  <c r="AU2262" i="5"/>
  <c r="AQ2261" i="5"/>
  <c r="AU2261" i="5"/>
  <c r="AQ2259" i="5"/>
  <c r="AR2259" i="5"/>
  <c r="AU2259" i="5"/>
  <c r="AQ2258" i="5"/>
  <c r="AU2258" i="5"/>
  <c r="AQ2257" i="5"/>
  <c r="AR2257" i="5"/>
  <c r="AU2257" i="5"/>
  <c r="AQ2256" i="5"/>
  <c r="AU2256" i="5"/>
  <c r="AQ2255" i="5"/>
  <c r="AU2255" i="5"/>
  <c r="AQ2254" i="5"/>
  <c r="AR2254" i="5"/>
  <c r="AU2254" i="5"/>
  <c r="AQ2253" i="5"/>
  <c r="AR2253" i="5"/>
  <c r="AU2253" i="5"/>
  <c r="AQ2252" i="5"/>
  <c r="AU2252" i="5"/>
  <c r="AQ2251" i="5"/>
  <c r="AU2251" i="5"/>
  <c r="AQ2250" i="5"/>
  <c r="AR2250" i="5"/>
  <c r="AU2250" i="5"/>
  <c r="AQ2249" i="5"/>
  <c r="AU2249" i="5"/>
  <c r="AQ2248" i="5"/>
  <c r="AR2248" i="5"/>
  <c r="AU2248" i="5"/>
  <c r="AQ2247" i="5"/>
  <c r="AR2247" i="5"/>
  <c r="AU2247" i="5"/>
  <c r="AQ2246" i="5"/>
  <c r="AR2246" i="5"/>
  <c r="AU2246" i="5"/>
  <c r="AQ2245" i="5"/>
  <c r="AR2245" i="5"/>
  <c r="AU2245" i="5"/>
  <c r="AQ2244" i="5"/>
  <c r="AU2244" i="5"/>
  <c r="AQ2243" i="5"/>
  <c r="AU2243" i="5"/>
  <c r="AQ2242" i="5"/>
  <c r="AR2242" i="5"/>
  <c r="AU2242" i="5"/>
  <c r="AQ2241" i="5"/>
  <c r="AR2241" i="5"/>
  <c r="AU2241" i="5"/>
  <c r="AQ2240" i="5"/>
  <c r="AR2240" i="5"/>
  <c r="AU2240" i="5"/>
  <c r="AQ2239" i="5"/>
  <c r="AR2239" i="5"/>
  <c r="AU2239" i="5"/>
  <c r="AQ2238" i="5"/>
  <c r="AR2238" i="5"/>
  <c r="AU2238" i="5"/>
  <c r="AQ2237" i="5"/>
  <c r="AR2237" i="5"/>
  <c r="AU2237" i="5"/>
  <c r="AQ2236" i="5"/>
  <c r="AR2236" i="5"/>
  <c r="AU2236" i="5"/>
  <c r="AU2235" i="5"/>
  <c r="AR2235" i="5"/>
  <c r="AQ2235" i="5"/>
  <c r="AQ2234" i="5"/>
  <c r="AR2234" i="5"/>
  <c r="AU2234" i="5"/>
  <c r="AQ2233" i="5"/>
  <c r="AR2233" i="5"/>
  <c r="AU2233" i="5"/>
  <c r="AQ2232" i="5"/>
  <c r="AR2232" i="5"/>
  <c r="AU2232" i="5"/>
  <c r="AQ2231" i="5"/>
  <c r="AR2231" i="5"/>
  <c r="AU2231" i="5"/>
  <c r="AQ2230" i="5"/>
  <c r="AR2230" i="5"/>
  <c r="AU2230" i="5"/>
  <c r="AQ2229" i="5"/>
  <c r="AR2229" i="5"/>
  <c r="AU2229" i="5"/>
  <c r="AQ2228" i="5"/>
  <c r="AR2228" i="5"/>
  <c r="AU2228" i="5"/>
  <c r="AQ2227" i="5"/>
  <c r="AR2227" i="5"/>
  <c r="AU2227" i="5"/>
  <c r="AQ2226" i="5"/>
  <c r="AR2226" i="5"/>
  <c r="AU2226" i="5"/>
  <c r="AQ2225" i="5"/>
  <c r="AR2225" i="5"/>
  <c r="AU2225" i="5"/>
  <c r="AQ2224" i="5"/>
  <c r="AR2224" i="5"/>
  <c r="AU2224" i="5"/>
  <c r="AQ2223" i="5"/>
  <c r="AU2223" i="5"/>
  <c r="AQ2222" i="5"/>
  <c r="AR2222" i="5"/>
  <c r="AU2222" i="5"/>
  <c r="AQ2221" i="5"/>
  <c r="AR2221" i="5"/>
  <c r="AU2221" i="5"/>
  <c r="AU2220" i="5"/>
  <c r="AQ2220" i="5"/>
  <c r="AQ2219" i="5"/>
  <c r="AR2219" i="5"/>
  <c r="AU2219" i="5"/>
  <c r="AQ2218" i="5"/>
  <c r="AR2218" i="5"/>
  <c r="AU2218" i="5"/>
  <c r="AQ2217" i="5"/>
  <c r="AR2217" i="5"/>
  <c r="AU2217" i="5"/>
  <c r="AQ2216" i="5"/>
  <c r="AR2216" i="5"/>
  <c r="AU2216" i="5"/>
  <c r="AQ2215" i="5"/>
  <c r="AR2215" i="5"/>
  <c r="AU2215" i="5"/>
  <c r="AQ2214" i="5"/>
  <c r="AR2214" i="5"/>
  <c r="AU2214" i="5"/>
  <c r="AQ2213" i="5"/>
  <c r="AR2213" i="5"/>
  <c r="AU2213" i="5"/>
  <c r="AQ2212" i="5"/>
  <c r="AR2212" i="5"/>
  <c r="AU2212" i="5"/>
  <c r="AQ2211" i="5"/>
  <c r="AR2211" i="5"/>
  <c r="AU2211" i="5"/>
  <c r="AQ2210" i="5"/>
  <c r="AR2210" i="5"/>
  <c r="AU2210" i="5"/>
  <c r="AU2209" i="5"/>
  <c r="AQ2209" i="5"/>
  <c r="AR2209" i="5"/>
  <c r="AR2208" i="5"/>
  <c r="AQ2208" i="5"/>
  <c r="AU2208" i="5"/>
  <c r="AR2207" i="5"/>
  <c r="AQ2207" i="5"/>
  <c r="AU2207" i="5"/>
  <c r="AU2206" i="5"/>
  <c r="AV2206" i="5"/>
  <c r="AQ2206" i="5"/>
  <c r="AR2206" i="5"/>
  <c r="AR2205" i="5"/>
  <c r="AQ2205" i="5"/>
  <c r="AV2205" i="5"/>
  <c r="AU2205" i="5"/>
  <c r="AQ2201" i="5"/>
  <c r="AR2201" i="5"/>
  <c r="AU2201" i="5"/>
  <c r="AR2200" i="5"/>
  <c r="AQ2200" i="5"/>
  <c r="AU2200" i="5"/>
  <c r="AQ2199" i="5"/>
  <c r="AR2199" i="5"/>
  <c r="AU2199" i="5"/>
  <c r="AV2199" i="5"/>
  <c r="AU2198" i="5"/>
  <c r="AQ2198" i="5"/>
  <c r="AR2198" i="5"/>
  <c r="AR2197" i="5"/>
  <c r="AQ2197" i="5"/>
  <c r="AU2197" i="5"/>
  <c r="AR2196" i="5"/>
  <c r="AQ2196" i="5"/>
  <c r="AU2196" i="5"/>
  <c r="AR2195" i="5"/>
  <c r="AQ2195" i="5"/>
  <c r="AU2195" i="5"/>
  <c r="AQ2194" i="5"/>
  <c r="AR2194" i="5"/>
  <c r="AU2194" i="5"/>
  <c r="AU2193" i="5"/>
  <c r="AQ2193" i="5"/>
  <c r="AR2193" i="5"/>
  <c r="AQ2191" i="5"/>
  <c r="AR2191" i="5"/>
  <c r="AU2191" i="5"/>
  <c r="AU2190" i="5"/>
  <c r="AR2190" i="5"/>
  <c r="AQ2190" i="5"/>
  <c r="AQ2188" i="5"/>
  <c r="AR2188" i="5"/>
  <c r="AU2188" i="5"/>
  <c r="AU2187" i="5"/>
  <c r="AR2187" i="5"/>
  <c r="AQ2187" i="5"/>
  <c r="AQ2186" i="5"/>
  <c r="AR2186" i="5"/>
  <c r="AU2186" i="5"/>
  <c r="AQ2184" i="5"/>
  <c r="AR2184" i="5"/>
  <c r="AU2184" i="5"/>
  <c r="AQ2183" i="5"/>
  <c r="AR2183" i="5"/>
  <c r="AU2183" i="5"/>
  <c r="AQ2182" i="5"/>
  <c r="AR2182" i="5"/>
  <c r="AU2182" i="5"/>
  <c r="AQ2181" i="5"/>
  <c r="AR2181" i="5"/>
  <c r="AU2181" i="5"/>
  <c r="AU2180" i="5"/>
  <c r="AR2180" i="5"/>
  <c r="AQ2180" i="5"/>
  <c r="AQ2179" i="5"/>
  <c r="AR2179" i="5"/>
  <c r="AU2179" i="5"/>
  <c r="AQ2178" i="5"/>
  <c r="AR2178" i="5"/>
  <c r="AU2178" i="5"/>
  <c r="AQ2177" i="5"/>
  <c r="AR2177" i="5"/>
  <c r="AU2177" i="5"/>
  <c r="AQ2176" i="5"/>
  <c r="AR2176" i="5"/>
  <c r="AU2176" i="5"/>
  <c r="AQ2175" i="5"/>
  <c r="AR2175" i="5"/>
  <c r="AU2175" i="5"/>
  <c r="AQ2174" i="5"/>
  <c r="AR2174" i="5"/>
  <c r="AU2174" i="5"/>
  <c r="AQ2173" i="5"/>
  <c r="AR2173" i="5"/>
  <c r="AU2173" i="5"/>
  <c r="AQ2172" i="5"/>
  <c r="AR2172" i="5"/>
  <c r="AU2172" i="5"/>
  <c r="AQ2171" i="5"/>
  <c r="AR2171" i="5"/>
  <c r="AU2171" i="5"/>
  <c r="AU2170" i="5"/>
  <c r="AR2170" i="5"/>
  <c r="AQ2170" i="5"/>
  <c r="AU2169" i="5"/>
  <c r="AQ2169" i="5"/>
  <c r="AR2169" i="5"/>
  <c r="AU2168" i="5"/>
  <c r="AQ2168" i="5"/>
  <c r="AR2168" i="5"/>
  <c r="AU2167" i="5"/>
  <c r="AR2167" i="5"/>
  <c r="AQ2167" i="5"/>
  <c r="AQ2166" i="5"/>
  <c r="AR2166" i="5"/>
  <c r="AU2166" i="5"/>
  <c r="AU2165" i="5"/>
  <c r="AQ2165" i="5"/>
  <c r="AR2165" i="5"/>
  <c r="AR2164" i="5"/>
  <c r="AQ2164" i="5"/>
  <c r="AU2164" i="5"/>
  <c r="AU2163" i="5"/>
  <c r="AQ2163" i="5"/>
  <c r="AR2163" i="5"/>
  <c r="AQ2162" i="5"/>
  <c r="AR2162" i="5"/>
  <c r="AU2162" i="5"/>
  <c r="AU2161" i="5"/>
  <c r="AQ2161" i="5"/>
  <c r="AR2161" i="5"/>
  <c r="AR2160" i="5"/>
  <c r="AQ2160" i="5"/>
  <c r="AU2160" i="5"/>
  <c r="AQ2159" i="5"/>
  <c r="AR2159" i="5"/>
  <c r="AU2159" i="5"/>
  <c r="AU2158" i="5"/>
  <c r="AR2158" i="5"/>
  <c r="AQ2158" i="5"/>
  <c r="AU2157" i="5"/>
  <c r="AR2157" i="5"/>
  <c r="AQ2157" i="5"/>
  <c r="AQ2156" i="5"/>
  <c r="AR2156" i="5"/>
  <c r="AU2156" i="5"/>
  <c r="AQ2155" i="5"/>
  <c r="AR2155" i="5"/>
  <c r="AU2155" i="5"/>
  <c r="AR2154" i="5"/>
  <c r="AQ2154" i="5"/>
  <c r="AU2154" i="5"/>
  <c r="AQ2153" i="5"/>
  <c r="AR2153" i="5"/>
  <c r="AU2153" i="5"/>
  <c r="AU2152" i="5"/>
  <c r="AQ2152" i="5"/>
  <c r="AR2152" i="5"/>
  <c r="AU2151" i="5"/>
  <c r="AR2151" i="5"/>
  <c r="AQ2151" i="5"/>
  <c r="AQ2150" i="5"/>
  <c r="AR2150" i="5"/>
  <c r="AU2150" i="5"/>
  <c r="AQ2149" i="5"/>
  <c r="AR2149" i="5"/>
  <c r="AU2149" i="5"/>
  <c r="AQ2148" i="5"/>
  <c r="AR2148" i="5"/>
  <c r="AU2148" i="5"/>
  <c r="AQ2147" i="5"/>
  <c r="AR2147" i="5"/>
  <c r="AU2147" i="5"/>
  <c r="AQ2146" i="5"/>
  <c r="AR2146" i="5"/>
  <c r="AU2146" i="5"/>
  <c r="AQ2145" i="5"/>
  <c r="AR2145" i="5"/>
  <c r="AU2145" i="5"/>
  <c r="AQ2144" i="5"/>
  <c r="AR2144" i="5"/>
  <c r="AU2144" i="5"/>
  <c r="AQ2143" i="5"/>
  <c r="AR2143" i="5"/>
  <c r="AU2143" i="5"/>
  <c r="AQ2142" i="5"/>
  <c r="AR2142" i="5"/>
  <c r="AU2142" i="5"/>
  <c r="AQ2141" i="5"/>
  <c r="AR2141" i="5"/>
  <c r="AU2141" i="5"/>
  <c r="AQ2140" i="5"/>
  <c r="AR2140" i="5"/>
  <c r="AU2140" i="5"/>
  <c r="AQ2139" i="5"/>
  <c r="AR2139" i="5"/>
  <c r="AU2139" i="5"/>
  <c r="AQ2138" i="5"/>
  <c r="AR2138" i="5"/>
  <c r="AU2138" i="5"/>
  <c r="AQ2137" i="5"/>
  <c r="AR2137" i="5"/>
  <c r="AU2137" i="5"/>
  <c r="AQ2136" i="5"/>
  <c r="AR2136" i="5"/>
  <c r="AU2136" i="5"/>
  <c r="AQ2135" i="5"/>
  <c r="AR2135" i="5"/>
  <c r="AU2135" i="5"/>
  <c r="AQ2134" i="5"/>
  <c r="AR2134" i="5"/>
  <c r="AU2134" i="5"/>
  <c r="AQ2133" i="5"/>
  <c r="AR2133" i="5"/>
  <c r="AU2133" i="5"/>
  <c r="AQ2132" i="5"/>
  <c r="AR2132" i="5"/>
  <c r="AU2132" i="5"/>
  <c r="AQ2131" i="5"/>
  <c r="AR2131" i="5"/>
  <c r="AU2131" i="5"/>
  <c r="AQ2130" i="5"/>
  <c r="AR2130" i="5"/>
  <c r="AU2130" i="5"/>
  <c r="AQ2129" i="5"/>
  <c r="AR2129" i="5"/>
  <c r="AU2129" i="5"/>
  <c r="AQ2128" i="5"/>
  <c r="AR2128" i="5"/>
  <c r="AU2128" i="5"/>
  <c r="AQ2127" i="5"/>
  <c r="AR2127" i="5"/>
  <c r="AU2127" i="5"/>
  <c r="AQ2126" i="5"/>
  <c r="AR2126" i="5"/>
  <c r="AU2126" i="5"/>
  <c r="AQ2124" i="5"/>
  <c r="AR2124" i="5"/>
  <c r="AU2124" i="5"/>
  <c r="AQ2123" i="5"/>
  <c r="AR2123" i="5"/>
  <c r="AU2123" i="5"/>
  <c r="AQ2122" i="5"/>
  <c r="AR2122" i="5"/>
  <c r="AU2122" i="5"/>
  <c r="AV2122" i="5"/>
  <c r="AQ2117" i="5"/>
  <c r="AR2117" i="5"/>
  <c r="AU2117" i="5"/>
  <c r="AV2117" i="5"/>
  <c r="AQ2116" i="5"/>
  <c r="AR2116" i="5"/>
  <c r="AU2116" i="5"/>
  <c r="AV2116" i="5"/>
  <c r="AQ2114" i="5"/>
  <c r="AR2114" i="5"/>
  <c r="AU2114" i="5"/>
  <c r="AQ2113" i="5"/>
  <c r="AR2113" i="5"/>
  <c r="AU2113" i="5"/>
  <c r="AQ2112" i="5"/>
  <c r="AR2112" i="5"/>
  <c r="AU2112" i="5"/>
  <c r="AQ2111" i="5"/>
  <c r="AR2111" i="5"/>
  <c r="AU2111" i="5"/>
  <c r="AQ2110" i="5"/>
  <c r="AR2110" i="5"/>
  <c r="AU2110" i="5"/>
  <c r="AQ2109" i="5"/>
  <c r="AR2109" i="5"/>
  <c r="AU2109" i="5"/>
  <c r="AQ2108" i="5"/>
  <c r="AR2108" i="5"/>
  <c r="AU2108" i="5"/>
  <c r="AQ2107" i="5"/>
  <c r="AR2107" i="5"/>
  <c r="AU2107" i="5"/>
  <c r="AQ2106" i="5"/>
  <c r="AR2106" i="5"/>
  <c r="AU2106" i="5"/>
  <c r="AQ2105" i="5"/>
  <c r="AR2105" i="5"/>
  <c r="AU2105" i="5"/>
  <c r="AQ2104" i="5"/>
  <c r="AU2104" i="5"/>
  <c r="AQ2103" i="5"/>
  <c r="AR2103" i="5"/>
  <c r="AU2103" i="5"/>
  <c r="AV2103" i="5"/>
  <c r="AQ2102" i="5"/>
  <c r="AU2102" i="5"/>
  <c r="AQ2101" i="5"/>
  <c r="AR2101" i="5"/>
  <c r="AU2101" i="5"/>
  <c r="AQ2100" i="5"/>
  <c r="AR2100" i="5"/>
  <c r="AU2100" i="5"/>
  <c r="AQ2099" i="5"/>
  <c r="AR2099" i="5"/>
  <c r="AU2099" i="5"/>
  <c r="AQ2098" i="5"/>
  <c r="AR2098" i="5"/>
  <c r="AU2098" i="5"/>
  <c r="AQ2097" i="5"/>
  <c r="AR2097" i="5"/>
  <c r="AU2097" i="5"/>
  <c r="AQ2096" i="5"/>
  <c r="AR2096" i="5"/>
  <c r="AU2096" i="5"/>
  <c r="AV2096" i="5"/>
  <c r="AQ2095" i="5"/>
  <c r="AR2095" i="5"/>
  <c r="AU2095" i="5"/>
  <c r="AQ2094" i="5"/>
  <c r="AR2094" i="5"/>
  <c r="AU2094" i="5"/>
  <c r="AQ2093" i="5"/>
  <c r="AR2093" i="5"/>
  <c r="AU2093" i="5"/>
  <c r="AQ2092" i="5"/>
  <c r="AR2092" i="5"/>
  <c r="AU2092" i="5"/>
  <c r="AQ2091" i="5"/>
  <c r="AU2091" i="5"/>
  <c r="AQ2089" i="5"/>
  <c r="AR2089" i="5"/>
  <c r="AU2089" i="5"/>
  <c r="AQ2088" i="5"/>
  <c r="AR2088" i="5"/>
  <c r="AU2088" i="5"/>
  <c r="AQ2087" i="5"/>
  <c r="AR2087" i="5"/>
  <c r="AU2087" i="5"/>
  <c r="AQ2086" i="5"/>
  <c r="AR2086" i="5"/>
  <c r="AU2086" i="5"/>
  <c r="AQ2085" i="5"/>
  <c r="AR2085" i="5"/>
  <c r="AU2085" i="5"/>
  <c r="AQ2084" i="5"/>
  <c r="AR2084" i="5"/>
  <c r="AU2084" i="5"/>
  <c r="AQ2083" i="5"/>
  <c r="AR2083" i="5"/>
  <c r="AU2083" i="5"/>
  <c r="AQ2082" i="5"/>
  <c r="AR2082" i="5"/>
  <c r="AU2082" i="5"/>
  <c r="AQ2081" i="5"/>
  <c r="AR2081" i="5"/>
  <c r="AU2081" i="5"/>
  <c r="AQ2080" i="5"/>
  <c r="AR2080" i="5"/>
  <c r="AU2080" i="5"/>
  <c r="AQ2079" i="5"/>
  <c r="AR2079" i="5"/>
  <c r="AU2079" i="5"/>
  <c r="AU2078" i="5"/>
  <c r="AQ2078" i="5"/>
  <c r="AR2078" i="5"/>
  <c r="AQ2077" i="5"/>
  <c r="AR2077" i="5"/>
  <c r="AU2077" i="5"/>
  <c r="AQ2076" i="5"/>
  <c r="AR2076" i="5"/>
  <c r="AU2076" i="5"/>
  <c r="AQ2075" i="5"/>
  <c r="AR2075" i="5"/>
  <c r="AU2075" i="5"/>
  <c r="AQ2074" i="5"/>
  <c r="AR2074" i="5"/>
  <c r="AU2074" i="5"/>
  <c r="AQ2073" i="5"/>
  <c r="AR2073" i="5"/>
  <c r="AU2073" i="5"/>
  <c r="AQ2072" i="5"/>
  <c r="AR2072" i="5"/>
  <c r="AU2072" i="5"/>
  <c r="AQ2071" i="5"/>
  <c r="AU2071" i="5"/>
  <c r="AQ2070" i="5"/>
  <c r="AU2070" i="5"/>
  <c r="AQ2069" i="5"/>
  <c r="AU2069" i="5"/>
  <c r="AQ2068" i="5"/>
  <c r="AR2068" i="5"/>
  <c r="AU2068" i="5"/>
  <c r="AQ2067" i="5"/>
  <c r="AR2067" i="5"/>
  <c r="AU2067" i="5"/>
  <c r="AQ2066" i="5"/>
  <c r="AR2066" i="5"/>
  <c r="AU2066" i="5"/>
  <c r="AQ2065" i="5"/>
  <c r="AR2065" i="5"/>
  <c r="AU2065" i="5"/>
  <c r="AQ2064" i="5"/>
  <c r="AR2064" i="5"/>
  <c r="AU2064" i="5"/>
  <c r="AQ2063" i="5"/>
  <c r="AR2063" i="5"/>
  <c r="AU2063" i="5"/>
  <c r="AQ2062" i="5"/>
  <c r="AR2062" i="5"/>
  <c r="AU2062" i="5"/>
  <c r="AQ2061" i="5"/>
  <c r="AR2061" i="5"/>
  <c r="AU2061" i="5"/>
  <c r="AQ2060" i="5"/>
  <c r="AU2060" i="5"/>
  <c r="AQ2059" i="5"/>
  <c r="AR2059" i="5"/>
  <c r="AU2059" i="5"/>
  <c r="AQ2058" i="5"/>
  <c r="AR2058" i="5"/>
  <c r="AU2058" i="5"/>
  <c r="AQ2057" i="5"/>
  <c r="AR2057" i="5"/>
  <c r="AU2057" i="5"/>
  <c r="AQ2056" i="5"/>
  <c r="AR2056" i="5"/>
  <c r="AU2056" i="5"/>
  <c r="AQ2055" i="5"/>
  <c r="AR2055" i="5"/>
  <c r="AU2055" i="5"/>
  <c r="AQ2054" i="5"/>
  <c r="AR2054" i="5"/>
  <c r="AU2054" i="5"/>
  <c r="AQ2053" i="5"/>
  <c r="AR2053" i="5"/>
  <c r="AU2053" i="5"/>
  <c r="AQ2052" i="5"/>
  <c r="AR2052" i="5"/>
  <c r="AU2052" i="5"/>
  <c r="B18" i="3"/>
  <c r="B41" i="1"/>
  <c r="Y2051" i="5"/>
  <c r="AL2051" i="5"/>
  <c r="A7" i="2" l="1"/>
  <c r="X2262" i="5"/>
  <c r="X2052" i="5"/>
  <c r="W2052" i="5"/>
  <c r="AO2052" i="5" s="1"/>
  <c r="X2053" i="5"/>
  <c r="W2053" i="5"/>
  <c r="AO2053" i="5" s="1"/>
  <c r="X2054" i="5"/>
  <c r="W2054" i="5"/>
  <c r="AO2054" i="5" s="1"/>
  <c r="X2055" i="5"/>
  <c r="W2055" i="5"/>
  <c r="AO2055" i="5" s="1"/>
  <c r="X2056" i="5"/>
  <c r="W2056" i="5"/>
  <c r="AO2056" i="5" s="1"/>
  <c r="X2057" i="5"/>
  <c r="W2057" i="5"/>
  <c r="AO2057" i="5" s="1"/>
  <c r="X2058" i="5"/>
  <c r="W2058" i="5"/>
  <c r="AO2058" i="5" s="1"/>
  <c r="X2059" i="5"/>
  <c r="W2059" i="5"/>
  <c r="AO2059" i="5" s="1"/>
  <c r="X2060" i="5"/>
  <c r="W2060" i="5"/>
  <c r="AO2060" i="5" s="1"/>
  <c r="X2061" i="5"/>
  <c r="W2061" i="5"/>
  <c r="AO2061" i="5" s="1"/>
  <c r="X2062" i="5"/>
  <c r="W2062" i="5"/>
  <c r="AO2062" i="5" s="1"/>
  <c r="X2063" i="5"/>
  <c r="W2225" i="5"/>
  <c r="AO2225" i="5" s="1"/>
  <c r="X2230" i="5"/>
  <c r="X2233" i="5"/>
  <c r="W2348" i="5"/>
  <c r="AO2348" i="5" s="1"/>
  <c r="X2361" i="5"/>
  <c r="W2365" i="5"/>
  <c r="AO2365" i="5" s="1"/>
  <c r="W2367" i="5"/>
  <c r="AO2367" i="5" s="1"/>
  <c r="W2370" i="5"/>
  <c r="AO2370" i="5" s="1"/>
  <c r="W2372" i="5"/>
  <c r="AO2372" i="5" s="1"/>
  <c r="X2374" i="5"/>
  <c r="X2097" i="5"/>
  <c r="X2099" i="5"/>
  <c r="X2219" i="5"/>
  <c r="W2221" i="5"/>
  <c r="AO2221" i="5" s="1"/>
  <c r="W2222" i="5"/>
  <c r="AO2222" i="5" s="1"/>
  <c r="W2223" i="5"/>
  <c r="AO2223" i="5" s="1"/>
  <c r="X2226" i="5"/>
  <c r="X2232" i="5"/>
  <c r="W2262" i="5"/>
  <c r="AO2262" i="5" s="1"/>
  <c r="W2264" i="5"/>
  <c r="AO2264" i="5" s="1"/>
  <c r="W2344" i="5"/>
  <c r="AO2344" i="5" s="1"/>
  <c r="W2345" i="5"/>
  <c r="AO2345" i="5" s="1"/>
  <c r="X2346" i="5"/>
  <c r="X2362" i="5"/>
  <c r="W2363" i="5"/>
  <c r="AO2363" i="5" s="1"/>
  <c r="W2364" i="5"/>
  <c r="AO2364" i="5" s="1"/>
  <c r="X2365" i="5"/>
  <c r="W2366" i="5"/>
  <c r="AO2366" i="5" s="1"/>
  <c r="X2367" i="5"/>
  <c r="W2369" i="5"/>
  <c r="AO2369" i="5" s="1"/>
  <c r="X2370" i="5"/>
  <c r="X2372" i="5"/>
  <c r="W2374" i="5"/>
  <c r="AO2374" i="5" s="1"/>
  <c r="X2375" i="5"/>
  <c r="W2375" i="5"/>
  <c r="AO2375" i="5" s="1"/>
  <c r="W2063" i="5"/>
  <c r="AO2063" i="5" s="1"/>
  <c r="X2064" i="5"/>
  <c r="W2064" i="5"/>
  <c r="AO2064" i="5" s="1"/>
  <c r="X2065" i="5"/>
  <c r="W2065" i="5"/>
  <c r="AO2065" i="5" s="1"/>
  <c r="X2066" i="5"/>
  <c r="W2066" i="5"/>
  <c r="AO2066" i="5" s="1"/>
  <c r="X2067" i="5"/>
  <c r="W2067" i="5"/>
  <c r="AO2067" i="5" s="1"/>
  <c r="X2068" i="5"/>
  <c r="W2068" i="5"/>
  <c r="AO2068" i="5" s="1"/>
  <c r="X2069" i="5"/>
  <c r="W2069" i="5"/>
  <c r="AO2069" i="5" s="1"/>
  <c r="X2070" i="5"/>
  <c r="W2070" i="5"/>
  <c r="AO2070" i="5" s="1"/>
  <c r="X2071" i="5"/>
  <c r="W2071" i="5"/>
  <c r="AO2071" i="5" s="1"/>
  <c r="X2072" i="5"/>
  <c r="W2072" i="5"/>
  <c r="AO2072" i="5" s="1"/>
  <c r="X2073" i="5"/>
  <c r="W2073" i="5"/>
  <c r="AO2073" i="5" s="1"/>
  <c r="X2074" i="5"/>
  <c r="W2074" i="5"/>
  <c r="AO2074" i="5" s="1"/>
  <c r="X2075" i="5"/>
  <c r="W2075" i="5"/>
  <c r="AO2075" i="5" s="1"/>
  <c r="X2076" i="5"/>
  <c r="W2076" i="5"/>
  <c r="AO2076" i="5" s="1"/>
  <c r="X2077" i="5"/>
  <c r="W2077" i="5"/>
  <c r="AO2077" i="5" s="1"/>
  <c r="W2078" i="5"/>
  <c r="AO2078" i="5" s="1"/>
  <c r="X2078" i="5"/>
  <c r="X2079" i="5"/>
  <c r="W2079" i="5"/>
  <c r="AO2079" i="5" s="1"/>
  <c r="X2080" i="5"/>
  <c r="W2080" i="5"/>
  <c r="AO2080" i="5" s="1"/>
  <c r="X2081" i="5"/>
  <c r="W2081" i="5"/>
  <c r="AO2081" i="5" s="1"/>
  <c r="X2082" i="5"/>
  <c r="W2082" i="5"/>
  <c r="AO2082" i="5" s="1"/>
  <c r="X2083" i="5"/>
  <c r="W2083" i="5"/>
  <c r="AO2083" i="5" s="1"/>
  <c r="X2084" i="5"/>
  <c r="W2084" i="5"/>
  <c r="AO2084" i="5" s="1"/>
  <c r="X2085" i="5"/>
  <c r="W2085" i="5"/>
  <c r="AO2085" i="5" s="1"/>
  <c r="X2086" i="5"/>
  <c r="W2086" i="5"/>
  <c r="AO2086" i="5" s="1"/>
  <c r="X2087" i="5"/>
  <c r="W2087" i="5"/>
  <c r="AO2087" i="5" s="1"/>
  <c r="X2088" i="5"/>
  <c r="W2088" i="5"/>
  <c r="AO2088" i="5" s="1"/>
  <c r="X2089" i="5"/>
  <c r="W2089" i="5"/>
  <c r="AO2089" i="5" s="1"/>
  <c r="X2091" i="5"/>
  <c r="W2091" i="5"/>
  <c r="AO2091" i="5" s="1"/>
  <c r="X2092" i="5"/>
  <c r="W2092" i="5"/>
  <c r="AO2092" i="5" s="1"/>
  <c r="X2093" i="5"/>
  <c r="W2093" i="5"/>
  <c r="AO2093" i="5" s="1"/>
  <c r="X2094" i="5"/>
  <c r="W2094" i="5"/>
  <c r="AO2094" i="5" s="1"/>
  <c r="X2095" i="5"/>
  <c r="X2102" i="5"/>
  <c r="W2104" i="5"/>
  <c r="AO2104" i="5" s="1"/>
  <c r="X2108" i="5"/>
  <c r="W2109" i="5"/>
  <c r="AO2109" i="5" s="1"/>
  <c r="X2112" i="5"/>
  <c r="W2113" i="5"/>
  <c r="AO2113" i="5" s="1"/>
  <c r="X2123" i="5"/>
  <c r="W2123" i="5"/>
  <c r="AO2123" i="5" s="1"/>
  <c r="X2124" i="5"/>
  <c r="W2124" i="5"/>
  <c r="AO2124" i="5" s="1"/>
  <c r="X2126" i="5"/>
  <c r="W2126" i="5"/>
  <c r="AO2126" i="5" s="1"/>
  <c r="X2127" i="5"/>
  <c r="W2127" i="5"/>
  <c r="AO2127" i="5" s="1"/>
  <c r="X2128" i="5"/>
  <c r="W2128" i="5"/>
  <c r="AO2128" i="5" s="1"/>
  <c r="X2129" i="5"/>
  <c r="W2129" i="5"/>
  <c r="AO2129" i="5" s="1"/>
  <c r="X2130" i="5"/>
  <c r="W2130" i="5"/>
  <c r="AO2130" i="5" s="1"/>
  <c r="X2131" i="5"/>
  <c r="W2131" i="5"/>
  <c r="AO2131" i="5" s="1"/>
  <c r="X2110" i="5"/>
  <c r="W2111" i="5"/>
  <c r="AO2111" i="5" s="1"/>
  <c r="W2133" i="5"/>
  <c r="AO2133" i="5" s="1"/>
  <c r="W2134" i="5"/>
  <c r="AO2134" i="5" s="1"/>
  <c r="W2135" i="5"/>
  <c r="AO2135" i="5" s="1"/>
  <c r="W2136" i="5"/>
  <c r="AO2136" i="5" s="1"/>
  <c r="W2137" i="5"/>
  <c r="AO2137" i="5" s="1"/>
  <c r="W2138" i="5"/>
  <c r="AO2138" i="5" s="1"/>
  <c r="X2139" i="5"/>
  <c r="X2140" i="5"/>
  <c r="W2144" i="5"/>
  <c r="AO2144" i="5" s="1"/>
  <c r="W2145" i="5"/>
  <c r="AO2145" i="5" s="1"/>
  <c r="W2146" i="5"/>
  <c r="AO2146" i="5" s="1"/>
  <c r="X2147" i="5"/>
  <c r="X2148" i="5"/>
  <c r="X2149" i="5"/>
  <c r="X2153" i="5"/>
  <c r="W2155" i="5"/>
  <c r="AO2155" i="5" s="1"/>
  <c r="X2159" i="5"/>
  <c r="X2161" i="5"/>
  <c r="X2162" i="5"/>
  <c r="W2162" i="5"/>
  <c r="AO2162" i="5" s="1"/>
  <c r="W2095" i="5"/>
  <c r="AO2095" i="5" s="1"/>
  <c r="W2097" i="5"/>
  <c r="AO2097" i="5" s="1"/>
  <c r="W2099" i="5"/>
  <c r="AO2099" i="5" s="1"/>
  <c r="X2106" i="5"/>
  <c r="W2107" i="5"/>
  <c r="AO2107" i="5" s="1"/>
  <c r="X2132" i="5"/>
  <c r="X2135" i="5"/>
  <c r="X2136" i="5"/>
  <c r="X2141" i="5"/>
  <c r="X2142" i="5"/>
  <c r="W2149" i="5"/>
  <c r="AO2149" i="5" s="1"/>
  <c r="W2150" i="5"/>
  <c r="AO2150" i="5" s="1"/>
  <c r="X2151" i="5"/>
  <c r="W2152" i="5"/>
  <c r="AO2152" i="5" s="1"/>
  <c r="X2156" i="5"/>
  <c r="X2157" i="5"/>
  <c r="X2158" i="5"/>
  <c r="X2160" i="5"/>
  <c r="W2161" i="5"/>
  <c r="AO2161" i="5" s="1"/>
  <c r="W2163" i="5"/>
  <c r="AO2163" i="5" s="1"/>
  <c r="X2164" i="5"/>
  <c r="X2165" i="5"/>
  <c r="W2166" i="5"/>
  <c r="AO2166" i="5" s="1"/>
  <c r="W2167" i="5"/>
  <c r="AO2167" i="5" s="1"/>
  <c r="X2168" i="5"/>
  <c r="W2169" i="5"/>
  <c r="AO2169" i="5" s="1"/>
  <c r="X2170" i="5"/>
  <c r="W2171" i="5"/>
  <c r="AO2171" i="5" s="1"/>
  <c r="X2172" i="5"/>
  <c r="X2174" i="5"/>
  <c r="W2176" i="5"/>
  <c r="AO2176" i="5" s="1"/>
  <c r="X2177" i="5"/>
  <c r="W2178" i="5"/>
  <c r="AO2178" i="5" s="1"/>
  <c r="X2179" i="5"/>
  <c r="W2180" i="5"/>
  <c r="AO2180" i="5" s="1"/>
  <c r="W2181" i="5"/>
  <c r="AO2181" i="5" s="1"/>
  <c r="X2182" i="5"/>
  <c r="W2183" i="5"/>
  <c r="AO2183" i="5" s="1"/>
  <c r="X2184" i="5"/>
  <c r="X2187" i="5"/>
  <c r="W2190" i="5"/>
  <c r="AO2190" i="5" s="1"/>
  <c r="X2191" i="5"/>
  <c r="X2195" i="5"/>
  <c r="W2196" i="5"/>
  <c r="AO2196" i="5" s="1"/>
  <c r="X2101" i="5"/>
  <c r="W2106" i="5"/>
  <c r="AO2106" i="5" s="1"/>
  <c r="X2107" i="5"/>
  <c r="W2108" i="5"/>
  <c r="AO2108" i="5" s="1"/>
  <c r="X2109" i="5"/>
  <c r="W2110" i="5"/>
  <c r="AO2110" i="5" s="1"/>
  <c r="X2111" i="5"/>
  <c r="W2112" i="5"/>
  <c r="AO2112" i="5" s="1"/>
  <c r="X2113" i="5"/>
  <c r="X2114" i="5"/>
  <c r="W2114" i="5"/>
  <c r="AO2114" i="5" s="1"/>
  <c r="W2132" i="5"/>
  <c r="AO2132" i="5" s="1"/>
  <c r="X2133" i="5"/>
  <c r="X2134" i="5"/>
  <c r="X2137" i="5"/>
  <c r="X2138" i="5"/>
  <c r="W2139" i="5"/>
  <c r="AO2139" i="5" s="1"/>
  <c r="W2140" i="5"/>
  <c r="AO2140" i="5" s="1"/>
  <c r="W2141" i="5"/>
  <c r="AO2141" i="5" s="1"/>
  <c r="W2142" i="5"/>
  <c r="AO2142" i="5" s="1"/>
  <c r="X2143" i="5"/>
  <c r="W2143" i="5"/>
  <c r="AO2143" i="5" s="1"/>
  <c r="X2144" i="5"/>
  <c r="X2145" i="5"/>
  <c r="X2146" i="5"/>
  <c r="W2147" i="5"/>
  <c r="AO2147" i="5" s="1"/>
  <c r="W2148" i="5"/>
  <c r="AO2148" i="5" s="1"/>
  <c r="X2150" i="5"/>
  <c r="W2151" i="5"/>
  <c r="AO2151" i="5" s="1"/>
  <c r="X2152" i="5"/>
  <c r="W2153" i="5"/>
  <c r="AO2153" i="5" s="1"/>
  <c r="W2154" i="5"/>
  <c r="AO2154" i="5" s="1"/>
  <c r="X2154" i="5"/>
  <c r="X2155" i="5"/>
  <c r="W2156" i="5"/>
  <c r="AO2156" i="5" s="1"/>
  <c r="W2157" i="5"/>
  <c r="AO2157" i="5" s="1"/>
  <c r="W2158" i="5"/>
  <c r="AO2158" i="5" s="1"/>
  <c r="W2159" i="5"/>
  <c r="AO2159" i="5" s="1"/>
  <c r="W2160" i="5"/>
  <c r="AO2160" i="5" s="1"/>
  <c r="X2163" i="5"/>
  <c r="W2164" i="5"/>
  <c r="AO2164" i="5" s="1"/>
  <c r="W2165" i="5"/>
  <c r="AO2165" i="5" s="1"/>
  <c r="X2166" i="5"/>
  <c r="X2167" i="5"/>
  <c r="W2168" i="5"/>
  <c r="AO2168" i="5" s="1"/>
  <c r="X2169" i="5"/>
  <c r="W2170" i="5"/>
  <c r="AO2170" i="5" s="1"/>
  <c r="X2171" i="5"/>
  <c r="W2172" i="5"/>
  <c r="AO2172" i="5" s="1"/>
  <c r="X2173" i="5"/>
  <c r="W2173" i="5"/>
  <c r="AO2173" i="5" s="1"/>
  <c r="W2174" i="5"/>
  <c r="AO2174" i="5" s="1"/>
  <c r="X2175" i="5"/>
  <c r="W2175" i="5"/>
  <c r="AO2175" i="5" s="1"/>
  <c r="X2176" i="5"/>
  <c r="W2177" i="5"/>
  <c r="AO2177" i="5" s="1"/>
  <c r="X2178" i="5"/>
  <c r="W2179" i="5"/>
  <c r="AO2179" i="5" s="1"/>
  <c r="X2180" i="5"/>
  <c r="X2181" i="5"/>
  <c r="W2182" i="5"/>
  <c r="AO2182" i="5" s="1"/>
  <c r="X2183" i="5"/>
  <c r="W2184" i="5"/>
  <c r="AO2184" i="5" s="1"/>
  <c r="X2186" i="5"/>
  <c r="W2186" i="5"/>
  <c r="AO2186" i="5" s="1"/>
  <c r="W2187" i="5"/>
  <c r="AO2187" i="5" s="1"/>
  <c r="X2188" i="5"/>
  <c r="W2188" i="5"/>
  <c r="AO2188" i="5" s="1"/>
  <c r="X2190" i="5"/>
  <c r="W2191" i="5"/>
  <c r="AO2191" i="5" s="1"/>
  <c r="W2193" i="5"/>
  <c r="AO2193" i="5" s="1"/>
  <c r="X2193" i="5"/>
  <c r="W2194" i="5"/>
  <c r="AO2194" i="5" s="1"/>
  <c r="X2194" i="5"/>
  <c r="W2195" i="5"/>
  <c r="AO2195" i="5" s="1"/>
  <c r="X2196" i="5"/>
  <c r="X2197" i="5"/>
  <c r="W2197" i="5"/>
  <c r="AO2197" i="5" s="1"/>
  <c r="X2198" i="5"/>
  <c r="W2198" i="5"/>
  <c r="AO2198" i="5" s="1"/>
  <c r="W2200" i="5"/>
  <c r="AO2200" i="5" s="1"/>
  <c r="X2200" i="5"/>
  <c r="W2201" i="5"/>
  <c r="AO2201" i="5" s="1"/>
  <c r="X2201" i="5"/>
  <c r="W2207" i="5"/>
  <c r="AO2207" i="5" s="1"/>
  <c r="X2207" i="5"/>
  <c r="W2208" i="5"/>
  <c r="AO2208" i="5" s="1"/>
  <c r="X2208" i="5"/>
  <c r="X2209" i="5"/>
  <c r="W2209" i="5"/>
  <c r="AO2209" i="5" s="1"/>
  <c r="X2210" i="5"/>
  <c r="W2210" i="5"/>
  <c r="AO2210" i="5" s="1"/>
  <c r="X2211" i="5"/>
  <c r="W2211" i="5"/>
  <c r="AO2211" i="5" s="1"/>
  <c r="X2212" i="5"/>
  <c r="W2212" i="5"/>
  <c r="AO2212" i="5" s="1"/>
  <c r="X2213" i="5"/>
  <c r="W2213" i="5"/>
  <c r="AO2213" i="5" s="1"/>
  <c r="X2214" i="5"/>
  <c r="W2214" i="5"/>
  <c r="AO2214" i="5" s="1"/>
  <c r="W2098" i="5"/>
  <c r="AO2098" i="5" s="1"/>
  <c r="X2105" i="5"/>
  <c r="X2215" i="5"/>
  <c r="W2216" i="5"/>
  <c r="AO2216" i="5" s="1"/>
  <c r="W2218" i="5"/>
  <c r="AO2218" i="5" s="1"/>
  <c r="W2226" i="5"/>
  <c r="AO2226" i="5" s="1"/>
  <c r="X2229" i="5"/>
  <c r="W2230" i="5"/>
  <c r="AO2230" i="5" s="1"/>
  <c r="W2232" i="5"/>
  <c r="AO2232" i="5" s="1"/>
  <c r="X2234" i="5"/>
  <c r="W2234" i="5"/>
  <c r="AO2234" i="5" s="1"/>
  <c r="W2235" i="5"/>
  <c r="AO2235" i="5" s="1"/>
  <c r="X2235" i="5"/>
  <c r="X2236" i="5"/>
  <c r="W2236" i="5"/>
  <c r="AO2236" i="5" s="1"/>
  <c r="X2237" i="5"/>
  <c r="W2237" i="5"/>
  <c r="AO2237" i="5" s="1"/>
  <c r="X2238" i="5"/>
  <c r="W2238" i="5"/>
  <c r="AO2238" i="5" s="1"/>
  <c r="X2239" i="5"/>
  <c r="W2239" i="5"/>
  <c r="AO2239" i="5" s="1"/>
  <c r="X2240" i="5"/>
  <c r="W2240" i="5"/>
  <c r="AO2240" i="5" s="1"/>
  <c r="X2241" i="5"/>
  <c r="W2241" i="5"/>
  <c r="AO2241" i="5" s="1"/>
  <c r="X2242" i="5"/>
  <c r="W2242" i="5"/>
  <c r="AO2242" i="5" s="1"/>
  <c r="X2243" i="5"/>
  <c r="W2243" i="5"/>
  <c r="AO2243" i="5" s="1"/>
  <c r="X2244" i="5"/>
  <c r="W2244" i="5"/>
  <c r="AO2244" i="5" s="1"/>
  <c r="X2245" i="5"/>
  <c r="W2245" i="5"/>
  <c r="AO2245" i="5" s="1"/>
  <c r="X2098" i="5"/>
  <c r="W2215" i="5"/>
  <c r="AO2215" i="5" s="1"/>
  <c r="X2221" i="5"/>
  <c r="X2227" i="5"/>
  <c r="X2247" i="5"/>
  <c r="W2247" i="5"/>
  <c r="AO2247" i="5" s="1"/>
  <c r="X2248" i="5"/>
  <c r="W2248" i="5"/>
  <c r="AO2248" i="5" s="1"/>
  <c r="X2249" i="5"/>
  <c r="W2249" i="5"/>
  <c r="AO2249" i="5" s="1"/>
  <c r="X2250" i="5"/>
  <c r="W2250" i="5"/>
  <c r="AO2250" i="5" s="1"/>
  <c r="X2251" i="5"/>
  <c r="W2251" i="5"/>
  <c r="AO2251" i="5" s="1"/>
  <c r="X2252" i="5"/>
  <c r="W2252" i="5"/>
  <c r="AO2252" i="5" s="1"/>
  <c r="X2253" i="5"/>
  <c r="W2253" i="5"/>
  <c r="AO2253" i="5" s="1"/>
  <c r="X2254" i="5"/>
  <c r="W2254" i="5"/>
  <c r="AO2254" i="5" s="1"/>
  <c r="X2255" i="5"/>
  <c r="W2255" i="5"/>
  <c r="AO2255" i="5" s="1"/>
  <c r="X2256" i="5"/>
  <c r="W2256" i="5"/>
  <c r="AO2256" i="5" s="1"/>
  <c r="X2257" i="5"/>
  <c r="W2257" i="5"/>
  <c r="AO2257" i="5" s="1"/>
  <c r="X2258" i="5"/>
  <c r="W2258" i="5"/>
  <c r="AO2258" i="5" s="1"/>
  <c r="X2259" i="5"/>
  <c r="W2259" i="5"/>
  <c r="AO2259" i="5" s="1"/>
  <c r="X2261" i="5"/>
  <c r="X2104" i="5"/>
  <c r="W2219" i="5"/>
  <c r="AO2219" i="5" s="1"/>
  <c r="X2223" i="5"/>
  <c r="W2228" i="5"/>
  <c r="AO2228" i="5" s="1"/>
  <c r="W2261" i="5"/>
  <c r="AO2261" i="5" s="1"/>
  <c r="X2266" i="5"/>
  <c r="W2266" i="5"/>
  <c r="AO2266" i="5" s="1"/>
  <c r="X2267" i="5"/>
  <c r="W2267" i="5"/>
  <c r="AO2267" i="5" s="1"/>
  <c r="X2268" i="5"/>
  <c r="W2268" i="5"/>
  <c r="AO2268" i="5" s="1"/>
  <c r="X2269" i="5"/>
  <c r="W2269" i="5"/>
  <c r="AO2269" i="5" s="1"/>
  <c r="X2270" i="5"/>
  <c r="W2270" i="5"/>
  <c r="AO2270" i="5" s="1"/>
  <c r="X2271" i="5"/>
  <c r="W2271" i="5"/>
  <c r="AO2271" i="5" s="1"/>
  <c r="X2273" i="5"/>
  <c r="W2273" i="5"/>
  <c r="AO2273" i="5" s="1"/>
  <c r="X2274" i="5"/>
  <c r="W2274" i="5"/>
  <c r="AO2274" i="5" s="1"/>
  <c r="X2275" i="5"/>
  <c r="W2275" i="5"/>
  <c r="AO2275" i="5" s="1"/>
  <c r="X2276" i="5"/>
  <c r="W2276" i="5"/>
  <c r="AO2276" i="5" s="1"/>
  <c r="X2277" i="5"/>
  <c r="W2277" i="5"/>
  <c r="AO2277" i="5" s="1"/>
  <c r="X2278" i="5"/>
  <c r="W2278" i="5"/>
  <c r="AO2278" i="5" s="1"/>
  <c r="X2279" i="5"/>
  <c r="W2279" i="5"/>
  <c r="AO2279" i="5" s="1"/>
  <c r="X2280" i="5"/>
  <c r="W2280" i="5"/>
  <c r="AO2280" i="5" s="1"/>
  <c r="X2281" i="5"/>
  <c r="W2281" i="5"/>
  <c r="AO2281" i="5" s="1"/>
  <c r="X2282" i="5"/>
  <c r="W2282" i="5"/>
  <c r="AO2282" i="5" s="1"/>
  <c r="X2283" i="5"/>
  <c r="W2283" i="5"/>
  <c r="AO2283" i="5" s="1"/>
  <c r="X2284" i="5"/>
  <c r="W2284" i="5"/>
  <c r="AO2284" i="5" s="1"/>
  <c r="X2285" i="5"/>
  <c r="W2285" i="5"/>
  <c r="AO2285" i="5" s="1"/>
  <c r="X2286" i="5"/>
  <c r="W2286" i="5"/>
  <c r="AO2286" i="5" s="1"/>
  <c r="X2287" i="5"/>
  <c r="W2287" i="5"/>
  <c r="AO2287" i="5" s="1"/>
  <c r="X2288" i="5"/>
  <c r="W2288" i="5"/>
  <c r="AO2288" i="5" s="1"/>
  <c r="X2289" i="5"/>
  <c r="W2289" i="5"/>
  <c r="AO2289" i="5" s="1"/>
  <c r="X2290" i="5"/>
  <c r="W2290" i="5"/>
  <c r="AO2290" i="5" s="1"/>
  <c r="X2291" i="5"/>
  <c r="W2291" i="5"/>
  <c r="AO2291" i="5" s="1"/>
  <c r="X2292" i="5"/>
  <c r="W2292" i="5"/>
  <c r="AO2292" i="5" s="1"/>
  <c r="X2293" i="5"/>
  <c r="W2100" i="5"/>
  <c r="AO2100" i="5" s="1"/>
  <c r="W2101" i="5"/>
  <c r="AO2101" i="5" s="1"/>
  <c r="W2102" i="5"/>
  <c r="AO2102" i="5" s="1"/>
  <c r="X2218" i="5"/>
  <c r="X2224" i="5"/>
  <c r="X2225" i="5"/>
  <c r="W2231" i="5"/>
  <c r="AO2231" i="5" s="1"/>
  <c r="W2246" i="5"/>
  <c r="AO2246" i="5" s="1"/>
  <c r="X2264" i="5"/>
  <c r="W2295" i="5"/>
  <c r="AO2295" i="5" s="1"/>
  <c r="W2296" i="5"/>
  <c r="AO2296" i="5" s="1"/>
  <c r="W2298" i="5"/>
  <c r="AO2298" i="5" s="1"/>
  <c r="X2298" i="5"/>
  <c r="W2300" i="5"/>
  <c r="AO2300" i="5" s="1"/>
  <c r="W2301" i="5"/>
  <c r="AO2301" i="5" s="1"/>
  <c r="X2301" i="5"/>
  <c r="W2302" i="5"/>
  <c r="AO2302" i="5" s="1"/>
  <c r="X2302" i="5"/>
  <c r="X2303" i="5"/>
  <c r="W2303" i="5"/>
  <c r="AO2303" i="5" s="1"/>
  <c r="X2306" i="5"/>
  <c r="W2306" i="5"/>
  <c r="AO2306" i="5" s="1"/>
  <c r="W2307" i="5"/>
  <c r="AO2307" i="5" s="1"/>
  <c r="X2307" i="5"/>
  <c r="X2308" i="5"/>
  <c r="W2308" i="5"/>
  <c r="AO2308" i="5" s="1"/>
  <c r="X2309" i="5"/>
  <c r="W2309" i="5"/>
  <c r="AO2309" i="5" s="1"/>
  <c r="X2310" i="5"/>
  <c r="X2216" i="5"/>
  <c r="X2228" i="5"/>
  <c r="X2246" i="5"/>
  <c r="X2294" i="5"/>
  <c r="X2297" i="5"/>
  <c r="X2299" i="5"/>
  <c r="W2310" i="5"/>
  <c r="AO2310" i="5" s="1"/>
  <c r="W2312" i="5"/>
  <c r="AO2312" i="5" s="1"/>
  <c r="X2312" i="5"/>
  <c r="X2313" i="5"/>
  <c r="X2314" i="5"/>
  <c r="X2315" i="5"/>
  <c r="W2316" i="5"/>
  <c r="AO2316" i="5" s="1"/>
  <c r="W2319" i="5"/>
  <c r="AO2319" i="5" s="1"/>
  <c r="X2320" i="5"/>
  <c r="W2322" i="5"/>
  <c r="AO2322" i="5" s="1"/>
  <c r="W2217" i="5"/>
  <c r="AO2217" i="5" s="1"/>
  <c r="W2233" i="5"/>
  <c r="AO2233" i="5" s="1"/>
  <c r="X2263" i="5"/>
  <c r="W2294" i="5"/>
  <c r="AO2294" i="5" s="1"/>
  <c r="X2295" i="5"/>
  <c r="X2296" i="5"/>
  <c r="W2297" i="5"/>
  <c r="AO2297" i="5" s="1"/>
  <c r="W2299" i="5"/>
  <c r="AO2299" i="5" s="1"/>
  <c r="X2300" i="5"/>
  <c r="W2311" i="5"/>
  <c r="AO2311" i="5" s="1"/>
  <c r="X2311" i="5"/>
  <c r="W2313" i="5"/>
  <c r="AO2313" i="5" s="1"/>
  <c r="W2314" i="5"/>
  <c r="AO2314" i="5" s="1"/>
  <c r="W2315" i="5"/>
  <c r="AO2315" i="5" s="1"/>
  <c r="X2316" i="5"/>
  <c r="W2317" i="5"/>
  <c r="AO2317" i="5" s="1"/>
  <c r="X2317" i="5"/>
  <c r="X2318" i="5"/>
  <c r="W2318" i="5"/>
  <c r="AO2318" i="5" s="1"/>
  <c r="X2319" i="5"/>
  <c r="W2320" i="5"/>
  <c r="AO2320" i="5" s="1"/>
  <c r="W2321" i="5"/>
  <c r="AO2321" i="5" s="1"/>
  <c r="X2321" i="5"/>
  <c r="X2322" i="5"/>
  <c r="X2323" i="5"/>
  <c r="W2323" i="5"/>
  <c r="AO2323" i="5" s="1"/>
  <c r="W2324" i="5"/>
  <c r="AO2324" i="5" s="1"/>
  <c r="X2324" i="5"/>
  <c r="X2325" i="5"/>
  <c r="W2325" i="5"/>
  <c r="AO2325" i="5" s="1"/>
  <c r="X2326" i="5"/>
  <c r="W2326" i="5"/>
  <c r="AO2326" i="5" s="1"/>
  <c r="X2327" i="5"/>
  <c r="W2327" i="5"/>
  <c r="AO2327" i="5" s="1"/>
  <c r="X2328" i="5"/>
  <c r="W2328" i="5"/>
  <c r="AO2328" i="5" s="1"/>
  <c r="X2329" i="5"/>
  <c r="W2329" i="5"/>
  <c r="AO2329" i="5" s="1"/>
  <c r="X2330" i="5"/>
  <c r="W2330" i="5"/>
  <c r="AO2330" i="5" s="1"/>
  <c r="X2331" i="5"/>
  <c r="W2331" i="5"/>
  <c r="AO2331" i="5" s="1"/>
  <c r="X2332" i="5"/>
  <c r="W2332" i="5"/>
  <c r="AO2332" i="5" s="1"/>
  <c r="X2333" i="5"/>
  <c r="W2333" i="5"/>
  <c r="AO2333" i="5" s="1"/>
  <c r="X2334" i="5"/>
  <c r="W2334" i="5"/>
  <c r="AO2334" i="5" s="1"/>
  <c r="W2335" i="5"/>
  <c r="AO2335" i="5" s="1"/>
  <c r="X2335" i="5"/>
  <c r="W2336" i="5"/>
  <c r="AO2336" i="5" s="1"/>
  <c r="X2336" i="5"/>
  <c r="W2337" i="5"/>
  <c r="AO2337" i="5" s="1"/>
  <c r="X2337" i="5"/>
  <c r="X2338" i="5"/>
  <c r="W2338" i="5"/>
  <c r="AO2338" i="5" s="1"/>
  <c r="W2339" i="5"/>
  <c r="AO2339" i="5" s="1"/>
  <c r="X2339" i="5"/>
  <c r="X2342" i="5"/>
  <c r="W2342" i="5"/>
  <c r="AO2342" i="5" s="1"/>
  <c r="X2344" i="5"/>
  <c r="X2100" i="5"/>
  <c r="W2105" i="5"/>
  <c r="AO2105" i="5" s="1"/>
  <c r="X2217" i="5"/>
  <c r="W2220" i="5"/>
  <c r="AO2220" i="5" s="1"/>
  <c r="X2222" i="5"/>
  <c r="W2224" i="5"/>
  <c r="AO2224" i="5" s="1"/>
  <c r="W2227" i="5"/>
  <c r="AO2227" i="5" s="1"/>
  <c r="W2229" i="5"/>
  <c r="AO2229" i="5" s="1"/>
  <c r="X2231" i="5"/>
  <c r="W2263" i="5"/>
  <c r="AO2263" i="5" s="1"/>
  <c r="W2293" i="5"/>
  <c r="AO2293" i="5" s="1"/>
  <c r="X2345" i="5"/>
  <c r="X2348" i="5"/>
  <c r="X2349" i="5"/>
  <c r="W2349" i="5"/>
  <c r="AO2349" i="5" s="1"/>
  <c r="X2350" i="5"/>
  <c r="W2350" i="5"/>
  <c r="AO2350" i="5" s="1"/>
  <c r="X2351" i="5"/>
  <c r="W2351" i="5"/>
  <c r="AO2351" i="5" s="1"/>
  <c r="X2352" i="5"/>
  <c r="W2352" i="5"/>
  <c r="AO2352" i="5" s="1"/>
  <c r="X2353" i="5"/>
  <c r="W2353" i="5"/>
  <c r="AO2353" i="5" s="1"/>
  <c r="X2354" i="5"/>
  <c r="W2354" i="5"/>
  <c r="AO2354" i="5" s="1"/>
  <c r="X2355" i="5"/>
  <c r="W2355" i="5"/>
  <c r="AO2355" i="5" s="1"/>
  <c r="X2356" i="5"/>
  <c r="W2356" i="5"/>
  <c r="AO2356" i="5" s="1"/>
  <c r="X2357" i="5"/>
  <c r="W2357" i="5"/>
  <c r="AO2357" i="5" s="1"/>
  <c r="X2358" i="5"/>
  <c r="W2358" i="5"/>
  <c r="AO2358" i="5" s="1"/>
  <c r="X2359" i="5"/>
  <c r="W2359" i="5"/>
  <c r="AO2359" i="5" s="1"/>
  <c r="X2360" i="5"/>
  <c r="W2360" i="5"/>
  <c r="AO2360" i="5" s="1"/>
  <c r="X2220" i="5"/>
  <c r="W2346" i="5"/>
  <c r="AO2346" i="5" s="1"/>
  <c r="W2361" i="5"/>
  <c r="AO2361" i="5" s="1"/>
  <c r="W2362" i="5"/>
  <c r="AO2362" i="5" s="1"/>
  <c r="X2363" i="5"/>
  <c r="X2364" i="5"/>
  <c r="X2366" i="5"/>
  <c r="X2369" i="5"/>
  <c r="X2260" i="5"/>
  <c r="W2260" i="5"/>
  <c r="AO2260" i="5" s="1"/>
  <c r="AP2051" i="5"/>
  <c r="AT2051" i="5"/>
  <c r="W2051" i="5"/>
  <c r="AO2051" i="5" s="1"/>
  <c r="X2051" i="5"/>
  <c r="Z2350" i="5" l="1"/>
  <c r="AR2069" i="5"/>
  <c r="AR2220" i="5"/>
  <c r="AR2223" i="5"/>
  <c r="AR2255" i="5"/>
  <c r="AR2266" i="5"/>
  <c r="AR2281" i="5"/>
  <c r="AR2299" i="5"/>
  <c r="AR2311" i="5"/>
  <c r="AR2312" i="5"/>
  <c r="AR2313" i="5"/>
  <c r="AR2321" i="5"/>
  <c r="AR2324" i="5"/>
  <c r="AR2334" i="5"/>
  <c r="AR2352" i="5"/>
  <c r="AR2353" i="5"/>
  <c r="AR2356" i="5"/>
  <c r="AR2363" i="5"/>
  <c r="AR2060" i="5"/>
  <c r="AR2071" i="5"/>
  <c r="AR2331" i="5"/>
  <c r="AR2070" i="5"/>
  <c r="AR2091" i="5"/>
  <c r="AR2350" i="5"/>
  <c r="AR2102" i="5"/>
  <c r="AR2104" i="5"/>
  <c r="AR2328" i="5"/>
  <c r="AR2327" i="5"/>
  <c r="AR2243" i="5"/>
  <c r="AR2244" i="5"/>
  <c r="AR2249" i="5"/>
  <c r="AR2251" i="5"/>
  <c r="AR2252" i="5"/>
  <c r="AR2256" i="5"/>
  <c r="AR2258" i="5"/>
  <c r="AR2261" i="5"/>
  <c r="AR2286" i="5"/>
  <c r="AR2289" i="5"/>
  <c r="AR2318" i="5"/>
  <c r="AR2319" i="5"/>
  <c r="AR2320" i="5"/>
  <c r="AR2322" i="5"/>
  <c r="AR2357" i="5"/>
  <c r="AR2359" i="5"/>
  <c r="AR2360" i="5"/>
  <c r="AR2367" i="5"/>
  <c r="AQ2051" i="5"/>
  <c r="AR2051" i="5"/>
  <c r="E8" i="1"/>
  <c r="A11" i="1" s="1"/>
  <c r="AV2069" i="5"/>
  <c r="AV2114" i="5"/>
  <c r="AV2124" i="5"/>
  <c r="AV2129" i="5"/>
  <c r="AU2051" i="5"/>
  <c r="AV2135" i="5" s="1"/>
  <c r="A11" i="6"/>
  <c r="Z2052" i="5"/>
  <c r="Z2053" i="5"/>
  <c r="Z2054" i="5"/>
  <c r="Z2055" i="5"/>
  <c r="Z2056" i="5"/>
  <c r="Z2057" i="5"/>
  <c r="Z2058" i="5"/>
  <c r="Z2059" i="5"/>
  <c r="Z2060" i="5"/>
  <c r="Z2061" i="5"/>
  <c r="Z2062" i="5"/>
  <c r="Z2363" i="5"/>
  <c r="Z2075" i="5"/>
  <c r="Z2079" i="5"/>
  <c r="Z2087" i="5"/>
  <c r="Z2225" i="5"/>
  <c r="Z2348" i="5"/>
  <c r="Z2365" i="5"/>
  <c r="Z2367" i="5"/>
  <c r="Z2370" i="5"/>
  <c r="Z2372" i="5"/>
  <c r="Z2221" i="5"/>
  <c r="Z2222" i="5"/>
  <c r="Z2223" i="5"/>
  <c r="Z2262" i="5"/>
  <c r="Z2264" i="5"/>
  <c r="Z2344" i="5"/>
  <c r="Z2345" i="5"/>
  <c r="Z2364" i="5"/>
  <c r="Z2366" i="5"/>
  <c r="Z2076" i="5"/>
  <c r="Z2080" i="5"/>
  <c r="Z2084" i="5"/>
  <c r="Z2088" i="5"/>
  <c r="Z2369" i="5"/>
  <c r="Z2374" i="5"/>
  <c r="Z2375" i="5"/>
  <c r="Z2063" i="5"/>
  <c r="Z2064" i="5"/>
  <c r="Z2065" i="5"/>
  <c r="Z2066" i="5"/>
  <c r="Z2067" i="5"/>
  <c r="Z2068" i="5"/>
  <c r="Z2069" i="5"/>
  <c r="Z2070" i="5"/>
  <c r="Z2071" i="5"/>
  <c r="Z2072" i="5"/>
  <c r="Z2073" i="5"/>
  <c r="Z2078" i="5"/>
  <c r="Z2081" i="5"/>
  <c r="Z2083" i="5"/>
  <c r="Z2086" i="5"/>
  <c r="Z2089" i="5"/>
  <c r="Z2091" i="5"/>
  <c r="Z2092" i="5"/>
  <c r="Z2093" i="5"/>
  <c r="Z2094" i="5"/>
  <c r="Z2104" i="5"/>
  <c r="Z2109" i="5"/>
  <c r="Z2113" i="5"/>
  <c r="Z2123" i="5"/>
  <c r="Z2124" i="5"/>
  <c r="Z2126" i="5"/>
  <c r="Z2127" i="5"/>
  <c r="Z2128" i="5"/>
  <c r="Z2129" i="5"/>
  <c r="Z2130" i="5"/>
  <c r="Z2212" i="5"/>
  <c r="Z2230" i="5"/>
  <c r="Z2131" i="5"/>
  <c r="Z2111" i="5"/>
  <c r="Z2133" i="5"/>
  <c r="Z2134" i="5"/>
  <c r="Z2135" i="5"/>
  <c r="Z2136" i="5"/>
  <c r="Z2137" i="5"/>
  <c r="Z2138" i="5"/>
  <c r="Z2144" i="5"/>
  <c r="Z2145" i="5"/>
  <c r="Z2146" i="5"/>
  <c r="Z2155" i="5"/>
  <c r="Z2162" i="5"/>
  <c r="Z2095" i="5"/>
  <c r="Z2097" i="5"/>
  <c r="Z2099" i="5"/>
  <c r="Z2333" i="5"/>
  <c r="Z2293" i="5"/>
  <c r="Z2107" i="5"/>
  <c r="Z2149" i="5"/>
  <c r="Z2150" i="5"/>
  <c r="Z2152" i="5"/>
  <c r="Z2161" i="5"/>
  <c r="Z2163" i="5"/>
  <c r="Z2166" i="5"/>
  <c r="Z2167" i="5"/>
  <c r="Z2169" i="5"/>
  <c r="Z2171" i="5"/>
  <c r="Z2176" i="5"/>
  <c r="Z2178" i="5"/>
  <c r="Z2180" i="5"/>
  <c r="Z2181" i="5"/>
  <c r="Z2140" i="5"/>
  <c r="Z2142" i="5"/>
  <c r="Z2175" i="5"/>
  <c r="Z2186" i="5"/>
  <c r="Z2188" i="5"/>
  <c r="Z2194" i="5"/>
  <c r="Z2198" i="5"/>
  <c r="Z2210" i="5"/>
  <c r="Z2214" i="5"/>
  <c r="Z2226" i="5"/>
  <c r="Z2336" i="5"/>
  <c r="Z2220" i="5"/>
  <c r="Z2183" i="5"/>
  <c r="Z2190" i="5"/>
  <c r="Z2196" i="5"/>
  <c r="Z2106" i="5"/>
  <c r="Z2108" i="5"/>
  <c r="Z2110" i="5"/>
  <c r="Z2112" i="5"/>
  <c r="Z2114" i="5"/>
  <c r="Z2132" i="5"/>
  <c r="Z2139" i="5"/>
  <c r="Z2141" i="5"/>
  <c r="Z2143" i="5"/>
  <c r="Z2182" i="5"/>
  <c r="Z2191" i="5"/>
  <c r="Z2197" i="5"/>
  <c r="Z2211" i="5"/>
  <c r="Z2216" i="5"/>
  <c r="Z2339" i="5"/>
  <c r="Z2351" i="5"/>
  <c r="Z2147" i="5"/>
  <c r="Z2148" i="5"/>
  <c r="Z2151" i="5"/>
  <c r="Z2153" i="5"/>
  <c r="Z2154" i="5"/>
  <c r="Z2156" i="5"/>
  <c r="Z2157" i="5"/>
  <c r="Z2158" i="5"/>
  <c r="Z2159" i="5"/>
  <c r="Z2160" i="5"/>
  <c r="Z2164" i="5"/>
  <c r="Z2165" i="5"/>
  <c r="Z2168" i="5"/>
  <c r="Z2170" i="5"/>
  <c r="Z2172" i="5"/>
  <c r="Z2173" i="5"/>
  <c r="Z2174" i="5"/>
  <c r="Z2177" i="5"/>
  <c r="Z2179" i="5"/>
  <c r="Z2184" i="5"/>
  <c r="Z2187" i="5"/>
  <c r="Z2193" i="5"/>
  <c r="Z2195" i="5"/>
  <c r="Z2207" i="5"/>
  <c r="Z2209" i="5"/>
  <c r="Z2213" i="5"/>
  <c r="Z2218" i="5"/>
  <c r="Z2337" i="5"/>
  <c r="Z2229" i="5"/>
  <c r="Z2200" i="5"/>
  <c r="Z2201" i="5"/>
  <c r="Z2208" i="5"/>
  <c r="Z2098" i="5"/>
  <c r="Z2332" i="5"/>
  <c r="Z2224" i="5"/>
  <c r="Z2232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15" i="5"/>
  <c r="Z2247" i="5"/>
  <c r="Z2330" i="5"/>
  <c r="Z2342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19" i="5"/>
  <c r="Z2228" i="5"/>
  <c r="Z2277" i="5"/>
  <c r="Z2278" i="5"/>
  <c r="Z2280" i="5"/>
  <c r="Z2100" i="5"/>
  <c r="Z2102" i="5"/>
  <c r="Z2297" i="5"/>
  <c r="Z2313" i="5"/>
  <c r="Z2318" i="5"/>
  <c r="Z2324" i="5"/>
  <c r="Z2327" i="5"/>
  <c r="Z2335" i="5"/>
  <c r="Z2105" i="5"/>
  <c r="Z2349" i="5"/>
  <c r="Z2261" i="5"/>
  <c r="Z2266" i="5"/>
  <c r="Z2267" i="5"/>
  <c r="Z2268" i="5"/>
  <c r="Z2269" i="5"/>
  <c r="Z2270" i="5"/>
  <c r="Z2271" i="5"/>
  <c r="Z2273" i="5"/>
  <c r="Z2274" i="5"/>
  <c r="Z2275" i="5"/>
  <c r="Z2276" i="5"/>
  <c r="Z2279" i="5"/>
  <c r="Z2292" i="5"/>
  <c r="Z2217" i="5"/>
  <c r="Z2311" i="5"/>
  <c r="Z2317" i="5"/>
  <c r="Z2325" i="5"/>
  <c r="Z2331" i="5"/>
  <c r="Z2227" i="5"/>
  <c r="Z2281" i="5"/>
  <c r="Z2282" i="5"/>
  <c r="Z2283" i="5"/>
  <c r="Z2284" i="5"/>
  <c r="Z2285" i="5"/>
  <c r="Z2286" i="5"/>
  <c r="Z2287" i="5"/>
  <c r="Z2288" i="5"/>
  <c r="Z2289" i="5"/>
  <c r="Z2290" i="5"/>
  <c r="Z2291" i="5"/>
  <c r="Z2101" i="5"/>
  <c r="Z2233" i="5"/>
  <c r="Z2314" i="5"/>
  <c r="Z2320" i="5"/>
  <c r="Z2328" i="5"/>
  <c r="Z2338" i="5"/>
  <c r="Z2231" i="5"/>
  <c r="Z2246" i="5"/>
  <c r="Z2295" i="5"/>
  <c r="Z2296" i="5"/>
  <c r="Z2298" i="5"/>
  <c r="Z2300" i="5"/>
  <c r="Z2301" i="5"/>
  <c r="Z2302" i="5"/>
  <c r="Z2303" i="5"/>
  <c r="Z2306" i="5"/>
  <c r="Z2307" i="5"/>
  <c r="Z2308" i="5"/>
  <c r="Z2309" i="5"/>
  <c r="Z2310" i="5"/>
  <c r="Z2312" i="5"/>
  <c r="Z2316" i="5"/>
  <c r="Z2319" i="5"/>
  <c r="Z2322" i="5"/>
  <c r="Z2294" i="5"/>
  <c r="Z2299" i="5"/>
  <c r="Z2315" i="5"/>
  <c r="Z2321" i="5"/>
  <c r="Z2323" i="5"/>
  <c r="Z2326" i="5"/>
  <c r="Z2329" i="5"/>
  <c r="Z2334" i="5"/>
  <c r="Z2263" i="5"/>
  <c r="Z2352" i="5"/>
  <c r="Z2353" i="5"/>
  <c r="Z2354" i="5"/>
  <c r="Z2355" i="5"/>
  <c r="Z2356" i="5"/>
  <c r="Z2357" i="5"/>
  <c r="Z2358" i="5"/>
  <c r="Z2359" i="5"/>
  <c r="Z2360" i="5"/>
  <c r="Z2346" i="5"/>
  <c r="Z2361" i="5"/>
  <c r="Z2362" i="5"/>
  <c r="Z2260" i="5"/>
  <c r="Z2074" i="5"/>
  <c r="Z2077" i="5"/>
  <c r="Z2082" i="5"/>
  <c r="Z2085" i="5"/>
  <c r="Z2371" i="5"/>
  <c r="Z2373" i="5"/>
  <c r="Z2116" i="5"/>
  <c r="Z2122" i="5"/>
  <c r="Z2117" i="5"/>
  <c r="Z2096" i="5"/>
  <c r="Z2103" i="5"/>
  <c r="Z2199" i="5"/>
  <c r="Z2205" i="5"/>
  <c r="Z2206" i="5"/>
  <c r="Z2272" i="5"/>
  <c r="Z2379" i="5"/>
  <c r="Z2051" i="5"/>
  <c r="AV2136" i="5" l="1"/>
  <c r="AV2138" i="5"/>
  <c r="AV2139" i="5"/>
  <c r="AV2140" i="5"/>
  <c r="AV2144" i="5"/>
  <c r="AV2145" i="5"/>
  <c r="AV2147" i="5"/>
  <c r="AV2150" i="5"/>
  <c r="AV2151" i="5"/>
  <c r="AV2152" i="5"/>
  <c r="N17" i="1"/>
  <c r="N25" i="1"/>
  <c r="N27" i="1"/>
  <c r="N32" i="1"/>
  <c r="N33" i="1"/>
  <c r="N18" i="1"/>
  <c r="N20" i="1"/>
  <c r="N35" i="1"/>
  <c r="N22" i="1"/>
  <c r="N37" i="1"/>
  <c r="N23" i="1"/>
  <c r="N24" i="1"/>
  <c r="N34" i="1"/>
  <c r="N16" i="1"/>
  <c r="N15" i="1"/>
  <c r="N26" i="1"/>
  <c r="N13" i="1"/>
  <c r="N14" i="1"/>
  <c r="N19" i="1"/>
  <c r="N28" i="1"/>
  <c r="N29" i="1"/>
  <c r="N30" i="1"/>
  <c r="N31" i="1"/>
  <c r="N36" i="1"/>
  <c r="N21" i="1"/>
  <c r="M29" i="2"/>
  <c r="M25" i="2"/>
  <c r="M23" i="2"/>
  <c r="M18" i="2"/>
  <c r="M16" i="2"/>
  <c r="M30" i="2"/>
  <c r="M22" i="2"/>
  <c r="M20" i="2"/>
  <c r="M19" i="2"/>
  <c r="M27" i="2"/>
  <c r="M24" i="2"/>
  <c r="M21" i="2"/>
  <c r="M15" i="2"/>
  <c r="M14" i="2"/>
  <c r="M13" i="2"/>
  <c r="M12" i="2"/>
  <c r="M17" i="2"/>
  <c r="M28" i="2"/>
  <c r="M26" i="2"/>
  <c r="M11" i="2"/>
  <c r="AV2154" i="5"/>
  <c r="AV2155" i="5"/>
  <c r="AV2157" i="5"/>
  <c r="AV2180" i="5"/>
  <c r="AV2187" i="5"/>
  <c r="AV2188" i="5"/>
  <c r="AV2191" i="5"/>
  <c r="AV2194" i="5"/>
  <c r="AV2195" i="5"/>
  <c r="AV2196" i="5"/>
  <c r="AV2198" i="5"/>
  <c r="AV2208" i="5"/>
  <c r="AV2216" i="5"/>
  <c r="AV2217" i="5"/>
  <c r="AV2218" i="5"/>
  <c r="AV2219" i="5"/>
  <c r="AV2220" i="5"/>
  <c r="AV2221" i="5"/>
  <c r="AV2222" i="5"/>
  <c r="AV2223" i="5"/>
  <c r="AV2225" i="5"/>
  <c r="AV2226" i="5"/>
  <c r="AV2227" i="5"/>
  <c r="AV2228" i="5"/>
  <c r="AV2229" i="5"/>
  <c r="AV2230" i="5"/>
  <c r="AV2231" i="5"/>
  <c r="AV2234" i="5"/>
  <c r="AV2235" i="5"/>
  <c r="AV2255" i="5"/>
  <c r="AV2263" i="5"/>
  <c r="AV2264" i="5"/>
  <c r="AV2266" i="5"/>
  <c r="AV2268" i="5"/>
  <c r="AV2269" i="5"/>
  <c r="AV2270" i="5"/>
  <c r="AV2275" i="5"/>
  <c r="AV2276" i="5"/>
  <c r="AV2279" i="5"/>
  <c r="AV2282" i="5"/>
  <c r="AV2284" i="5"/>
  <c r="AV2295" i="5"/>
  <c r="AV2296" i="5"/>
  <c r="AV2298" i="5"/>
  <c r="AV2300" i="5"/>
  <c r="AV2302" i="5"/>
  <c r="AV2311" i="5"/>
  <c r="AV2313" i="5"/>
  <c r="AV2316" i="5"/>
  <c r="AV2321" i="5"/>
  <c r="AV2327" i="5"/>
  <c r="AV2329" i="5"/>
  <c r="AV2057" i="5"/>
  <c r="AV2060" i="5"/>
  <c r="AV2072" i="5"/>
  <c r="AV2134" i="5"/>
  <c r="AV2066" i="5"/>
  <c r="AV2137" i="5"/>
  <c r="AV2123" i="5"/>
  <c r="AV2127" i="5"/>
  <c r="AV2054" i="5"/>
  <c r="AV2064" i="5"/>
  <c r="AV2070" i="5"/>
  <c r="AV2076" i="5"/>
  <c r="AV2079" i="5"/>
  <c r="AV2082" i="5"/>
  <c r="AV2085" i="5"/>
  <c r="AV2088" i="5"/>
  <c r="AV2092" i="5"/>
  <c r="AV2095" i="5"/>
  <c r="AV2281" i="5"/>
  <c r="AV2101" i="5"/>
  <c r="AV2105" i="5"/>
  <c r="AV2108" i="5"/>
  <c r="AV2111" i="5"/>
  <c r="AV2274" i="5"/>
  <c r="AV2342" i="5"/>
  <c r="AV2359" i="5"/>
  <c r="AV2051" i="5"/>
  <c r="AV2267" i="5"/>
  <c r="AV2280" i="5"/>
  <c r="AV2294" i="5"/>
  <c r="AV2297" i="5"/>
  <c r="AV2299" i="5"/>
  <c r="AV2301" i="5"/>
  <c r="AV2303" i="5"/>
  <c r="AV2312" i="5"/>
  <c r="AV2314" i="5"/>
  <c r="AV2317" i="5"/>
  <c r="AV2324" i="5"/>
  <c r="AV2328" i="5"/>
  <c r="AV2331" i="5"/>
  <c r="AV2058" i="5"/>
  <c r="AV2061" i="5"/>
  <c r="AV2113" i="5"/>
  <c r="AV2068" i="5"/>
  <c r="AV2126" i="5"/>
  <c r="AV2146" i="5"/>
  <c r="AV2156" i="5"/>
  <c r="AV2062" i="5"/>
  <c r="AV2065" i="5"/>
  <c r="AV2233" i="5"/>
  <c r="AV2077" i="5"/>
  <c r="AV2080" i="5"/>
  <c r="AV2083" i="5"/>
  <c r="AV2086" i="5"/>
  <c r="AV2089" i="5"/>
  <c r="AV2093" i="5"/>
  <c r="AV2271" i="5"/>
  <c r="AV2315" i="5"/>
  <c r="AV2102" i="5"/>
  <c r="AV2106" i="5"/>
  <c r="AV2109" i="5"/>
  <c r="AV2112" i="5"/>
  <c r="AV2130" i="5"/>
  <c r="AV2318" i="5"/>
  <c r="AV2369" i="5"/>
  <c r="AV2333" i="5"/>
  <c r="AV2334" i="5"/>
  <c r="AV2335" i="5"/>
  <c r="AV2345" i="5"/>
  <c r="AV2346" i="5"/>
  <c r="AV2348" i="5"/>
  <c r="AV2349" i="5"/>
  <c r="AV2350" i="5"/>
  <c r="AV2352" i="5"/>
  <c r="AV2353" i="5"/>
  <c r="AV2354" i="5"/>
  <c r="AV2356" i="5"/>
  <c r="AV2361" i="5"/>
  <c r="AV2363" i="5"/>
  <c r="AV2364" i="5"/>
  <c r="AV2365" i="5"/>
  <c r="AV2366" i="5"/>
  <c r="AV2372" i="5"/>
  <c r="AV2374" i="5"/>
  <c r="AV2375" i="5"/>
  <c r="AV2052" i="5"/>
  <c r="AV2053" i="5"/>
  <c r="AV2055" i="5"/>
  <c r="AV2056" i="5"/>
  <c r="AV2059" i="5"/>
  <c r="AV2073" i="5"/>
  <c r="AV2075" i="5"/>
  <c r="AV2128" i="5"/>
  <c r="AV2099" i="5"/>
  <c r="AV2190" i="5"/>
  <c r="AV2067" i="5"/>
  <c r="AV2330" i="5"/>
  <c r="AV2063" i="5"/>
  <c r="AV2071" i="5"/>
  <c r="AV2074" i="5"/>
  <c r="AV2078" i="5"/>
  <c r="AV2081" i="5"/>
  <c r="AV2084" i="5"/>
  <c r="AV2087" i="5"/>
  <c r="AV2091" i="5"/>
  <c r="AV2094" i="5"/>
  <c r="AV2097" i="5"/>
  <c r="AV2283" i="5"/>
  <c r="AV2100" i="5"/>
  <c r="AV2104" i="5"/>
  <c r="AV2107" i="5"/>
  <c r="AV2110" i="5"/>
  <c r="AV2232" i="5"/>
  <c r="AV2339" i="5"/>
  <c r="AV2358" i="5"/>
  <c r="AV2332" i="5"/>
  <c r="AV2278" i="5"/>
  <c r="AV2357" i="5"/>
  <c r="AV2370" i="5"/>
  <c r="AV2131" i="5"/>
  <c r="AV2132" i="5"/>
  <c r="AV2133" i="5"/>
  <c r="AV2273" i="5"/>
  <c r="AV2098" i="5"/>
  <c r="AV2142" i="5"/>
  <c r="AV2143" i="5"/>
  <c r="AV2149" i="5"/>
  <c r="AV2153" i="5"/>
  <c r="AV2158" i="5"/>
  <c r="AV2159" i="5"/>
  <c r="AV2160" i="5"/>
  <c r="AV2161" i="5"/>
  <c r="AV2162" i="5"/>
  <c r="AV2163" i="5"/>
  <c r="AV2164" i="5"/>
  <c r="AV2362" i="5"/>
  <c r="AV2141" i="5"/>
  <c r="AV2167" i="5"/>
  <c r="AV2351" i="5"/>
  <c r="AV2148" i="5"/>
  <c r="AV2165" i="5"/>
  <c r="AV2166" i="5"/>
  <c r="AV2168" i="5"/>
  <c r="AV2169" i="5"/>
  <c r="AV2170" i="5"/>
  <c r="AV2171" i="5"/>
  <c r="AV2172" i="5"/>
  <c r="AV2173" i="5"/>
  <c r="AV2174" i="5"/>
  <c r="AV2175" i="5"/>
  <c r="AV2176" i="5"/>
  <c r="AV2177" i="5"/>
  <c r="AV2178" i="5"/>
  <c r="AV2179" i="5"/>
  <c r="AV2181" i="5"/>
  <c r="AV2182" i="5"/>
  <c r="AV2183" i="5"/>
  <c r="AV2184" i="5"/>
  <c r="AV2186" i="5"/>
  <c r="AV2193" i="5"/>
  <c r="AV2197" i="5"/>
  <c r="AV2200" i="5"/>
  <c r="AV2201" i="5"/>
  <c r="AV2207" i="5"/>
  <c r="AV2209" i="5"/>
  <c r="AV2210" i="5"/>
  <c r="AV2211" i="5"/>
  <c r="AV2212" i="5"/>
  <c r="AV2213" i="5"/>
  <c r="AV2214" i="5"/>
  <c r="AV2215" i="5"/>
  <c r="AV2236" i="5"/>
  <c r="AV2237" i="5"/>
  <c r="AV2238" i="5"/>
  <c r="AV2239" i="5"/>
  <c r="AV2240" i="5"/>
  <c r="AV2241" i="5"/>
  <c r="AV2242" i="5"/>
  <c r="AV2243" i="5"/>
  <c r="AV2244" i="5"/>
  <c r="AV2245" i="5"/>
  <c r="AV2246" i="5"/>
  <c r="AV2247" i="5"/>
  <c r="AV2248" i="5"/>
  <c r="AV2249" i="5"/>
  <c r="AV2250" i="5"/>
  <c r="AV2251" i="5"/>
  <c r="AV2252" i="5"/>
  <c r="AV2253" i="5"/>
  <c r="AV2254" i="5"/>
  <c r="AV2256" i="5"/>
  <c r="AV2257" i="5"/>
  <c r="AV2258" i="5"/>
  <c r="AV2259" i="5"/>
  <c r="AV2261" i="5"/>
  <c r="AV2262" i="5"/>
  <c r="AV2285" i="5"/>
  <c r="AV2286" i="5"/>
  <c r="AV2287" i="5"/>
  <c r="AV2288" i="5"/>
  <c r="AV2289" i="5"/>
  <c r="AV2290" i="5"/>
  <c r="AV2291" i="5"/>
  <c r="AV2292" i="5"/>
  <c r="AV2293" i="5"/>
  <c r="AV2306" i="5"/>
  <c r="AV2307" i="5"/>
  <c r="AV2308" i="5"/>
  <c r="AV2309" i="5"/>
  <c r="AV2310" i="5"/>
  <c r="AV2224" i="5"/>
  <c r="AV2319" i="5"/>
  <c r="AV2320" i="5"/>
  <c r="AV2322" i="5"/>
  <c r="AV2323" i="5"/>
  <c r="AV2325" i="5"/>
  <c r="AV2326" i="5"/>
  <c r="AV2336" i="5"/>
  <c r="AV2337" i="5"/>
  <c r="AV2344" i="5"/>
  <c r="AV2367" i="5"/>
  <c r="AV2277" i="5"/>
  <c r="AV2338" i="5"/>
  <c r="AV2355" i="5"/>
  <c r="AV2360" i="5"/>
  <c r="AV2260" i="5"/>
  <c r="M13" i="6" l="1"/>
  <c r="N13" i="6" s="1"/>
  <c r="M14" i="6"/>
  <c r="N14" i="6" s="1"/>
  <c r="M15" i="6"/>
  <c r="N15" i="6" s="1"/>
  <c r="M16" i="6"/>
  <c r="N16" i="6" s="1"/>
  <c r="M17" i="6"/>
  <c r="N17" i="6" s="1"/>
  <c r="M18" i="6"/>
  <c r="N18" i="6" s="1"/>
  <c r="M19" i="6"/>
  <c r="N19" i="6" s="1"/>
  <c r="M20" i="6"/>
  <c r="N20" i="6" s="1"/>
  <c r="M21" i="6"/>
  <c r="N21" i="6" s="1"/>
  <c r="M22" i="6"/>
  <c r="N22" i="6" s="1"/>
  <c r="M23" i="6"/>
  <c r="N23" i="6" s="1"/>
  <c r="M24" i="6"/>
  <c r="N24" i="6" s="1"/>
  <c r="M25" i="6"/>
  <c r="N25" i="6" s="1"/>
  <c r="M26" i="6"/>
  <c r="N26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 s="1"/>
  <c r="M33" i="6"/>
  <c r="N33" i="6" s="1"/>
  <c r="M34" i="6"/>
  <c r="N34" i="6" s="1"/>
  <c r="M35" i="6"/>
  <c r="N35" i="6" s="1"/>
  <c r="M36" i="6"/>
  <c r="N36" i="6" s="1"/>
  <c r="M37" i="6"/>
  <c r="N37" i="6" s="1"/>
  <c r="M38" i="6"/>
  <c r="N38" i="6" s="1"/>
  <c r="M39" i="6"/>
  <c r="N39" i="6" s="1"/>
  <c r="M40" i="6"/>
  <c r="N40" i="6" s="1"/>
  <c r="M41" i="6"/>
  <c r="N41" i="6" s="1"/>
  <c r="M42" i="6"/>
  <c r="N42" i="6" s="1"/>
  <c r="M43" i="6"/>
  <c r="N43" i="6" s="1"/>
  <c r="M44" i="6"/>
  <c r="N44" i="6" s="1"/>
  <c r="M45" i="6"/>
  <c r="N45" i="6" s="1"/>
  <c r="M46" i="6"/>
  <c r="N46" i="6" s="1"/>
  <c r="M47" i="6"/>
  <c r="N47" i="6" s="1"/>
  <c r="M48" i="6"/>
  <c r="N48" i="6" s="1"/>
  <c r="M49" i="6"/>
  <c r="N49" i="6" s="1"/>
  <c r="M50" i="6"/>
  <c r="N50" i="6" s="1"/>
  <c r="M51" i="6"/>
  <c r="N51" i="6" s="1"/>
  <c r="M52" i="6"/>
  <c r="N52" i="6" s="1"/>
  <c r="M53" i="6"/>
  <c r="N53" i="6" s="1"/>
  <c r="M54" i="6"/>
  <c r="N54" i="6" s="1"/>
  <c r="M55" i="6"/>
  <c r="N55" i="6" s="1"/>
  <c r="M56" i="6"/>
  <c r="N56" i="6" s="1"/>
  <c r="M57" i="6"/>
  <c r="N57" i="6" s="1"/>
  <c r="M58" i="6"/>
  <c r="N58" i="6" s="1"/>
  <c r="M59" i="6"/>
  <c r="N59" i="6" s="1"/>
  <c r="M60" i="6"/>
  <c r="N60" i="6" s="1"/>
  <c r="M61" i="6"/>
  <c r="N61" i="6" s="1"/>
  <c r="M62" i="6"/>
  <c r="N62" i="6" s="1"/>
  <c r="M63" i="6"/>
  <c r="N63" i="6" s="1"/>
  <c r="M64" i="6"/>
  <c r="N64" i="6" s="1"/>
  <c r="M65" i="6"/>
  <c r="N65" i="6" s="1"/>
  <c r="M66" i="6"/>
  <c r="N66" i="6" s="1"/>
  <c r="M67" i="6"/>
  <c r="N67" i="6" s="1"/>
  <c r="M68" i="6"/>
  <c r="N68" i="6" s="1"/>
  <c r="M69" i="6"/>
  <c r="N69" i="6" s="1"/>
  <c r="M70" i="6"/>
  <c r="N70" i="6" s="1"/>
  <c r="M71" i="6"/>
  <c r="N71" i="6" s="1"/>
  <c r="M72" i="6"/>
  <c r="N72" i="6" s="1"/>
  <c r="M73" i="6"/>
  <c r="N73" i="6" s="1"/>
  <c r="M74" i="6"/>
  <c r="N74" i="6" s="1"/>
  <c r="M75" i="6"/>
  <c r="N75" i="6" s="1"/>
  <c r="M76" i="6"/>
  <c r="N76" i="6" s="1"/>
  <c r="M77" i="6"/>
  <c r="N77" i="6" s="1"/>
  <c r="M78" i="6"/>
  <c r="N78" i="6" s="1"/>
  <c r="M79" i="6"/>
  <c r="N79" i="6" s="1"/>
  <c r="M80" i="6"/>
  <c r="N80" i="6" s="1"/>
  <c r="M81" i="6"/>
  <c r="N81" i="6" s="1"/>
  <c r="M82" i="6"/>
  <c r="N82" i="6" s="1"/>
  <c r="M83" i="6"/>
  <c r="N83" i="6" s="1"/>
  <c r="M84" i="6"/>
  <c r="N84" i="6" s="1"/>
  <c r="M85" i="6"/>
  <c r="N85" i="6" s="1"/>
  <c r="M86" i="6"/>
  <c r="N86" i="6" s="1"/>
  <c r="M87" i="6"/>
  <c r="N87" i="6" s="1"/>
  <c r="M88" i="6"/>
  <c r="N88" i="6" s="1"/>
  <c r="M89" i="6"/>
  <c r="N89" i="6" s="1"/>
  <c r="M90" i="6"/>
  <c r="N90" i="6" s="1"/>
  <c r="M91" i="6"/>
  <c r="N91" i="6" s="1"/>
  <c r="M92" i="6"/>
  <c r="N92" i="6" s="1"/>
  <c r="M93" i="6"/>
  <c r="N93" i="6" s="1"/>
  <c r="M94" i="6"/>
  <c r="N94" i="6" s="1"/>
  <c r="M95" i="6"/>
  <c r="N95" i="6" s="1"/>
  <c r="M96" i="6"/>
  <c r="N96" i="6" s="1"/>
  <c r="M97" i="6"/>
  <c r="N97" i="6" s="1"/>
  <c r="M98" i="6"/>
  <c r="N98" i="6" s="1"/>
  <c r="M99" i="6"/>
  <c r="N99" i="6" s="1"/>
  <c r="M100" i="6"/>
  <c r="N100" i="6" s="1"/>
  <c r="M101" i="6"/>
  <c r="N101" i="6" s="1"/>
  <c r="M102" i="6"/>
  <c r="N102" i="6" s="1"/>
  <c r="M103" i="6"/>
  <c r="N103" i="6" s="1"/>
  <c r="M104" i="6"/>
  <c r="N104" i="6" s="1"/>
  <c r="M105" i="6"/>
  <c r="N105" i="6" s="1"/>
  <c r="M106" i="6"/>
  <c r="N106" i="6" s="1"/>
  <c r="M107" i="6"/>
  <c r="N107" i="6" s="1"/>
  <c r="M108" i="6"/>
  <c r="N108" i="6" s="1"/>
  <c r="M109" i="6"/>
  <c r="N109" i="6" s="1"/>
  <c r="M110" i="6"/>
  <c r="N110" i="6" s="1"/>
  <c r="M111" i="6"/>
  <c r="N111" i="6" s="1"/>
  <c r="M112" i="6"/>
  <c r="N112" i="6" s="1"/>
  <c r="M113" i="6"/>
  <c r="N113" i="6" s="1"/>
  <c r="M114" i="6"/>
  <c r="N114" i="6" s="1"/>
  <c r="M115" i="6"/>
  <c r="N115" i="6" s="1"/>
  <c r="M116" i="6"/>
  <c r="N116" i="6" s="1"/>
  <c r="M117" i="6"/>
  <c r="N117" i="6" s="1"/>
  <c r="M118" i="6"/>
  <c r="N118" i="6" s="1"/>
  <c r="M119" i="6"/>
  <c r="N119" i="6" s="1"/>
  <c r="M120" i="6"/>
  <c r="N120" i="6" s="1"/>
  <c r="M121" i="6"/>
  <c r="N121" i="6" s="1"/>
  <c r="M122" i="6"/>
  <c r="N122" i="6" s="1"/>
  <c r="M123" i="6"/>
  <c r="N123" i="6" s="1"/>
  <c r="M124" i="6"/>
  <c r="N124" i="6" s="1"/>
  <c r="M125" i="6"/>
  <c r="N125" i="6" s="1"/>
  <c r="M126" i="6"/>
  <c r="N126" i="6" s="1"/>
  <c r="M127" i="6"/>
  <c r="N127" i="6" s="1"/>
  <c r="M128" i="6"/>
  <c r="N128" i="6" s="1"/>
  <c r="M129" i="6"/>
  <c r="N129" i="6" s="1"/>
  <c r="M130" i="6"/>
  <c r="N130" i="6" s="1"/>
  <c r="M131" i="6"/>
  <c r="N131" i="6" s="1"/>
  <c r="M132" i="6"/>
  <c r="N132" i="6" s="1"/>
  <c r="M133" i="6"/>
  <c r="N133" i="6" s="1"/>
  <c r="M134" i="6"/>
  <c r="N134" i="6" s="1"/>
  <c r="M135" i="6"/>
  <c r="N135" i="6" s="1"/>
  <c r="M136" i="6"/>
  <c r="N136" i="6" s="1"/>
  <c r="M137" i="6"/>
  <c r="N137" i="6" s="1"/>
  <c r="M138" i="6"/>
  <c r="N138" i="6" s="1"/>
  <c r="M139" i="6"/>
  <c r="N139" i="6" s="1"/>
  <c r="M140" i="6"/>
  <c r="N140" i="6" s="1"/>
  <c r="M141" i="6"/>
  <c r="N141" i="6" s="1"/>
  <c r="M142" i="6"/>
  <c r="N142" i="6" s="1"/>
  <c r="M143" i="6"/>
  <c r="N143" i="6" s="1"/>
  <c r="M144" i="6"/>
  <c r="N144" i="6" s="1"/>
  <c r="M145" i="6"/>
  <c r="N145" i="6" s="1"/>
  <c r="M146" i="6"/>
  <c r="N146" i="6" s="1"/>
  <c r="M147" i="6"/>
  <c r="N147" i="6" s="1"/>
  <c r="M148" i="6"/>
  <c r="N148" i="6" s="1"/>
  <c r="M149" i="6"/>
  <c r="N149" i="6" s="1"/>
  <c r="M150" i="6"/>
  <c r="N150" i="6" s="1"/>
  <c r="M151" i="6"/>
  <c r="N151" i="6" s="1"/>
  <c r="M152" i="6"/>
  <c r="N152" i="6" s="1"/>
  <c r="M153" i="6"/>
  <c r="N153" i="6" s="1"/>
  <c r="M154" i="6"/>
  <c r="N154" i="6" s="1"/>
  <c r="M155" i="6"/>
  <c r="N155" i="6" s="1"/>
  <c r="M156" i="6"/>
  <c r="N156" i="6" s="1"/>
  <c r="M157" i="6"/>
  <c r="N157" i="6" s="1"/>
  <c r="M158" i="6"/>
  <c r="N158" i="6" s="1"/>
  <c r="M159" i="6"/>
  <c r="N159" i="6" s="1"/>
  <c r="M160" i="6"/>
  <c r="N160" i="6" s="1"/>
  <c r="M161" i="6"/>
  <c r="N161" i="6" s="1"/>
  <c r="M162" i="6"/>
  <c r="N162" i="6" s="1"/>
  <c r="M163" i="6"/>
  <c r="N163" i="6" s="1"/>
  <c r="M164" i="6"/>
  <c r="N164" i="6" s="1"/>
  <c r="M165" i="6"/>
  <c r="N165" i="6" s="1"/>
  <c r="M166" i="6"/>
  <c r="N166" i="6" s="1"/>
  <c r="M167" i="6"/>
  <c r="N167" i="6" s="1"/>
  <c r="M168" i="6"/>
  <c r="N168" i="6" s="1"/>
  <c r="M169" i="6"/>
  <c r="N169" i="6" s="1"/>
  <c r="M170" i="6"/>
  <c r="N170" i="6" s="1"/>
  <c r="M171" i="6"/>
  <c r="N171" i="6" s="1"/>
  <c r="M172" i="6"/>
  <c r="N172" i="6" s="1"/>
  <c r="M173" i="6"/>
  <c r="N173" i="6" s="1"/>
  <c r="M174" i="6"/>
  <c r="N174" i="6" s="1"/>
  <c r="M175" i="6"/>
  <c r="N175" i="6" s="1"/>
  <c r="M176" i="6"/>
  <c r="N176" i="6" s="1"/>
  <c r="M177" i="6"/>
  <c r="N177" i="6" s="1"/>
  <c r="M178" i="6"/>
  <c r="N178" i="6" s="1"/>
  <c r="M179" i="6"/>
  <c r="N179" i="6" s="1"/>
  <c r="M180" i="6"/>
  <c r="N180" i="6" s="1"/>
  <c r="M181" i="6"/>
  <c r="N181" i="6" s="1"/>
  <c r="M182" i="6"/>
  <c r="N182" i="6" s="1"/>
  <c r="M183" i="6"/>
  <c r="N183" i="6" s="1"/>
  <c r="M184" i="6"/>
  <c r="N184" i="6" s="1"/>
  <c r="M185" i="6"/>
  <c r="N185" i="6" s="1"/>
  <c r="M186" i="6"/>
  <c r="N186" i="6" s="1"/>
  <c r="M187" i="6"/>
  <c r="N187" i="6" s="1"/>
  <c r="M188" i="6"/>
  <c r="N188" i="6" s="1"/>
  <c r="M189" i="6"/>
  <c r="N189" i="6" s="1"/>
  <c r="M190" i="6"/>
  <c r="N190" i="6" s="1"/>
  <c r="M191" i="6"/>
  <c r="N191" i="6" s="1"/>
  <c r="M192" i="6"/>
  <c r="N192" i="6" s="1"/>
  <c r="M193" i="6"/>
  <c r="N193" i="6" s="1"/>
  <c r="M194" i="6"/>
  <c r="N194" i="6" s="1"/>
  <c r="M195" i="6"/>
  <c r="N195" i="6" s="1"/>
  <c r="M196" i="6"/>
  <c r="N196" i="6" s="1"/>
  <c r="M197" i="6"/>
  <c r="N197" i="6" s="1"/>
  <c r="M198" i="6"/>
  <c r="N198" i="6" s="1"/>
  <c r="M199" i="6"/>
  <c r="N199" i="6" s="1"/>
  <c r="M200" i="6"/>
  <c r="N200" i="6" s="1"/>
  <c r="M201" i="6"/>
  <c r="N201" i="6" s="1"/>
  <c r="M202" i="6"/>
  <c r="N202" i="6" s="1"/>
  <c r="M203" i="6"/>
  <c r="N203" i="6" s="1"/>
  <c r="M204" i="6"/>
  <c r="N204" i="6" s="1"/>
  <c r="M205" i="6"/>
  <c r="N205" i="6" s="1"/>
  <c r="M206" i="6"/>
  <c r="N206" i="6" s="1"/>
  <c r="M207" i="6"/>
  <c r="N207" i="6" s="1"/>
  <c r="M208" i="6"/>
  <c r="N208" i="6" s="1"/>
  <c r="M209" i="6"/>
  <c r="N209" i="6" s="1"/>
  <c r="M210" i="6"/>
  <c r="N210" i="6" s="1"/>
  <c r="M211" i="6"/>
  <c r="N211" i="6" s="1"/>
  <c r="M212" i="6"/>
  <c r="N212" i="6" s="1"/>
  <c r="M213" i="6"/>
  <c r="N213" i="6" s="1"/>
  <c r="M214" i="6"/>
  <c r="N214" i="6" s="1"/>
  <c r="M215" i="6"/>
  <c r="N215" i="6" s="1"/>
  <c r="M216" i="6"/>
  <c r="N216" i="6" s="1"/>
  <c r="M217" i="6"/>
  <c r="N217" i="6" s="1"/>
  <c r="M218" i="6"/>
  <c r="N218" i="6" s="1"/>
  <c r="M219" i="6"/>
  <c r="N219" i="6" s="1"/>
  <c r="M220" i="6"/>
  <c r="N220" i="6" s="1"/>
  <c r="M221" i="6"/>
  <c r="N221" i="6" s="1"/>
  <c r="M222" i="6"/>
  <c r="N222" i="6" s="1"/>
  <c r="M223" i="6"/>
  <c r="N223" i="6" s="1"/>
  <c r="M224" i="6"/>
  <c r="N224" i="6" s="1"/>
  <c r="M225" i="6"/>
  <c r="N225" i="6" s="1"/>
  <c r="M226" i="6"/>
  <c r="N226" i="6" s="1"/>
  <c r="M227" i="6"/>
  <c r="N227" i="6" s="1"/>
  <c r="M228" i="6"/>
  <c r="N228" i="6" s="1"/>
  <c r="M229" i="6"/>
  <c r="N229" i="6" s="1"/>
  <c r="M230" i="6"/>
  <c r="N230" i="6" s="1"/>
  <c r="M231" i="6"/>
  <c r="N231" i="6" s="1"/>
  <c r="M232" i="6"/>
  <c r="N232" i="6" s="1"/>
  <c r="M233" i="6"/>
  <c r="N233" i="6" s="1"/>
  <c r="M234" i="6"/>
  <c r="N234" i="6" s="1"/>
  <c r="M235" i="6"/>
  <c r="N235" i="6" s="1"/>
  <c r="M236" i="6"/>
  <c r="N236" i="6" s="1"/>
  <c r="M237" i="6"/>
  <c r="N237" i="6" s="1"/>
  <c r="M238" i="6"/>
  <c r="N238" i="6" s="1"/>
  <c r="M239" i="6"/>
  <c r="N239" i="6" s="1"/>
  <c r="M240" i="6"/>
  <c r="N240" i="6" s="1"/>
  <c r="M241" i="6"/>
  <c r="N241" i="6" s="1"/>
  <c r="M242" i="6"/>
  <c r="N242" i="6" s="1"/>
  <c r="M243" i="6"/>
  <c r="N243" i="6" s="1"/>
  <c r="M244" i="6"/>
  <c r="N244" i="6" s="1"/>
  <c r="M245" i="6"/>
  <c r="N245" i="6" s="1"/>
  <c r="M246" i="6"/>
  <c r="N246" i="6" s="1"/>
  <c r="M247" i="6"/>
  <c r="N247" i="6" s="1"/>
  <c r="M248" i="6"/>
  <c r="N248" i="6" s="1"/>
  <c r="M249" i="6"/>
  <c r="N249" i="6" s="1"/>
  <c r="M250" i="6"/>
  <c r="N250" i="6" s="1"/>
  <c r="M251" i="6"/>
  <c r="N251" i="6" s="1"/>
  <c r="M252" i="6"/>
  <c r="N252" i="6" s="1"/>
  <c r="M253" i="6"/>
  <c r="N253" i="6" s="1"/>
  <c r="M254" i="6"/>
  <c r="N254" i="6" s="1"/>
  <c r="M255" i="6"/>
  <c r="N255" i="6" s="1"/>
  <c r="M256" i="6"/>
  <c r="N256" i="6" s="1"/>
  <c r="M257" i="6"/>
  <c r="N257" i="6" s="1"/>
  <c r="M258" i="6"/>
  <c r="N258" i="6" s="1"/>
  <c r="M259" i="6"/>
  <c r="N259" i="6" s="1"/>
  <c r="M260" i="6"/>
  <c r="N260" i="6" s="1"/>
  <c r="M261" i="6"/>
  <c r="N261" i="6" s="1"/>
  <c r="M262" i="6"/>
  <c r="N262" i="6" s="1"/>
  <c r="M471" i="6"/>
  <c r="N471" i="6" s="1"/>
  <c r="M473" i="6"/>
  <c r="N473" i="6" s="1"/>
  <c r="M474" i="6"/>
  <c r="N474" i="6" s="1"/>
  <c r="M476" i="6"/>
  <c r="N476" i="6" s="1"/>
  <c r="M477" i="6"/>
  <c r="N477" i="6" s="1"/>
  <c r="M479" i="6"/>
  <c r="N479" i="6" s="1"/>
  <c r="M480" i="6"/>
  <c r="N480" i="6" s="1"/>
  <c r="M482" i="6"/>
  <c r="N482" i="6" s="1"/>
  <c r="M484" i="6"/>
  <c r="N484" i="6" s="1"/>
  <c r="M485" i="6"/>
  <c r="N485" i="6" s="1"/>
  <c r="M487" i="6"/>
  <c r="N487" i="6" s="1"/>
  <c r="M489" i="6"/>
  <c r="N489" i="6" s="1"/>
  <c r="M490" i="6"/>
  <c r="N490" i="6" s="1"/>
  <c r="M492" i="6"/>
  <c r="N492" i="6" s="1"/>
  <c r="M493" i="6"/>
  <c r="N493" i="6" s="1"/>
  <c r="M495" i="6"/>
  <c r="N495" i="6" s="1"/>
  <c r="M496" i="6"/>
  <c r="N496" i="6" s="1"/>
  <c r="M498" i="6"/>
  <c r="N498" i="6" s="1"/>
  <c r="M500" i="6"/>
  <c r="N500" i="6" s="1"/>
  <c r="M501" i="6"/>
  <c r="N501" i="6" s="1"/>
  <c r="M503" i="6"/>
  <c r="N503" i="6" s="1"/>
  <c r="M504" i="6"/>
  <c r="N504" i="6" s="1"/>
  <c r="M506" i="6"/>
  <c r="N506" i="6" s="1"/>
  <c r="M507" i="6"/>
  <c r="N507" i="6" s="1"/>
  <c r="M509" i="6"/>
  <c r="N509" i="6" s="1"/>
  <c r="M510" i="6"/>
  <c r="N510" i="6" s="1"/>
  <c r="M512" i="6"/>
  <c r="N512" i="6" s="1"/>
  <c r="M263" i="6"/>
  <c r="N263" i="6" s="1"/>
  <c r="M264" i="6"/>
  <c r="N264" i="6" s="1"/>
  <c r="M265" i="6"/>
  <c r="N265" i="6" s="1"/>
  <c r="M266" i="6"/>
  <c r="N266" i="6" s="1"/>
  <c r="M267" i="6"/>
  <c r="N267" i="6" s="1"/>
  <c r="M268" i="6"/>
  <c r="N268" i="6" s="1"/>
  <c r="M269" i="6"/>
  <c r="N269" i="6" s="1"/>
  <c r="M270" i="6"/>
  <c r="N270" i="6" s="1"/>
  <c r="M271" i="6"/>
  <c r="N271" i="6" s="1"/>
  <c r="M272" i="6"/>
  <c r="N272" i="6" s="1"/>
  <c r="M273" i="6"/>
  <c r="N273" i="6" s="1"/>
  <c r="M274" i="6"/>
  <c r="N274" i="6" s="1"/>
  <c r="M275" i="6"/>
  <c r="N275" i="6" s="1"/>
  <c r="M276" i="6"/>
  <c r="N276" i="6" s="1"/>
  <c r="M277" i="6"/>
  <c r="N277" i="6" s="1"/>
  <c r="M278" i="6"/>
  <c r="N278" i="6" s="1"/>
  <c r="M279" i="6"/>
  <c r="N279" i="6" s="1"/>
  <c r="M280" i="6"/>
  <c r="N280" i="6" s="1"/>
  <c r="M281" i="6"/>
  <c r="N281" i="6" s="1"/>
  <c r="M282" i="6"/>
  <c r="N282" i="6" s="1"/>
  <c r="M283" i="6"/>
  <c r="N283" i="6" s="1"/>
  <c r="M284" i="6"/>
  <c r="N284" i="6" s="1"/>
  <c r="M285" i="6"/>
  <c r="N285" i="6" s="1"/>
  <c r="M286" i="6"/>
  <c r="N286" i="6" s="1"/>
  <c r="M287" i="6"/>
  <c r="N287" i="6" s="1"/>
  <c r="M288" i="6"/>
  <c r="N288" i="6" s="1"/>
  <c r="M289" i="6"/>
  <c r="N289" i="6" s="1"/>
  <c r="M290" i="6"/>
  <c r="N290" i="6" s="1"/>
  <c r="M291" i="6"/>
  <c r="N291" i="6" s="1"/>
  <c r="M292" i="6"/>
  <c r="N292" i="6" s="1"/>
  <c r="M293" i="6"/>
  <c r="N293" i="6" s="1"/>
  <c r="M294" i="6"/>
  <c r="N294" i="6" s="1"/>
  <c r="M295" i="6"/>
  <c r="N295" i="6" s="1"/>
  <c r="M296" i="6"/>
  <c r="N296" i="6" s="1"/>
  <c r="M297" i="6"/>
  <c r="N297" i="6" s="1"/>
  <c r="M298" i="6"/>
  <c r="N298" i="6" s="1"/>
  <c r="M299" i="6"/>
  <c r="N299" i="6" s="1"/>
  <c r="M300" i="6"/>
  <c r="N300" i="6" s="1"/>
  <c r="M301" i="6"/>
  <c r="N301" i="6" s="1"/>
  <c r="M302" i="6"/>
  <c r="N302" i="6" s="1"/>
  <c r="M303" i="6"/>
  <c r="N303" i="6" s="1"/>
  <c r="M304" i="6"/>
  <c r="N304" i="6" s="1"/>
  <c r="M305" i="6"/>
  <c r="N305" i="6" s="1"/>
  <c r="M306" i="6"/>
  <c r="N306" i="6" s="1"/>
  <c r="M307" i="6"/>
  <c r="N307" i="6" s="1"/>
  <c r="M308" i="6"/>
  <c r="N308" i="6" s="1"/>
  <c r="M309" i="6"/>
  <c r="N309" i="6" s="1"/>
  <c r="M310" i="6"/>
  <c r="N310" i="6" s="1"/>
  <c r="M311" i="6"/>
  <c r="N311" i="6" s="1"/>
  <c r="M312" i="6"/>
  <c r="N312" i="6" s="1"/>
  <c r="M313" i="6"/>
  <c r="N313" i="6" s="1"/>
  <c r="M314" i="6"/>
  <c r="N314" i="6" s="1"/>
  <c r="M315" i="6"/>
  <c r="N315" i="6" s="1"/>
  <c r="M316" i="6"/>
  <c r="N316" i="6" s="1"/>
  <c r="M317" i="6"/>
  <c r="N317" i="6" s="1"/>
  <c r="M318" i="6"/>
  <c r="N318" i="6" s="1"/>
  <c r="M319" i="6"/>
  <c r="N319" i="6" s="1"/>
  <c r="M320" i="6"/>
  <c r="N320" i="6" s="1"/>
  <c r="M321" i="6"/>
  <c r="N321" i="6" s="1"/>
  <c r="M322" i="6"/>
  <c r="N322" i="6" s="1"/>
  <c r="M323" i="6"/>
  <c r="N323" i="6" s="1"/>
  <c r="M324" i="6"/>
  <c r="N324" i="6" s="1"/>
  <c r="M325" i="6"/>
  <c r="N325" i="6" s="1"/>
  <c r="M326" i="6"/>
  <c r="N326" i="6" s="1"/>
  <c r="M327" i="6"/>
  <c r="N327" i="6" s="1"/>
  <c r="M328" i="6"/>
  <c r="N328" i="6" s="1"/>
  <c r="M329" i="6"/>
  <c r="N329" i="6" s="1"/>
  <c r="M330" i="6"/>
  <c r="N330" i="6" s="1"/>
  <c r="M331" i="6"/>
  <c r="N331" i="6" s="1"/>
  <c r="M332" i="6"/>
  <c r="N332" i="6" s="1"/>
  <c r="M333" i="6"/>
  <c r="N333" i="6" s="1"/>
  <c r="M334" i="6"/>
  <c r="N334" i="6" s="1"/>
  <c r="M335" i="6"/>
  <c r="N335" i="6" s="1"/>
  <c r="M336" i="6"/>
  <c r="N336" i="6" s="1"/>
  <c r="M337" i="6"/>
  <c r="N337" i="6" s="1"/>
  <c r="M338" i="6"/>
  <c r="N338" i="6" s="1"/>
  <c r="M339" i="6"/>
  <c r="N339" i="6" s="1"/>
  <c r="M340" i="6"/>
  <c r="N340" i="6" s="1"/>
  <c r="M341" i="6"/>
  <c r="N341" i="6" s="1"/>
  <c r="M342" i="6"/>
  <c r="N342" i="6" s="1"/>
  <c r="M343" i="6"/>
  <c r="N343" i="6" s="1"/>
  <c r="M344" i="6"/>
  <c r="N344" i="6" s="1"/>
  <c r="M345" i="6"/>
  <c r="N345" i="6" s="1"/>
  <c r="M346" i="6"/>
  <c r="N346" i="6" s="1"/>
  <c r="M347" i="6"/>
  <c r="N347" i="6" s="1"/>
  <c r="M348" i="6"/>
  <c r="N348" i="6" s="1"/>
  <c r="M349" i="6"/>
  <c r="N349" i="6" s="1"/>
  <c r="M350" i="6"/>
  <c r="N350" i="6" s="1"/>
  <c r="M351" i="6"/>
  <c r="N351" i="6" s="1"/>
  <c r="M352" i="6"/>
  <c r="N352" i="6" s="1"/>
  <c r="M353" i="6"/>
  <c r="N353" i="6" s="1"/>
  <c r="M354" i="6"/>
  <c r="N354" i="6" s="1"/>
  <c r="M355" i="6"/>
  <c r="N355" i="6" s="1"/>
  <c r="M356" i="6"/>
  <c r="N356" i="6" s="1"/>
  <c r="M357" i="6"/>
  <c r="N357" i="6" s="1"/>
  <c r="M358" i="6"/>
  <c r="N358" i="6" s="1"/>
  <c r="M359" i="6"/>
  <c r="N359" i="6" s="1"/>
  <c r="M360" i="6"/>
  <c r="N360" i="6" s="1"/>
  <c r="M361" i="6"/>
  <c r="N361" i="6" s="1"/>
  <c r="M362" i="6"/>
  <c r="N362" i="6" s="1"/>
  <c r="M363" i="6"/>
  <c r="N363" i="6" s="1"/>
  <c r="M364" i="6"/>
  <c r="N364" i="6" s="1"/>
  <c r="M365" i="6"/>
  <c r="N365" i="6" s="1"/>
  <c r="M366" i="6"/>
  <c r="N366" i="6" s="1"/>
  <c r="M367" i="6"/>
  <c r="N367" i="6" s="1"/>
  <c r="M368" i="6"/>
  <c r="N368" i="6" s="1"/>
  <c r="M369" i="6"/>
  <c r="N369" i="6" s="1"/>
  <c r="M370" i="6"/>
  <c r="N370" i="6" s="1"/>
  <c r="M371" i="6"/>
  <c r="N371" i="6" s="1"/>
  <c r="M372" i="6"/>
  <c r="N372" i="6" s="1"/>
  <c r="M373" i="6"/>
  <c r="N373" i="6" s="1"/>
  <c r="M374" i="6"/>
  <c r="N374" i="6" s="1"/>
  <c r="M375" i="6"/>
  <c r="N375" i="6" s="1"/>
  <c r="M376" i="6"/>
  <c r="N376" i="6" s="1"/>
  <c r="M377" i="6"/>
  <c r="N377" i="6" s="1"/>
  <c r="M378" i="6"/>
  <c r="N378" i="6" s="1"/>
  <c r="M379" i="6"/>
  <c r="N379" i="6" s="1"/>
  <c r="M380" i="6"/>
  <c r="N380" i="6" s="1"/>
  <c r="M381" i="6"/>
  <c r="N381" i="6" s="1"/>
  <c r="M382" i="6"/>
  <c r="N382" i="6" s="1"/>
  <c r="M383" i="6"/>
  <c r="N383" i="6" s="1"/>
  <c r="M384" i="6"/>
  <c r="N384" i="6" s="1"/>
  <c r="M385" i="6"/>
  <c r="N385" i="6" s="1"/>
  <c r="M386" i="6"/>
  <c r="N386" i="6" s="1"/>
  <c r="M387" i="6"/>
  <c r="N387" i="6" s="1"/>
  <c r="M388" i="6"/>
  <c r="N388" i="6" s="1"/>
  <c r="M389" i="6"/>
  <c r="N389" i="6" s="1"/>
  <c r="M390" i="6"/>
  <c r="N390" i="6" s="1"/>
  <c r="M391" i="6"/>
  <c r="N391" i="6" s="1"/>
  <c r="M392" i="6"/>
  <c r="N392" i="6" s="1"/>
  <c r="M393" i="6"/>
  <c r="N393" i="6" s="1"/>
  <c r="M394" i="6"/>
  <c r="N394" i="6" s="1"/>
  <c r="M395" i="6"/>
  <c r="N395" i="6" s="1"/>
  <c r="M396" i="6"/>
  <c r="N396" i="6" s="1"/>
  <c r="M397" i="6"/>
  <c r="N397" i="6" s="1"/>
  <c r="M398" i="6"/>
  <c r="N398" i="6" s="1"/>
  <c r="M399" i="6"/>
  <c r="N399" i="6" s="1"/>
  <c r="M400" i="6"/>
  <c r="N400" i="6" s="1"/>
  <c r="M401" i="6"/>
  <c r="N401" i="6" s="1"/>
  <c r="M402" i="6"/>
  <c r="N402" i="6" s="1"/>
  <c r="M403" i="6"/>
  <c r="N403" i="6" s="1"/>
  <c r="M404" i="6"/>
  <c r="N404" i="6" s="1"/>
  <c r="M405" i="6"/>
  <c r="N405" i="6" s="1"/>
  <c r="M406" i="6"/>
  <c r="N406" i="6" s="1"/>
  <c r="M407" i="6"/>
  <c r="N407" i="6" s="1"/>
  <c r="M408" i="6"/>
  <c r="N408" i="6" s="1"/>
  <c r="M409" i="6"/>
  <c r="N409" i="6" s="1"/>
  <c r="M410" i="6"/>
  <c r="N410" i="6" s="1"/>
  <c r="M411" i="6"/>
  <c r="N411" i="6" s="1"/>
  <c r="M412" i="6"/>
  <c r="N412" i="6" s="1"/>
  <c r="M413" i="6"/>
  <c r="N413" i="6" s="1"/>
  <c r="M414" i="6"/>
  <c r="N414" i="6" s="1"/>
  <c r="M415" i="6"/>
  <c r="N415" i="6" s="1"/>
  <c r="M416" i="6"/>
  <c r="N416" i="6" s="1"/>
  <c r="M417" i="6"/>
  <c r="N417" i="6" s="1"/>
  <c r="M418" i="6"/>
  <c r="N418" i="6" s="1"/>
  <c r="M419" i="6"/>
  <c r="N419" i="6" s="1"/>
  <c r="M420" i="6"/>
  <c r="N420" i="6" s="1"/>
  <c r="M421" i="6"/>
  <c r="N421" i="6" s="1"/>
  <c r="M422" i="6"/>
  <c r="N422" i="6" s="1"/>
  <c r="M423" i="6"/>
  <c r="N423" i="6" s="1"/>
  <c r="M424" i="6"/>
  <c r="N424" i="6" s="1"/>
  <c r="M425" i="6"/>
  <c r="N425" i="6" s="1"/>
  <c r="M426" i="6"/>
  <c r="N426" i="6" s="1"/>
  <c r="M427" i="6"/>
  <c r="N427" i="6" s="1"/>
  <c r="M428" i="6"/>
  <c r="N428" i="6" s="1"/>
  <c r="M429" i="6"/>
  <c r="N429" i="6" s="1"/>
  <c r="M430" i="6"/>
  <c r="N430" i="6" s="1"/>
  <c r="M431" i="6"/>
  <c r="N431" i="6" s="1"/>
  <c r="M432" i="6"/>
  <c r="N432" i="6" s="1"/>
  <c r="M433" i="6"/>
  <c r="N433" i="6" s="1"/>
  <c r="M434" i="6"/>
  <c r="N434" i="6" s="1"/>
  <c r="M435" i="6"/>
  <c r="N435" i="6" s="1"/>
  <c r="M436" i="6"/>
  <c r="N436" i="6" s="1"/>
  <c r="M437" i="6"/>
  <c r="N437" i="6" s="1"/>
  <c r="M438" i="6"/>
  <c r="N438" i="6" s="1"/>
  <c r="M439" i="6"/>
  <c r="N439" i="6" s="1"/>
  <c r="M440" i="6"/>
  <c r="N440" i="6" s="1"/>
  <c r="M441" i="6"/>
  <c r="N441" i="6" s="1"/>
  <c r="M442" i="6"/>
  <c r="N442" i="6" s="1"/>
  <c r="M443" i="6"/>
  <c r="N443" i="6" s="1"/>
  <c r="M444" i="6"/>
  <c r="N444" i="6" s="1"/>
  <c r="M445" i="6"/>
  <c r="N445" i="6" s="1"/>
  <c r="M446" i="6"/>
  <c r="N446" i="6" s="1"/>
  <c r="M447" i="6"/>
  <c r="N447" i="6" s="1"/>
  <c r="M448" i="6"/>
  <c r="N448" i="6" s="1"/>
  <c r="M449" i="6"/>
  <c r="N449" i="6" s="1"/>
  <c r="M450" i="6"/>
  <c r="N450" i="6" s="1"/>
  <c r="M451" i="6"/>
  <c r="N451" i="6" s="1"/>
  <c r="M452" i="6"/>
  <c r="N452" i="6" s="1"/>
  <c r="M453" i="6"/>
  <c r="N453" i="6" s="1"/>
  <c r="M454" i="6"/>
  <c r="N454" i="6" s="1"/>
  <c r="M455" i="6"/>
  <c r="N455" i="6" s="1"/>
  <c r="M456" i="6"/>
  <c r="N456" i="6" s="1"/>
  <c r="M457" i="6"/>
  <c r="N457" i="6" s="1"/>
  <c r="M458" i="6"/>
  <c r="N458" i="6" s="1"/>
  <c r="M459" i="6"/>
  <c r="N459" i="6" s="1"/>
  <c r="M460" i="6"/>
  <c r="N460" i="6" s="1"/>
  <c r="M461" i="6"/>
  <c r="N461" i="6" s="1"/>
  <c r="M462" i="6"/>
  <c r="N462" i="6" s="1"/>
  <c r="M463" i="6"/>
  <c r="N463" i="6" s="1"/>
  <c r="M464" i="6"/>
  <c r="N464" i="6" s="1"/>
  <c r="M465" i="6"/>
  <c r="N465" i="6" s="1"/>
  <c r="M466" i="6"/>
  <c r="N466" i="6" s="1"/>
  <c r="M467" i="6"/>
  <c r="N467" i="6" s="1"/>
  <c r="M468" i="6"/>
  <c r="N468" i="6" s="1"/>
  <c r="M469" i="6"/>
  <c r="N469" i="6" s="1"/>
  <c r="M470" i="6"/>
  <c r="N470" i="6" s="1"/>
  <c r="M472" i="6"/>
  <c r="N472" i="6" s="1"/>
  <c r="M475" i="6"/>
  <c r="N475" i="6" s="1"/>
  <c r="M478" i="6"/>
  <c r="N478" i="6" s="1"/>
  <c r="M481" i="6"/>
  <c r="N481" i="6" s="1"/>
  <c r="M483" i="6"/>
  <c r="N483" i="6" s="1"/>
  <c r="M486" i="6"/>
  <c r="N486" i="6" s="1"/>
  <c r="M488" i="6"/>
  <c r="N488" i="6" s="1"/>
  <c r="M491" i="6"/>
  <c r="N491" i="6" s="1"/>
  <c r="M494" i="6"/>
  <c r="N494" i="6" s="1"/>
  <c r="M497" i="6"/>
  <c r="N497" i="6" s="1"/>
  <c r="M499" i="6"/>
  <c r="N499" i="6" s="1"/>
  <c r="M502" i="6"/>
  <c r="N502" i="6" s="1"/>
  <c r="M505" i="6"/>
  <c r="N505" i="6" s="1"/>
  <c r="M508" i="6"/>
  <c r="N508" i="6" s="1"/>
  <c r="M511" i="6"/>
  <c r="N511" i="6" s="1"/>
  <c r="A17" i="1"/>
  <c r="E17" i="1"/>
  <c r="L17" i="1"/>
  <c r="G17" i="1"/>
  <c r="J17" i="1"/>
  <c r="D17" i="1"/>
  <c r="I17" i="1"/>
  <c r="H17" i="1"/>
  <c r="C17" i="1"/>
  <c r="F17" i="1"/>
  <c r="K17" i="1"/>
  <c r="B17" i="1"/>
  <c r="I25" i="1"/>
  <c r="F25" i="1"/>
  <c r="E25" i="1"/>
  <c r="L25" i="1"/>
  <c r="H25" i="1"/>
  <c r="J25" i="1"/>
  <c r="A25" i="1"/>
  <c r="B25" i="1"/>
  <c r="K25" i="1"/>
  <c r="C25" i="1"/>
  <c r="D25" i="1"/>
  <c r="G25" i="1"/>
  <c r="B27" i="1"/>
  <c r="G27" i="1"/>
  <c r="J27" i="1"/>
  <c r="F27" i="1"/>
  <c r="K27" i="1"/>
  <c r="I27" i="1"/>
  <c r="A27" i="1"/>
  <c r="C27" i="1"/>
  <c r="L27" i="1"/>
  <c r="D27" i="1"/>
  <c r="E27" i="1"/>
  <c r="H27" i="1"/>
  <c r="B32" i="1"/>
  <c r="H32" i="1"/>
  <c r="E32" i="1"/>
  <c r="C32" i="1"/>
  <c r="D32" i="1"/>
  <c r="I32" i="1"/>
  <c r="L32" i="1"/>
  <c r="A32" i="1"/>
  <c r="K32" i="1"/>
  <c r="G32" i="1"/>
  <c r="J32" i="1"/>
  <c r="F32" i="1"/>
  <c r="G33" i="1"/>
  <c r="J33" i="1"/>
  <c r="H33" i="1"/>
  <c r="C33" i="1"/>
  <c r="E33" i="1"/>
  <c r="L33" i="1"/>
  <c r="B33" i="1"/>
  <c r="I33" i="1"/>
  <c r="D33" i="1"/>
  <c r="F33" i="1"/>
  <c r="K33" i="1"/>
  <c r="A33" i="1"/>
  <c r="A18" i="1"/>
  <c r="L18" i="1"/>
  <c r="J18" i="1"/>
  <c r="G18" i="1"/>
  <c r="H18" i="1"/>
  <c r="D18" i="1"/>
  <c r="K18" i="1"/>
  <c r="E18" i="1"/>
  <c r="I18" i="1"/>
  <c r="B18" i="1"/>
  <c r="C18" i="1"/>
  <c r="F18" i="1"/>
  <c r="A20" i="1"/>
  <c r="B20" i="1"/>
  <c r="G20" i="1"/>
  <c r="C20" i="1"/>
  <c r="F20" i="1"/>
  <c r="K20" i="1"/>
  <c r="E20" i="1"/>
  <c r="I20" i="1"/>
  <c r="L20" i="1"/>
  <c r="D20" i="1"/>
  <c r="J20" i="1"/>
  <c r="H20" i="1"/>
  <c r="I35" i="1"/>
  <c r="C35" i="1"/>
  <c r="H35" i="1"/>
  <c r="J35" i="1"/>
  <c r="F35" i="1"/>
  <c r="L35" i="1"/>
  <c r="A35" i="1"/>
  <c r="K35" i="1"/>
  <c r="E35" i="1"/>
  <c r="B35" i="1"/>
  <c r="D35" i="1"/>
  <c r="G35" i="1"/>
  <c r="D22" i="1"/>
  <c r="J22" i="1"/>
  <c r="B22" i="1"/>
  <c r="L22" i="1"/>
  <c r="C22" i="1"/>
  <c r="H22" i="1"/>
  <c r="K22" i="1"/>
  <c r="F22" i="1"/>
  <c r="A22" i="1"/>
  <c r="G22" i="1"/>
  <c r="E22" i="1"/>
  <c r="I22" i="1"/>
  <c r="G37" i="1"/>
  <c r="A37" i="1"/>
  <c r="D37" i="1"/>
  <c r="F37" i="1"/>
  <c r="H37" i="1"/>
  <c r="I37" i="1"/>
  <c r="K37" i="1"/>
  <c r="E37" i="1"/>
  <c r="L37" i="1"/>
  <c r="C37" i="1"/>
  <c r="J37" i="1"/>
  <c r="B37" i="1"/>
  <c r="J23" i="1"/>
  <c r="B23" i="1"/>
  <c r="L23" i="1"/>
  <c r="F23" i="1"/>
  <c r="D23" i="1"/>
  <c r="H23" i="1"/>
  <c r="C23" i="1"/>
  <c r="G23" i="1"/>
  <c r="K23" i="1"/>
  <c r="A23" i="1"/>
  <c r="E23" i="1"/>
  <c r="I23" i="1"/>
  <c r="D24" i="1"/>
  <c r="E24" i="1"/>
  <c r="F24" i="1"/>
  <c r="H24" i="1"/>
  <c r="J24" i="1"/>
  <c r="L24" i="1"/>
  <c r="B24" i="1"/>
  <c r="K24" i="1"/>
  <c r="A24" i="1"/>
  <c r="I24" i="1"/>
  <c r="C24" i="1"/>
  <c r="G24" i="1"/>
  <c r="B34" i="1"/>
  <c r="D34" i="1"/>
  <c r="G34" i="1"/>
  <c r="I34" i="1"/>
  <c r="L34" i="1"/>
  <c r="C34" i="1"/>
  <c r="F34" i="1"/>
  <c r="E34" i="1"/>
  <c r="H34" i="1"/>
  <c r="J34" i="1"/>
  <c r="K34" i="1"/>
  <c r="A34" i="1"/>
  <c r="K16" i="1"/>
  <c r="A16" i="1"/>
  <c r="E16" i="1"/>
  <c r="J16" i="1"/>
  <c r="C16" i="1"/>
  <c r="F16" i="1"/>
  <c r="H16" i="1"/>
  <c r="I16" i="1"/>
  <c r="L16" i="1"/>
  <c r="B16" i="1"/>
  <c r="D16" i="1"/>
  <c r="G16" i="1"/>
  <c r="I15" i="1"/>
  <c r="L15" i="1"/>
  <c r="A15" i="1"/>
  <c r="C15" i="1"/>
  <c r="E15" i="1"/>
  <c r="K15" i="1"/>
  <c r="G15" i="1"/>
  <c r="J15" i="1"/>
  <c r="B15" i="1"/>
  <c r="D15" i="1"/>
  <c r="F15" i="1"/>
  <c r="H15" i="1"/>
  <c r="H26" i="1"/>
  <c r="C26" i="1"/>
  <c r="A26" i="1"/>
  <c r="B26" i="1"/>
  <c r="G26" i="1"/>
  <c r="J26" i="1"/>
  <c r="K26" i="1"/>
  <c r="D26" i="1"/>
  <c r="E26" i="1"/>
  <c r="F26" i="1"/>
  <c r="L26" i="1"/>
  <c r="I26" i="1"/>
  <c r="K13" i="1"/>
  <c r="B13" i="1"/>
  <c r="H13" i="1"/>
  <c r="D13" i="1"/>
  <c r="G13" i="1"/>
  <c r="L13" i="1"/>
  <c r="F13" i="1"/>
  <c r="J13" i="1"/>
  <c r="C13" i="1"/>
  <c r="I13" i="1"/>
  <c r="A13" i="1"/>
  <c r="E13" i="1"/>
  <c r="A14" i="1"/>
  <c r="G14" i="1"/>
  <c r="J14" i="1"/>
  <c r="L14" i="1"/>
  <c r="B14" i="1"/>
  <c r="C14" i="1"/>
  <c r="K14" i="1"/>
  <c r="E14" i="1"/>
  <c r="F14" i="1"/>
  <c r="D14" i="1"/>
  <c r="H14" i="1"/>
  <c r="I14" i="1"/>
  <c r="K19" i="1"/>
  <c r="F19" i="1"/>
  <c r="I19" i="1"/>
  <c r="D19" i="1"/>
  <c r="B19" i="1"/>
  <c r="E19" i="1"/>
  <c r="L19" i="1"/>
  <c r="J19" i="1"/>
  <c r="H19" i="1"/>
  <c r="C19" i="1"/>
  <c r="A19" i="1"/>
  <c r="G19" i="1"/>
  <c r="B28" i="1"/>
  <c r="E28" i="1"/>
  <c r="G28" i="1"/>
  <c r="H28" i="1"/>
  <c r="L28" i="1"/>
  <c r="D28" i="1"/>
  <c r="C28" i="1"/>
  <c r="K28" i="1"/>
  <c r="F28" i="1"/>
  <c r="A28" i="1"/>
  <c r="I28" i="1"/>
  <c r="J28" i="1"/>
  <c r="E29" i="1"/>
  <c r="H29" i="1"/>
  <c r="I29" i="1"/>
  <c r="B29" i="1"/>
  <c r="A29" i="1"/>
  <c r="C29" i="1"/>
  <c r="K29" i="1"/>
  <c r="L29" i="1"/>
  <c r="D29" i="1"/>
  <c r="J29" i="1"/>
  <c r="F29" i="1"/>
  <c r="G29" i="1"/>
  <c r="H30" i="1"/>
  <c r="G30" i="1"/>
  <c r="D30" i="1"/>
  <c r="F30" i="1"/>
  <c r="K30" i="1"/>
  <c r="L30" i="1"/>
  <c r="A30" i="1"/>
  <c r="C30" i="1"/>
  <c r="E30" i="1"/>
  <c r="I30" i="1"/>
  <c r="B30" i="1"/>
  <c r="J30" i="1"/>
  <c r="J31" i="1"/>
  <c r="H31" i="1"/>
  <c r="A31" i="1"/>
  <c r="K31" i="1"/>
  <c r="C31" i="1"/>
  <c r="E31" i="1"/>
  <c r="F31" i="1"/>
  <c r="B31" i="1"/>
  <c r="G31" i="1"/>
  <c r="I31" i="1"/>
  <c r="L31" i="1"/>
  <c r="D31" i="1"/>
  <c r="C36" i="1"/>
  <c r="B36" i="1"/>
  <c r="F36" i="1"/>
  <c r="L36" i="1"/>
  <c r="A36" i="1"/>
  <c r="D36" i="1"/>
  <c r="H36" i="1"/>
  <c r="G36" i="1"/>
  <c r="I36" i="1"/>
  <c r="J36" i="1"/>
  <c r="K36" i="1"/>
  <c r="E36" i="1"/>
  <c r="A21" i="1"/>
  <c r="C21" i="1"/>
  <c r="K21" i="1"/>
  <c r="E21" i="1"/>
  <c r="H21" i="1"/>
  <c r="B21" i="1"/>
  <c r="F21" i="1"/>
  <c r="L21" i="1"/>
  <c r="I21" i="1"/>
  <c r="D21" i="1"/>
  <c r="G21" i="1"/>
  <c r="J21" i="1"/>
  <c r="B29" i="2"/>
  <c r="C29" i="2"/>
  <c r="F29" i="2"/>
  <c r="H29" i="2"/>
  <c r="J29" i="2"/>
  <c r="K29" i="2"/>
  <c r="E29" i="2"/>
  <c r="A29" i="2"/>
  <c r="D29" i="2"/>
  <c r="G29" i="2"/>
  <c r="I29" i="2"/>
  <c r="C25" i="2"/>
  <c r="H25" i="2"/>
  <c r="A25" i="2"/>
  <c r="D25" i="2"/>
  <c r="F25" i="2"/>
  <c r="G25" i="2"/>
  <c r="I25" i="2"/>
  <c r="J25" i="2"/>
  <c r="K25" i="2"/>
  <c r="B25" i="2"/>
  <c r="E25" i="2"/>
  <c r="B23" i="2"/>
  <c r="F23" i="2"/>
  <c r="H23" i="2"/>
  <c r="K23" i="2"/>
  <c r="C23" i="2"/>
  <c r="E23" i="2"/>
  <c r="G23" i="2"/>
  <c r="I23" i="2"/>
  <c r="J23" i="2"/>
  <c r="A23" i="2"/>
  <c r="D23" i="2"/>
  <c r="A18" i="2"/>
  <c r="G18" i="2"/>
  <c r="I18" i="2"/>
  <c r="C18" i="2"/>
  <c r="F18" i="2"/>
  <c r="J18" i="2"/>
  <c r="B18" i="2"/>
  <c r="D18" i="2"/>
  <c r="E18" i="2"/>
  <c r="H18" i="2"/>
  <c r="K18" i="2"/>
  <c r="B16" i="2"/>
  <c r="E16" i="2"/>
  <c r="I16" i="2"/>
  <c r="F16" i="2"/>
  <c r="K16" i="2"/>
  <c r="A16" i="2"/>
  <c r="D16" i="2"/>
  <c r="G16" i="2"/>
  <c r="H16" i="2"/>
  <c r="J16" i="2"/>
  <c r="C16" i="2"/>
  <c r="B30" i="2"/>
  <c r="E30" i="2"/>
  <c r="H30" i="2"/>
  <c r="J30" i="2"/>
  <c r="A30" i="2"/>
  <c r="C30" i="2"/>
  <c r="D30" i="2"/>
  <c r="F30" i="2"/>
  <c r="G30" i="2"/>
  <c r="I30" i="2"/>
  <c r="K30" i="2"/>
  <c r="B22" i="2"/>
  <c r="F22" i="2"/>
  <c r="G22" i="2"/>
  <c r="I22" i="2"/>
  <c r="J22" i="2"/>
  <c r="D22" i="2"/>
  <c r="H22" i="2"/>
  <c r="K22" i="2"/>
  <c r="A22" i="2"/>
  <c r="C22" i="2"/>
  <c r="E22" i="2"/>
  <c r="D20" i="2"/>
  <c r="H20" i="2"/>
  <c r="K20" i="2"/>
  <c r="F20" i="2"/>
  <c r="J20" i="2"/>
  <c r="A20" i="2"/>
  <c r="C20" i="2"/>
  <c r="I20" i="2"/>
  <c r="B20" i="2"/>
  <c r="E20" i="2"/>
  <c r="G20" i="2"/>
  <c r="H19" i="2"/>
  <c r="J19" i="2"/>
  <c r="D19" i="2"/>
  <c r="G19" i="2"/>
  <c r="K19" i="2"/>
  <c r="B19" i="2"/>
  <c r="E19" i="2"/>
  <c r="I19" i="2"/>
  <c r="A19" i="2"/>
  <c r="C19" i="2"/>
  <c r="F19" i="2"/>
  <c r="C27" i="2"/>
  <c r="F27" i="2"/>
  <c r="I27" i="2"/>
  <c r="K27" i="2"/>
  <c r="A27" i="2"/>
  <c r="D27" i="2"/>
  <c r="G27" i="2"/>
  <c r="J27" i="2"/>
  <c r="B27" i="2"/>
  <c r="E27" i="2"/>
  <c r="H27" i="2"/>
  <c r="A24" i="2"/>
  <c r="D24" i="2"/>
  <c r="F24" i="2"/>
  <c r="H24" i="2"/>
  <c r="K24" i="2"/>
  <c r="B24" i="2"/>
  <c r="E24" i="2"/>
  <c r="G24" i="2"/>
  <c r="I24" i="2"/>
  <c r="J24" i="2"/>
  <c r="C24" i="2"/>
  <c r="C21" i="2"/>
  <c r="D21" i="2"/>
  <c r="H21" i="2"/>
  <c r="K21" i="2"/>
  <c r="A21" i="2"/>
  <c r="E21" i="2"/>
  <c r="G21" i="2"/>
  <c r="J21" i="2"/>
  <c r="B21" i="2"/>
  <c r="F21" i="2"/>
  <c r="I21" i="2"/>
  <c r="A15" i="2"/>
  <c r="B15" i="2"/>
  <c r="D15" i="2"/>
  <c r="E15" i="2"/>
  <c r="G15" i="2"/>
  <c r="I15" i="2"/>
  <c r="K15" i="2"/>
  <c r="C15" i="2"/>
  <c r="F15" i="2"/>
  <c r="J15" i="2"/>
  <c r="H15" i="2"/>
  <c r="C14" i="2"/>
  <c r="F14" i="2"/>
  <c r="H14" i="2"/>
  <c r="J14" i="2"/>
  <c r="B14" i="2"/>
  <c r="D14" i="2"/>
  <c r="G14" i="2"/>
  <c r="K14" i="2"/>
  <c r="A14" i="2"/>
  <c r="E14" i="2"/>
  <c r="I14" i="2"/>
  <c r="D13" i="2"/>
  <c r="H13" i="2"/>
  <c r="E13" i="2"/>
  <c r="A13" i="2"/>
  <c r="B13" i="2"/>
  <c r="C13" i="2"/>
  <c r="G13" i="2"/>
  <c r="I13" i="2"/>
  <c r="J13" i="2"/>
  <c r="F13" i="2"/>
  <c r="K13" i="2"/>
  <c r="A12" i="2"/>
  <c r="G12" i="2"/>
  <c r="C12" i="2"/>
  <c r="K12" i="2"/>
  <c r="E12" i="2"/>
  <c r="F12" i="2"/>
  <c r="B12" i="2"/>
  <c r="J12" i="2"/>
  <c r="D12" i="2"/>
  <c r="H12" i="2"/>
  <c r="I12" i="2"/>
  <c r="A17" i="2"/>
  <c r="D17" i="2"/>
  <c r="B17" i="2"/>
  <c r="F17" i="2"/>
  <c r="I17" i="2"/>
  <c r="C17" i="2"/>
  <c r="E17" i="2"/>
  <c r="H17" i="2"/>
  <c r="J17" i="2"/>
  <c r="K17" i="2"/>
  <c r="G17" i="2"/>
  <c r="B28" i="2"/>
  <c r="E28" i="2"/>
  <c r="J28" i="2"/>
  <c r="A28" i="2"/>
  <c r="C28" i="2"/>
  <c r="F28" i="2"/>
  <c r="G28" i="2"/>
  <c r="H28" i="2"/>
  <c r="K28" i="2"/>
  <c r="D28" i="2"/>
  <c r="I28" i="2"/>
  <c r="A26" i="2"/>
  <c r="B26" i="2"/>
  <c r="C26" i="2"/>
  <c r="E26" i="2"/>
  <c r="G26" i="2"/>
  <c r="H26" i="2"/>
  <c r="J26" i="2"/>
  <c r="K26" i="2"/>
  <c r="D26" i="2"/>
  <c r="F26" i="2"/>
  <c r="I26" i="2"/>
  <c r="E11" i="2"/>
  <c r="K11" i="2"/>
  <c r="A11" i="2"/>
  <c r="H11" i="2"/>
  <c r="D11" i="2"/>
  <c r="G11" i="2"/>
  <c r="I11" i="2"/>
  <c r="J11" i="2"/>
  <c r="C11" i="2"/>
  <c r="F11" i="2"/>
  <c r="B11" i="2"/>
  <c r="H8" i="1" l="1"/>
  <c r="C256" i="6"/>
  <c r="I256" i="6"/>
  <c r="D256" i="6"/>
  <c r="E255" i="6"/>
  <c r="L255" i="6"/>
  <c r="F255" i="6"/>
  <c r="H255" i="6"/>
  <c r="D253" i="6"/>
  <c r="K253" i="6"/>
  <c r="J253" i="6"/>
  <c r="E251" i="6"/>
  <c r="F251" i="6"/>
  <c r="I251" i="6"/>
  <c r="E249" i="6"/>
  <c r="J249" i="6"/>
  <c r="F249" i="6"/>
  <c r="C247" i="6"/>
  <c r="A242" i="6"/>
  <c r="D242" i="6"/>
  <c r="G242" i="6"/>
  <c r="D241" i="6"/>
  <c r="H239" i="6"/>
  <c r="B236" i="6"/>
  <c r="L236" i="6"/>
  <c r="F235" i="6"/>
  <c r="D235" i="6"/>
  <c r="I231" i="6"/>
  <c r="D228" i="6"/>
  <c r="A234" i="6"/>
  <c r="F230" i="6"/>
  <c r="L220" i="6"/>
  <c r="H501" i="6"/>
  <c r="G409" i="6"/>
  <c r="A240" i="6"/>
  <c r="D240" i="6"/>
  <c r="F240" i="6"/>
  <c r="H240" i="6"/>
  <c r="K240" i="6"/>
  <c r="L240" i="6"/>
  <c r="B240" i="6"/>
  <c r="C240" i="6"/>
  <c r="E240" i="6"/>
  <c r="G240" i="6"/>
  <c r="I240" i="6"/>
  <c r="J240" i="6"/>
  <c r="A229" i="6"/>
  <c r="C229" i="6"/>
  <c r="G229" i="6"/>
  <c r="J229" i="6"/>
  <c r="L229" i="6"/>
  <c r="B229" i="6"/>
  <c r="D229" i="6"/>
  <c r="E229" i="6"/>
  <c r="F229" i="6"/>
  <c r="H229" i="6"/>
  <c r="I229" i="6"/>
  <c r="K229" i="6"/>
  <c r="A66" i="6"/>
  <c r="I66" i="6"/>
  <c r="L66" i="6"/>
  <c r="B66" i="6"/>
  <c r="E66" i="6"/>
  <c r="G66" i="6"/>
  <c r="J66" i="6"/>
  <c r="D66" i="6"/>
  <c r="F66" i="6"/>
  <c r="H66" i="6"/>
  <c r="K66" i="6"/>
  <c r="C66" i="6"/>
  <c r="B62" i="6"/>
  <c r="F62" i="6"/>
  <c r="C62" i="6"/>
  <c r="E62" i="6"/>
  <c r="H62" i="6"/>
  <c r="A62" i="6"/>
  <c r="D62" i="6"/>
  <c r="G62" i="6"/>
  <c r="I62" i="6"/>
  <c r="J62" i="6"/>
  <c r="K62" i="6"/>
  <c r="L62" i="6"/>
  <c r="D51" i="6"/>
  <c r="J51" i="6"/>
  <c r="C51" i="6"/>
  <c r="E51" i="6"/>
  <c r="I51" i="6"/>
  <c r="K51" i="6"/>
  <c r="L51" i="6"/>
  <c r="B51" i="6"/>
  <c r="F51" i="6"/>
  <c r="H51" i="6"/>
  <c r="A51" i="6"/>
  <c r="G51" i="6"/>
  <c r="B48" i="6"/>
  <c r="K48" i="6"/>
  <c r="D48" i="6"/>
  <c r="F48" i="6"/>
  <c r="I48" i="6"/>
  <c r="L48" i="6"/>
  <c r="A48" i="6"/>
  <c r="C48" i="6"/>
  <c r="E48" i="6"/>
  <c r="H48" i="6"/>
  <c r="J48" i="6"/>
  <c r="G48" i="6"/>
  <c r="E47" i="6"/>
  <c r="K47" i="6"/>
  <c r="A47" i="6"/>
  <c r="D47" i="6"/>
  <c r="H47" i="6"/>
  <c r="J47" i="6"/>
  <c r="L47" i="6"/>
  <c r="C47" i="6"/>
  <c r="G47" i="6"/>
  <c r="I47" i="6"/>
  <c r="B47" i="6"/>
  <c r="F47" i="6"/>
  <c r="A40" i="6"/>
  <c r="E40" i="6"/>
  <c r="J40" i="6"/>
  <c r="C40" i="6"/>
  <c r="D40" i="6"/>
  <c r="G40" i="6"/>
  <c r="I40" i="6"/>
  <c r="B40" i="6"/>
  <c r="H40" i="6"/>
  <c r="K40" i="6"/>
  <c r="L40" i="6"/>
  <c r="F40" i="6"/>
  <c r="B38" i="6"/>
  <c r="F38" i="6"/>
  <c r="J38" i="6"/>
  <c r="L38" i="6"/>
  <c r="G38" i="6"/>
  <c r="C38" i="6"/>
  <c r="E38" i="6"/>
  <c r="I38" i="6"/>
  <c r="K38" i="6"/>
  <c r="A38" i="6"/>
  <c r="D38" i="6"/>
  <c r="H38" i="6"/>
  <c r="C36" i="6"/>
  <c r="H36" i="6"/>
  <c r="B36" i="6"/>
  <c r="F36" i="6"/>
  <c r="J36" i="6"/>
  <c r="L36" i="6"/>
  <c r="A36" i="6"/>
  <c r="D36" i="6"/>
  <c r="G36" i="6"/>
  <c r="I36" i="6"/>
  <c r="K36" i="6"/>
  <c r="E36" i="6"/>
  <c r="G35" i="6"/>
  <c r="C35" i="6"/>
  <c r="E35" i="6"/>
  <c r="H35" i="6"/>
  <c r="J35" i="6"/>
  <c r="A35" i="6"/>
  <c r="F35" i="6"/>
  <c r="I35" i="6"/>
  <c r="K35" i="6"/>
  <c r="L35" i="6"/>
  <c r="B35" i="6"/>
  <c r="D35" i="6"/>
  <c r="A34" i="6"/>
  <c r="G34" i="6"/>
  <c r="K34" i="6"/>
  <c r="L34" i="6"/>
  <c r="D34" i="6"/>
  <c r="F34" i="6"/>
  <c r="C34" i="6"/>
  <c r="E34" i="6"/>
  <c r="H34" i="6"/>
  <c r="J34" i="6"/>
  <c r="B34" i="6"/>
  <c r="I34" i="6"/>
  <c r="G27" i="6"/>
  <c r="K27" i="6"/>
  <c r="D27" i="6"/>
  <c r="F27" i="6"/>
  <c r="I27" i="6"/>
  <c r="L27" i="6"/>
  <c r="B27" i="6"/>
  <c r="C27" i="6"/>
  <c r="E27" i="6"/>
  <c r="H27" i="6"/>
  <c r="J27" i="6"/>
  <c r="A27" i="6"/>
  <c r="A512" i="6"/>
  <c r="B512" i="6"/>
  <c r="C512" i="6"/>
  <c r="D512" i="6"/>
  <c r="E512" i="6"/>
  <c r="F512" i="6"/>
  <c r="G512" i="6"/>
  <c r="H512" i="6"/>
  <c r="I512" i="6"/>
  <c r="J512" i="6"/>
  <c r="K512" i="6"/>
  <c r="L512" i="6"/>
  <c r="A511" i="6"/>
  <c r="B511" i="6"/>
  <c r="C511" i="6"/>
  <c r="D511" i="6"/>
  <c r="E511" i="6"/>
  <c r="H511" i="6"/>
  <c r="K511" i="6"/>
  <c r="C510" i="6"/>
  <c r="E510" i="6"/>
  <c r="H510" i="6"/>
  <c r="K510" i="6"/>
  <c r="B509" i="6"/>
  <c r="E509" i="6"/>
  <c r="G509" i="6"/>
  <c r="J509" i="6"/>
  <c r="L509" i="6"/>
  <c r="A508" i="6"/>
  <c r="A263" i="6"/>
  <c r="G263" i="6"/>
  <c r="A262" i="6"/>
  <c r="L262" i="6"/>
  <c r="G259" i="6"/>
  <c r="A259" i="6"/>
  <c r="I259" i="6"/>
  <c r="F257" i="6"/>
  <c r="D257" i="6"/>
  <c r="A256" i="6"/>
  <c r="F256" i="6"/>
  <c r="I255" i="6"/>
  <c r="B253" i="6"/>
  <c r="G251" i="6"/>
  <c r="C249" i="6"/>
  <c r="B249" i="6"/>
  <c r="F247" i="6"/>
  <c r="D247" i="6"/>
  <c r="I247" i="6"/>
  <c r="J242" i="6"/>
  <c r="C242" i="6"/>
  <c r="E241" i="6"/>
  <c r="B241" i="6"/>
  <c r="F241" i="6"/>
  <c r="C239" i="6"/>
  <c r="D239" i="6"/>
  <c r="G239" i="6"/>
  <c r="K239" i="6"/>
  <c r="D236" i="6"/>
  <c r="G236" i="6"/>
  <c r="C236" i="6"/>
  <c r="E235" i="6"/>
  <c r="L235" i="6"/>
  <c r="K235" i="6"/>
  <c r="A231" i="6"/>
  <c r="G231" i="6"/>
  <c r="H231" i="6"/>
  <c r="C231" i="6"/>
  <c r="J228" i="6"/>
  <c r="E228" i="6"/>
  <c r="K228" i="6"/>
  <c r="I228" i="6"/>
  <c r="G70" i="6"/>
  <c r="H70" i="6"/>
  <c r="L70" i="6"/>
  <c r="D233" i="6"/>
  <c r="C232" i="6"/>
  <c r="I230" i="6"/>
  <c r="G67" i="6"/>
  <c r="A220" i="6"/>
  <c r="F100" i="6"/>
  <c r="C94" i="6"/>
  <c r="G93" i="6"/>
  <c r="F92" i="6"/>
  <c r="K90" i="6"/>
  <c r="B89" i="6"/>
  <c r="B486" i="6"/>
  <c r="G462" i="6"/>
  <c r="I456" i="6"/>
  <c r="I405" i="6"/>
  <c r="I74" i="6"/>
  <c r="K57" i="6"/>
  <c r="B120" i="6"/>
  <c r="F507" i="6"/>
  <c r="E508" i="6"/>
  <c r="J508" i="6"/>
  <c r="L508" i="6"/>
  <c r="C507" i="6"/>
  <c r="L507" i="6"/>
  <c r="C506" i="6"/>
  <c r="J506" i="6"/>
  <c r="A505" i="6"/>
  <c r="H505" i="6"/>
  <c r="L505" i="6"/>
  <c r="I504" i="6"/>
  <c r="A503" i="6"/>
  <c r="F503" i="6"/>
  <c r="K502" i="6"/>
  <c r="B501" i="6"/>
  <c r="C501" i="6"/>
  <c r="I501" i="6"/>
  <c r="B487" i="6"/>
  <c r="K487" i="6"/>
  <c r="G486" i="6"/>
  <c r="I486" i="6"/>
  <c r="L486" i="6"/>
  <c r="F484" i="6"/>
  <c r="B483" i="6"/>
  <c r="D483" i="6"/>
  <c r="G483" i="6"/>
  <c r="G482" i="6"/>
  <c r="D481" i="6"/>
  <c r="F481" i="6"/>
  <c r="L481" i="6"/>
  <c r="E480" i="6"/>
  <c r="I480" i="6"/>
  <c r="G479" i="6"/>
  <c r="E478" i="6"/>
  <c r="I478" i="6"/>
  <c r="C477" i="6"/>
  <c r="L477" i="6"/>
  <c r="D476" i="6"/>
  <c r="H462" i="6"/>
  <c r="D461" i="6"/>
  <c r="I461" i="6"/>
  <c r="I460" i="6"/>
  <c r="A459" i="6"/>
  <c r="H459" i="6"/>
  <c r="K459" i="6"/>
  <c r="G458" i="6"/>
  <c r="F457" i="6"/>
  <c r="K457" i="6"/>
  <c r="E456" i="6"/>
  <c r="K455" i="6"/>
  <c r="L455" i="6"/>
  <c r="B454" i="6"/>
  <c r="A453" i="6"/>
  <c r="C453" i="6"/>
  <c r="E453" i="6"/>
  <c r="J453" i="6"/>
  <c r="F452" i="6"/>
  <c r="H452" i="6"/>
  <c r="C451" i="6"/>
  <c r="H451" i="6"/>
  <c r="I412" i="6"/>
  <c r="K411" i="6"/>
  <c r="G410" i="6"/>
  <c r="L409" i="6"/>
  <c r="I407" i="6"/>
  <c r="F406" i="6"/>
  <c r="H403" i="6"/>
  <c r="L402" i="6"/>
  <c r="G401" i="6"/>
  <c r="L400" i="6"/>
  <c r="F398" i="6"/>
  <c r="H393" i="6"/>
  <c r="G392" i="6"/>
  <c r="B272" i="6"/>
  <c r="A500" i="6"/>
  <c r="B500" i="6"/>
  <c r="C500" i="6"/>
  <c r="D500" i="6"/>
  <c r="E500" i="6"/>
  <c r="F500" i="6"/>
  <c r="G500" i="6"/>
  <c r="H500" i="6"/>
  <c r="I500" i="6"/>
  <c r="J500" i="6"/>
  <c r="K500" i="6"/>
  <c r="L500" i="6"/>
  <c r="A499" i="6"/>
  <c r="B499" i="6"/>
  <c r="C499" i="6"/>
  <c r="D499" i="6"/>
  <c r="E499" i="6"/>
  <c r="F499" i="6"/>
  <c r="G499" i="6"/>
  <c r="H499" i="6"/>
  <c r="I499" i="6"/>
  <c r="J499" i="6"/>
  <c r="K499" i="6"/>
  <c r="L499" i="6"/>
  <c r="A498" i="6"/>
  <c r="B498" i="6"/>
  <c r="C498" i="6"/>
  <c r="D498" i="6"/>
  <c r="E498" i="6"/>
  <c r="F498" i="6"/>
  <c r="G498" i="6"/>
  <c r="H498" i="6"/>
  <c r="I498" i="6"/>
  <c r="J498" i="6"/>
  <c r="K498" i="6"/>
  <c r="L498" i="6"/>
  <c r="A497" i="6"/>
  <c r="B497" i="6"/>
  <c r="C497" i="6"/>
  <c r="D497" i="6"/>
  <c r="E497" i="6"/>
  <c r="F497" i="6"/>
  <c r="G497" i="6"/>
  <c r="H497" i="6"/>
  <c r="I497" i="6"/>
  <c r="J497" i="6"/>
  <c r="K497" i="6"/>
  <c r="L497" i="6"/>
  <c r="A496" i="6"/>
  <c r="B496" i="6"/>
  <c r="C496" i="6"/>
  <c r="D496" i="6"/>
  <c r="E496" i="6"/>
  <c r="F496" i="6"/>
  <c r="G496" i="6"/>
  <c r="H496" i="6"/>
  <c r="I496" i="6"/>
  <c r="J496" i="6"/>
  <c r="K496" i="6"/>
  <c r="L496" i="6"/>
  <c r="A495" i="6"/>
  <c r="B495" i="6"/>
  <c r="C495" i="6"/>
  <c r="D495" i="6"/>
  <c r="E495" i="6"/>
  <c r="F495" i="6"/>
  <c r="G495" i="6"/>
  <c r="H495" i="6"/>
  <c r="I495" i="6"/>
  <c r="J495" i="6"/>
  <c r="K495" i="6"/>
  <c r="L495" i="6"/>
  <c r="A494" i="6"/>
  <c r="B494" i="6"/>
  <c r="C494" i="6"/>
  <c r="D494" i="6"/>
  <c r="E494" i="6"/>
  <c r="F494" i="6"/>
  <c r="G494" i="6"/>
  <c r="H494" i="6"/>
  <c r="I494" i="6"/>
  <c r="J494" i="6"/>
  <c r="K494" i="6"/>
  <c r="L494" i="6"/>
  <c r="A493" i="6"/>
  <c r="B493" i="6"/>
  <c r="C493" i="6"/>
  <c r="D493" i="6"/>
  <c r="E493" i="6"/>
  <c r="F493" i="6"/>
  <c r="G493" i="6"/>
  <c r="H493" i="6"/>
  <c r="I493" i="6"/>
  <c r="J493" i="6"/>
  <c r="K493" i="6"/>
  <c r="L493" i="6"/>
  <c r="A492" i="6"/>
  <c r="B492" i="6"/>
  <c r="C492" i="6"/>
  <c r="D492" i="6"/>
  <c r="E492" i="6"/>
  <c r="F492" i="6"/>
  <c r="G492" i="6"/>
  <c r="H492" i="6"/>
  <c r="I492" i="6"/>
  <c r="J492" i="6"/>
  <c r="K492" i="6"/>
  <c r="L492" i="6"/>
  <c r="A491" i="6"/>
  <c r="B491" i="6"/>
  <c r="C491" i="6"/>
  <c r="D491" i="6"/>
  <c r="E491" i="6"/>
  <c r="F491" i="6"/>
  <c r="G491" i="6"/>
  <c r="H491" i="6"/>
  <c r="I491" i="6"/>
  <c r="J491" i="6"/>
  <c r="K491" i="6"/>
  <c r="L491" i="6"/>
  <c r="A490" i="6"/>
  <c r="B490" i="6"/>
  <c r="C490" i="6"/>
  <c r="D490" i="6"/>
  <c r="E490" i="6"/>
  <c r="F490" i="6"/>
  <c r="G490" i="6"/>
  <c r="H490" i="6"/>
  <c r="I490" i="6"/>
  <c r="J490" i="6"/>
  <c r="K490" i="6"/>
  <c r="L490" i="6"/>
  <c r="A489" i="6"/>
  <c r="B489" i="6"/>
  <c r="C489" i="6"/>
  <c r="D489" i="6"/>
  <c r="E489" i="6"/>
  <c r="F489" i="6"/>
  <c r="G489" i="6"/>
  <c r="H489" i="6"/>
  <c r="I489" i="6"/>
  <c r="J489" i="6"/>
  <c r="K489" i="6"/>
  <c r="L489" i="6"/>
  <c r="A488" i="6"/>
  <c r="B488" i="6"/>
  <c r="C488" i="6"/>
  <c r="D488" i="6"/>
  <c r="E488" i="6"/>
  <c r="F488" i="6"/>
  <c r="G488" i="6"/>
  <c r="H488" i="6"/>
  <c r="I488" i="6"/>
  <c r="J488" i="6"/>
  <c r="C487" i="6"/>
  <c r="A486" i="6"/>
  <c r="H486" i="6"/>
  <c r="A485" i="6"/>
  <c r="D485" i="6"/>
  <c r="J485" i="6"/>
  <c r="L485" i="6"/>
  <c r="H484" i="6"/>
  <c r="K484" i="6"/>
  <c r="E483" i="6"/>
  <c r="I483" i="6"/>
  <c r="C482" i="6"/>
  <c r="F482" i="6"/>
  <c r="B481" i="6"/>
  <c r="A480" i="6"/>
  <c r="C479" i="6"/>
  <c r="E479" i="6"/>
  <c r="K479" i="6"/>
  <c r="L479" i="6"/>
  <c r="G478" i="6"/>
  <c r="A477" i="6"/>
  <c r="G477" i="6"/>
  <c r="H476" i="6"/>
  <c r="J462" i="6"/>
  <c r="E460" i="6"/>
  <c r="E458" i="6"/>
  <c r="C457" i="6"/>
  <c r="H454" i="6"/>
  <c r="B396" i="6"/>
  <c r="A475" i="6"/>
  <c r="B475" i="6"/>
  <c r="C475" i="6"/>
  <c r="D475" i="6"/>
  <c r="E475" i="6"/>
  <c r="F475" i="6"/>
  <c r="G475" i="6"/>
  <c r="H475" i="6"/>
  <c r="I475" i="6"/>
  <c r="J475" i="6"/>
  <c r="K475" i="6"/>
  <c r="L475" i="6"/>
  <c r="A474" i="6"/>
  <c r="B474" i="6"/>
  <c r="C474" i="6"/>
  <c r="D474" i="6"/>
  <c r="E474" i="6"/>
  <c r="F474" i="6"/>
  <c r="G474" i="6"/>
  <c r="H474" i="6"/>
  <c r="I474" i="6"/>
  <c r="J474" i="6"/>
  <c r="K474" i="6"/>
  <c r="L474" i="6"/>
  <c r="A473" i="6"/>
  <c r="B473" i="6"/>
  <c r="C473" i="6"/>
  <c r="D473" i="6"/>
  <c r="E473" i="6"/>
  <c r="F473" i="6"/>
  <c r="G473" i="6"/>
  <c r="H473" i="6"/>
  <c r="I473" i="6"/>
  <c r="J473" i="6"/>
  <c r="K473" i="6"/>
  <c r="L473" i="6"/>
  <c r="A472" i="6"/>
  <c r="B472" i="6"/>
  <c r="C472" i="6"/>
  <c r="D472" i="6"/>
  <c r="E472" i="6"/>
  <c r="F472" i="6"/>
  <c r="G472" i="6"/>
  <c r="H472" i="6"/>
  <c r="I472" i="6"/>
  <c r="J472" i="6"/>
  <c r="K472" i="6"/>
  <c r="L472" i="6"/>
  <c r="A471" i="6"/>
  <c r="B471" i="6"/>
  <c r="C471" i="6"/>
  <c r="D471" i="6"/>
  <c r="E471" i="6"/>
  <c r="F471" i="6"/>
  <c r="G471" i="6"/>
  <c r="H471" i="6"/>
  <c r="I471" i="6"/>
  <c r="J471" i="6"/>
  <c r="K471" i="6"/>
  <c r="L471" i="6"/>
  <c r="A470" i="6"/>
  <c r="B470" i="6"/>
  <c r="C470" i="6"/>
  <c r="D470" i="6"/>
  <c r="E470" i="6"/>
  <c r="F470" i="6"/>
  <c r="G470" i="6"/>
  <c r="L423" i="6"/>
  <c r="A422" i="6"/>
  <c r="B422" i="6"/>
  <c r="C422" i="6"/>
  <c r="E422" i="6"/>
  <c r="H379" i="6"/>
  <c r="J379" i="6"/>
  <c r="L379" i="6"/>
  <c r="B378" i="6"/>
  <c r="F378" i="6"/>
  <c r="I378" i="6"/>
  <c r="K378" i="6"/>
  <c r="L378" i="6"/>
  <c r="D377" i="6"/>
  <c r="F377" i="6"/>
  <c r="K377" i="6"/>
  <c r="A376" i="6"/>
  <c r="C376" i="6"/>
  <c r="G376" i="6"/>
  <c r="I376" i="6"/>
  <c r="B375" i="6"/>
  <c r="H375" i="6"/>
  <c r="J375" i="6"/>
  <c r="A374" i="6"/>
  <c r="C374" i="6"/>
  <c r="E374" i="6"/>
  <c r="B270" i="6"/>
  <c r="E270" i="6"/>
  <c r="K270" i="6"/>
  <c r="L270" i="6"/>
  <c r="D269" i="6"/>
  <c r="L269" i="6"/>
  <c r="K268" i="6"/>
  <c r="A268" i="6"/>
  <c r="C268" i="6"/>
  <c r="D268" i="6"/>
  <c r="H266" i="6"/>
  <c r="A266" i="6"/>
  <c r="E266" i="6"/>
  <c r="B265" i="6"/>
  <c r="J265" i="6"/>
  <c r="L265" i="6"/>
  <c r="G264" i="6"/>
  <c r="E264" i="6"/>
  <c r="J264" i="6"/>
  <c r="F263" i="6"/>
  <c r="K263" i="6"/>
  <c r="H263" i="6"/>
  <c r="J263" i="6"/>
  <c r="D262" i="6"/>
  <c r="G262" i="6"/>
  <c r="F261" i="6"/>
  <c r="B259" i="6"/>
  <c r="H257" i="6"/>
  <c r="J257" i="6"/>
  <c r="G257" i="6"/>
  <c r="K257" i="6"/>
  <c r="H256" i="6"/>
  <c r="C253" i="6"/>
  <c r="H253" i="6"/>
  <c r="A251" i="6"/>
  <c r="C251" i="6"/>
  <c r="I249" i="6"/>
  <c r="B247" i="6"/>
  <c r="L242" i="6"/>
  <c r="E242" i="6"/>
  <c r="K241" i="6"/>
  <c r="J239" i="6"/>
  <c r="A239" i="6"/>
  <c r="E239" i="6"/>
  <c r="J236" i="6"/>
  <c r="K236" i="6"/>
  <c r="B235" i="6"/>
  <c r="G235" i="6"/>
  <c r="B231" i="6"/>
  <c r="A228" i="6"/>
  <c r="F228" i="6"/>
  <c r="F70" i="6"/>
  <c r="I70" i="6"/>
  <c r="E237" i="6"/>
  <c r="L234" i="6"/>
  <c r="E232" i="6"/>
  <c r="J230" i="6"/>
  <c r="G221" i="6"/>
  <c r="H104" i="6"/>
  <c r="A88" i="6"/>
  <c r="J507" i="6"/>
  <c r="J484" i="6"/>
  <c r="I482" i="6"/>
  <c r="C481" i="6"/>
  <c r="F412" i="6"/>
  <c r="G32" i="6"/>
  <c r="B22" i="6"/>
  <c r="J117" i="6"/>
  <c r="B116" i="6"/>
  <c r="F478" i="6"/>
  <c r="H470" i="6"/>
  <c r="I470" i="6"/>
  <c r="J470" i="6"/>
  <c r="K470" i="6"/>
  <c r="L470" i="6"/>
  <c r="A469" i="6"/>
  <c r="B469" i="6"/>
  <c r="C469" i="6"/>
  <c r="D469" i="6"/>
  <c r="E469" i="6"/>
  <c r="F469" i="6"/>
  <c r="G469" i="6"/>
  <c r="H469" i="6"/>
  <c r="I469" i="6"/>
  <c r="J469" i="6"/>
  <c r="K469" i="6"/>
  <c r="L469" i="6"/>
  <c r="A468" i="6"/>
  <c r="B468" i="6"/>
  <c r="C468" i="6"/>
  <c r="D468" i="6"/>
  <c r="E468" i="6"/>
  <c r="F468" i="6"/>
  <c r="G468" i="6"/>
  <c r="H468" i="6"/>
  <c r="I468" i="6"/>
  <c r="J468" i="6"/>
  <c r="K468" i="6"/>
  <c r="L468" i="6"/>
  <c r="A467" i="6"/>
  <c r="B467" i="6"/>
  <c r="C467" i="6"/>
  <c r="D467" i="6"/>
  <c r="E467" i="6"/>
  <c r="F467" i="6"/>
  <c r="G467" i="6"/>
  <c r="H467" i="6"/>
  <c r="I467" i="6"/>
  <c r="J467" i="6"/>
  <c r="K467" i="6"/>
  <c r="L467" i="6"/>
  <c r="A466" i="6"/>
  <c r="B466" i="6"/>
  <c r="C466" i="6"/>
  <c r="D466" i="6"/>
  <c r="E466" i="6"/>
  <c r="F466" i="6"/>
  <c r="G466" i="6"/>
  <c r="H466" i="6"/>
  <c r="I466" i="6"/>
  <c r="J466" i="6"/>
  <c r="K466" i="6"/>
  <c r="L466" i="6"/>
  <c r="A465" i="6"/>
  <c r="B465" i="6"/>
  <c r="C465" i="6"/>
  <c r="D465" i="6"/>
  <c r="E465" i="6"/>
  <c r="F465" i="6"/>
  <c r="G465" i="6"/>
  <c r="H465" i="6"/>
  <c r="I465" i="6"/>
  <c r="J465" i="6"/>
  <c r="K465" i="6"/>
  <c r="L465" i="6"/>
  <c r="A464" i="6"/>
  <c r="B464" i="6"/>
  <c r="C464" i="6"/>
  <c r="D464" i="6"/>
  <c r="E464" i="6"/>
  <c r="F464" i="6"/>
  <c r="G464" i="6"/>
  <c r="H464" i="6"/>
  <c r="I464" i="6"/>
  <c r="J464" i="6"/>
  <c r="K464" i="6"/>
  <c r="L464" i="6"/>
  <c r="A463" i="6"/>
  <c r="B463" i="6"/>
  <c r="C463" i="6"/>
  <c r="D463" i="6"/>
  <c r="E463" i="6"/>
  <c r="F463" i="6"/>
  <c r="G463" i="6"/>
  <c r="H463" i="6"/>
  <c r="I463" i="6"/>
  <c r="J463" i="6"/>
  <c r="K463" i="6"/>
  <c r="L463" i="6"/>
  <c r="A462" i="6"/>
  <c r="B462" i="6"/>
  <c r="J458" i="6"/>
  <c r="D453" i="6"/>
  <c r="A452" i="6"/>
  <c r="L412" i="6"/>
  <c r="F411" i="6"/>
  <c r="A410" i="6"/>
  <c r="D402" i="6"/>
  <c r="F401" i="6"/>
  <c r="E397" i="6"/>
  <c r="F391" i="6"/>
  <c r="F272" i="6"/>
  <c r="A450" i="6"/>
  <c r="B450" i="6"/>
  <c r="C450" i="6"/>
  <c r="D450" i="6"/>
  <c r="E450" i="6"/>
  <c r="F450" i="6"/>
  <c r="G450" i="6"/>
  <c r="H450" i="6"/>
  <c r="I450" i="6"/>
  <c r="J450" i="6"/>
  <c r="K450" i="6"/>
  <c r="L450" i="6"/>
  <c r="A449" i="6"/>
  <c r="B449" i="6"/>
  <c r="C449" i="6"/>
  <c r="D449" i="6"/>
  <c r="E449" i="6"/>
  <c r="F449" i="6"/>
  <c r="G449" i="6"/>
  <c r="H449" i="6"/>
  <c r="I449" i="6"/>
  <c r="J449" i="6"/>
  <c r="K449" i="6"/>
  <c r="L449" i="6"/>
  <c r="A448" i="6"/>
  <c r="B448" i="6"/>
  <c r="C448" i="6"/>
  <c r="D448" i="6"/>
  <c r="E448" i="6"/>
  <c r="F448" i="6"/>
  <c r="G448" i="6"/>
  <c r="H448" i="6"/>
  <c r="I448" i="6"/>
  <c r="J448" i="6"/>
  <c r="K448" i="6"/>
  <c r="L448" i="6"/>
  <c r="A447" i="6"/>
  <c r="B447" i="6"/>
  <c r="C447" i="6"/>
  <c r="D447" i="6"/>
  <c r="E447" i="6"/>
  <c r="F447" i="6"/>
  <c r="G447" i="6"/>
  <c r="H447" i="6"/>
  <c r="I447" i="6"/>
  <c r="J447" i="6"/>
  <c r="K447" i="6"/>
  <c r="L447" i="6"/>
  <c r="A446" i="6"/>
  <c r="B446" i="6"/>
  <c r="C446" i="6"/>
  <c r="D446" i="6"/>
  <c r="E446" i="6"/>
  <c r="F446" i="6"/>
  <c r="G446" i="6"/>
  <c r="H446" i="6"/>
  <c r="I446" i="6"/>
  <c r="J446" i="6"/>
  <c r="K446" i="6"/>
  <c r="L446" i="6"/>
  <c r="A445" i="6"/>
  <c r="B445" i="6"/>
  <c r="C445" i="6"/>
  <c r="D445" i="6"/>
  <c r="E445" i="6"/>
  <c r="F445" i="6"/>
  <c r="G445" i="6"/>
  <c r="H445" i="6"/>
  <c r="I445" i="6"/>
  <c r="J445" i="6"/>
  <c r="K445" i="6"/>
  <c r="L445" i="6"/>
  <c r="A444" i="6"/>
  <c r="B444" i="6"/>
  <c r="C444" i="6"/>
  <c r="D444" i="6"/>
  <c r="E444" i="6"/>
  <c r="F444" i="6"/>
  <c r="G444" i="6"/>
  <c r="H444" i="6"/>
  <c r="I444" i="6"/>
  <c r="J444" i="6"/>
  <c r="K444" i="6"/>
  <c r="L444" i="6"/>
  <c r="A443" i="6"/>
  <c r="B443" i="6"/>
  <c r="C443" i="6"/>
  <c r="D443" i="6"/>
  <c r="E443" i="6"/>
  <c r="F443" i="6"/>
  <c r="G443" i="6"/>
  <c r="H443" i="6"/>
  <c r="I443" i="6"/>
  <c r="J443" i="6"/>
  <c r="K443" i="6"/>
  <c r="L443" i="6"/>
  <c r="A442" i="6"/>
  <c r="B442" i="6"/>
  <c r="C442" i="6"/>
  <c r="D442" i="6"/>
  <c r="E442" i="6"/>
  <c r="F442" i="6"/>
  <c r="G442" i="6"/>
  <c r="H442" i="6"/>
  <c r="I442" i="6"/>
  <c r="J442" i="6"/>
  <c r="K442" i="6"/>
  <c r="L442" i="6"/>
  <c r="A441" i="6"/>
  <c r="B441" i="6"/>
  <c r="C441" i="6"/>
  <c r="D441" i="6"/>
  <c r="E441" i="6"/>
  <c r="F441" i="6"/>
  <c r="G441" i="6"/>
  <c r="H441" i="6"/>
  <c r="I441" i="6"/>
  <c r="J441" i="6"/>
  <c r="K441" i="6"/>
  <c r="L441" i="6"/>
  <c r="A430" i="6"/>
  <c r="B430" i="6"/>
  <c r="C430" i="6"/>
  <c r="D430" i="6"/>
  <c r="E430" i="6"/>
  <c r="F430" i="6"/>
  <c r="G430" i="6"/>
  <c r="H430" i="6"/>
  <c r="I430" i="6"/>
  <c r="J430" i="6"/>
  <c r="K430" i="6"/>
  <c r="L430" i="6"/>
  <c r="A429" i="6"/>
  <c r="B429" i="6"/>
  <c r="C429" i="6"/>
  <c r="D429" i="6"/>
  <c r="E429" i="6"/>
  <c r="F429" i="6"/>
  <c r="G429" i="6"/>
  <c r="H429" i="6"/>
  <c r="I429" i="6"/>
  <c r="J429" i="6"/>
  <c r="K429" i="6"/>
  <c r="L429" i="6"/>
  <c r="A428" i="6"/>
  <c r="B428" i="6"/>
  <c r="C428" i="6"/>
  <c r="D428" i="6"/>
  <c r="E428" i="6"/>
  <c r="F428" i="6"/>
  <c r="G428" i="6"/>
  <c r="H428" i="6"/>
  <c r="I428" i="6"/>
  <c r="J428" i="6"/>
  <c r="K428" i="6"/>
  <c r="L428" i="6"/>
  <c r="A427" i="6"/>
  <c r="B427" i="6"/>
  <c r="C427" i="6"/>
  <c r="D427" i="6"/>
  <c r="E427" i="6"/>
  <c r="F427" i="6"/>
  <c r="G427" i="6"/>
  <c r="H427" i="6"/>
  <c r="I427" i="6"/>
  <c r="J427" i="6"/>
  <c r="K427" i="6"/>
  <c r="L427" i="6"/>
  <c r="A426" i="6"/>
  <c r="B426" i="6"/>
  <c r="C426" i="6"/>
  <c r="D426" i="6"/>
  <c r="E426" i="6"/>
  <c r="F426" i="6"/>
  <c r="G426" i="6"/>
  <c r="H426" i="6"/>
  <c r="I426" i="6"/>
  <c r="J426" i="6"/>
  <c r="K426" i="6"/>
  <c r="L426" i="6"/>
  <c r="A425" i="6"/>
  <c r="B425" i="6"/>
  <c r="C425" i="6"/>
  <c r="D425" i="6"/>
  <c r="E425" i="6"/>
  <c r="F425" i="6"/>
  <c r="G425" i="6"/>
  <c r="H425" i="6"/>
  <c r="I425" i="6"/>
  <c r="J425" i="6"/>
  <c r="K425" i="6"/>
  <c r="L425" i="6"/>
  <c r="A424" i="6"/>
  <c r="B424" i="6"/>
  <c r="C424" i="6"/>
  <c r="D424" i="6"/>
  <c r="E424" i="6"/>
  <c r="F424" i="6"/>
  <c r="G424" i="6"/>
  <c r="H424" i="6"/>
  <c r="I424" i="6"/>
  <c r="J424" i="6"/>
  <c r="K424" i="6"/>
  <c r="L424" i="6"/>
  <c r="A423" i="6"/>
  <c r="B423" i="6"/>
  <c r="C423" i="6"/>
  <c r="D423" i="6"/>
  <c r="E423" i="6"/>
  <c r="F423" i="6"/>
  <c r="G423" i="6"/>
  <c r="H423" i="6"/>
  <c r="I423" i="6"/>
  <c r="J423" i="6"/>
  <c r="K423" i="6"/>
  <c r="D422" i="6"/>
  <c r="F422" i="6"/>
  <c r="G379" i="6"/>
  <c r="A378" i="6"/>
  <c r="D378" i="6"/>
  <c r="E378" i="6"/>
  <c r="H378" i="6"/>
  <c r="A377" i="6"/>
  <c r="C377" i="6"/>
  <c r="I377" i="6"/>
  <c r="B376" i="6"/>
  <c r="E376" i="6"/>
  <c r="H376" i="6"/>
  <c r="A375" i="6"/>
  <c r="F375" i="6"/>
  <c r="B374" i="6"/>
  <c r="D374" i="6"/>
  <c r="A270" i="6"/>
  <c r="C270" i="6"/>
  <c r="F270" i="6"/>
  <c r="A269" i="6"/>
  <c r="F269" i="6"/>
  <c r="I269" i="6"/>
  <c r="E269" i="6"/>
  <c r="H269" i="6"/>
  <c r="E268" i="6"/>
  <c r="F268" i="6"/>
  <c r="G268" i="6"/>
  <c r="H268" i="6"/>
  <c r="J266" i="6"/>
  <c r="C266" i="6"/>
  <c r="G266" i="6"/>
  <c r="K266" i="6"/>
  <c r="C265" i="6"/>
  <c r="E265" i="6"/>
  <c r="F265" i="6"/>
  <c r="G265" i="6"/>
  <c r="H265" i="6"/>
  <c r="B264" i="6"/>
  <c r="F264" i="6"/>
  <c r="L264" i="6"/>
  <c r="D263" i="6"/>
  <c r="C263" i="6"/>
  <c r="C262" i="6"/>
  <c r="K262" i="6"/>
  <c r="H262" i="6"/>
  <c r="A261" i="6"/>
  <c r="J259" i="6"/>
  <c r="E259" i="6"/>
  <c r="E257" i="6"/>
  <c r="B257" i="6"/>
  <c r="E256" i="6"/>
  <c r="L256" i="6"/>
  <c r="D255" i="6"/>
  <c r="A255" i="6"/>
  <c r="J255" i="6"/>
  <c r="G253" i="6"/>
  <c r="A253" i="6"/>
  <c r="E253" i="6"/>
  <c r="B251" i="6"/>
  <c r="J251" i="6"/>
  <c r="K251" i="6"/>
  <c r="A249" i="6"/>
  <c r="L249" i="6"/>
  <c r="E247" i="6"/>
  <c r="A247" i="6"/>
  <c r="I242" i="6"/>
  <c r="J241" i="6"/>
  <c r="H241" i="6"/>
  <c r="L239" i="6"/>
  <c r="I236" i="6"/>
  <c r="F236" i="6"/>
  <c r="I235" i="6"/>
  <c r="C235" i="6"/>
  <c r="E231" i="6"/>
  <c r="F231" i="6"/>
  <c r="H228" i="6"/>
  <c r="J70" i="6"/>
  <c r="H233" i="6"/>
  <c r="C220" i="6"/>
  <c r="E218" i="6"/>
  <c r="B103" i="6"/>
  <c r="H103" i="6"/>
  <c r="L102" i="6"/>
  <c r="L100" i="6"/>
  <c r="A94" i="6"/>
  <c r="H94" i="6"/>
  <c r="C93" i="6"/>
  <c r="K89" i="6"/>
  <c r="D86" i="6"/>
  <c r="G84" i="6"/>
  <c r="L452" i="6"/>
  <c r="L76" i="6"/>
  <c r="B74" i="6"/>
  <c r="D73" i="6"/>
  <c r="F120" i="6"/>
  <c r="B119" i="6"/>
  <c r="G422" i="6"/>
  <c r="H422" i="6"/>
  <c r="I422" i="6"/>
  <c r="J422" i="6"/>
  <c r="K422" i="6"/>
  <c r="L422" i="6"/>
  <c r="A421" i="6"/>
  <c r="B421" i="6"/>
  <c r="C421" i="6"/>
  <c r="D421" i="6"/>
  <c r="E421" i="6"/>
  <c r="F421" i="6"/>
  <c r="G421" i="6"/>
  <c r="H421" i="6"/>
  <c r="I421" i="6"/>
  <c r="J421" i="6"/>
  <c r="K421" i="6"/>
  <c r="L421" i="6"/>
  <c r="A420" i="6"/>
  <c r="B420" i="6"/>
  <c r="C420" i="6"/>
  <c r="D420" i="6"/>
  <c r="E420" i="6"/>
  <c r="F420" i="6"/>
  <c r="G420" i="6"/>
  <c r="H420" i="6"/>
  <c r="I420" i="6"/>
  <c r="J420" i="6"/>
  <c r="K420" i="6"/>
  <c r="L420" i="6"/>
  <c r="A419" i="6"/>
  <c r="B419" i="6"/>
  <c r="C419" i="6"/>
  <c r="D419" i="6"/>
  <c r="E419" i="6"/>
  <c r="F419" i="6"/>
  <c r="G419" i="6"/>
  <c r="H419" i="6"/>
  <c r="I419" i="6"/>
  <c r="J419" i="6"/>
  <c r="K419" i="6"/>
  <c r="L419" i="6"/>
  <c r="A418" i="6"/>
  <c r="B418" i="6"/>
  <c r="C418" i="6"/>
  <c r="D418" i="6"/>
  <c r="E418" i="6"/>
  <c r="F418" i="6"/>
  <c r="G418" i="6"/>
  <c r="H418" i="6"/>
  <c r="I418" i="6"/>
  <c r="J418" i="6"/>
  <c r="K418" i="6"/>
  <c r="L418" i="6"/>
  <c r="A417" i="6"/>
  <c r="B417" i="6"/>
  <c r="C417" i="6"/>
  <c r="D417" i="6"/>
  <c r="E417" i="6"/>
  <c r="F417" i="6"/>
  <c r="G417" i="6"/>
  <c r="H417" i="6"/>
  <c r="I417" i="6"/>
  <c r="J417" i="6"/>
  <c r="K417" i="6"/>
  <c r="L417" i="6"/>
  <c r="A416" i="6"/>
  <c r="B416" i="6"/>
  <c r="C416" i="6"/>
  <c r="D416" i="6"/>
  <c r="E416" i="6"/>
  <c r="F416" i="6"/>
  <c r="G416" i="6"/>
  <c r="H416" i="6"/>
  <c r="I416" i="6"/>
  <c r="J416" i="6"/>
  <c r="K416" i="6"/>
  <c r="L416" i="6"/>
  <c r="A415" i="6"/>
  <c r="B415" i="6"/>
  <c r="C415" i="6"/>
  <c r="D415" i="6"/>
  <c r="E415" i="6"/>
  <c r="F415" i="6"/>
  <c r="G415" i="6"/>
  <c r="H415" i="6"/>
  <c r="I415" i="6"/>
  <c r="J415" i="6"/>
  <c r="K415" i="6"/>
  <c r="L415" i="6"/>
  <c r="A414" i="6"/>
  <c r="B414" i="6"/>
  <c r="C414" i="6"/>
  <c r="D414" i="6"/>
  <c r="E414" i="6"/>
  <c r="F414" i="6"/>
  <c r="G414" i="6"/>
  <c r="H414" i="6"/>
  <c r="I414" i="6"/>
  <c r="J414" i="6"/>
  <c r="K414" i="6"/>
  <c r="L414" i="6"/>
  <c r="A413" i="6"/>
  <c r="B413" i="6"/>
  <c r="C413" i="6"/>
  <c r="D413" i="6"/>
  <c r="E413" i="6"/>
  <c r="F413" i="6"/>
  <c r="G413" i="6"/>
  <c r="H413" i="6"/>
  <c r="I413" i="6"/>
  <c r="J413" i="6"/>
  <c r="K413" i="6"/>
  <c r="L413" i="6"/>
  <c r="A412" i="6"/>
  <c r="B412" i="6"/>
  <c r="C412" i="6"/>
  <c r="G412" i="6"/>
  <c r="B411" i="6"/>
  <c r="E409" i="6"/>
  <c r="K408" i="6"/>
  <c r="A404" i="6"/>
  <c r="L404" i="6"/>
  <c r="L281" i="6"/>
  <c r="K272" i="6"/>
  <c r="G399" i="6"/>
  <c r="I392" i="6"/>
  <c r="A390" i="6"/>
  <c r="B390" i="6"/>
  <c r="C390" i="6"/>
  <c r="D390" i="6"/>
  <c r="E390" i="6"/>
  <c r="F390" i="6"/>
  <c r="G390" i="6"/>
  <c r="H390" i="6"/>
  <c r="I390" i="6"/>
  <c r="J390" i="6"/>
  <c r="K390" i="6"/>
  <c r="L390" i="6"/>
  <c r="A389" i="6"/>
  <c r="B389" i="6"/>
  <c r="C389" i="6"/>
  <c r="D389" i="6"/>
  <c r="E389" i="6"/>
  <c r="F389" i="6"/>
  <c r="G389" i="6"/>
  <c r="H389" i="6"/>
  <c r="I389" i="6"/>
  <c r="J389" i="6"/>
  <c r="K389" i="6"/>
  <c r="L389" i="6"/>
  <c r="A388" i="6"/>
  <c r="B388" i="6"/>
  <c r="C388" i="6"/>
  <c r="D388" i="6"/>
  <c r="E388" i="6"/>
  <c r="F388" i="6"/>
  <c r="G388" i="6"/>
  <c r="H388" i="6"/>
  <c r="I388" i="6"/>
  <c r="J388" i="6"/>
  <c r="K388" i="6"/>
  <c r="L388" i="6"/>
  <c r="A387" i="6"/>
  <c r="B387" i="6"/>
  <c r="C387" i="6"/>
  <c r="D387" i="6"/>
  <c r="E387" i="6"/>
  <c r="F387" i="6"/>
  <c r="G387" i="6"/>
  <c r="H387" i="6"/>
  <c r="I387" i="6"/>
  <c r="J387" i="6"/>
  <c r="K387" i="6"/>
  <c r="L387" i="6"/>
  <c r="A386" i="6"/>
  <c r="B386" i="6"/>
  <c r="C386" i="6"/>
  <c r="D386" i="6"/>
  <c r="E386" i="6"/>
  <c r="F386" i="6"/>
  <c r="G386" i="6"/>
  <c r="H386" i="6"/>
  <c r="I386" i="6"/>
  <c r="J386" i="6"/>
  <c r="K386" i="6"/>
  <c r="L386" i="6"/>
  <c r="A385" i="6"/>
  <c r="B385" i="6"/>
  <c r="C385" i="6"/>
  <c r="D385" i="6"/>
  <c r="E385" i="6"/>
  <c r="F385" i="6"/>
  <c r="G385" i="6"/>
  <c r="H385" i="6"/>
  <c r="I385" i="6"/>
  <c r="J385" i="6"/>
  <c r="K385" i="6"/>
  <c r="L385" i="6"/>
  <c r="A384" i="6"/>
  <c r="B384" i="6"/>
  <c r="C384" i="6"/>
  <c r="D384" i="6"/>
  <c r="E384" i="6"/>
  <c r="F384" i="6"/>
  <c r="G384" i="6"/>
  <c r="H384" i="6"/>
  <c r="I384" i="6"/>
  <c r="J384" i="6"/>
  <c r="K384" i="6"/>
  <c r="L384" i="6"/>
  <c r="A383" i="6"/>
  <c r="B383" i="6"/>
  <c r="C383" i="6"/>
  <c r="D383" i="6"/>
  <c r="E383" i="6"/>
  <c r="F383" i="6"/>
  <c r="G383" i="6"/>
  <c r="H383" i="6"/>
  <c r="I383" i="6"/>
  <c r="J383" i="6"/>
  <c r="K383" i="6"/>
  <c r="L383" i="6"/>
  <c r="A382" i="6"/>
  <c r="B382" i="6"/>
  <c r="C382" i="6"/>
  <c r="D382" i="6"/>
  <c r="E382" i="6"/>
  <c r="F382" i="6"/>
  <c r="G382" i="6"/>
  <c r="H382" i="6"/>
  <c r="I382" i="6"/>
  <c r="J382" i="6"/>
  <c r="K382" i="6"/>
  <c r="L382" i="6"/>
  <c r="A381" i="6"/>
  <c r="B381" i="6"/>
  <c r="C381" i="6"/>
  <c r="D381" i="6"/>
  <c r="E381" i="6"/>
  <c r="F381" i="6"/>
  <c r="G381" i="6"/>
  <c r="H381" i="6"/>
  <c r="I381" i="6"/>
  <c r="J381" i="6"/>
  <c r="K381" i="6"/>
  <c r="L381" i="6"/>
  <c r="A380" i="6"/>
  <c r="B380" i="6"/>
  <c r="C380" i="6"/>
  <c r="D380" i="6"/>
  <c r="E380" i="6"/>
  <c r="F380" i="6"/>
  <c r="G380" i="6"/>
  <c r="H380" i="6"/>
  <c r="I380" i="6"/>
  <c r="J380" i="6"/>
  <c r="K380" i="6"/>
  <c r="L380" i="6"/>
  <c r="A379" i="6"/>
  <c r="B379" i="6"/>
  <c r="C379" i="6"/>
  <c r="D379" i="6"/>
  <c r="E379" i="6"/>
  <c r="F379" i="6"/>
  <c r="I379" i="6"/>
  <c r="K379" i="6"/>
  <c r="C378" i="6"/>
  <c r="G378" i="6"/>
  <c r="J378" i="6"/>
  <c r="B377" i="6"/>
  <c r="E377" i="6"/>
  <c r="G377" i="6"/>
  <c r="H377" i="6"/>
  <c r="J377" i="6"/>
  <c r="L377" i="6"/>
  <c r="D376" i="6"/>
  <c r="F376" i="6"/>
  <c r="J376" i="6"/>
  <c r="K376" i="6"/>
  <c r="L376" i="6"/>
  <c r="C375" i="6"/>
  <c r="D375" i="6"/>
  <c r="E375" i="6"/>
  <c r="G375" i="6"/>
  <c r="I375" i="6"/>
  <c r="K375" i="6"/>
  <c r="L375" i="6"/>
  <c r="G270" i="6"/>
  <c r="H270" i="6"/>
  <c r="B269" i="6"/>
  <c r="K269" i="6"/>
  <c r="J269" i="6"/>
  <c r="I268" i="6"/>
  <c r="L268" i="6"/>
  <c r="B266" i="6"/>
  <c r="A265" i="6"/>
  <c r="D265" i="6"/>
  <c r="I265" i="6"/>
  <c r="A264" i="6"/>
  <c r="E263" i="6"/>
  <c r="L263" i="6"/>
  <c r="F262" i="6"/>
  <c r="E262" i="6"/>
  <c r="B261" i="6"/>
  <c r="I261" i="6"/>
  <c r="E261" i="6"/>
  <c r="H261" i="6"/>
  <c r="L261" i="6"/>
  <c r="D259" i="6"/>
  <c r="C257" i="6"/>
  <c r="L257" i="6"/>
  <c r="G256" i="6"/>
  <c r="B256" i="6"/>
  <c r="K255" i="6"/>
  <c r="C255" i="6"/>
  <c r="H249" i="6"/>
  <c r="H247" i="6"/>
  <c r="L247" i="6"/>
  <c r="B242" i="6"/>
  <c r="F242" i="6"/>
  <c r="K242" i="6"/>
  <c r="A241" i="6"/>
  <c r="G241" i="6"/>
  <c r="C241" i="6"/>
  <c r="F239" i="6"/>
  <c r="I239" i="6"/>
  <c r="A236" i="6"/>
  <c r="A235" i="6"/>
  <c r="D231" i="6"/>
  <c r="J231" i="6"/>
  <c r="C228" i="6"/>
  <c r="L228" i="6"/>
  <c r="C70" i="6"/>
  <c r="L237" i="6"/>
  <c r="I234" i="6"/>
  <c r="K233" i="6"/>
  <c r="L232" i="6"/>
  <c r="K221" i="6"/>
  <c r="B219" i="6"/>
  <c r="G102" i="6"/>
  <c r="C99" i="6"/>
  <c r="E91" i="6"/>
  <c r="F81" i="6"/>
  <c r="K74" i="6"/>
  <c r="B73" i="6"/>
  <c r="B54" i="6"/>
  <c r="A21" i="6"/>
  <c r="J481" i="6"/>
  <c r="F374" i="6"/>
  <c r="G374" i="6"/>
  <c r="H374" i="6"/>
  <c r="I374" i="6"/>
  <c r="J374" i="6"/>
  <c r="K374" i="6"/>
  <c r="L374" i="6"/>
  <c r="A373" i="6"/>
  <c r="B373" i="6"/>
  <c r="C373" i="6"/>
  <c r="D373" i="6"/>
  <c r="E373" i="6"/>
  <c r="F373" i="6"/>
  <c r="G373" i="6"/>
  <c r="H373" i="6"/>
  <c r="I373" i="6"/>
  <c r="J373" i="6"/>
  <c r="K373" i="6"/>
  <c r="L373" i="6"/>
  <c r="B372" i="6"/>
  <c r="D372" i="6"/>
  <c r="F372" i="6"/>
  <c r="I372" i="6"/>
  <c r="A372" i="6"/>
  <c r="C372" i="6"/>
  <c r="E372" i="6"/>
  <c r="G372" i="6"/>
  <c r="H372" i="6"/>
  <c r="J372" i="6"/>
  <c r="K372" i="6"/>
  <c r="L372" i="6"/>
  <c r="A370" i="6"/>
  <c r="C370" i="6"/>
  <c r="F370" i="6"/>
  <c r="G370" i="6"/>
  <c r="H370" i="6"/>
  <c r="J370" i="6"/>
  <c r="L370" i="6"/>
  <c r="B370" i="6"/>
  <c r="D370" i="6"/>
  <c r="E370" i="6"/>
  <c r="I370" i="6"/>
  <c r="K370" i="6"/>
  <c r="A369" i="6"/>
  <c r="F369" i="6"/>
  <c r="G369" i="6"/>
  <c r="H369" i="6"/>
  <c r="J369" i="6"/>
  <c r="B369" i="6"/>
  <c r="C369" i="6"/>
  <c r="D369" i="6"/>
  <c r="E369" i="6"/>
  <c r="I369" i="6"/>
  <c r="K369" i="6"/>
  <c r="L369" i="6"/>
  <c r="A368" i="6"/>
  <c r="B368" i="6"/>
  <c r="D368" i="6"/>
  <c r="F368" i="6"/>
  <c r="H368" i="6"/>
  <c r="J368" i="6"/>
  <c r="K368" i="6"/>
  <c r="L368" i="6"/>
  <c r="C368" i="6"/>
  <c r="E368" i="6"/>
  <c r="G368" i="6"/>
  <c r="I368" i="6"/>
  <c r="A367" i="6"/>
  <c r="C367" i="6"/>
  <c r="E367" i="6"/>
  <c r="G367" i="6"/>
  <c r="I367" i="6"/>
  <c r="J367" i="6"/>
  <c r="L367" i="6"/>
  <c r="B367" i="6"/>
  <c r="D367" i="6"/>
  <c r="F367" i="6"/>
  <c r="H367" i="6"/>
  <c r="K367" i="6"/>
  <c r="B366" i="6"/>
  <c r="E366" i="6"/>
  <c r="I366" i="6"/>
  <c r="K366" i="6"/>
  <c r="L366" i="6"/>
  <c r="A366" i="6"/>
  <c r="C366" i="6"/>
  <c r="D366" i="6"/>
  <c r="F366" i="6"/>
  <c r="G366" i="6"/>
  <c r="H366" i="6"/>
  <c r="J366" i="6"/>
  <c r="A363" i="6"/>
  <c r="C363" i="6"/>
  <c r="E363" i="6"/>
  <c r="G363" i="6"/>
  <c r="H363" i="6"/>
  <c r="I363" i="6"/>
  <c r="K363" i="6"/>
  <c r="L363" i="6"/>
  <c r="B363" i="6"/>
  <c r="D363" i="6"/>
  <c r="F363" i="6"/>
  <c r="J363" i="6"/>
  <c r="B362" i="6"/>
  <c r="D362" i="6"/>
  <c r="E362" i="6"/>
  <c r="G362" i="6"/>
  <c r="H362" i="6"/>
  <c r="I362" i="6"/>
  <c r="K362" i="6"/>
  <c r="L362" i="6"/>
  <c r="A362" i="6"/>
  <c r="C362" i="6"/>
  <c r="F362" i="6"/>
  <c r="J362" i="6"/>
  <c r="B358" i="6"/>
  <c r="C358" i="6"/>
  <c r="D358" i="6"/>
  <c r="I358" i="6"/>
  <c r="J358" i="6"/>
  <c r="K358" i="6"/>
  <c r="A358" i="6"/>
  <c r="E358" i="6"/>
  <c r="F358" i="6"/>
  <c r="G358" i="6"/>
  <c r="H358" i="6"/>
  <c r="L358" i="6"/>
  <c r="A356" i="6"/>
  <c r="C356" i="6"/>
  <c r="D356" i="6"/>
  <c r="G356" i="6"/>
  <c r="H356" i="6"/>
  <c r="J356" i="6"/>
  <c r="B356" i="6"/>
  <c r="E356" i="6"/>
  <c r="F356" i="6"/>
  <c r="I356" i="6"/>
  <c r="K356" i="6"/>
  <c r="L356" i="6"/>
  <c r="A355" i="6"/>
  <c r="B355" i="6"/>
  <c r="D355" i="6"/>
  <c r="F355" i="6"/>
  <c r="I355" i="6"/>
  <c r="K355" i="6"/>
  <c r="L355" i="6"/>
  <c r="C355" i="6"/>
  <c r="E355" i="6"/>
  <c r="G355" i="6"/>
  <c r="H355" i="6"/>
  <c r="J355" i="6"/>
  <c r="H354" i="6"/>
  <c r="K354" i="6"/>
  <c r="A354" i="6"/>
  <c r="B354" i="6"/>
  <c r="C354" i="6"/>
  <c r="D354" i="6"/>
  <c r="E354" i="6"/>
  <c r="F354" i="6"/>
  <c r="G354" i="6"/>
  <c r="I354" i="6"/>
  <c r="J354" i="6"/>
  <c r="L354" i="6"/>
  <c r="B353" i="6"/>
  <c r="C353" i="6"/>
  <c r="F353" i="6"/>
  <c r="H353" i="6"/>
  <c r="I353" i="6"/>
  <c r="A353" i="6"/>
  <c r="D353" i="6"/>
  <c r="E353" i="6"/>
  <c r="G353" i="6"/>
  <c r="J353" i="6"/>
  <c r="K353" i="6"/>
  <c r="L353" i="6"/>
  <c r="C352" i="6"/>
  <c r="D352" i="6"/>
  <c r="F352" i="6"/>
  <c r="H352" i="6"/>
  <c r="J352" i="6"/>
  <c r="L352" i="6"/>
  <c r="A352" i="6"/>
  <c r="B352" i="6"/>
  <c r="E352" i="6"/>
  <c r="G352" i="6"/>
  <c r="I352" i="6"/>
  <c r="K352" i="6"/>
  <c r="B350" i="6"/>
  <c r="C350" i="6"/>
  <c r="D350" i="6"/>
  <c r="F350" i="6"/>
  <c r="I350" i="6"/>
  <c r="J350" i="6"/>
  <c r="K350" i="6"/>
  <c r="A350" i="6"/>
  <c r="E350" i="6"/>
  <c r="G350" i="6"/>
  <c r="H350" i="6"/>
  <c r="L350" i="6"/>
  <c r="B348" i="6"/>
  <c r="D348" i="6"/>
  <c r="F348" i="6"/>
  <c r="H348" i="6"/>
  <c r="J348" i="6"/>
  <c r="A348" i="6"/>
  <c r="C348" i="6"/>
  <c r="E348" i="6"/>
  <c r="G348" i="6"/>
  <c r="I348" i="6"/>
  <c r="K348" i="6"/>
  <c r="L348" i="6"/>
  <c r="E344" i="6"/>
  <c r="G344" i="6"/>
  <c r="H344" i="6"/>
  <c r="J344" i="6"/>
  <c r="K344" i="6"/>
  <c r="A344" i="6"/>
  <c r="B344" i="6"/>
  <c r="C344" i="6"/>
  <c r="D344" i="6"/>
  <c r="F344" i="6"/>
  <c r="I344" i="6"/>
  <c r="L344" i="6"/>
  <c r="B338" i="6"/>
  <c r="F338" i="6"/>
  <c r="H338" i="6"/>
  <c r="K338" i="6"/>
  <c r="A338" i="6"/>
  <c r="C338" i="6"/>
  <c r="D338" i="6"/>
  <c r="E338" i="6"/>
  <c r="G338" i="6"/>
  <c r="I338" i="6"/>
  <c r="J338" i="6"/>
  <c r="L338" i="6"/>
  <c r="A337" i="6"/>
  <c r="C337" i="6"/>
  <c r="E337" i="6"/>
  <c r="G337" i="6"/>
  <c r="H337" i="6"/>
  <c r="K337" i="6"/>
  <c r="B337" i="6"/>
  <c r="D337" i="6"/>
  <c r="F337" i="6"/>
  <c r="I337" i="6"/>
  <c r="J337" i="6"/>
  <c r="L337" i="6"/>
  <c r="B336" i="6"/>
  <c r="D336" i="6"/>
  <c r="F336" i="6"/>
  <c r="H336" i="6"/>
  <c r="J336" i="6"/>
  <c r="K336" i="6"/>
  <c r="A336" i="6"/>
  <c r="C336" i="6"/>
  <c r="E336" i="6"/>
  <c r="G336" i="6"/>
  <c r="I336" i="6"/>
  <c r="L336" i="6"/>
  <c r="C291" i="6"/>
  <c r="E291" i="6"/>
  <c r="F291" i="6"/>
  <c r="H291" i="6"/>
  <c r="I291" i="6"/>
  <c r="K291" i="6"/>
  <c r="L291" i="6"/>
  <c r="A291" i="6"/>
  <c r="B291" i="6"/>
  <c r="D291" i="6"/>
  <c r="G291" i="6"/>
  <c r="J291" i="6"/>
  <c r="A289" i="6"/>
  <c r="D289" i="6"/>
  <c r="E289" i="6"/>
  <c r="G289" i="6"/>
  <c r="I289" i="6"/>
  <c r="J289" i="6"/>
  <c r="B289" i="6"/>
  <c r="C289" i="6"/>
  <c r="F289" i="6"/>
  <c r="H289" i="6"/>
  <c r="K289" i="6"/>
  <c r="L289" i="6"/>
  <c r="A287" i="6"/>
  <c r="B287" i="6"/>
  <c r="D287" i="6"/>
  <c r="E287" i="6"/>
  <c r="G287" i="6"/>
  <c r="I287" i="6"/>
  <c r="J287" i="6"/>
  <c r="L287" i="6"/>
  <c r="C287" i="6"/>
  <c r="F287" i="6"/>
  <c r="H287" i="6"/>
  <c r="K287" i="6"/>
  <c r="B286" i="6"/>
  <c r="D286" i="6"/>
  <c r="E286" i="6"/>
  <c r="I286" i="6"/>
  <c r="J286" i="6"/>
  <c r="L286" i="6"/>
  <c r="A286" i="6"/>
  <c r="C286" i="6"/>
  <c r="F286" i="6"/>
  <c r="G286" i="6"/>
  <c r="H286" i="6"/>
  <c r="K286" i="6"/>
  <c r="B285" i="6"/>
  <c r="D285" i="6"/>
  <c r="E285" i="6"/>
  <c r="G285" i="6"/>
  <c r="H285" i="6"/>
  <c r="J285" i="6"/>
  <c r="A285" i="6"/>
  <c r="C285" i="6"/>
  <c r="F285" i="6"/>
  <c r="I285" i="6"/>
  <c r="K285" i="6"/>
  <c r="L285" i="6"/>
  <c r="A283" i="6"/>
  <c r="K283" i="6"/>
  <c r="D283" i="6"/>
  <c r="L272" i="6"/>
  <c r="J270" i="6"/>
  <c r="D270" i="6"/>
  <c r="I270" i="6"/>
  <c r="G269" i="6"/>
  <c r="C269" i="6"/>
  <c r="B268" i="6"/>
  <c r="J268" i="6"/>
  <c r="F266" i="6"/>
  <c r="D266" i="6"/>
  <c r="I266" i="6"/>
  <c r="L266" i="6"/>
  <c r="K265" i="6"/>
  <c r="C264" i="6"/>
  <c r="I264" i="6"/>
  <c r="D264" i="6"/>
  <c r="H264" i="6"/>
  <c r="K264" i="6"/>
  <c r="B263" i="6"/>
  <c r="I263" i="6"/>
  <c r="I262" i="6"/>
  <c r="B262" i="6"/>
  <c r="J262" i="6"/>
  <c r="D261" i="6"/>
  <c r="J261" i="6"/>
  <c r="C261" i="6"/>
  <c r="G261" i="6"/>
  <c r="K261" i="6"/>
  <c r="C259" i="6"/>
  <c r="F259" i="6"/>
  <c r="K259" i="6"/>
  <c r="L259" i="6"/>
  <c r="H259" i="6"/>
  <c r="A257" i="6"/>
  <c r="I257" i="6"/>
  <c r="J256" i="6"/>
  <c r="K256" i="6"/>
  <c r="B255" i="6"/>
  <c r="G255" i="6"/>
  <c r="I253" i="6"/>
  <c r="F253" i="6"/>
  <c r="L253" i="6"/>
  <c r="D251" i="6"/>
  <c r="H251" i="6"/>
  <c r="L251" i="6"/>
  <c r="G249" i="6"/>
  <c r="D249" i="6"/>
  <c r="K249" i="6"/>
  <c r="J247" i="6"/>
  <c r="G247" i="6"/>
  <c r="K247" i="6"/>
  <c r="H242" i="6"/>
  <c r="L241" i="6"/>
  <c r="I241" i="6"/>
  <c r="B239" i="6"/>
  <c r="E236" i="6"/>
  <c r="H236" i="6"/>
  <c r="H235" i="6"/>
  <c r="J235" i="6"/>
  <c r="L231" i="6"/>
  <c r="K231" i="6"/>
  <c r="B228" i="6"/>
  <c r="G228" i="6"/>
  <c r="A70" i="6"/>
  <c r="E70" i="6"/>
  <c r="F233" i="6"/>
  <c r="L230" i="6"/>
  <c r="K219" i="6"/>
  <c r="A276" i="6"/>
  <c r="F90" i="6"/>
  <c r="H88" i="6"/>
  <c r="E86" i="6"/>
  <c r="I86" i="6"/>
  <c r="J80" i="6"/>
  <c r="E76" i="6"/>
  <c r="C54" i="6"/>
  <c r="F483" i="6"/>
  <c r="B276" i="6"/>
  <c r="B217" i="6"/>
  <c r="I217" i="6"/>
  <c r="F216" i="6"/>
  <c r="C215" i="6"/>
  <c r="J215" i="6"/>
  <c r="D214" i="6"/>
  <c r="I214" i="6"/>
  <c r="L214" i="6"/>
  <c r="B213" i="6"/>
  <c r="D213" i="6"/>
  <c r="A212" i="6"/>
  <c r="B212" i="6"/>
  <c r="E212" i="6"/>
  <c r="K212" i="6"/>
  <c r="D211" i="6"/>
  <c r="K210" i="6"/>
  <c r="B410" i="6"/>
  <c r="H409" i="6"/>
  <c r="I408" i="6"/>
  <c r="L408" i="6"/>
  <c r="A406" i="6"/>
  <c r="E406" i="6"/>
  <c r="B405" i="6"/>
  <c r="G405" i="6"/>
  <c r="F404" i="6"/>
  <c r="C403" i="6"/>
  <c r="F402" i="6"/>
  <c r="B399" i="6"/>
  <c r="F399" i="6"/>
  <c r="B398" i="6"/>
  <c r="H397" i="6"/>
  <c r="I396" i="6"/>
  <c r="E395" i="6"/>
  <c r="H394" i="6"/>
  <c r="L394" i="6"/>
  <c r="D392" i="6"/>
  <c r="F392" i="6"/>
  <c r="J391" i="6"/>
  <c r="L283" i="6"/>
  <c r="J282" i="6"/>
  <c r="K282" i="6"/>
  <c r="E281" i="6"/>
  <c r="J281" i="6"/>
  <c r="D277" i="6"/>
  <c r="E276" i="6"/>
  <c r="F274" i="6"/>
  <c r="A274" i="6"/>
  <c r="D272" i="6"/>
  <c r="C272" i="6"/>
  <c r="A69" i="6"/>
  <c r="D69" i="6"/>
  <c r="J69" i="6"/>
  <c r="E69" i="6"/>
  <c r="G69" i="6"/>
  <c r="L69" i="6"/>
  <c r="C69" i="6"/>
  <c r="F69" i="6"/>
  <c r="I69" i="6"/>
  <c r="K69" i="6"/>
  <c r="B69" i="6"/>
  <c r="H69" i="6"/>
  <c r="B68" i="6"/>
  <c r="F68" i="6"/>
  <c r="C68" i="6"/>
  <c r="J68" i="6"/>
  <c r="D68" i="6"/>
  <c r="G68" i="6"/>
  <c r="H68" i="6"/>
  <c r="K68" i="6"/>
  <c r="L68" i="6"/>
  <c r="A68" i="6"/>
  <c r="E68" i="6"/>
  <c r="I68" i="6"/>
  <c r="A65" i="6"/>
  <c r="D65" i="6"/>
  <c r="G65" i="6"/>
  <c r="I65" i="6"/>
  <c r="C65" i="6"/>
  <c r="F65" i="6"/>
  <c r="J65" i="6"/>
  <c r="L65" i="6"/>
  <c r="B65" i="6"/>
  <c r="E65" i="6"/>
  <c r="H65" i="6"/>
  <c r="K65" i="6"/>
  <c r="E63" i="6"/>
  <c r="K63" i="6"/>
  <c r="B63" i="6"/>
  <c r="F63" i="6"/>
  <c r="J63" i="6"/>
  <c r="A63" i="6"/>
  <c r="C63" i="6"/>
  <c r="G63" i="6"/>
  <c r="L63" i="6"/>
  <c r="D63" i="6"/>
  <c r="H63" i="6"/>
  <c r="I63" i="6"/>
  <c r="B59" i="6"/>
  <c r="H59" i="6"/>
  <c r="J59" i="6"/>
  <c r="E59" i="6"/>
  <c r="G59" i="6"/>
  <c r="I59" i="6"/>
  <c r="A59" i="6"/>
  <c r="K59" i="6"/>
  <c r="L59" i="6"/>
  <c r="C59" i="6"/>
  <c r="D59" i="6"/>
  <c r="F59" i="6"/>
  <c r="F56" i="6"/>
  <c r="L56" i="6"/>
  <c r="A56" i="6"/>
  <c r="D56" i="6"/>
  <c r="J56" i="6"/>
  <c r="B56" i="6"/>
  <c r="E56" i="6"/>
  <c r="H56" i="6"/>
  <c r="K56" i="6"/>
  <c r="C56" i="6"/>
  <c r="G56" i="6"/>
  <c r="I56" i="6"/>
  <c r="C55" i="6"/>
  <c r="E55" i="6"/>
  <c r="H55" i="6"/>
  <c r="K55" i="6"/>
  <c r="L55" i="6"/>
  <c r="F55" i="6"/>
  <c r="J55" i="6"/>
  <c r="A55" i="6"/>
  <c r="G55" i="6"/>
  <c r="I55" i="6"/>
  <c r="B55" i="6"/>
  <c r="D55" i="6"/>
  <c r="D49" i="6"/>
  <c r="E49" i="6"/>
  <c r="H49" i="6"/>
  <c r="J49" i="6"/>
  <c r="A49" i="6"/>
  <c r="C49" i="6"/>
  <c r="F49" i="6"/>
  <c r="K49" i="6"/>
  <c r="L49" i="6"/>
  <c r="B49" i="6"/>
  <c r="G49" i="6"/>
  <c r="I49" i="6"/>
  <c r="D44" i="6"/>
  <c r="J44" i="6"/>
  <c r="L44" i="6"/>
  <c r="B44" i="6"/>
  <c r="F44" i="6"/>
  <c r="H44" i="6"/>
  <c r="K44" i="6"/>
  <c r="A44" i="6"/>
  <c r="C44" i="6"/>
  <c r="E44" i="6"/>
  <c r="G44" i="6"/>
  <c r="I44" i="6"/>
  <c r="C39" i="6"/>
  <c r="F39" i="6"/>
  <c r="A39" i="6"/>
  <c r="I39" i="6"/>
  <c r="D39" i="6"/>
  <c r="G39" i="6"/>
  <c r="K39" i="6"/>
  <c r="L39" i="6"/>
  <c r="B39" i="6"/>
  <c r="E39" i="6"/>
  <c r="H39" i="6"/>
  <c r="J39" i="6"/>
  <c r="C29" i="6"/>
  <c r="E29" i="6"/>
  <c r="H29" i="6"/>
  <c r="B29" i="6"/>
  <c r="I29" i="6"/>
  <c r="A29" i="6"/>
  <c r="G29" i="6"/>
  <c r="K29" i="6"/>
  <c r="L29" i="6"/>
  <c r="D29" i="6"/>
  <c r="F29" i="6"/>
  <c r="J29" i="6"/>
  <c r="C28" i="6"/>
  <c r="G28" i="6"/>
  <c r="K28" i="6"/>
  <c r="A28" i="6"/>
  <c r="F28" i="6"/>
  <c r="L28" i="6"/>
  <c r="B28" i="6"/>
  <c r="I28" i="6"/>
  <c r="D28" i="6"/>
  <c r="E28" i="6"/>
  <c r="H28" i="6"/>
  <c r="J28" i="6"/>
  <c r="B26" i="6"/>
  <c r="H26" i="6"/>
  <c r="J26" i="6"/>
  <c r="C26" i="6"/>
  <c r="F26" i="6"/>
  <c r="A26" i="6"/>
  <c r="E26" i="6"/>
  <c r="I26" i="6"/>
  <c r="K26" i="6"/>
  <c r="L26" i="6"/>
  <c r="D26" i="6"/>
  <c r="G26" i="6"/>
  <c r="D25" i="6"/>
  <c r="J25" i="6"/>
  <c r="A25" i="6"/>
  <c r="E25" i="6"/>
  <c r="C25" i="6"/>
  <c r="F25" i="6"/>
  <c r="G25" i="6"/>
  <c r="H25" i="6"/>
  <c r="K25" i="6"/>
  <c r="L25" i="6"/>
  <c r="B25" i="6"/>
  <c r="I25" i="6"/>
  <c r="A23" i="6"/>
  <c r="D23" i="6"/>
  <c r="G23" i="6"/>
  <c r="J23" i="6"/>
  <c r="L23" i="6"/>
  <c r="C23" i="6"/>
  <c r="I23" i="6"/>
  <c r="K23" i="6"/>
  <c r="E23" i="6"/>
  <c r="H23" i="6"/>
  <c r="B23" i="6"/>
  <c r="F23" i="6"/>
  <c r="B16" i="6"/>
  <c r="H16" i="6"/>
  <c r="A16" i="6"/>
  <c r="D16" i="6"/>
  <c r="L16" i="6"/>
  <c r="F16" i="6"/>
  <c r="J16" i="6"/>
  <c r="K16" i="6"/>
  <c r="C16" i="6"/>
  <c r="E16" i="6"/>
  <c r="G16" i="6"/>
  <c r="I16" i="6"/>
  <c r="B15" i="6"/>
  <c r="E15" i="6"/>
  <c r="L15" i="6"/>
  <c r="C15" i="6"/>
  <c r="I15" i="6"/>
  <c r="A15" i="6"/>
  <c r="G15" i="6"/>
  <c r="H15" i="6"/>
  <c r="J15" i="6"/>
  <c r="D15" i="6"/>
  <c r="F15" i="6"/>
  <c r="K15" i="6"/>
  <c r="L14" i="6"/>
  <c r="A14" i="6"/>
  <c r="B14" i="6"/>
  <c r="C14" i="6"/>
  <c r="D14" i="6"/>
  <c r="E14" i="6"/>
  <c r="F14" i="6"/>
  <c r="G14" i="6"/>
  <c r="H14" i="6"/>
  <c r="I14" i="6"/>
  <c r="J14" i="6"/>
  <c r="K14" i="6"/>
  <c r="A440" i="6"/>
  <c r="B440" i="6"/>
  <c r="C440" i="6"/>
  <c r="D440" i="6"/>
  <c r="E440" i="6"/>
  <c r="F440" i="6"/>
  <c r="G440" i="6"/>
  <c r="H440" i="6"/>
  <c r="I440" i="6"/>
  <c r="J440" i="6"/>
  <c r="K440" i="6"/>
  <c r="L440" i="6"/>
  <c r="A439" i="6"/>
  <c r="B439" i="6"/>
  <c r="C439" i="6"/>
  <c r="D439" i="6"/>
  <c r="E439" i="6"/>
  <c r="F439" i="6"/>
  <c r="G439" i="6"/>
  <c r="H439" i="6"/>
  <c r="I439" i="6"/>
  <c r="J439" i="6"/>
  <c r="K439" i="6"/>
  <c r="L439" i="6"/>
  <c r="A438" i="6"/>
  <c r="B438" i="6"/>
  <c r="C438" i="6"/>
  <c r="D438" i="6"/>
  <c r="E438" i="6"/>
  <c r="F438" i="6"/>
  <c r="G438" i="6"/>
  <c r="H438" i="6"/>
  <c r="I438" i="6"/>
  <c r="J438" i="6"/>
  <c r="K438" i="6"/>
  <c r="L438" i="6"/>
  <c r="A437" i="6"/>
  <c r="B437" i="6"/>
  <c r="C437" i="6"/>
  <c r="D437" i="6"/>
  <c r="E437" i="6"/>
  <c r="F437" i="6"/>
  <c r="G437" i="6"/>
  <c r="H437" i="6"/>
  <c r="I437" i="6"/>
  <c r="J437" i="6"/>
  <c r="K437" i="6"/>
  <c r="L437" i="6"/>
  <c r="A436" i="6"/>
  <c r="B436" i="6"/>
  <c r="C436" i="6"/>
  <c r="D436" i="6"/>
  <c r="E436" i="6"/>
  <c r="F436" i="6"/>
  <c r="G436" i="6"/>
  <c r="H436" i="6"/>
  <c r="K347" i="6"/>
  <c r="L347" i="6"/>
  <c r="B347" i="6"/>
  <c r="L254" i="6"/>
  <c r="F252" i="6"/>
  <c r="H252" i="6"/>
  <c r="G252" i="6"/>
  <c r="K252" i="6"/>
  <c r="E250" i="6"/>
  <c r="A246" i="6"/>
  <c r="K246" i="6"/>
  <c r="G245" i="6"/>
  <c r="K245" i="6"/>
  <c r="B244" i="6"/>
  <c r="F244" i="6"/>
  <c r="C243" i="6"/>
  <c r="K243" i="6"/>
  <c r="E238" i="6"/>
  <c r="G238" i="6"/>
  <c r="A237" i="6"/>
  <c r="J234" i="6"/>
  <c r="C233" i="6"/>
  <c r="E233" i="6"/>
  <c r="I232" i="6"/>
  <c r="E230" i="6"/>
  <c r="D67" i="6"/>
  <c r="I67" i="6"/>
  <c r="L64" i="6"/>
  <c r="A64" i="6"/>
  <c r="G61" i="6"/>
  <c r="E61" i="6"/>
  <c r="I61" i="6"/>
  <c r="H221" i="6"/>
  <c r="E220" i="6"/>
  <c r="I220" i="6"/>
  <c r="E219" i="6"/>
  <c r="D218" i="6"/>
  <c r="H216" i="6"/>
  <c r="B215" i="6"/>
  <c r="G212" i="6"/>
  <c r="F211" i="6"/>
  <c r="J211" i="6"/>
  <c r="H210" i="6"/>
  <c r="E407" i="6"/>
  <c r="K405" i="6"/>
  <c r="K404" i="6"/>
  <c r="D400" i="6"/>
  <c r="L398" i="6"/>
  <c r="L397" i="6"/>
  <c r="G283" i="6"/>
  <c r="H276" i="6"/>
  <c r="I274" i="6"/>
  <c r="J272" i="6"/>
  <c r="E279" i="6"/>
  <c r="K279" i="6"/>
  <c r="D279" i="6"/>
  <c r="J279" i="6"/>
  <c r="A278" i="6"/>
  <c r="H278" i="6"/>
  <c r="B278" i="6"/>
  <c r="F278" i="6"/>
  <c r="I278" i="6"/>
  <c r="L278" i="6"/>
  <c r="C275" i="6"/>
  <c r="K275" i="6"/>
  <c r="D275" i="6"/>
  <c r="F275" i="6"/>
  <c r="H275" i="6"/>
  <c r="L275" i="6"/>
  <c r="F273" i="6"/>
  <c r="B273" i="6"/>
  <c r="E273" i="6"/>
  <c r="C271" i="6"/>
  <c r="A271" i="6"/>
  <c r="H271" i="6"/>
  <c r="J271" i="6"/>
  <c r="L271" i="6"/>
  <c r="J298" i="6"/>
  <c r="D297" i="6"/>
  <c r="L296" i="6"/>
  <c r="D295" i="6"/>
  <c r="F295" i="6"/>
  <c r="E294" i="6"/>
  <c r="H294" i="6"/>
  <c r="A293" i="6"/>
  <c r="J293" i="6"/>
  <c r="A292" i="6"/>
  <c r="D292" i="6"/>
  <c r="H227" i="6"/>
  <c r="B225" i="6"/>
  <c r="K225" i="6"/>
  <c r="D224" i="6"/>
  <c r="J224" i="6"/>
  <c r="G223" i="6"/>
  <c r="A222" i="6"/>
  <c r="A221" i="6"/>
  <c r="J220" i="6"/>
  <c r="G215" i="6"/>
  <c r="G211" i="6"/>
  <c r="H410" i="6"/>
  <c r="A408" i="6"/>
  <c r="J401" i="6"/>
  <c r="A400" i="6"/>
  <c r="A282" i="6"/>
  <c r="C209" i="6"/>
  <c r="D209" i="6"/>
  <c r="J209" i="6"/>
  <c r="D149" i="6"/>
  <c r="E148" i="6"/>
  <c r="I148" i="6"/>
  <c r="F143" i="6"/>
  <c r="D140" i="6"/>
  <c r="G138" i="6"/>
  <c r="H455" i="6"/>
  <c r="A394" i="6"/>
  <c r="A134" i="6"/>
  <c r="F134" i="6"/>
  <c r="D133" i="6"/>
  <c r="C132" i="6"/>
  <c r="L132" i="6"/>
  <c r="J131" i="6"/>
  <c r="D130" i="6"/>
  <c r="G130" i="6"/>
  <c r="J130" i="6"/>
  <c r="G129" i="6"/>
  <c r="I129" i="6"/>
  <c r="E128" i="6"/>
  <c r="A127" i="6"/>
  <c r="F127" i="6"/>
  <c r="L127" i="6"/>
  <c r="F126" i="6"/>
  <c r="A125" i="6"/>
  <c r="J125" i="6"/>
  <c r="D124" i="6"/>
  <c r="L124" i="6"/>
  <c r="H123" i="6"/>
  <c r="J123" i="6"/>
  <c r="C122" i="6"/>
  <c r="G122" i="6"/>
  <c r="A121" i="6"/>
  <c r="J121" i="6"/>
  <c r="E115" i="6"/>
  <c r="K115" i="6"/>
  <c r="L115" i="6"/>
  <c r="I114" i="6"/>
  <c r="L114" i="6"/>
  <c r="K113" i="6"/>
  <c r="G112" i="6"/>
  <c r="I112" i="6"/>
  <c r="K112" i="6"/>
  <c r="L112" i="6"/>
  <c r="K111" i="6"/>
  <c r="A110" i="6"/>
  <c r="K110" i="6"/>
  <c r="D109" i="6"/>
  <c r="G109" i="6"/>
  <c r="E107" i="6"/>
  <c r="H107" i="6"/>
  <c r="I107" i="6"/>
  <c r="A106" i="6"/>
  <c r="B106" i="6"/>
  <c r="D106" i="6"/>
  <c r="H106" i="6"/>
  <c r="A105" i="6"/>
  <c r="G105" i="6"/>
  <c r="K105" i="6"/>
  <c r="G80" i="6"/>
  <c r="F506" i="6"/>
  <c r="E505" i="6"/>
  <c r="J503" i="6"/>
  <c r="G502" i="6"/>
  <c r="F487" i="6"/>
  <c r="D486" i="6"/>
  <c r="K485" i="6"/>
  <c r="A479" i="6"/>
  <c r="D477" i="6"/>
  <c r="K477" i="6"/>
  <c r="K462" i="6"/>
  <c r="H457" i="6"/>
  <c r="F454" i="6"/>
  <c r="B451" i="6"/>
  <c r="D451" i="6"/>
  <c r="J411" i="6"/>
  <c r="K399" i="6"/>
  <c r="K281" i="6"/>
  <c r="I276" i="6"/>
  <c r="C104" i="6"/>
  <c r="G104" i="6"/>
  <c r="J104" i="6"/>
  <c r="A103" i="6"/>
  <c r="E103" i="6"/>
  <c r="J103" i="6"/>
  <c r="H102" i="6"/>
  <c r="E101" i="6"/>
  <c r="J101" i="6"/>
  <c r="E100" i="6"/>
  <c r="H100" i="6"/>
  <c r="K100" i="6"/>
  <c r="K99" i="6"/>
  <c r="L99" i="6"/>
  <c r="E98" i="6"/>
  <c r="L98" i="6"/>
  <c r="J97" i="6"/>
  <c r="A96" i="6"/>
  <c r="J96" i="6"/>
  <c r="K95" i="6"/>
  <c r="L95" i="6"/>
  <c r="L94" i="6"/>
  <c r="J93" i="6"/>
  <c r="L93" i="6"/>
  <c r="E92" i="6"/>
  <c r="A91" i="6"/>
  <c r="F91" i="6"/>
  <c r="H91" i="6"/>
  <c r="E90" i="6"/>
  <c r="E89" i="6"/>
  <c r="J89" i="6"/>
  <c r="G88" i="6"/>
  <c r="F87" i="6"/>
  <c r="G86" i="6"/>
  <c r="F85" i="6"/>
  <c r="H85" i="6"/>
  <c r="D84" i="6"/>
  <c r="D83" i="6"/>
  <c r="I83" i="6"/>
  <c r="C82" i="6"/>
  <c r="D82" i="6"/>
  <c r="E82" i="6"/>
  <c r="E81" i="6"/>
  <c r="J81" i="6"/>
  <c r="C509" i="6"/>
  <c r="I509" i="6"/>
  <c r="F508" i="6"/>
  <c r="C505" i="6"/>
  <c r="F505" i="6"/>
  <c r="G487" i="6"/>
  <c r="I485" i="6"/>
  <c r="L478" i="6"/>
  <c r="I477" i="6"/>
  <c r="F476" i="6"/>
  <c r="G456" i="6"/>
  <c r="E452" i="6"/>
  <c r="F407" i="6"/>
  <c r="E400" i="6"/>
  <c r="C392" i="6"/>
  <c r="F283" i="6"/>
  <c r="F79" i="6"/>
  <c r="H79" i="6"/>
  <c r="J79" i="6"/>
  <c r="H78" i="6"/>
  <c r="C77" i="6"/>
  <c r="F77" i="6"/>
  <c r="A76" i="6"/>
  <c r="D76" i="6"/>
  <c r="H76" i="6"/>
  <c r="C75" i="6"/>
  <c r="H75" i="6"/>
  <c r="D74" i="6"/>
  <c r="F74" i="6"/>
  <c r="J74" i="6"/>
  <c r="K73" i="6"/>
  <c r="E72" i="6"/>
  <c r="F72" i="6"/>
  <c r="J72" i="6"/>
  <c r="L72" i="6"/>
  <c r="L71" i="6"/>
  <c r="F58" i="6"/>
  <c r="G58" i="6"/>
  <c r="E57" i="6"/>
  <c r="I57" i="6"/>
  <c r="C57" i="6"/>
  <c r="G57" i="6"/>
  <c r="F57" i="6"/>
  <c r="H54" i="6"/>
  <c r="L54" i="6"/>
  <c r="E54" i="6"/>
  <c r="C50" i="6"/>
  <c r="G50" i="6"/>
  <c r="J46" i="6"/>
  <c r="C46" i="6"/>
  <c r="B32" i="6"/>
  <c r="D32" i="6"/>
  <c r="B30" i="6"/>
  <c r="C30" i="6"/>
  <c r="H30" i="6"/>
  <c r="G30" i="6"/>
  <c r="E22" i="6"/>
  <c r="J22" i="6"/>
  <c r="I22" i="6"/>
  <c r="F22" i="6"/>
  <c r="D21" i="6"/>
  <c r="E21" i="6"/>
  <c r="B20" i="6"/>
  <c r="J20" i="6"/>
  <c r="C120" i="6"/>
  <c r="I120" i="6"/>
  <c r="A119" i="6"/>
  <c r="C119" i="6"/>
  <c r="E119" i="6"/>
  <c r="B118" i="6"/>
  <c r="I118" i="6"/>
  <c r="L118" i="6"/>
  <c r="E117" i="6"/>
  <c r="K117" i="6"/>
  <c r="G116" i="6"/>
  <c r="L116" i="6"/>
  <c r="D504" i="6"/>
  <c r="F504" i="6"/>
  <c r="G503" i="6"/>
  <c r="B502" i="6"/>
  <c r="A501" i="6"/>
  <c r="E487" i="6"/>
  <c r="C486" i="6"/>
  <c r="H485" i="6"/>
  <c r="H482" i="6"/>
  <c r="B476" i="6"/>
  <c r="E461" i="6"/>
  <c r="J459" i="6"/>
  <c r="F456" i="6"/>
  <c r="I455" i="6"/>
  <c r="A451" i="6"/>
  <c r="L411" i="6"/>
  <c r="I409" i="6"/>
  <c r="A401" i="6"/>
  <c r="G276" i="6"/>
  <c r="I436" i="6"/>
  <c r="J436" i="6"/>
  <c r="K436" i="6"/>
  <c r="L436" i="6"/>
  <c r="A435" i="6"/>
  <c r="B435" i="6"/>
  <c r="C435" i="6"/>
  <c r="D435" i="6"/>
  <c r="E435" i="6"/>
  <c r="F435" i="6"/>
  <c r="G435" i="6"/>
  <c r="H435" i="6"/>
  <c r="I435" i="6"/>
  <c r="J435" i="6"/>
  <c r="K435" i="6"/>
  <c r="L435" i="6"/>
  <c r="A434" i="6"/>
  <c r="B434" i="6"/>
  <c r="C434" i="6"/>
  <c r="D434" i="6"/>
  <c r="E434" i="6"/>
  <c r="F434" i="6"/>
  <c r="G434" i="6"/>
  <c r="H434" i="6"/>
  <c r="I434" i="6"/>
  <c r="J434" i="6"/>
  <c r="K434" i="6"/>
  <c r="L434" i="6"/>
  <c r="G288" i="6"/>
  <c r="B284" i="6"/>
  <c r="J284" i="6"/>
  <c r="A284" i="6"/>
  <c r="E284" i="6"/>
  <c r="I284" i="6"/>
  <c r="K284" i="6"/>
  <c r="A280" i="6"/>
  <c r="F280" i="6"/>
  <c r="I280" i="6"/>
  <c r="J280" i="6"/>
  <c r="E280" i="6"/>
  <c r="K280" i="6"/>
  <c r="E258" i="6"/>
  <c r="H258" i="6"/>
  <c r="J258" i="6"/>
  <c r="L250" i="6"/>
  <c r="A250" i="6"/>
  <c r="D250" i="6"/>
  <c r="F250" i="6"/>
  <c r="G250" i="6"/>
  <c r="I250" i="6"/>
  <c r="B248" i="6"/>
  <c r="G248" i="6"/>
  <c r="I248" i="6"/>
  <c r="K248" i="6"/>
  <c r="L248" i="6"/>
  <c r="A248" i="6"/>
  <c r="E248" i="6"/>
  <c r="H248" i="6"/>
  <c r="B246" i="6"/>
  <c r="G246" i="6"/>
  <c r="I246" i="6"/>
  <c r="C246" i="6"/>
  <c r="F246" i="6"/>
  <c r="J246" i="6"/>
  <c r="A245" i="6"/>
  <c r="D245" i="6"/>
  <c r="F245" i="6"/>
  <c r="H245" i="6"/>
  <c r="B245" i="6"/>
  <c r="E245" i="6"/>
  <c r="L245" i="6"/>
  <c r="C244" i="6"/>
  <c r="G244" i="6"/>
  <c r="L244" i="6"/>
  <c r="D244" i="6"/>
  <c r="F243" i="6"/>
  <c r="I243" i="6"/>
  <c r="G243" i="6"/>
  <c r="B243" i="6"/>
  <c r="H243" i="6"/>
  <c r="L243" i="6"/>
  <c r="D238" i="6"/>
  <c r="H238" i="6"/>
  <c r="K238" i="6"/>
  <c r="L238" i="6"/>
  <c r="C238" i="6"/>
  <c r="J238" i="6"/>
  <c r="F237" i="6"/>
  <c r="D237" i="6"/>
  <c r="G237" i="6"/>
  <c r="K237" i="6"/>
  <c r="E234" i="6"/>
  <c r="K234" i="6"/>
  <c r="F234" i="6"/>
  <c r="C234" i="6"/>
  <c r="D234" i="6"/>
  <c r="A233" i="6"/>
  <c r="G233" i="6"/>
  <c r="D232" i="6"/>
  <c r="G232" i="6"/>
  <c r="B232" i="6"/>
  <c r="H232" i="6"/>
  <c r="K230" i="6"/>
  <c r="B230" i="6"/>
  <c r="A230" i="6"/>
  <c r="G230" i="6"/>
  <c r="J67" i="6"/>
  <c r="F67" i="6"/>
  <c r="K67" i="6"/>
  <c r="L67" i="6"/>
  <c r="E67" i="6"/>
  <c r="B64" i="6"/>
  <c r="I64" i="6"/>
  <c r="E64" i="6"/>
  <c r="C61" i="6"/>
  <c r="J61" i="6"/>
  <c r="F221" i="6"/>
  <c r="A218" i="6"/>
  <c r="I218" i="6"/>
  <c r="A217" i="6"/>
  <c r="H217" i="6"/>
  <c r="J217" i="6"/>
  <c r="C216" i="6"/>
  <c r="G216" i="6"/>
  <c r="I216" i="6"/>
  <c r="K216" i="6"/>
  <c r="A215" i="6"/>
  <c r="H215" i="6"/>
  <c r="E214" i="6"/>
  <c r="G214" i="6"/>
  <c r="K214" i="6"/>
  <c r="A213" i="6"/>
  <c r="G213" i="6"/>
  <c r="C212" i="6"/>
  <c r="B211" i="6"/>
  <c r="E211" i="6"/>
  <c r="I211" i="6"/>
  <c r="C210" i="6"/>
  <c r="E210" i="6"/>
  <c r="D408" i="6"/>
  <c r="G408" i="6"/>
  <c r="J408" i="6"/>
  <c r="H404" i="6"/>
  <c r="J403" i="6"/>
  <c r="I402" i="6"/>
  <c r="C401" i="6"/>
  <c r="C399" i="6"/>
  <c r="D399" i="6"/>
  <c r="H398" i="6"/>
  <c r="G397" i="6"/>
  <c r="A396" i="6"/>
  <c r="B395" i="6"/>
  <c r="J395" i="6"/>
  <c r="E393" i="6"/>
  <c r="I393" i="6"/>
  <c r="E392" i="6"/>
  <c r="B391" i="6"/>
  <c r="I391" i="6"/>
  <c r="H283" i="6"/>
  <c r="G282" i="6"/>
  <c r="I282" i="6"/>
  <c r="G281" i="6"/>
  <c r="F281" i="6"/>
  <c r="E277" i="6"/>
  <c r="J276" i="6"/>
  <c r="C274" i="6"/>
  <c r="E272" i="6"/>
  <c r="I272" i="6"/>
  <c r="A433" i="6"/>
  <c r="B433" i="6"/>
  <c r="C433" i="6"/>
  <c r="D433" i="6"/>
  <c r="E433" i="6"/>
  <c r="F433" i="6"/>
  <c r="G433" i="6"/>
  <c r="H433" i="6"/>
  <c r="I433" i="6"/>
  <c r="J433" i="6"/>
  <c r="K433" i="6"/>
  <c r="L433" i="6"/>
  <c r="A432" i="6"/>
  <c r="B432" i="6"/>
  <c r="C432" i="6"/>
  <c r="D432" i="6"/>
  <c r="E432" i="6"/>
  <c r="F432" i="6"/>
  <c r="G432" i="6"/>
  <c r="H432" i="6"/>
  <c r="I432" i="6"/>
  <c r="J432" i="6"/>
  <c r="K432" i="6"/>
  <c r="L432" i="6"/>
  <c r="A431" i="6"/>
  <c r="B431" i="6"/>
  <c r="C431" i="6"/>
  <c r="D431" i="6"/>
  <c r="E431" i="6"/>
  <c r="F431" i="6"/>
  <c r="G431" i="6"/>
  <c r="H431" i="6"/>
  <c r="I431" i="6"/>
  <c r="J431" i="6"/>
  <c r="K431" i="6"/>
  <c r="L431" i="6"/>
  <c r="B371" i="6"/>
  <c r="D371" i="6"/>
  <c r="E371" i="6"/>
  <c r="F371" i="6"/>
  <c r="G371" i="6"/>
  <c r="H371" i="6"/>
  <c r="I371" i="6"/>
  <c r="J371" i="6"/>
  <c r="K371" i="6"/>
  <c r="L371" i="6"/>
  <c r="A371" i="6"/>
  <c r="C371" i="6"/>
  <c r="A365" i="6"/>
  <c r="C365" i="6"/>
  <c r="D365" i="6"/>
  <c r="G365" i="6"/>
  <c r="I365" i="6"/>
  <c r="L365" i="6"/>
  <c r="B365" i="6"/>
  <c r="E365" i="6"/>
  <c r="F365" i="6"/>
  <c r="H365" i="6"/>
  <c r="J365" i="6"/>
  <c r="K365" i="6"/>
  <c r="C364" i="6"/>
  <c r="D364" i="6"/>
  <c r="F364" i="6"/>
  <c r="I364" i="6"/>
  <c r="K364" i="6"/>
  <c r="L364" i="6"/>
  <c r="A364" i="6"/>
  <c r="B364" i="6"/>
  <c r="E364" i="6"/>
  <c r="G364" i="6"/>
  <c r="H364" i="6"/>
  <c r="J364" i="6"/>
  <c r="A361" i="6"/>
  <c r="B361" i="6"/>
  <c r="C361" i="6"/>
  <c r="D361" i="6"/>
  <c r="E361" i="6"/>
  <c r="F361" i="6"/>
  <c r="G361" i="6"/>
  <c r="H361" i="6"/>
  <c r="I361" i="6"/>
  <c r="J361" i="6"/>
  <c r="K361" i="6"/>
  <c r="L361" i="6"/>
  <c r="A360" i="6"/>
  <c r="B360" i="6"/>
  <c r="C360" i="6"/>
  <c r="D360" i="6"/>
  <c r="E360" i="6"/>
  <c r="F360" i="6"/>
  <c r="G360" i="6"/>
  <c r="H360" i="6"/>
  <c r="I360" i="6"/>
  <c r="J360" i="6"/>
  <c r="K360" i="6"/>
  <c r="L360" i="6"/>
  <c r="B359" i="6"/>
  <c r="D359" i="6"/>
  <c r="F359" i="6"/>
  <c r="A359" i="6"/>
  <c r="C359" i="6"/>
  <c r="E359" i="6"/>
  <c r="G359" i="6"/>
  <c r="H359" i="6"/>
  <c r="I359" i="6"/>
  <c r="J359" i="6"/>
  <c r="K359" i="6"/>
  <c r="L359" i="6"/>
  <c r="C357" i="6"/>
  <c r="E357" i="6"/>
  <c r="F357" i="6"/>
  <c r="G357" i="6"/>
  <c r="K357" i="6"/>
  <c r="L357" i="6"/>
  <c r="A357" i="6"/>
  <c r="B357" i="6"/>
  <c r="D357" i="6"/>
  <c r="H357" i="6"/>
  <c r="I357" i="6"/>
  <c r="J357" i="6"/>
  <c r="B351" i="6"/>
  <c r="D351" i="6"/>
  <c r="F351" i="6"/>
  <c r="H351" i="6"/>
  <c r="J351" i="6"/>
  <c r="A351" i="6"/>
  <c r="C351" i="6"/>
  <c r="E351" i="6"/>
  <c r="G351" i="6"/>
  <c r="I351" i="6"/>
  <c r="K351" i="6"/>
  <c r="L351" i="6"/>
  <c r="B349" i="6"/>
  <c r="C349" i="6"/>
  <c r="D349" i="6"/>
  <c r="E349" i="6"/>
  <c r="G349" i="6"/>
  <c r="I349" i="6"/>
  <c r="K349" i="6"/>
  <c r="A349" i="6"/>
  <c r="F349" i="6"/>
  <c r="H349" i="6"/>
  <c r="J349" i="6"/>
  <c r="L349" i="6"/>
  <c r="A347" i="6"/>
  <c r="C347" i="6"/>
  <c r="E347" i="6"/>
  <c r="G347" i="6"/>
  <c r="I347" i="6"/>
  <c r="E252" i="6"/>
  <c r="J252" i="6"/>
  <c r="D252" i="6"/>
  <c r="L252" i="6"/>
  <c r="H250" i="6"/>
  <c r="H246" i="6"/>
  <c r="I244" i="6"/>
  <c r="J243" i="6"/>
  <c r="E243" i="6"/>
  <c r="A238" i="6"/>
  <c r="I238" i="6"/>
  <c r="B238" i="6"/>
  <c r="B234" i="6"/>
  <c r="G234" i="6"/>
  <c r="J233" i="6"/>
  <c r="F232" i="6"/>
  <c r="A232" i="6"/>
  <c r="H230" i="6"/>
  <c r="B67" i="6"/>
  <c r="H67" i="6"/>
  <c r="D64" i="6"/>
  <c r="B61" i="6"/>
  <c r="A61" i="6"/>
  <c r="F61" i="6"/>
  <c r="D221" i="6"/>
  <c r="J221" i="6"/>
  <c r="B220" i="6"/>
  <c r="G220" i="6"/>
  <c r="A219" i="6"/>
  <c r="I219" i="6"/>
  <c r="C218" i="6"/>
  <c r="H218" i="6"/>
  <c r="E217" i="6"/>
  <c r="A214" i="6"/>
  <c r="A211" i="6"/>
  <c r="F210" i="6"/>
  <c r="C407" i="6"/>
  <c r="C406" i="6"/>
  <c r="J402" i="6"/>
  <c r="I400" i="6"/>
  <c r="I399" i="6"/>
  <c r="C395" i="6"/>
  <c r="D391" i="6"/>
  <c r="A277" i="6"/>
  <c r="F276" i="6"/>
  <c r="A279" i="6"/>
  <c r="C279" i="6"/>
  <c r="H279" i="6"/>
  <c r="I279" i="6"/>
  <c r="L279" i="6"/>
  <c r="G279" i="6"/>
  <c r="E278" i="6"/>
  <c r="J278" i="6"/>
  <c r="D278" i="6"/>
  <c r="G278" i="6"/>
  <c r="K278" i="6"/>
  <c r="G275" i="6"/>
  <c r="B275" i="6"/>
  <c r="D273" i="6"/>
  <c r="H273" i="6"/>
  <c r="K273" i="6"/>
  <c r="L273" i="6"/>
  <c r="I273" i="6"/>
  <c r="B271" i="6"/>
  <c r="G271" i="6"/>
  <c r="F271" i="6"/>
  <c r="K271" i="6"/>
  <c r="I299" i="6"/>
  <c r="A298" i="6"/>
  <c r="E298" i="6"/>
  <c r="I298" i="6"/>
  <c r="F297" i="6"/>
  <c r="J296" i="6"/>
  <c r="E295" i="6"/>
  <c r="I295" i="6"/>
  <c r="C294" i="6"/>
  <c r="I294" i="6"/>
  <c r="L294" i="6"/>
  <c r="F293" i="6"/>
  <c r="B292" i="6"/>
  <c r="G292" i="6"/>
  <c r="L227" i="6"/>
  <c r="I225" i="6"/>
  <c r="F224" i="6"/>
  <c r="D223" i="6"/>
  <c r="K223" i="6"/>
  <c r="E222" i="6"/>
  <c r="I222" i="6"/>
  <c r="L222" i="6"/>
  <c r="K218" i="6"/>
  <c r="L217" i="6"/>
  <c r="D215" i="6"/>
  <c r="I212" i="6"/>
  <c r="F408" i="6"/>
  <c r="B406" i="6"/>
  <c r="J406" i="6"/>
  <c r="A402" i="6"/>
  <c r="J397" i="6"/>
  <c r="B393" i="6"/>
  <c r="H282" i="6"/>
  <c r="J274" i="6"/>
  <c r="A209" i="6"/>
  <c r="B209" i="6"/>
  <c r="E209" i="6"/>
  <c r="G209" i="6"/>
  <c r="A208" i="6"/>
  <c r="E149" i="6"/>
  <c r="B148" i="6"/>
  <c r="F146" i="6"/>
  <c r="E145" i="6"/>
  <c r="I143" i="6"/>
  <c r="A140" i="6"/>
  <c r="J135" i="6"/>
  <c r="A391" i="6"/>
  <c r="B134" i="6"/>
  <c r="G134" i="6"/>
  <c r="L134" i="6"/>
  <c r="G133" i="6"/>
  <c r="L133" i="6"/>
  <c r="D132" i="6"/>
  <c r="B131" i="6"/>
  <c r="F131" i="6"/>
  <c r="C130" i="6"/>
  <c r="C129" i="6"/>
  <c r="H129" i="6"/>
  <c r="G128" i="6"/>
  <c r="E127" i="6"/>
  <c r="H127" i="6"/>
  <c r="K127" i="6"/>
  <c r="A126" i="6"/>
  <c r="E126" i="6"/>
  <c r="K126" i="6"/>
  <c r="B125" i="6"/>
  <c r="G125" i="6"/>
  <c r="I124" i="6"/>
  <c r="E123" i="6"/>
  <c r="K123" i="6"/>
  <c r="L122" i="6"/>
  <c r="B121" i="6"/>
  <c r="E121" i="6"/>
  <c r="A115" i="6"/>
  <c r="I115" i="6"/>
  <c r="A114" i="6"/>
  <c r="E114" i="6"/>
  <c r="B113" i="6"/>
  <c r="E113" i="6"/>
  <c r="I113" i="6"/>
  <c r="A112" i="6"/>
  <c r="J112" i="6"/>
  <c r="B111" i="6"/>
  <c r="H111" i="6"/>
  <c r="A109" i="6"/>
  <c r="J109" i="6"/>
  <c r="A108" i="6"/>
  <c r="D108" i="6"/>
  <c r="F108" i="6"/>
  <c r="I108" i="6"/>
  <c r="A107" i="6"/>
  <c r="E106" i="6"/>
  <c r="G106" i="6"/>
  <c r="E105" i="6"/>
  <c r="C81" i="6"/>
  <c r="K80" i="6"/>
  <c r="I507" i="6"/>
  <c r="A504" i="6"/>
  <c r="J504" i="6"/>
  <c r="H502" i="6"/>
  <c r="H483" i="6"/>
  <c r="A481" i="6"/>
  <c r="F462" i="6"/>
  <c r="J455" i="6"/>
  <c r="B452" i="6"/>
  <c r="E411" i="6"/>
  <c r="E104" i="6"/>
  <c r="G103" i="6"/>
  <c r="C102" i="6"/>
  <c r="C101" i="6"/>
  <c r="F101" i="6"/>
  <c r="H101" i="6"/>
  <c r="I101" i="6"/>
  <c r="K101" i="6"/>
  <c r="B100" i="6"/>
  <c r="C100" i="6"/>
  <c r="G100" i="6"/>
  <c r="A99" i="6"/>
  <c r="J99" i="6"/>
  <c r="F98" i="6"/>
  <c r="G97" i="6"/>
  <c r="I97" i="6"/>
  <c r="L97" i="6"/>
  <c r="C96" i="6"/>
  <c r="G96" i="6"/>
  <c r="K96" i="6"/>
  <c r="L96" i="6"/>
  <c r="A95" i="6"/>
  <c r="E95" i="6"/>
  <c r="F95" i="6"/>
  <c r="I95" i="6"/>
  <c r="D93" i="6"/>
  <c r="H93" i="6"/>
  <c r="D92" i="6"/>
  <c r="I92" i="6"/>
  <c r="B91" i="6"/>
  <c r="A90" i="6"/>
  <c r="H90" i="6"/>
  <c r="D89" i="6"/>
  <c r="G89" i="6"/>
  <c r="L89" i="6"/>
  <c r="K88" i="6"/>
  <c r="B86" i="6"/>
  <c r="F86" i="6"/>
  <c r="D85" i="6"/>
  <c r="G85" i="6"/>
  <c r="B84" i="6"/>
  <c r="H84" i="6"/>
  <c r="I84" i="6"/>
  <c r="K84" i="6"/>
  <c r="C83" i="6"/>
  <c r="G83" i="6"/>
  <c r="H82" i="6"/>
  <c r="B81" i="6"/>
  <c r="F511" i="6"/>
  <c r="I505" i="6"/>
  <c r="J505" i="6"/>
  <c r="J487" i="6"/>
  <c r="A484" i="6"/>
  <c r="I484" i="6"/>
  <c r="K483" i="6"/>
  <c r="K481" i="6"/>
  <c r="G460" i="6"/>
  <c r="A456" i="6"/>
  <c r="L451" i="6"/>
  <c r="F403" i="6"/>
  <c r="I401" i="6"/>
  <c r="B394" i="6"/>
  <c r="K393" i="6"/>
  <c r="C79" i="6"/>
  <c r="E79" i="6"/>
  <c r="I79" i="6"/>
  <c r="K79" i="6"/>
  <c r="A78" i="6"/>
  <c r="K78" i="6"/>
  <c r="G77" i="6"/>
  <c r="I77" i="6"/>
  <c r="L77" i="6"/>
  <c r="C76" i="6"/>
  <c r="E75" i="6"/>
  <c r="L75" i="6"/>
  <c r="C74" i="6"/>
  <c r="C73" i="6"/>
  <c r="J73" i="6"/>
  <c r="C72" i="6"/>
  <c r="B71" i="6"/>
  <c r="G71" i="6"/>
  <c r="H71" i="6"/>
  <c r="H58" i="6"/>
  <c r="A58" i="6"/>
  <c r="L57" i="6"/>
  <c r="D57" i="6"/>
  <c r="K50" i="6"/>
  <c r="E46" i="6"/>
  <c r="F32" i="6"/>
  <c r="G22" i="6"/>
  <c r="H22" i="6"/>
  <c r="C21" i="6"/>
  <c r="J21" i="6"/>
  <c r="K21" i="6"/>
  <c r="G20" i="6"/>
  <c r="I119" i="6"/>
  <c r="C118" i="6"/>
  <c r="E118" i="6"/>
  <c r="H118" i="6"/>
  <c r="A117" i="6"/>
  <c r="G117" i="6"/>
  <c r="A116" i="6"/>
  <c r="E116" i="6"/>
  <c r="F116" i="6"/>
  <c r="H116" i="6"/>
  <c r="J116" i="6"/>
  <c r="C13" i="6"/>
  <c r="I13" i="6"/>
  <c r="G510" i="6"/>
  <c r="A509" i="6"/>
  <c r="K509" i="6"/>
  <c r="G508" i="6"/>
  <c r="H507" i="6"/>
  <c r="K504" i="6"/>
  <c r="E502" i="6"/>
  <c r="J502" i="6"/>
  <c r="A487" i="6"/>
  <c r="H487" i="6"/>
  <c r="C484" i="6"/>
  <c r="L484" i="6"/>
  <c r="L483" i="6"/>
  <c r="G481" i="6"/>
  <c r="J476" i="6"/>
  <c r="L462" i="6"/>
  <c r="C456" i="6"/>
  <c r="H412" i="6"/>
  <c r="F410" i="6"/>
  <c r="A405" i="6"/>
  <c r="D397" i="6"/>
  <c r="H277" i="6"/>
  <c r="D347" i="6"/>
  <c r="F347" i="6"/>
  <c r="H347" i="6"/>
  <c r="J347" i="6"/>
  <c r="A346" i="6"/>
  <c r="C346" i="6"/>
  <c r="E346" i="6"/>
  <c r="F346" i="6"/>
  <c r="H346" i="6"/>
  <c r="J346" i="6"/>
  <c r="K346" i="6"/>
  <c r="L346" i="6"/>
  <c r="B346" i="6"/>
  <c r="D346" i="6"/>
  <c r="G346" i="6"/>
  <c r="I346" i="6"/>
  <c r="B345" i="6"/>
  <c r="D345" i="6"/>
  <c r="E345" i="6"/>
  <c r="G345" i="6"/>
  <c r="K345" i="6"/>
  <c r="L345" i="6"/>
  <c r="A345" i="6"/>
  <c r="C345" i="6"/>
  <c r="F345" i="6"/>
  <c r="H345" i="6"/>
  <c r="I345" i="6"/>
  <c r="J345" i="6"/>
  <c r="A343" i="6"/>
  <c r="C343" i="6"/>
  <c r="E343" i="6"/>
  <c r="G343" i="6"/>
  <c r="H343" i="6"/>
  <c r="J343" i="6"/>
  <c r="K343" i="6"/>
  <c r="L343" i="6"/>
  <c r="B343" i="6"/>
  <c r="D343" i="6"/>
  <c r="F343" i="6"/>
  <c r="I343" i="6"/>
  <c r="A342" i="6"/>
  <c r="C342" i="6"/>
  <c r="D342" i="6"/>
  <c r="E342" i="6"/>
  <c r="G342" i="6"/>
  <c r="I342" i="6"/>
  <c r="K342" i="6"/>
  <c r="L342" i="6"/>
  <c r="B342" i="6"/>
  <c r="F342" i="6"/>
  <c r="H342" i="6"/>
  <c r="J342" i="6"/>
  <c r="A341" i="6"/>
  <c r="C341" i="6"/>
  <c r="H341" i="6"/>
  <c r="I341" i="6"/>
  <c r="J341" i="6"/>
  <c r="L341" i="6"/>
  <c r="B341" i="6"/>
  <c r="D341" i="6"/>
  <c r="E341" i="6"/>
  <c r="F341" i="6"/>
  <c r="G341" i="6"/>
  <c r="K341" i="6"/>
  <c r="A340" i="6"/>
  <c r="C340" i="6"/>
  <c r="E340" i="6"/>
  <c r="F340" i="6"/>
  <c r="H340" i="6"/>
  <c r="J340" i="6"/>
  <c r="L340" i="6"/>
  <c r="B340" i="6"/>
  <c r="D340" i="6"/>
  <c r="G340" i="6"/>
  <c r="I340" i="6"/>
  <c r="K340" i="6"/>
  <c r="B339" i="6"/>
  <c r="E339" i="6"/>
  <c r="G339" i="6"/>
  <c r="I339" i="6"/>
  <c r="J339" i="6"/>
  <c r="A339" i="6"/>
  <c r="C339" i="6"/>
  <c r="D339" i="6"/>
  <c r="F339" i="6"/>
  <c r="H339" i="6"/>
  <c r="K339" i="6"/>
  <c r="L339" i="6"/>
  <c r="C335" i="6"/>
  <c r="E335" i="6"/>
  <c r="G335" i="6"/>
  <c r="I335" i="6"/>
  <c r="K335" i="6"/>
  <c r="L335" i="6"/>
  <c r="A335" i="6"/>
  <c r="B335" i="6"/>
  <c r="D335" i="6"/>
  <c r="F335" i="6"/>
  <c r="H335" i="6"/>
  <c r="J335" i="6"/>
  <c r="B290" i="6"/>
  <c r="D290" i="6"/>
  <c r="F290" i="6"/>
  <c r="I290" i="6"/>
  <c r="J290" i="6"/>
  <c r="L290" i="6"/>
  <c r="A290" i="6"/>
  <c r="C290" i="6"/>
  <c r="E290" i="6"/>
  <c r="G290" i="6"/>
  <c r="H290" i="6"/>
  <c r="K290" i="6"/>
  <c r="A288" i="6"/>
  <c r="C288" i="6"/>
  <c r="F288" i="6"/>
  <c r="I288" i="6"/>
  <c r="K288" i="6"/>
  <c r="L288" i="6"/>
  <c r="B288" i="6"/>
  <c r="D288" i="6"/>
  <c r="E288" i="6"/>
  <c r="H288" i="6"/>
  <c r="J288" i="6"/>
  <c r="D284" i="6"/>
  <c r="F284" i="6"/>
  <c r="H284" i="6"/>
  <c r="C284" i="6"/>
  <c r="G284" i="6"/>
  <c r="L284" i="6"/>
  <c r="B280" i="6"/>
  <c r="D280" i="6"/>
  <c r="G280" i="6"/>
  <c r="C280" i="6"/>
  <c r="H280" i="6"/>
  <c r="L280" i="6"/>
  <c r="C258" i="6"/>
  <c r="G258" i="6"/>
  <c r="K258" i="6"/>
  <c r="B258" i="6"/>
  <c r="D258" i="6"/>
  <c r="I258" i="6"/>
  <c r="C254" i="6"/>
  <c r="F254" i="6"/>
  <c r="J254" i="6"/>
  <c r="A254" i="6"/>
  <c r="B254" i="6"/>
  <c r="D254" i="6"/>
  <c r="G254" i="6"/>
  <c r="I254" i="6"/>
  <c r="K254" i="6"/>
  <c r="B252" i="6"/>
  <c r="I252" i="6"/>
  <c r="E246" i="6"/>
  <c r="E244" i="6"/>
  <c r="J244" i="6"/>
  <c r="J237" i="6"/>
  <c r="C230" i="6"/>
  <c r="C64" i="6"/>
  <c r="F213" i="6"/>
  <c r="D403" i="6"/>
  <c r="E396" i="6"/>
  <c r="L393" i="6"/>
  <c r="K277" i="6"/>
  <c r="B274" i="6"/>
  <c r="F279" i="6"/>
  <c r="B279" i="6"/>
  <c r="C278" i="6"/>
  <c r="A275" i="6"/>
  <c r="E275" i="6"/>
  <c r="I275" i="6"/>
  <c r="J275" i="6"/>
  <c r="A273" i="6"/>
  <c r="J273" i="6"/>
  <c r="C273" i="6"/>
  <c r="G273" i="6"/>
  <c r="E271" i="6"/>
  <c r="I271" i="6"/>
  <c r="D271" i="6"/>
  <c r="L299" i="6"/>
  <c r="D298" i="6"/>
  <c r="I296" i="6"/>
  <c r="B295" i="6"/>
  <c r="K295" i="6"/>
  <c r="A294" i="6"/>
  <c r="J294" i="6"/>
  <c r="C292" i="6"/>
  <c r="A227" i="6"/>
  <c r="J227" i="6"/>
  <c r="K226" i="6"/>
  <c r="C225" i="6"/>
  <c r="L225" i="6"/>
  <c r="H224" i="6"/>
  <c r="B223" i="6"/>
  <c r="K211" i="6"/>
  <c r="L410" i="6"/>
  <c r="B283" i="6"/>
  <c r="C276" i="6"/>
  <c r="A148" i="6"/>
  <c r="H148" i="6"/>
  <c r="K148" i="6"/>
  <c r="A144" i="6"/>
  <c r="L138" i="6"/>
  <c r="A135" i="6"/>
  <c r="E134" i="6"/>
  <c r="J134" i="6"/>
  <c r="B133" i="6"/>
  <c r="H133" i="6"/>
  <c r="K132" i="6"/>
  <c r="D131" i="6"/>
  <c r="L131" i="6"/>
  <c r="I130" i="6"/>
  <c r="D128" i="6"/>
  <c r="I128" i="6"/>
  <c r="L128" i="6"/>
  <c r="D126" i="6"/>
  <c r="L126" i="6"/>
  <c r="E124" i="6"/>
  <c r="F124" i="6"/>
  <c r="J124" i="6"/>
  <c r="F123" i="6"/>
  <c r="L123" i="6"/>
  <c r="D121" i="6"/>
  <c r="H121" i="6"/>
  <c r="K121" i="6"/>
  <c r="L121" i="6"/>
  <c r="G115" i="6"/>
  <c r="C113" i="6"/>
  <c r="G113" i="6"/>
  <c r="J113" i="6"/>
  <c r="D111" i="6"/>
  <c r="D110" i="6"/>
  <c r="G110" i="6"/>
  <c r="J110" i="6"/>
  <c r="F109" i="6"/>
  <c r="H109" i="6"/>
  <c r="C108" i="6"/>
  <c r="C107" i="6"/>
  <c r="L106" i="6"/>
  <c r="H105" i="6"/>
  <c r="L82" i="6"/>
  <c r="D80" i="6"/>
  <c r="I511" i="6"/>
  <c r="K508" i="6"/>
  <c r="G507" i="6"/>
  <c r="H506" i="6"/>
  <c r="G504" i="6"/>
  <c r="I487" i="6"/>
  <c r="E486" i="6"/>
  <c r="H481" i="6"/>
  <c r="D479" i="6"/>
  <c r="L458" i="6"/>
  <c r="H405" i="6"/>
  <c r="L391" i="6"/>
  <c r="D97" i="6"/>
  <c r="G92" i="6"/>
  <c r="I91" i="6"/>
  <c r="L91" i="6"/>
  <c r="L87" i="6"/>
  <c r="I81" i="6"/>
  <c r="K461" i="6"/>
  <c r="L73" i="6"/>
  <c r="B267" i="6"/>
  <c r="D267" i="6"/>
  <c r="F267" i="6"/>
  <c r="I267" i="6"/>
  <c r="J267" i="6"/>
  <c r="L267" i="6"/>
  <c r="A267" i="6"/>
  <c r="C267" i="6"/>
  <c r="E267" i="6"/>
  <c r="G267" i="6"/>
  <c r="H267" i="6"/>
  <c r="K267" i="6"/>
  <c r="C260" i="6"/>
  <c r="F260" i="6"/>
  <c r="H260" i="6"/>
  <c r="I260" i="6"/>
  <c r="K260" i="6"/>
  <c r="L260" i="6"/>
  <c r="A260" i="6"/>
  <c r="B260" i="6"/>
  <c r="D260" i="6"/>
  <c r="E260" i="6"/>
  <c r="G260" i="6"/>
  <c r="J260" i="6"/>
  <c r="A258" i="6"/>
  <c r="L258" i="6"/>
  <c r="F258" i="6"/>
  <c r="H254" i="6"/>
  <c r="E254" i="6"/>
  <c r="C252" i="6"/>
  <c r="A252" i="6"/>
  <c r="B250" i="6"/>
  <c r="K250" i="6"/>
  <c r="C250" i="6"/>
  <c r="J250" i="6"/>
  <c r="D248" i="6"/>
  <c r="J248" i="6"/>
  <c r="C248" i="6"/>
  <c r="F248" i="6"/>
  <c r="D246" i="6"/>
  <c r="L246" i="6"/>
  <c r="C245" i="6"/>
  <c r="J245" i="6"/>
  <c r="I245" i="6"/>
  <c r="A244" i="6"/>
  <c r="K244" i="6"/>
  <c r="H244" i="6"/>
  <c r="D243" i="6"/>
  <c r="A243" i="6"/>
  <c r="F238" i="6"/>
  <c r="C237" i="6"/>
  <c r="H237" i="6"/>
  <c r="B237" i="6"/>
  <c r="I237" i="6"/>
  <c r="H234" i="6"/>
  <c r="B233" i="6"/>
  <c r="I233" i="6"/>
  <c r="L233" i="6"/>
  <c r="K232" i="6"/>
  <c r="J232" i="6"/>
  <c r="D230" i="6"/>
  <c r="A67" i="6"/>
  <c r="C67" i="6"/>
  <c r="F64" i="6"/>
  <c r="J64" i="6"/>
  <c r="G64" i="6"/>
  <c r="K64" i="6"/>
  <c r="H64" i="6"/>
  <c r="K61" i="6"/>
  <c r="D61" i="6"/>
  <c r="L61" i="6"/>
  <c r="H61" i="6"/>
  <c r="C219" i="6"/>
  <c r="J219" i="6"/>
  <c r="G218" i="6"/>
  <c r="F217" i="6"/>
  <c r="K217" i="6"/>
  <c r="B216" i="6"/>
  <c r="D216" i="6"/>
  <c r="J216" i="6"/>
  <c r="F215" i="6"/>
  <c r="L215" i="6"/>
  <c r="B214" i="6"/>
  <c r="J214" i="6"/>
  <c r="K213" i="6"/>
  <c r="L213" i="6"/>
  <c r="F212" i="6"/>
  <c r="J212" i="6"/>
  <c r="L211" i="6"/>
  <c r="B210" i="6"/>
  <c r="G210" i="6"/>
  <c r="I210" i="6"/>
  <c r="L210" i="6"/>
  <c r="B401" i="6"/>
  <c r="F282" i="6"/>
  <c r="D274" i="6"/>
  <c r="A60" i="6"/>
  <c r="G60" i="6"/>
  <c r="J60" i="6"/>
  <c r="C60" i="6"/>
  <c r="I60" i="6"/>
  <c r="B60" i="6"/>
  <c r="D60" i="6"/>
  <c r="E60" i="6"/>
  <c r="H60" i="6"/>
  <c r="L60" i="6"/>
  <c r="F60" i="6"/>
  <c r="K60" i="6"/>
  <c r="A53" i="6"/>
  <c r="E53" i="6"/>
  <c r="I53" i="6"/>
  <c r="B53" i="6"/>
  <c r="J53" i="6"/>
  <c r="C53" i="6"/>
  <c r="G53" i="6"/>
  <c r="K53" i="6"/>
  <c r="L53" i="6"/>
  <c r="D53" i="6"/>
  <c r="F53" i="6"/>
  <c r="H53" i="6"/>
  <c r="C52" i="6"/>
  <c r="E52" i="6"/>
  <c r="I52" i="6"/>
  <c r="H52" i="6"/>
  <c r="L52" i="6"/>
  <c r="A52" i="6"/>
  <c r="G52" i="6"/>
  <c r="K52" i="6"/>
  <c r="B52" i="6"/>
  <c r="D52" i="6"/>
  <c r="F52" i="6"/>
  <c r="J52" i="6"/>
  <c r="A45" i="6"/>
  <c r="E45" i="6"/>
  <c r="H45" i="6"/>
  <c r="K45" i="6"/>
  <c r="L45" i="6"/>
  <c r="D45" i="6"/>
  <c r="F45" i="6"/>
  <c r="J45" i="6"/>
  <c r="C45" i="6"/>
  <c r="I45" i="6"/>
  <c r="B45" i="6"/>
  <c r="G45" i="6"/>
  <c r="A43" i="6"/>
  <c r="D43" i="6"/>
  <c r="B43" i="6"/>
  <c r="F43" i="6"/>
  <c r="H43" i="6"/>
  <c r="L43" i="6"/>
  <c r="G43" i="6"/>
  <c r="I43" i="6"/>
  <c r="K43" i="6"/>
  <c r="C43" i="6"/>
  <c r="E43" i="6"/>
  <c r="J43" i="6"/>
  <c r="A42" i="6"/>
  <c r="E42" i="6"/>
  <c r="H42" i="6"/>
  <c r="C42" i="6"/>
  <c r="G42" i="6"/>
  <c r="L42" i="6"/>
  <c r="J42" i="6"/>
  <c r="B42" i="6"/>
  <c r="D42" i="6"/>
  <c r="F42" i="6"/>
  <c r="I42" i="6"/>
  <c r="K42" i="6"/>
  <c r="A41" i="6"/>
  <c r="C41" i="6"/>
  <c r="F41" i="6"/>
  <c r="D41" i="6"/>
  <c r="H41" i="6"/>
  <c r="J41" i="6"/>
  <c r="L41" i="6"/>
  <c r="E41" i="6"/>
  <c r="K41" i="6"/>
  <c r="B41" i="6"/>
  <c r="G41" i="6"/>
  <c r="I41" i="6"/>
  <c r="A37" i="6"/>
  <c r="B37" i="6"/>
  <c r="F37" i="6"/>
  <c r="I37" i="6"/>
  <c r="K37" i="6"/>
  <c r="L37" i="6"/>
  <c r="D37" i="6"/>
  <c r="H37" i="6"/>
  <c r="C37" i="6"/>
  <c r="E37" i="6"/>
  <c r="G37" i="6"/>
  <c r="J37" i="6"/>
  <c r="D33" i="6"/>
  <c r="H33" i="6"/>
  <c r="B33" i="6"/>
  <c r="F33" i="6"/>
  <c r="J33" i="6"/>
  <c r="C33" i="6"/>
  <c r="G33" i="6"/>
  <c r="K33" i="6"/>
  <c r="L33" i="6"/>
  <c r="A33" i="6"/>
  <c r="E33" i="6"/>
  <c r="I33" i="6"/>
  <c r="A31" i="6"/>
  <c r="B31" i="6"/>
  <c r="H31" i="6"/>
  <c r="J31" i="6"/>
  <c r="D31" i="6"/>
  <c r="F31" i="6"/>
  <c r="I31" i="6"/>
  <c r="L31" i="6"/>
  <c r="C31" i="6"/>
  <c r="E31" i="6"/>
  <c r="G31" i="6"/>
  <c r="K31" i="6"/>
  <c r="C24" i="6"/>
  <c r="G24" i="6"/>
  <c r="I24" i="6"/>
  <c r="L24" i="6"/>
  <c r="E24" i="6"/>
  <c r="K24" i="6"/>
  <c r="B24" i="6"/>
  <c r="F24" i="6"/>
  <c r="A24" i="6"/>
  <c r="D24" i="6"/>
  <c r="H24" i="6"/>
  <c r="J24" i="6"/>
  <c r="A19" i="6"/>
  <c r="G19" i="6"/>
  <c r="K19" i="6"/>
  <c r="E19" i="6"/>
  <c r="I19" i="6"/>
  <c r="L19" i="6"/>
  <c r="C19" i="6"/>
  <c r="F19" i="6"/>
  <c r="B19" i="6"/>
  <c r="D19" i="6"/>
  <c r="H19" i="6"/>
  <c r="J19" i="6"/>
  <c r="D18" i="6"/>
  <c r="E18" i="6"/>
  <c r="G18" i="6"/>
  <c r="J18" i="6"/>
  <c r="L18" i="6"/>
  <c r="C18" i="6"/>
  <c r="I18" i="6"/>
  <c r="A18" i="6"/>
  <c r="F18" i="6"/>
  <c r="K18" i="6"/>
  <c r="B18" i="6"/>
  <c r="H18" i="6"/>
  <c r="C17" i="6"/>
  <c r="J17" i="6"/>
  <c r="L17" i="6"/>
  <c r="B17" i="6"/>
  <c r="G17" i="6"/>
  <c r="E17" i="6"/>
  <c r="I17" i="6"/>
  <c r="A17" i="6"/>
  <c r="D17" i="6"/>
  <c r="F17" i="6"/>
  <c r="H17" i="6"/>
  <c r="K17" i="6"/>
  <c r="A334" i="6"/>
  <c r="B334" i="6"/>
  <c r="C334" i="6"/>
  <c r="D334" i="6"/>
  <c r="E334" i="6"/>
  <c r="F334" i="6"/>
  <c r="G334" i="6"/>
  <c r="H334" i="6"/>
  <c r="I334" i="6"/>
  <c r="J334" i="6"/>
  <c r="K334" i="6"/>
  <c r="L334" i="6"/>
  <c r="A333" i="6"/>
  <c r="B333" i="6"/>
  <c r="C333" i="6"/>
  <c r="D333" i="6"/>
  <c r="E333" i="6"/>
  <c r="F333" i="6"/>
  <c r="G333" i="6"/>
  <c r="H333" i="6"/>
  <c r="I333" i="6"/>
  <c r="J333" i="6"/>
  <c r="K333" i="6"/>
  <c r="L333" i="6"/>
  <c r="A332" i="6"/>
  <c r="B332" i="6"/>
  <c r="C332" i="6"/>
  <c r="D332" i="6"/>
  <c r="E332" i="6"/>
  <c r="F332" i="6"/>
  <c r="G332" i="6"/>
  <c r="H332" i="6"/>
  <c r="I332" i="6"/>
  <c r="J332" i="6"/>
  <c r="K332" i="6"/>
  <c r="L332" i="6"/>
  <c r="A331" i="6"/>
  <c r="B331" i="6"/>
  <c r="C331" i="6"/>
  <c r="D331" i="6"/>
  <c r="E331" i="6"/>
  <c r="F331" i="6"/>
  <c r="G331" i="6"/>
  <c r="H331" i="6"/>
  <c r="I331" i="6"/>
  <c r="J331" i="6"/>
  <c r="K331" i="6"/>
  <c r="L331" i="6"/>
  <c r="A330" i="6"/>
  <c r="B330" i="6"/>
  <c r="C330" i="6"/>
  <c r="D330" i="6"/>
  <c r="E330" i="6"/>
  <c r="F330" i="6"/>
  <c r="G330" i="6"/>
  <c r="H330" i="6"/>
  <c r="I330" i="6"/>
  <c r="J330" i="6"/>
  <c r="K330" i="6"/>
  <c r="L330" i="6"/>
  <c r="A329" i="6"/>
  <c r="B329" i="6"/>
  <c r="C329" i="6"/>
  <c r="D305" i="6"/>
  <c r="F305" i="6"/>
  <c r="G305" i="6"/>
  <c r="J305" i="6"/>
  <c r="K305" i="6"/>
  <c r="L305" i="6"/>
  <c r="B304" i="6"/>
  <c r="D304" i="6"/>
  <c r="F304" i="6"/>
  <c r="I304" i="6"/>
  <c r="B303" i="6"/>
  <c r="D303" i="6"/>
  <c r="E303" i="6"/>
  <c r="G303" i="6"/>
  <c r="I303" i="6"/>
  <c r="K303" i="6"/>
  <c r="L303" i="6"/>
  <c r="B302" i="6"/>
  <c r="D302" i="6"/>
  <c r="F302" i="6"/>
  <c r="I302" i="6"/>
  <c r="B301" i="6"/>
  <c r="C301" i="6"/>
  <c r="F301" i="6"/>
  <c r="H301" i="6"/>
  <c r="J301" i="6"/>
  <c r="L301" i="6"/>
  <c r="B300" i="6"/>
  <c r="F300" i="6"/>
  <c r="H300" i="6"/>
  <c r="J300" i="6"/>
  <c r="K300" i="6"/>
  <c r="A299" i="6"/>
  <c r="B299" i="6"/>
  <c r="E299" i="6"/>
  <c r="J299" i="6"/>
  <c r="K299" i="6"/>
  <c r="C298" i="6"/>
  <c r="G298" i="6"/>
  <c r="B297" i="6"/>
  <c r="H297" i="6"/>
  <c r="K296" i="6"/>
  <c r="A295" i="6"/>
  <c r="H295" i="6"/>
  <c r="L295" i="6"/>
  <c r="B294" i="6"/>
  <c r="K294" i="6"/>
  <c r="C293" i="6"/>
  <c r="J292" i="6"/>
  <c r="D227" i="6"/>
  <c r="F226" i="6"/>
  <c r="E225" i="6"/>
  <c r="E223" i="6"/>
  <c r="C222" i="6"/>
  <c r="K222" i="6"/>
  <c r="B221" i="6"/>
  <c r="F219" i="6"/>
  <c r="E216" i="6"/>
  <c r="I215" i="6"/>
  <c r="I213" i="6"/>
  <c r="D210" i="6"/>
  <c r="J409" i="6"/>
  <c r="D406" i="6"/>
  <c r="A397" i="6"/>
  <c r="E394" i="6"/>
  <c r="K391" i="6"/>
  <c r="B281" i="6"/>
  <c r="F209" i="6"/>
  <c r="I209" i="6"/>
  <c r="B208" i="6"/>
  <c r="F149" i="6"/>
  <c r="G149" i="6"/>
  <c r="I149" i="6"/>
  <c r="K149" i="6"/>
  <c r="C148" i="6"/>
  <c r="J148" i="6"/>
  <c r="H139" i="6"/>
  <c r="J136" i="6"/>
  <c r="C134" i="6"/>
  <c r="H134" i="6"/>
  <c r="A133" i="6"/>
  <c r="F133" i="6"/>
  <c r="I133" i="6"/>
  <c r="A132" i="6"/>
  <c r="J132" i="6"/>
  <c r="A131" i="6"/>
  <c r="B130" i="6"/>
  <c r="B129" i="6"/>
  <c r="L129" i="6"/>
  <c r="H128" i="6"/>
  <c r="B127" i="6"/>
  <c r="B126" i="6"/>
  <c r="J126" i="6"/>
  <c r="D125" i="6"/>
  <c r="E125" i="6"/>
  <c r="L125" i="6"/>
  <c r="A124" i="6"/>
  <c r="G124" i="6"/>
  <c r="G123" i="6"/>
  <c r="I123" i="6"/>
  <c r="E122" i="6"/>
  <c r="I122" i="6"/>
  <c r="I121" i="6"/>
  <c r="B115" i="6"/>
  <c r="F115" i="6"/>
  <c r="C114" i="6"/>
  <c r="H114" i="6"/>
  <c r="D113" i="6"/>
  <c r="H113" i="6"/>
  <c r="D112" i="6"/>
  <c r="F112" i="6"/>
  <c r="F111" i="6"/>
  <c r="L111" i="6"/>
  <c r="H110" i="6"/>
  <c r="E109" i="6"/>
  <c r="K109" i="6"/>
  <c r="H108" i="6"/>
  <c r="L108" i="6"/>
  <c r="F107" i="6"/>
  <c r="L107" i="6"/>
  <c r="F106" i="6"/>
  <c r="K106" i="6"/>
  <c r="B105" i="6"/>
  <c r="F105" i="6"/>
  <c r="L105" i="6"/>
  <c r="G81" i="6"/>
  <c r="A80" i="6"/>
  <c r="I80" i="6"/>
  <c r="L506" i="6"/>
  <c r="C504" i="6"/>
  <c r="D501" i="6"/>
  <c r="G501" i="6"/>
  <c r="B484" i="6"/>
  <c r="H460" i="6"/>
  <c r="L459" i="6"/>
  <c r="J451" i="6"/>
  <c r="H411" i="6"/>
  <c r="D409" i="6"/>
  <c r="B402" i="6"/>
  <c r="B104" i="6"/>
  <c r="D104" i="6"/>
  <c r="K104" i="6"/>
  <c r="C103" i="6"/>
  <c r="D102" i="6"/>
  <c r="G101" i="6"/>
  <c r="I100" i="6"/>
  <c r="B98" i="6"/>
  <c r="I98" i="6"/>
  <c r="K98" i="6"/>
  <c r="F97" i="6"/>
  <c r="H95" i="6"/>
  <c r="E94" i="6"/>
  <c r="F93" i="6"/>
  <c r="B92" i="6"/>
  <c r="J91" i="6"/>
  <c r="G90" i="6"/>
  <c r="L90" i="6"/>
  <c r="I89" i="6"/>
  <c r="I88" i="6"/>
  <c r="A86" i="6"/>
  <c r="H86" i="6"/>
  <c r="A85" i="6"/>
  <c r="K85" i="6"/>
  <c r="E84" i="6"/>
  <c r="J84" i="6"/>
  <c r="A83" i="6"/>
  <c r="B83" i="6"/>
  <c r="K83" i="6"/>
  <c r="B82" i="6"/>
  <c r="I82" i="6"/>
  <c r="H81" i="6"/>
  <c r="L81" i="6"/>
  <c r="B80" i="6"/>
  <c r="F510" i="6"/>
  <c r="B506" i="6"/>
  <c r="K506" i="6"/>
  <c r="K486" i="6"/>
  <c r="D480" i="6"/>
  <c r="C478" i="6"/>
  <c r="A460" i="6"/>
  <c r="J460" i="6"/>
  <c r="E457" i="6"/>
  <c r="I451" i="6"/>
  <c r="C409" i="6"/>
  <c r="K403" i="6"/>
  <c r="J398" i="6"/>
  <c r="J394" i="6"/>
  <c r="F393" i="6"/>
  <c r="D79" i="6"/>
  <c r="C78" i="6"/>
  <c r="J78" i="6"/>
  <c r="D77" i="6"/>
  <c r="K77" i="6"/>
  <c r="B76" i="6"/>
  <c r="J76" i="6"/>
  <c r="G75" i="6"/>
  <c r="K75" i="6"/>
  <c r="E74" i="6"/>
  <c r="A73" i="6"/>
  <c r="E73" i="6"/>
  <c r="I73" i="6"/>
  <c r="B72" i="6"/>
  <c r="G72" i="6"/>
  <c r="K58" i="6"/>
  <c r="H57" i="6"/>
  <c r="J57" i="6"/>
  <c r="B57" i="6"/>
  <c r="G54" i="6"/>
  <c r="K54" i="6"/>
  <c r="I54" i="6"/>
  <c r="D50" i="6"/>
  <c r="G46" i="6"/>
  <c r="I46" i="6"/>
  <c r="H46" i="6"/>
  <c r="C32" i="6"/>
  <c r="E32" i="6"/>
  <c r="K32" i="6"/>
  <c r="H32" i="6"/>
  <c r="F30" i="6"/>
  <c r="L30" i="6"/>
  <c r="K22" i="6"/>
  <c r="L22" i="6"/>
  <c r="G21" i="6"/>
  <c r="D20" i="6"/>
  <c r="I20" i="6"/>
  <c r="A20" i="6"/>
  <c r="D120" i="6"/>
  <c r="G120" i="6"/>
  <c r="K120" i="6"/>
  <c r="D119" i="6"/>
  <c r="F119" i="6"/>
  <c r="H119" i="6"/>
  <c r="J119" i="6"/>
  <c r="A118" i="6"/>
  <c r="C117" i="6"/>
  <c r="I117" i="6"/>
  <c r="C116" i="6"/>
  <c r="K116" i="6"/>
  <c r="A13" i="6"/>
  <c r="D13" i="6"/>
  <c r="G13" i="6"/>
  <c r="K13" i="6"/>
  <c r="L13" i="6"/>
  <c r="J510" i="6"/>
  <c r="L510" i="6"/>
  <c r="D509" i="6"/>
  <c r="D508" i="6"/>
  <c r="A507" i="6"/>
  <c r="D503" i="6"/>
  <c r="K503" i="6"/>
  <c r="F502" i="6"/>
  <c r="E501" i="6"/>
  <c r="F486" i="6"/>
  <c r="E481" i="6"/>
  <c r="I452" i="6"/>
  <c r="K452" i="6"/>
  <c r="I411" i="6"/>
  <c r="B404" i="6"/>
  <c r="K394" i="6"/>
  <c r="J283" i="6"/>
  <c r="D329" i="6"/>
  <c r="E329" i="6"/>
  <c r="F329" i="6"/>
  <c r="G329" i="6"/>
  <c r="H329" i="6"/>
  <c r="I329" i="6"/>
  <c r="J329" i="6"/>
  <c r="K329" i="6"/>
  <c r="L329" i="6"/>
  <c r="A328" i="6"/>
  <c r="B328" i="6"/>
  <c r="C328" i="6"/>
  <c r="D328" i="6"/>
  <c r="E328" i="6"/>
  <c r="F328" i="6"/>
  <c r="G328" i="6"/>
  <c r="H328" i="6"/>
  <c r="I328" i="6"/>
  <c r="J328" i="6"/>
  <c r="K328" i="6"/>
  <c r="L328" i="6"/>
  <c r="A327" i="6"/>
  <c r="B327" i="6"/>
  <c r="C327" i="6"/>
  <c r="D327" i="6"/>
  <c r="E327" i="6"/>
  <c r="F327" i="6"/>
  <c r="G327" i="6"/>
  <c r="H327" i="6"/>
  <c r="I327" i="6"/>
  <c r="J327" i="6"/>
  <c r="K327" i="6"/>
  <c r="L327" i="6"/>
  <c r="A326" i="6"/>
  <c r="B326" i="6"/>
  <c r="C326" i="6"/>
  <c r="D326" i="6"/>
  <c r="E326" i="6"/>
  <c r="F326" i="6"/>
  <c r="G326" i="6"/>
  <c r="H326" i="6"/>
  <c r="I326" i="6"/>
  <c r="J326" i="6"/>
  <c r="K326" i="6"/>
  <c r="L326" i="6"/>
  <c r="A325" i="6"/>
  <c r="B325" i="6"/>
  <c r="C325" i="6"/>
  <c r="D325" i="6"/>
  <c r="E325" i="6"/>
  <c r="F325" i="6"/>
  <c r="G325" i="6"/>
  <c r="H325" i="6"/>
  <c r="I325" i="6"/>
  <c r="J325" i="6"/>
  <c r="K325" i="6"/>
  <c r="L325" i="6"/>
  <c r="A324" i="6"/>
  <c r="B324" i="6"/>
  <c r="C324" i="6"/>
  <c r="D324" i="6"/>
  <c r="E324" i="6"/>
  <c r="F324" i="6"/>
  <c r="G324" i="6"/>
  <c r="H324" i="6"/>
  <c r="I324" i="6"/>
  <c r="J324" i="6"/>
  <c r="K324" i="6"/>
  <c r="L324" i="6"/>
  <c r="K298" i="6"/>
  <c r="L298" i="6"/>
  <c r="A297" i="6"/>
  <c r="C297" i="6"/>
  <c r="E297" i="6"/>
  <c r="G297" i="6"/>
  <c r="I297" i="6"/>
  <c r="J297" i="6"/>
  <c r="K297" i="6"/>
  <c r="L297" i="6"/>
  <c r="B296" i="6"/>
  <c r="C296" i="6"/>
  <c r="D296" i="6"/>
  <c r="E296" i="6"/>
  <c r="F296" i="6"/>
  <c r="G296" i="6"/>
  <c r="H296" i="6"/>
  <c r="B293" i="6"/>
  <c r="D293" i="6"/>
  <c r="G293" i="6"/>
  <c r="H293" i="6"/>
  <c r="I293" i="6"/>
  <c r="K293" i="6"/>
  <c r="L293" i="6"/>
  <c r="F292" i="6"/>
  <c r="E292" i="6"/>
  <c r="H292" i="6"/>
  <c r="K292" i="6"/>
  <c r="L292" i="6"/>
  <c r="B227" i="6"/>
  <c r="C227" i="6"/>
  <c r="E227" i="6"/>
  <c r="F227" i="6"/>
  <c r="I227" i="6"/>
  <c r="K227" i="6"/>
  <c r="A226" i="6"/>
  <c r="C226" i="6"/>
  <c r="D226" i="6"/>
  <c r="E226" i="6"/>
  <c r="G226" i="6"/>
  <c r="I226" i="6"/>
  <c r="J226" i="6"/>
  <c r="L226" i="6"/>
  <c r="A225" i="6"/>
  <c r="D225" i="6"/>
  <c r="G225" i="6"/>
  <c r="H225" i="6"/>
  <c r="J225" i="6"/>
  <c r="A224" i="6"/>
  <c r="C224" i="6"/>
  <c r="E224" i="6"/>
  <c r="G224" i="6"/>
  <c r="I224" i="6"/>
  <c r="K224" i="6"/>
  <c r="L224" i="6"/>
  <c r="A223" i="6"/>
  <c r="C223" i="6"/>
  <c r="F223" i="6"/>
  <c r="H223" i="6"/>
  <c r="I223" i="6"/>
  <c r="J223" i="6"/>
  <c r="L223" i="6"/>
  <c r="B222" i="6"/>
  <c r="D222" i="6"/>
  <c r="F222" i="6"/>
  <c r="H222" i="6"/>
  <c r="J222" i="6"/>
  <c r="C221" i="6"/>
  <c r="E221" i="6"/>
  <c r="I221" i="6"/>
  <c r="D220" i="6"/>
  <c r="F220" i="6"/>
  <c r="H220" i="6"/>
  <c r="K220" i="6"/>
  <c r="D219" i="6"/>
  <c r="G219" i="6"/>
  <c r="H219" i="6"/>
  <c r="L219" i="6"/>
  <c r="B218" i="6"/>
  <c r="F218" i="6"/>
  <c r="J218" i="6"/>
  <c r="L218" i="6"/>
  <c r="D217" i="6"/>
  <c r="G217" i="6"/>
  <c r="A216" i="6"/>
  <c r="L216" i="6"/>
  <c r="E215" i="6"/>
  <c r="C214" i="6"/>
  <c r="H214" i="6"/>
  <c r="C213" i="6"/>
  <c r="E213" i="6"/>
  <c r="H213" i="6"/>
  <c r="D212" i="6"/>
  <c r="H212" i="6"/>
  <c r="L212" i="6"/>
  <c r="C211" i="6"/>
  <c r="H211" i="6"/>
  <c r="A210" i="6"/>
  <c r="J210" i="6"/>
  <c r="K410" i="6"/>
  <c r="B407" i="6"/>
  <c r="D407" i="6"/>
  <c r="H406" i="6"/>
  <c r="I406" i="6"/>
  <c r="B403" i="6"/>
  <c r="G403" i="6"/>
  <c r="L403" i="6"/>
  <c r="E402" i="6"/>
  <c r="K402" i="6"/>
  <c r="J400" i="6"/>
  <c r="H399" i="6"/>
  <c r="L399" i="6"/>
  <c r="I398" i="6"/>
  <c r="J396" i="6"/>
  <c r="K396" i="6"/>
  <c r="L396" i="6"/>
  <c r="A395" i="6"/>
  <c r="L395" i="6"/>
  <c r="G393" i="6"/>
  <c r="A392" i="6"/>
  <c r="C391" i="6"/>
  <c r="C283" i="6"/>
  <c r="H281" i="6"/>
  <c r="F277" i="6"/>
  <c r="L277" i="6"/>
  <c r="G274" i="6"/>
  <c r="G272" i="6"/>
  <c r="A323" i="6"/>
  <c r="B323" i="6"/>
  <c r="C323" i="6"/>
  <c r="D323" i="6"/>
  <c r="E323" i="6"/>
  <c r="F323" i="6"/>
  <c r="G323" i="6"/>
  <c r="H323" i="6"/>
  <c r="I323" i="6"/>
  <c r="J323" i="6"/>
  <c r="K323" i="6"/>
  <c r="L323" i="6"/>
  <c r="A322" i="6"/>
  <c r="B322" i="6"/>
  <c r="C322" i="6"/>
  <c r="D322" i="6"/>
  <c r="E322" i="6"/>
  <c r="F322" i="6"/>
  <c r="G322" i="6"/>
  <c r="H322" i="6"/>
  <c r="I322" i="6"/>
  <c r="J322" i="6"/>
  <c r="K322" i="6"/>
  <c r="L322" i="6"/>
  <c r="A321" i="6"/>
  <c r="B321" i="6"/>
  <c r="C321" i="6"/>
  <c r="D321" i="6"/>
  <c r="E321" i="6"/>
  <c r="F321" i="6"/>
  <c r="G321" i="6"/>
  <c r="H321" i="6"/>
  <c r="I321" i="6"/>
  <c r="J321" i="6"/>
  <c r="K321" i="6"/>
  <c r="L321" i="6"/>
  <c r="A320" i="6"/>
  <c r="B320" i="6"/>
  <c r="C320" i="6"/>
  <c r="D320" i="6"/>
  <c r="E320" i="6"/>
  <c r="F320" i="6"/>
  <c r="G320" i="6"/>
  <c r="H320" i="6"/>
  <c r="I320" i="6"/>
  <c r="J320" i="6"/>
  <c r="K320" i="6"/>
  <c r="L320" i="6"/>
  <c r="A319" i="6"/>
  <c r="B319" i="6"/>
  <c r="C319" i="6"/>
  <c r="D319" i="6"/>
  <c r="E319" i="6"/>
  <c r="F319" i="6"/>
  <c r="G319" i="6"/>
  <c r="H319" i="6"/>
  <c r="I319" i="6"/>
  <c r="J319" i="6"/>
  <c r="K319" i="6"/>
  <c r="L319" i="6"/>
  <c r="A318" i="6"/>
  <c r="B318" i="6"/>
  <c r="C318" i="6"/>
  <c r="D318" i="6"/>
  <c r="E318" i="6"/>
  <c r="F318" i="6"/>
  <c r="G318" i="6"/>
  <c r="H318" i="6"/>
  <c r="I318" i="6"/>
  <c r="J318" i="6"/>
  <c r="K318" i="6"/>
  <c r="L318" i="6"/>
  <c r="A317" i="6"/>
  <c r="B317" i="6"/>
  <c r="C317" i="6"/>
  <c r="D317" i="6"/>
  <c r="E317" i="6"/>
  <c r="F317" i="6"/>
  <c r="G317" i="6"/>
  <c r="H317" i="6"/>
  <c r="I317" i="6"/>
  <c r="J317" i="6"/>
  <c r="K317" i="6"/>
  <c r="L317" i="6"/>
  <c r="A316" i="6"/>
  <c r="B316" i="6"/>
  <c r="C316" i="6"/>
  <c r="D316" i="6"/>
  <c r="E316" i="6"/>
  <c r="F316" i="6"/>
  <c r="G316" i="6"/>
  <c r="H316" i="6"/>
  <c r="I316" i="6"/>
  <c r="J316" i="6"/>
  <c r="K316" i="6"/>
  <c r="L316" i="6"/>
  <c r="A315" i="6"/>
  <c r="B315" i="6"/>
  <c r="C315" i="6"/>
  <c r="D315" i="6"/>
  <c r="E315" i="6"/>
  <c r="F315" i="6"/>
  <c r="G315" i="6"/>
  <c r="H315" i="6"/>
  <c r="I315" i="6"/>
  <c r="J315" i="6"/>
  <c r="K315" i="6"/>
  <c r="L315" i="6"/>
  <c r="A314" i="6"/>
  <c r="B314" i="6"/>
  <c r="C314" i="6"/>
  <c r="D314" i="6"/>
  <c r="E314" i="6"/>
  <c r="F314" i="6"/>
  <c r="G314" i="6"/>
  <c r="H314" i="6"/>
  <c r="I314" i="6"/>
  <c r="J314" i="6"/>
  <c r="K314" i="6"/>
  <c r="L314" i="6"/>
  <c r="A313" i="6"/>
  <c r="B313" i="6"/>
  <c r="C313" i="6"/>
  <c r="D313" i="6"/>
  <c r="E313" i="6"/>
  <c r="F313" i="6"/>
  <c r="G313" i="6"/>
  <c r="H313" i="6"/>
  <c r="I313" i="6"/>
  <c r="J313" i="6"/>
  <c r="K313" i="6"/>
  <c r="L313" i="6"/>
  <c r="A312" i="6"/>
  <c r="B312" i="6"/>
  <c r="C312" i="6"/>
  <c r="D312" i="6"/>
  <c r="E312" i="6"/>
  <c r="F312" i="6"/>
  <c r="G312" i="6"/>
  <c r="H312" i="6"/>
  <c r="I312" i="6"/>
  <c r="J312" i="6"/>
  <c r="K312" i="6"/>
  <c r="L312" i="6"/>
  <c r="A311" i="6"/>
  <c r="B311" i="6"/>
  <c r="C311" i="6"/>
  <c r="D311" i="6"/>
  <c r="E311" i="6"/>
  <c r="F311" i="6"/>
  <c r="G311" i="6"/>
  <c r="H311" i="6"/>
  <c r="I311" i="6"/>
  <c r="J311" i="6"/>
  <c r="K311" i="6"/>
  <c r="L311" i="6"/>
  <c r="A310" i="6"/>
  <c r="B310" i="6"/>
  <c r="C310" i="6"/>
  <c r="D310" i="6"/>
  <c r="E310" i="6"/>
  <c r="F310" i="6"/>
  <c r="G310" i="6"/>
  <c r="H310" i="6"/>
  <c r="I310" i="6"/>
  <c r="J310" i="6"/>
  <c r="K310" i="6"/>
  <c r="L310" i="6"/>
  <c r="A309" i="6"/>
  <c r="B309" i="6"/>
  <c r="C309" i="6"/>
  <c r="D309" i="6"/>
  <c r="E309" i="6"/>
  <c r="F309" i="6"/>
  <c r="G309" i="6"/>
  <c r="H309" i="6"/>
  <c r="I309" i="6"/>
  <c r="J309" i="6"/>
  <c r="K309" i="6"/>
  <c r="L309" i="6"/>
  <c r="A308" i="6"/>
  <c r="B308" i="6"/>
  <c r="C308" i="6"/>
  <c r="D308" i="6"/>
  <c r="E308" i="6"/>
  <c r="F308" i="6"/>
  <c r="G308" i="6"/>
  <c r="H308" i="6"/>
  <c r="I308" i="6"/>
  <c r="J308" i="6"/>
  <c r="K308" i="6"/>
  <c r="L308" i="6"/>
  <c r="A307" i="6"/>
  <c r="B307" i="6"/>
  <c r="C307" i="6"/>
  <c r="D307" i="6"/>
  <c r="E307" i="6"/>
  <c r="F307" i="6"/>
  <c r="G307" i="6"/>
  <c r="H307" i="6"/>
  <c r="I307" i="6"/>
  <c r="J307" i="6"/>
  <c r="K307" i="6"/>
  <c r="L307" i="6"/>
  <c r="A306" i="6"/>
  <c r="B306" i="6"/>
  <c r="C306" i="6"/>
  <c r="D306" i="6"/>
  <c r="E306" i="6"/>
  <c r="F306" i="6"/>
  <c r="G306" i="6"/>
  <c r="H306" i="6"/>
  <c r="I306" i="6"/>
  <c r="J306" i="6"/>
  <c r="K306" i="6"/>
  <c r="L306" i="6"/>
  <c r="A305" i="6"/>
  <c r="B305" i="6"/>
  <c r="C305" i="6"/>
  <c r="E305" i="6"/>
  <c r="H305" i="6"/>
  <c r="I305" i="6"/>
  <c r="A304" i="6"/>
  <c r="C304" i="6"/>
  <c r="E304" i="6"/>
  <c r="G304" i="6"/>
  <c r="H304" i="6"/>
  <c r="J304" i="6"/>
  <c r="K304" i="6"/>
  <c r="L304" i="6"/>
  <c r="A303" i="6"/>
  <c r="C303" i="6"/>
  <c r="F303" i="6"/>
  <c r="H303" i="6"/>
  <c r="J303" i="6"/>
  <c r="A302" i="6"/>
  <c r="C302" i="6"/>
  <c r="E302" i="6"/>
  <c r="G302" i="6"/>
  <c r="H302" i="6"/>
  <c r="J302" i="6"/>
  <c r="K302" i="6"/>
  <c r="L302" i="6"/>
  <c r="A301" i="6"/>
  <c r="D301" i="6"/>
  <c r="E301" i="6"/>
  <c r="G301" i="6"/>
  <c r="I301" i="6"/>
  <c r="K301" i="6"/>
  <c r="A300" i="6"/>
  <c r="C300" i="6"/>
  <c r="D300" i="6"/>
  <c r="E300" i="6"/>
  <c r="G300" i="6"/>
  <c r="I300" i="6"/>
  <c r="L300" i="6"/>
  <c r="C299" i="6"/>
  <c r="D299" i="6"/>
  <c r="F299" i="6"/>
  <c r="G299" i="6"/>
  <c r="H299" i="6"/>
  <c r="B298" i="6"/>
  <c r="F298" i="6"/>
  <c r="H298" i="6"/>
  <c r="A296" i="6"/>
  <c r="C295" i="6"/>
  <c r="G295" i="6"/>
  <c r="J295" i="6"/>
  <c r="D294" i="6"/>
  <c r="F294" i="6"/>
  <c r="G294" i="6"/>
  <c r="E293" i="6"/>
  <c r="I292" i="6"/>
  <c r="G227" i="6"/>
  <c r="B226" i="6"/>
  <c r="H226" i="6"/>
  <c r="F225" i="6"/>
  <c r="B224" i="6"/>
  <c r="G222" i="6"/>
  <c r="L221" i="6"/>
  <c r="C217" i="6"/>
  <c r="K215" i="6"/>
  <c r="F214" i="6"/>
  <c r="J213" i="6"/>
  <c r="A407" i="6"/>
  <c r="D404" i="6"/>
  <c r="C400" i="6"/>
  <c r="H391" i="6"/>
  <c r="C282" i="6"/>
  <c r="K274" i="6"/>
  <c r="H209" i="6"/>
  <c r="K209" i="6"/>
  <c r="L209" i="6"/>
  <c r="C149" i="6"/>
  <c r="J149" i="6"/>
  <c r="F147" i="6"/>
  <c r="H145" i="6"/>
  <c r="H144" i="6"/>
  <c r="E136" i="6"/>
  <c r="H135" i="6"/>
  <c r="D134" i="6"/>
  <c r="C133" i="6"/>
  <c r="J133" i="6"/>
  <c r="G132" i="6"/>
  <c r="C131" i="6"/>
  <c r="E130" i="6"/>
  <c r="H130" i="6"/>
  <c r="K130" i="6"/>
  <c r="L130" i="6"/>
  <c r="D129" i="6"/>
  <c r="F129" i="6"/>
  <c r="J129" i="6"/>
  <c r="B128" i="6"/>
  <c r="K128" i="6"/>
  <c r="C127" i="6"/>
  <c r="D127" i="6"/>
  <c r="I127" i="6"/>
  <c r="H126" i="6"/>
  <c r="C125" i="6"/>
  <c r="I125" i="6"/>
  <c r="K124" i="6"/>
  <c r="C123" i="6"/>
  <c r="J122" i="6"/>
  <c r="G121" i="6"/>
  <c r="J115" i="6"/>
  <c r="B114" i="6"/>
  <c r="G114" i="6"/>
  <c r="F113" i="6"/>
  <c r="C112" i="6"/>
  <c r="H112" i="6"/>
  <c r="E111" i="6"/>
  <c r="G111" i="6"/>
  <c r="J111" i="6"/>
  <c r="B110" i="6"/>
  <c r="I110" i="6"/>
  <c r="B109" i="6"/>
  <c r="L109" i="6"/>
  <c r="G108" i="6"/>
  <c r="K108" i="6"/>
  <c r="D107" i="6"/>
  <c r="J107" i="6"/>
  <c r="K107" i="6"/>
  <c r="C106" i="6"/>
  <c r="I106" i="6"/>
  <c r="C105" i="6"/>
  <c r="J105" i="6"/>
  <c r="E80" i="6"/>
  <c r="G511" i="6"/>
  <c r="H508" i="6"/>
  <c r="E507" i="6"/>
  <c r="E504" i="6"/>
  <c r="E503" i="6"/>
  <c r="L502" i="6"/>
  <c r="J501" i="6"/>
  <c r="L501" i="6"/>
  <c r="F485" i="6"/>
  <c r="D482" i="6"/>
  <c r="J479" i="6"/>
  <c r="B478" i="6"/>
  <c r="J478" i="6"/>
  <c r="C476" i="6"/>
  <c r="L476" i="6"/>
  <c r="G461" i="6"/>
  <c r="L461" i="6"/>
  <c r="L460" i="6"/>
  <c r="L456" i="6"/>
  <c r="C397" i="6"/>
  <c r="I395" i="6"/>
  <c r="E274" i="6"/>
  <c r="L104" i="6"/>
  <c r="F103" i="6"/>
  <c r="I103" i="6"/>
  <c r="K103" i="6"/>
  <c r="L103" i="6"/>
  <c r="F102" i="6"/>
  <c r="D101" i="6"/>
  <c r="A100" i="6"/>
  <c r="E99" i="6"/>
  <c r="G99" i="6"/>
  <c r="A98" i="6"/>
  <c r="G98" i="6"/>
  <c r="J98" i="6"/>
  <c r="B97" i="6"/>
  <c r="E97" i="6"/>
  <c r="B96" i="6"/>
  <c r="D96" i="6"/>
  <c r="F96" i="6"/>
  <c r="I96" i="6"/>
  <c r="B95" i="6"/>
  <c r="C95" i="6"/>
  <c r="J95" i="6"/>
  <c r="B94" i="6"/>
  <c r="G94" i="6"/>
  <c r="K94" i="6"/>
  <c r="A93" i="6"/>
  <c r="C91" i="6"/>
  <c r="C90" i="6"/>
  <c r="F89" i="6"/>
  <c r="C88" i="6"/>
  <c r="F88" i="6"/>
  <c r="B87" i="6"/>
  <c r="D87" i="6"/>
  <c r="H87" i="6"/>
  <c r="C86" i="6"/>
  <c r="L86" i="6"/>
  <c r="L85" i="6"/>
  <c r="A82" i="6"/>
  <c r="G82" i="6"/>
  <c r="J82" i="6"/>
  <c r="A510" i="6"/>
  <c r="D510" i="6"/>
  <c r="F509" i="6"/>
  <c r="D507" i="6"/>
  <c r="D487" i="6"/>
  <c r="D484" i="6"/>
  <c r="B480" i="6"/>
  <c r="H480" i="6"/>
  <c r="L480" i="6"/>
  <c r="I479" i="6"/>
  <c r="C462" i="6"/>
  <c r="H461" i="6"/>
  <c r="D410" i="6"/>
  <c r="C408" i="6"/>
  <c r="H408" i="6"/>
  <c r="G402" i="6"/>
  <c r="J399" i="6"/>
  <c r="D398" i="6"/>
  <c r="C396" i="6"/>
  <c r="C281" i="6"/>
  <c r="A272" i="6"/>
  <c r="A79" i="6"/>
  <c r="L79" i="6"/>
  <c r="B78" i="6"/>
  <c r="G78" i="6"/>
  <c r="A77" i="6"/>
  <c r="J77" i="6"/>
  <c r="G74" i="6"/>
  <c r="L74" i="6"/>
  <c r="H72" i="6"/>
  <c r="A71" i="6"/>
  <c r="B58" i="6"/>
  <c r="D58" i="6"/>
  <c r="L58" i="6"/>
  <c r="C58" i="6"/>
  <c r="F54" i="6"/>
  <c r="D54" i="6"/>
  <c r="H50" i="6"/>
  <c r="A50" i="6"/>
  <c r="J32" i="6"/>
  <c r="I32" i="6"/>
  <c r="A32" i="6"/>
  <c r="I30" i="6"/>
  <c r="J30" i="6"/>
  <c r="K30" i="6"/>
  <c r="D22" i="6"/>
  <c r="L21" i="6"/>
  <c r="B21" i="6"/>
  <c r="I21" i="6"/>
  <c r="K20" i="6"/>
  <c r="A120" i="6"/>
  <c r="H120" i="6"/>
  <c r="G119" i="6"/>
  <c r="K119" i="6"/>
  <c r="G118" i="6"/>
  <c r="B117" i="6"/>
  <c r="D117" i="6"/>
  <c r="F117" i="6"/>
  <c r="H117" i="6"/>
  <c r="L117" i="6"/>
  <c r="H13" i="6"/>
  <c r="J13" i="6"/>
  <c r="H509" i="6"/>
  <c r="B508" i="6"/>
  <c r="B504" i="6"/>
  <c r="I503" i="6"/>
  <c r="A502" i="6"/>
  <c r="I502" i="6"/>
  <c r="F501" i="6"/>
  <c r="L487" i="6"/>
  <c r="E484" i="6"/>
  <c r="J483" i="6"/>
  <c r="K480" i="6"/>
  <c r="I462" i="6"/>
  <c r="F455" i="6"/>
  <c r="G454" i="6"/>
  <c r="B453" i="6"/>
  <c r="G453" i="6"/>
  <c r="K412" i="6"/>
  <c r="J277" i="6"/>
  <c r="C208" i="6"/>
  <c r="D208" i="6"/>
  <c r="E208" i="6"/>
  <c r="F208" i="6"/>
  <c r="G208" i="6"/>
  <c r="H208" i="6"/>
  <c r="I208" i="6"/>
  <c r="J208" i="6"/>
  <c r="K208" i="6"/>
  <c r="L208" i="6"/>
  <c r="A207" i="6"/>
  <c r="B207" i="6"/>
  <c r="C207" i="6"/>
  <c r="D207" i="6"/>
  <c r="E207" i="6"/>
  <c r="F207" i="6"/>
  <c r="G207" i="6"/>
  <c r="H207" i="6"/>
  <c r="I207" i="6"/>
  <c r="J207" i="6"/>
  <c r="K207" i="6"/>
  <c r="L207" i="6"/>
  <c r="A206" i="6"/>
  <c r="B206" i="6"/>
  <c r="C206" i="6"/>
  <c r="D206" i="6"/>
  <c r="E206" i="6"/>
  <c r="F206" i="6"/>
  <c r="G206" i="6"/>
  <c r="H206" i="6"/>
  <c r="I206" i="6"/>
  <c r="J206" i="6"/>
  <c r="K206" i="6"/>
  <c r="L206" i="6"/>
  <c r="A205" i="6"/>
  <c r="B205" i="6"/>
  <c r="C205" i="6"/>
  <c r="D205" i="6"/>
  <c r="E205" i="6"/>
  <c r="F205" i="6"/>
  <c r="G205" i="6"/>
  <c r="H205" i="6"/>
  <c r="I205" i="6"/>
  <c r="J205" i="6"/>
  <c r="K205" i="6"/>
  <c r="L205" i="6"/>
  <c r="A204" i="6"/>
  <c r="B204" i="6"/>
  <c r="C204" i="6"/>
  <c r="D204" i="6"/>
  <c r="E204" i="6"/>
  <c r="F204" i="6"/>
  <c r="G204" i="6"/>
  <c r="H204" i="6"/>
  <c r="I204" i="6"/>
  <c r="J204" i="6"/>
  <c r="K204" i="6"/>
  <c r="L204" i="6"/>
  <c r="A203" i="6"/>
  <c r="B203" i="6"/>
  <c r="C203" i="6"/>
  <c r="D203" i="6"/>
  <c r="E203" i="6"/>
  <c r="F203" i="6"/>
  <c r="G203" i="6"/>
  <c r="H203" i="6"/>
  <c r="I203" i="6"/>
  <c r="J203" i="6"/>
  <c r="K203" i="6"/>
  <c r="L203" i="6"/>
  <c r="A202" i="6"/>
  <c r="B202" i="6"/>
  <c r="C202" i="6"/>
  <c r="D202" i="6"/>
  <c r="E202" i="6"/>
  <c r="F202" i="6"/>
  <c r="G202" i="6"/>
  <c r="H202" i="6"/>
  <c r="I202" i="6"/>
  <c r="J202" i="6"/>
  <c r="K202" i="6"/>
  <c r="L202" i="6"/>
  <c r="A201" i="6"/>
  <c r="B201" i="6"/>
  <c r="C201" i="6"/>
  <c r="D201" i="6"/>
  <c r="E201" i="6"/>
  <c r="F201" i="6"/>
  <c r="G201" i="6"/>
  <c r="H201" i="6"/>
  <c r="I201" i="6"/>
  <c r="J201" i="6"/>
  <c r="K201" i="6"/>
  <c r="L201" i="6"/>
  <c r="A200" i="6"/>
  <c r="B200" i="6"/>
  <c r="C200" i="6"/>
  <c r="D200" i="6"/>
  <c r="E200" i="6"/>
  <c r="F200" i="6"/>
  <c r="G200" i="6"/>
  <c r="H200" i="6"/>
  <c r="I200" i="6"/>
  <c r="J200" i="6"/>
  <c r="K200" i="6"/>
  <c r="L200" i="6"/>
  <c r="A199" i="6"/>
  <c r="B199" i="6"/>
  <c r="C199" i="6"/>
  <c r="D199" i="6"/>
  <c r="E199" i="6"/>
  <c r="F199" i="6"/>
  <c r="G199" i="6"/>
  <c r="H199" i="6"/>
  <c r="I199" i="6"/>
  <c r="J199" i="6"/>
  <c r="K199" i="6"/>
  <c r="L199" i="6"/>
  <c r="A198" i="6"/>
  <c r="B198" i="6"/>
  <c r="C198" i="6"/>
  <c r="D198" i="6"/>
  <c r="E198" i="6"/>
  <c r="F198" i="6"/>
  <c r="G198" i="6"/>
  <c r="H198" i="6"/>
  <c r="I198" i="6"/>
  <c r="J198" i="6"/>
  <c r="K198" i="6"/>
  <c r="L198" i="6"/>
  <c r="A197" i="6"/>
  <c r="B197" i="6"/>
  <c r="C197" i="6"/>
  <c r="D197" i="6"/>
  <c r="E197" i="6"/>
  <c r="F197" i="6"/>
  <c r="G197" i="6"/>
  <c r="H197" i="6"/>
  <c r="I197" i="6"/>
  <c r="J197" i="6"/>
  <c r="K197" i="6"/>
  <c r="L197" i="6"/>
  <c r="A196" i="6"/>
  <c r="B196" i="6"/>
  <c r="C196" i="6"/>
  <c r="D196" i="6"/>
  <c r="E196" i="6"/>
  <c r="F196" i="6"/>
  <c r="G196" i="6"/>
  <c r="H196" i="6"/>
  <c r="I196" i="6"/>
  <c r="J196" i="6"/>
  <c r="K196" i="6"/>
  <c r="L196" i="6"/>
  <c r="A195" i="6"/>
  <c r="B195" i="6"/>
  <c r="C195" i="6"/>
  <c r="D195" i="6"/>
  <c r="E195" i="6"/>
  <c r="F195" i="6"/>
  <c r="G195" i="6"/>
  <c r="H195" i="6"/>
  <c r="I195" i="6"/>
  <c r="J195" i="6"/>
  <c r="K195" i="6"/>
  <c r="L195" i="6"/>
  <c r="A194" i="6"/>
  <c r="B194" i="6"/>
  <c r="C194" i="6"/>
  <c r="D194" i="6"/>
  <c r="E194" i="6"/>
  <c r="F194" i="6"/>
  <c r="G194" i="6"/>
  <c r="H194" i="6"/>
  <c r="I194" i="6"/>
  <c r="J194" i="6"/>
  <c r="K194" i="6"/>
  <c r="L194" i="6"/>
  <c r="A193" i="6"/>
  <c r="B193" i="6"/>
  <c r="C193" i="6"/>
  <c r="D193" i="6"/>
  <c r="E193" i="6"/>
  <c r="F193" i="6"/>
  <c r="G193" i="6"/>
  <c r="H193" i="6"/>
  <c r="I193" i="6"/>
  <c r="J193" i="6"/>
  <c r="K193" i="6"/>
  <c r="L193" i="6"/>
  <c r="A192" i="6"/>
  <c r="B192" i="6"/>
  <c r="C192" i="6"/>
  <c r="D192" i="6"/>
  <c r="E192" i="6"/>
  <c r="F192" i="6"/>
  <c r="G192" i="6"/>
  <c r="H192" i="6"/>
  <c r="I192" i="6"/>
  <c r="J192" i="6"/>
  <c r="K192" i="6"/>
  <c r="L192" i="6"/>
  <c r="A191" i="6"/>
  <c r="B191" i="6"/>
  <c r="C191" i="6"/>
  <c r="D191" i="6"/>
  <c r="E191" i="6"/>
  <c r="F191" i="6"/>
  <c r="G191" i="6"/>
  <c r="H191" i="6"/>
  <c r="I191" i="6"/>
  <c r="J191" i="6"/>
  <c r="K191" i="6"/>
  <c r="L191" i="6"/>
  <c r="A190" i="6"/>
  <c r="B190" i="6"/>
  <c r="C190" i="6"/>
  <c r="D190" i="6"/>
  <c r="E190" i="6"/>
  <c r="F190" i="6"/>
  <c r="G190" i="6"/>
  <c r="H190" i="6"/>
  <c r="I190" i="6"/>
  <c r="J190" i="6"/>
  <c r="K190" i="6"/>
  <c r="L190" i="6"/>
  <c r="A189" i="6"/>
  <c r="B189" i="6"/>
  <c r="C189" i="6"/>
  <c r="D189" i="6"/>
  <c r="E189" i="6"/>
  <c r="F189" i="6"/>
  <c r="G189" i="6"/>
  <c r="H189" i="6"/>
  <c r="I189" i="6"/>
  <c r="J189" i="6"/>
  <c r="K189" i="6"/>
  <c r="L189" i="6"/>
  <c r="A188" i="6"/>
  <c r="B188" i="6"/>
  <c r="C188" i="6"/>
  <c r="D188" i="6"/>
  <c r="E188" i="6"/>
  <c r="F188" i="6"/>
  <c r="G188" i="6"/>
  <c r="H188" i="6"/>
  <c r="I188" i="6"/>
  <c r="J188" i="6"/>
  <c r="K188" i="6"/>
  <c r="L188" i="6"/>
  <c r="A187" i="6"/>
  <c r="B187" i="6"/>
  <c r="C187" i="6"/>
  <c r="D187" i="6"/>
  <c r="E187" i="6"/>
  <c r="F187" i="6"/>
  <c r="G187" i="6"/>
  <c r="H187" i="6"/>
  <c r="I187" i="6"/>
  <c r="J187" i="6"/>
  <c r="K187" i="6"/>
  <c r="L187" i="6"/>
  <c r="A186" i="6"/>
  <c r="B186" i="6"/>
  <c r="C186" i="6"/>
  <c r="D186" i="6"/>
  <c r="E186" i="6"/>
  <c r="F186" i="6"/>
  <c r="G186" i="6"/>
  <c r="H186" i="6"/>
  <c r="I186" i="6"/>
  <c r="J186" i="6"/>
  <c r="K186" i="6"/>
  <c r="L186" i="6"/>
  <c r="A185" i="6"/>
  <c r="B185" i="6"/>
  <c r="C185" i="6"/>
  <c r="D185" i="6"/>
  <c r="E185" i="6"/>
  <c r="F185" i="6"/>
  <c r="G185" i="6"/>
  <c r="H185" i="6"/>
  <c r="I185" i="6"/>
  <c r="J185" i="6"/>
  <c r="K185" i="6"/>
  <c r="L185" i="6"/>
  <c r="A160" i="6"/>
  <c r="C160" i="6"/>
  <c r="E160" i="6"/>
  <c r="G160" i="6"/>
  <c r="I160" i="6"/>
  <c r="K160" i="6"/>
  <c r="L160" i="6"/>
  <c r="L148" i="6"/>
  <c r="B147" i="6"/>
  <c r="C147" i="6"/>
  <c r="D147" i="6"/>
  <c r="G147" i="6"/>
  <c r="I147" i="6"/>
  <c r="C146" i="6"/>
  <c r="E146" i="6"/>
  <c r="H146" i="6"/>
  <c r="D144" i="6"/>
  <c r="F144" i="6"/>
  <c r="G144" i="6"/>
  <c r="I144" i="6"/>
  <c r="K144" i="6"/>
  <c r="L144" i="6"/>
  <c r="B143" i="6"/>
  <c r="D143" i="6"/>
  <c r="G143" i="6"/>
  <c r="J143" i="6"/>
  <c r="L143" i="6"/>
  <c r="B142" i="6"/>
  <c r="D142" i="6"/>
  <c r="E142" i="6"/>
  <c r="G142" i="6"/>
  <c r="I142" i="6"/>
  <c r="A141" i="6"/>
  <c r="D141" i="6"/>
  <c r="F141" i="6"/>
  <c r="J141" i="6"/>
  <c r="K141" i="6"/>
  <c r="D166" i="6"/>
  <c r="E166" i="6"/>
  <c r="F166" i="6"/>
  <c r="G166" i="6"/>
  <c r="H166" i="6"/>
  <c r="I166" i="6"/>
  <c r="K166" i="6"/>
  <c r="A165" i="6"/>
  <c r="H165" i="6"/>
  <c r="I165" i="6"/>
  <c r="K165" i="6"/>
  <c r="A164" i="6"/>
  <c r="B164" i="6"/>
  <c r="C164" i="6"/>
  <c r="F164" i="6"/>
  <c r="H164" i="6"/>
  <c r="I164" i="6"/>
  <c r="K164" i="6"/>
  <c r="B163" i="6"/>
  <c r="D163" i="6"/>
  <c r="E163" i="6"/>
  <c r="F163" i="6"/>
  <c r="I163" i="6"/>
  <c r="K163" i="6"/>
  <c r="L163" i="6"/>
  <c r="C162" i="6"/>
  <c r="E162" i="6"/>
  <c r="G162" i="6"/>
  <c r="J162" i="6"/>
  <c r="K162" i="6"/>
  <c r="L162" i="6"/>
  <c r="A161" i="6"/>
  <c r="C161" i="6"/>
  <c r="D161" i="6"/>
  <c r="G161" i="6"/>
  <c r="H161" i="6"/>
  <c r="I161" i="6"/>
  <c r="K161" i="6"/>
  <c r="L161" i="6"/>
  <c r="D160" i="6"/>
  <c r="J160" i="6"/>
  <c r="A147" i="6"/>
  <c r="E147" i="6"/>
  <c r="K147" i="6"/>
  <c r="D146" i="6"/>
  <c r="J146" i="6"/>
  <c r="L146" i="6"/>
  <c r="B145" i="6"/>
  <c r="C145" i="6"/>
  <c r="D145" i="6"/>
  <c r="F145" i="6"/>
  <c r="I145" i="6"/>
  <c r="B144" i="6"/>
  <c r="C144" i="6"/>
  <c r="E143" i="6"/>
  <c r="A142" i="6"/>
  <c r="C142" i="6"/>
  <c r="H142" i="6"/>
  <c r="K142" i="6"/>
  <c r="L142" i="6"/>
  <c r="E141" i="6"/>
  <c r="H141" i="6"/>
  <c r="I141" i="6"/>
  <c r="G140" i="6"/>
  <c r="H140" i="6"/>
  <c r="A139" i="6"/>
  <c r="E139" i="6"/>
  <c r="I139" i="6"/>
  <c r="L139" i="6"/>
  <c r="D138" i="6"/>
  <c r="J138" i="6"/>
  <c r="B137" i="6"/>
  <c r="D137" i="6"/>
  <c r="L137" i="6"/>
  <c r="B136" i="6"/>
  <c r="K136" i="6"/>
  <c r="B135" i="6"/>
  <c r="G135" i="6"/>
  <c r="G476" i="6"/>
  <c r="K476" i="6"/>
  <c r="D462" i="6"/>
  <c r="B461" i="6"/>
  <c r="J461" i="6"/>
  <c r="D460" i="6"/>
  <c r="K460" i="6"/>
  <c r="B459" i="6"/>
  <c r="B457" i="6"/>
  <c r="L457" i="6"/>
  <c r="B456" i="6"/>
  <c r="F453" i="6"/>
  <c r="C452" i="6"/>
  <c r="F451" i="6"/>
  <c r="E412" i="6"/>
  <c r="E410" i="6"/>
  <c r="G407" i="6"/>
  <c r="F405" i="6"/>
  <c r="E404" i="6"/>
  <c r="F400" i="6"/>
  <c r="A398" i="6"/>
  <c r="E398" i="6"/>
  <c r="K398" i="6"/>
  <c r="K397" i="6"/>
  <c r="F395" i="6"/>
  <c r="D394" i="6"/>
  <c r="B392" i="6"/>
  <c r="E283" i="6"/>
  <c r="A281" i="6"/>
  <c r="L274" i="6"/>
  <c r="A159" i="6"/>
  <c r="B159" i="6"/>
  <c r="C159" i="6"/>
  <c r="F159" i="6"/>
  <c r="G159" i="6"/>
  <c r="I159" i="6"/>
  <c r="A158" i="6"/>
  <c r="C158" i="6"/>
  <c r="E158" i="6"/>
  <c r="H158" i="6"/>
  <c r="J158" i="6"/>
  <c r="A157" i="6"/>
  <c r="C157" i="6"/>
  <c r="D157" i="6"/>
  <c r="F157" i="6"/>
  <c r="J157" i="6"/>
  <c r="K157" i="6"/>
  <c r="A156" i="6"/>
  <c r="D156" i="6"/>
  <c r="G156" i="6"/>
  <c r="H156" i="6"/>
  <c r="K156" i="6"/>
  <c r="L156" i="6"/>
  <c r="B155" i="6"/>
  <c r="D155" i="6"/>
  <c r="F155" i="6"/>
  <c r="I155" i="6"/>
  <c r="K155" i="6"/>
  <c r="L155" i="6"/>
  <c r="A154" i="6"/>
  <c r="D154" i="6"/>
  <c r="F154" i="6"/>
  <c r="H154" i="6"/>
  <c r="J154" i="6"/>
  <c r="L154" i="6"/>
  <c r="A153" i="6"/>
  <c r="C153" i="6"/>
  <c r="D153" i="6"/>
  <c r="G153" i="6"/>
  <c r="H153" i="6"/>
  <c r="J153" i="6"/>
  <c r="L153" i="6"/>
  <c r="B152" i="6"/>
  <c r="C152" i="6"/>
  <c r="E152" i="6"/>
  <c r="F152" i="6"/>
  <c r="I152" i="6"/>
  <c r="L152" i="6"/>
  <c r="B151" i="6"/>
  <c r="D151" i="6"/>
  <c r="H151" i="6"/>
  <c r="L151" i="6"/>
  <c r="B150" i="6"/>
  <c r="F150" i="6"/>
  <c r="I150" i="6"/>
  <c r="K150" i="6"/>
  <c r="H149" i="6"/>
  <c r="L149" i="6"/>
  <c r="J147" i="6"/>
  <c r="B146" i="6"/>
  <c r="J145" i="6"/>
  <c r="J144" i="6"/>
  <c r="C143" i="6"/>
  <c r="D139" i="6"/>
  <c r="B138" i="6"/>
  <c r="F137" i="6"/>
  <c r="C136" i="6"/>
  <c r="J452" i="6"/>
  <c r="E405" i="6"/>
  <c r="I134" i="6"/>
  <c r="K134" i="6"/>
  <c r="E133" i="6"/>
  <c r="K133" i="6"/>
  <c r="B132" i="6"/>
  <c r="I132" i="6"/>
  <c r="E131" i="6"/>
  <c r="H131" i="6"/>
  <c r="K131" i="6"/>
  <c r="A130" i="6"/>
  <c r="E129" i="6"/>
  <c r="K129" i="6"/>
  <c r="C128" i="6"/>
  <c r="F128" i="6"/>
  <c r="J128" i="6"/>
  <c r="G127" i="6"/>
  <c r="J127" i="6"/>
  <c r="C126" i="6"/>
  <c r="I126" i="6"/>
  <c r="F125" i="6"/>
  <c r="K125" i="6"/>
  <c r="B124" i="6"/>
  <c r="A123" i="6"/>
  <c r="D123" i="6"/>
  <c r="B122" i="6"/>
  <c r="D122" i="6"/>
  <c r="F122" i="6"/>
  <c r="C121" i="6"/>
  <c r="D115" i="6"/>
  <c r="F114" i="6"/>
  <c r="J114" i="6"/>
  <c r="B112" i="6"/>
  <c r="A111" i="6"/>
  <c r="C110" i="6"/>
  <c r="E110" i="6"/>
  <c r="L110" i="6"/>
  <c r="I109" i="6"/>
  <c r="G107" i="6"/>
  <c r="D105" i="6"/>
  <c r="K81" i="6"/>
  <c r="L511" i="6"/>
  <c r="A506" i="6"/>
  <c r="G505" i="6"/>
  <c r="K505" i="6"/>
  <c r="C502" i="6"/>
  <c r="L488" i="6"/>
  <c r="C485" i="6"/>
  <c r="G484" i="6"/>
  <c r="A483" i="6"/>
  <c r="A482" i="6"/>
  <c r="F480" i="6"/>
  <c r="A461" i="6"/>
  <c r="C460" i="6"/>
  <c r="G459" i="6"/>
  <c r="K456" i="6"/>
  <c r="D455" i="6"/>
  <c r="D395" i="6"/>
  <c r="H392" i="6"/>
  <c r="B277" i="6"/>
  <c r="D276" i="6"/>
  <c r="A104" i="6"/>
  <c r="F104" i="6"/>
  <c r="I104" i="6"/>
  <c r="D103" i="6"/>
  <c r="A102" i="6"/>
  <c r="B102" i="6"/>
  <c r="B101" i="6"/>
  <c r="J100" i="6"/>
  <c r="B99" i="6"/>
  <c r="D99" i="6"/>
  <c r="F99" i="6"/>
  <c r="I99" i="6"/>
  <c r="C97" i="6"/>
  <c r="H97" i="6"/>
  <c r="E96" i="6"/>
  <c r="D95" i="6"/>
  <c r="D94" i="6"/>
  <c r="F94" i="6"/>
  <c r="E93" i="6"/>
  <c r="I93" i="6"/>
  <c r="C92" i="6"/>
  <c r="H92" i="6"/>
  <c r="K92" i="6"/>
  <c r="D90" i="6"/>
  <c r="J90" i="6"/>
  <c r="A89" i="6"/>
  <c r="H89" i="6"/>
  <c r="B88" i="6"/>
  <c r="E88" i="6"/>
  <c r="L88" i="6"/>
  <c r="A87" i="6"/>
  <c r="E87" i="6"/>
  <c r="G87" i="6"/>
  <c r="K86" i="6"/>
  <c r="C85" i="6"/>
  <c r="I85" i="6"/>
  <c r="J85" i="6"/>
  <c r="A84" i="6"/>
  <c r="C84" i="6"/>
  <c r="L84" i="6"/>
  <c r="E83" i="6"/>
  <c r="F83" i="6"/>
  <c r="H83" i="6"/>
  <c r="F82" i="6"/>
  <c r="K82" i="6"/>
  <c r="F80" i="6"/>
  <c r="J511" i="6"/>
  <c r="I510" i="6"/>
  <c r="I508" i="6"/>
  <c r="K507" i="6"/>
  <c r="D506" i="6"/>
  <c r="B505" i="6"/>
  <c r="B485" i="6"/>
  <c r="G485" i="6"/>
  <c r="B482" i="6"/>
  <c r="K482" i="6"/>
  <c r="A478" i="6"/>
  <c r="E477" i="6"/>
  <c r="C461" i="6"/>
  <c r="B458" i="6"/>
  <c r="G457" i="6"/>
  <c r="H407" i="6"/>
  <c r="C405" i="6"/>
  <c r="D401" i="6"/>
  <c r="B79" i="6"/>
  <c r="D78" i="6"/>
  <c r="E78" i="6"/>
  <c r="I78" i="6"/>
  <c r="B77" i="6"/>
  <c r="E77" i="6"/>
  <c r="H77" i="6"/>
  <c r="F76" i="6"/>
  <c r="I76" i="6"/>
  <c r="K76" i="6"/>
  <c r="F75" i="6"/>
  <c r="J75" i="6"/>
  <c r="F73" i="6"/>
  <c r="G73" i="6"/>
  <c r="D72" i="6"/>
  <c r="I72" i="6"/>
  <c r="D71" i="6"/>
  <c r="E71" i="6"/>
  <c r="I71" i="6"/>
  <c r="K71" i="6"/>
  <c r="J58" i="6"/>
  <c r="E58" i="6"/>
  <c r="A57" i="6"/>
  <c r="J54" i="6"/>
  <c r="A54" i="6"/>
  <c r="I50" i="6"/>
  <c r="J50" i="6"/>
  <c r="F50" i="6"/>
  <c r="L46" i="6"/>
  <c r="D30" i="6"/>
  <c r="A22" i="6"/>
  <c r="H21" i="6"/>
  <c r="C20" i="6"/>
  <c r="L20" i="6"/>
  <c r="J120" i="6"/>
  <c r="L119" i="6"/>
  <c r="D118" i="6"/>
  <c r="J118" i="6"/>
  <c r="I116" i="6"/>
  <c r="B13" i="6"/>
  <c r="F13" i="6"/>
  <c r="G506" i="6"/>
  <c r="H504" i="6"/>
  <c r="L504" i="6"/>
  <c r="E482" i="6"/>
  <c r="G480" i="6"/>
  <c r="H479" i="6"/>
  <c r="K478" i="6"/>
  <c r="F477" i="6"/>
  <c r="C459" i="6"/>
  <c r="A455" i="6"/>
  <c r="A454" i="6"/>
  <c r="D452" i="6"/>
  <c r="K400" i="6"/>
  <c r="G396" i="6"/>
  <c r="L141" i="6"/>
  <c r="C140" i="6"/>
  <c r="F140" i="6"/>
  <c r="I140" i="6"/>
  <c r="K140" i="6"/>
  <c r="L140" i="6"/>
  <c r="B139" i="6"/>
  <c r="C139" i="6"/>
  <c r="G139" i="6"/>
  <c r="K139" i="6"/>
  <c r="A138" i="6"/>
  <c r="C138" i="6"/>
  <c r="E138" i="6"/>
  <c r="H138" i="6"/>
  <c r="I138" i="6"/>
  <c r="K138" i="6"/>
  <c r="C137" i="6"/>
  <c r="E137" i="6"/>
  <c r="H137" i="6"/>
  <c r="I137" i="6"/>
  <c r="K137" i="6"/>
  <c r="A136" i="6"/>
  <c r="D136" i="6"/>
  <c r="G136" i="6"/>
  <c r="I136" i="6"/>
  <c r="C135" i="6"/>
  <c r="E135" i="6"/>
  <c r="F135" i="6"/>
  <c r="I135" i="6"/>
  <c r="K135" i="6"/>
  <c r="E476" i="6"/>
  <c r="E462" i="6"/>
  <c r="F461" i="6"/>
  <c r="F459" i="6"/>
  <c r="I459" i="6"/>
  <c r="D458" i="6"/>
  <c r="H458" i="6"/>
  <c r="K458" i="6"/>
  <c r="A457" i="6"/>
  <c r="I457" i="6"/>
  <c r="C455" i="6"/>
  <c r="E455" i="6"/>
  <c r="G455" i="6"/>
  <c r="D454" i="6"/>
  <c r="E454" i="6"/>
  <c r="J454" i="6"/>
  <c r="I453" i="6"/>
  <c r="L453" i="6"/>
  <c r="G452" i="6"/>
  <c r="E451" i="6"/>
  <c r="J412" i="6"/>
  <c r="A411" i="6"/>
  <c r="D411" i="6"/>
  <c r="G411" i="6"/>
  <c r="I410" i="6"/>
  <c r="A409" i="6"/>
  <c r="F409" i="6"/>
  <c r="K409" i="6"/>
  <c r="B408" i="6"/>
  <c r="E408" i="6"/>
  <c r="J407" i="6"/>
  <c r="G406" i="6"/>
  <c r="K406" i="6"/>
  <c r="L406" i="6"/>
  <c r="L405" i="6"/>
  <c r="C404" i="6"/>
  <c r="I404" i="6"/>
  <c r="E403" i="6"/>
  <c r="C402" i="6"/>
  <c r="E401" i="6"/>
  <c r="H401" i="6"/>
  <c r="K401" i="6"/>
  <c r="L401" i="6"/>
  <c r="B400" i="6"/>
  <c r="E399" i="6"/>
  <c r="C398" i="6"/>
  <c r="B397" i="6"/>
  <c r="I397" i="6"/>
  <c r="D396" i="6"/>
  <c r="K395" i="6"/>
  <c r="F394" i="6"/>
  <c r="I394" i="6"/>
  <c r="K392" i="6"/>
  <c r="L392" i="6"/>
  <c r="G391" i="6"/>
  <c r="B282" i="6"/>
  <c r="L282" i="6"/>
  <c r="D282" i="6"/>
  <c r="D281" i="6"/>
  <c r="C277" i="6"/>
  <c r="L276" i="6"/>
  <c r="H274" i="6"/>
  <c r="H272" i="6"/>
  <c r="A184" i="6"/>
  <c r="B184" i="6"/>
  <c r="C184" i="6"/>
  <c r="D184" i="6"/>
  <c r="E184" i="6"/>
  <c r="F184" i="6"/>
  <c r="G184" i="6"/>
  <c r="H184" i="6"/>
  <c r="I184" i="6"/>
  <c r="J184" i="6"/>
  <c r="K184" i="6"/>
  <c r="L184" i="6"/>
  <c r="A183" i="6"/>
  <c r="B183" i="6"/>
  <c r="C183" i="6"/>
  <c r="D183" i="6"/>
  <c r="E183" i="6"/>
  <c r="F183" i="6"/>
  <c r="G183" i="6"/>
  <c r="H183" i="6"/>
  <c r="I183" i="6"/>
  <c r="J183" i="6"/>
  <c r="K183" i="6"/>
  <c r="L183" i="6"/>
  <c r="A182" i="6"/>
  <c r="B182" i="6"/>
  <c r="C182" i="6"/>
  <c r="D182" i="6"/>
  <c r="E182" i="6"/>
  <c r="F182" i="6"/>
  <c r="G182" i="6"/>
  <c r="H182" i="6"/>
  <c r="I182" i="6"/>
  <c r="J182" i="6"/>
  <c r="K182" i="6"/>
  <c r="L182" i="6"/>
  <c r="A181" i="6"/>
  <c r="B181" i="6"/>
  <c r="C181" i="6"/>
  <c r="D181" i="6"/>
  <c r="E181" i="6"/>
  <c r="F181" i="6"/>
  <c r="G181" i="6"/>
  <c r="H181" i="6"/>
  <c r="I181" i="6"/>
  <c r="J181" i="6"/>
  <c r="K181" i="6"/>
  <c r="L181" i="6"/>
  <c r="A180" i="6"/>
  <c r="B180" i="6"/>
  <c r="C180" i="6"/>
  <c r="D180" i="6"/>
  <c r="E180" i="6"/>
  <c r="F180" i="6"/>
  <c r="G180" i="6"/>
  <c r="H180" i="6"/>
  <c r="I180" i="6"/>
  <c r="J180" i="6"/>
  <c r="K180" i="6"/>
  <c r="L180" i="6"/>
  <c r="A179" i="6"/>
  <c r="B179" i="6"/>
  <c r="C179" i="6"/>
  <c r="D179" i="6"/>
  <c r="E179" i="6"/>
  <c r="F179" i="6"/>
  <c r="G179" i="6"/>
  <c r="H179" i="6"/>
  <c r="I179" i="6"/>
  <c r="J179" i="6"/>
  <c r="K179" i="6"/>
  <c r="L179" i="6"/>
  <c r="A178" i="6"/>
  <c r="B178" i="6"/>
  <c r="C178" i="6"/>
  <c r="D178" i="6"/>
  <c r="E178" i="6"/>
  <c r="F178" i="6"/>
  <c r="G178" i="6"/>
  <c r="H178" i="6"/>
  <c r="I178" i="6"/>
  <c r="J178" i="6"/>
  <c r="K178" i="6"/>
  <c r="L178" i="6"/>
  <c r="A177" i="6"/>
  <c r="B177" i="6"/>
  <c r="C177" i="6"/>
  <c r="D177" i="6"/>
  <c r="E177" i="6"/>
  <c r="F177" i="6"/>
  <c r="G177" i="6"/>
  <c r="H177" i="6"/>
  <c r="I177" i="6"/>
  <c r="J177" i="6"/>
  <c r="K177" i="6"/>
  <c r="L177" i="6"/>
  <c r="A176" i="6"/>
  <c r="B176" i="6"/>
  <c r="C176" i="6"/>
  <c r="D176" i="6"/>
  <c r="E176" i="6"/>
  <c r="F176" i="6"/>
  <c r="G176" i="6"/>
  <c r="H176" i="6"/>
  <c r="I176" i="6"/>
  <c r="J176" i="6"/>
  <c r="K176" i="6"/>
  <c r="L176" i="6"/>
  <c r="A175" i="6"/>
  <c r="B175" i="6"/>
  <c r="C175" i="6"/>
  <c r="D175" i="6"/>
  <c r="E175" i="6"/>
  <c r="F175" i="6"/>
  <c r="G175" i="6"/>
  <c r="H175" i="6"/>
  <c r="I175" i="6"/>
  <c r="J175" i="6"/>
  <c r="K175" i="6"/>
  <c r="L175" i="6"/>
  <c r="A174" i="6"/>
  <c r="B174" i="6"/>
  <c r="C174" i="6"/>
  <c r="D174" i="6"/>
  <c r="E174" i="6"/>
  <c r="F174" i="6"/>
  <c r="G174" i="6"/>
  <c r="H174" i="6"/>
  <c r="I174" i="6"/>
  <c r="J174" i="6"/>
  <c r="K174" i="6"/>
  <c r="L174" i="6"/>
  <c r="A173" i="6"/>
  <c r="B173" i="6"/>
  <c r="C173" i="6"/>
  <c r="D173" i="6"/>
  <c r="E173" i="6"/>
  <c r="F173" i="6"/>
  <c r="G173" i="6"/>
  <c r="H173" i="6"/>
  <c r="I173" i="6"/>
  <c r="J173" i="6"/>
  <c r="K173" i="6"/>
  <c r="L173" i="6"/>
  <c r="A172" i="6"/>
  <c r="B172" i="6"/>
  <c r="C172" i="6"/>
  <c r="D172" i="6"/>
  <c r="E172" i="6"/>
  <c r="F172" i="6"/>
  <c r="G172" i="6"/>
  <c r="H172" i="6"/>
  <c r="I172" i="6"/>
  <c r="J172" i="6"/>
  <c r="K172" i="6"/>
  <c r="L172" i="6"/>
  <c r="A171" i="6"/>
  <c r="B171" i="6"/>
  <c r="C171" i="6"/>
  <c r="D171" i="6"/>
  <c r="E171" i="6"/>
  <c r="F171" i="6"/>
  <c r="G171" i="6"/>
  <c r="H171" i="6"/>
  <c r="I171" i="6"/>
  <c r="J171" i="6"/>
  <c r="K171" i="6"/>
  <c r="L171" i="6"/>
  <c r="A170" i="6"/>
  <c r="B170" i="6"/>
  <c r="C170" i="6"/>
  <c r="D170" i="6"/>
  <c r="E170" i="6"/>
  <c r="F170" i="6"/>
  <c r="G170" i="6"/>
  <c r="H170" i="6"/>
  <c r="I170" i="6"/>
  <c r="J170" i="6"/>
  <c r="K170" i="6"/>
  <c r="L170" i="6"/>
  <c r="A169" i="6"/>
  <c r="B169" i="6"/>
  <c r="C169" i="6"/>
  <c r="D169" i="6"/>
  <c r="E169" i="6"/>
  <c r="F169" i="6"/>
  <c r="G169" i="6"/>
  <c r="H169" i="6"/>
  <c r="I169" i="6"/>
  <c r="J169" i="6"/>
  <c r="K169" i="6"/>
  <c r="L169" i="6"/>
  <c r="A168" i="6"/>
  <c r="B168" i="6"/>
  <c r="C168" i="6"/>
  <c r="D168" i="6"/>
  <c r="E168" i="6"/>
  <c r="F168" i="6"/>
  <c r="G168" i="6"/>
  <c r="H168" i="6"/>
  <c r="I168" i="6"/>
  <c r="J168" i="6"/>
  <c r="K168" i="6"/>
  <c r="L168" i="6"/>
  <c r="A167" i="6"/>
  <c r="B167" i="6"/>
  <c r="C167" i="6"/>
  <c r="D167" i="6"/>
  <c r="E167" i="6"/>
  <c r="F167" i="6"/>
  <c r="G167" i="6"/>
  <c r="H167" i="6"/>
  <c r="I167" i="6"/>
  <c r="J167" i="6"/>
  <c r="K167" i="6"/>
  <c r="L167" i="6"/>
  <c r="A166" i="6"/>
  <c r="B166" i="6"/>
  <c r="C166" i="6"/>
  <c r="J166" i="6"/>
  <c r="L166" i="6"/>
  <c r="B165" i="6"/>
  <c r="C165" i="6"/>
  <c r="D165" i="6"/>
  <c r="E165" i="6"/>
  <c r="F165" i="6"/>
  <c r="G165" i="6"/>
  <c r="J165" i="6"/>
  <c r="L165" i="6"/>
  <c r="D164" i="6"/>
  <c r="E164" i="6"/>
  <c r="G164" i="6"/>
  <c r="J164" i="6"/>
  <c r="L164" i="6"/>
  <c r="A163" i="6"/>
  <c r="C163" i="6"/>
  <c r="G163" i="6"/>
  <c r="H163" i="6"/>
  <c r="J163" i="6"/>
  <c r="A162" i="6"/>
  <c r="B162" i="6"/>
  <c r="D162" i="6"/>
  <c r="F162" i="6"/>
  <c r="H162" i="6"/>
  <c r="I162" i="6"/>
  <c r="B161" i="6"/>
  <c r="E161" i="6"/>
  <c r="F161" i="6"/>
  <c r="J161" i="6"/>
  <c r="B160" i="6"/>
  <c r="F160" i="6"/>
  <c r="H160" i="6"/>
  <c r="H147" i="6"/>
  <c r="L147" i="6"/>
  <c r="A146" i="6"/>
  <c r="G146" i="6"/>
  <c r="I146" i="6"/>
  <c r="K146" i="6"/>
  <c r="A145" i="6"/>
  <c r="G145" i="6"/>
  <c r="K145" i="6"/>
  <c r="L145" i="6"/>
  <c r="H143" i="6"/>
  <c r="K143" i="6"/>
  <c r="F142" i="6"/>
  <c r="J142" i="6"/>
  <c r="B141" i="6"/>
  <c r="C141" i="6"/>
  <c r="G141" i="6"/>
  <c r="B140" i="6"/>
  <c r="E140" i="6"/>
  <c r="J140" i="6"/>
  <c r="F139" i="6"/>
  <c r="J139" i="6"/>
  <c r="F138" i="6"/>
  <c r="A137" i="6"/>
  <c r="G137" i="6"/>
  <c r="F136" i="6"/>
  <c r="H136" i="6"/>
  <c r="L136" i="6"/>
  <c r="L135" i="6"/>
  <c r="F460" i="6"/>
  <c r="C458" i="6"/>
  <c r="I458" i="6"/>
  <c r="D457" i="6"/>
  <c r="J457" i="6"/>
  <c r="H456" i="6"/>
  <c r="J456" i="6"/>
  <c r="C454" i="6"/>
  <c r="K453" i="6"/>
  <c r="K451" i="6"/>
  <c r="J410" i="6"/>
  <c r="B409" i="6"/>
  <c r="K407" i="6"/>
  <c r="L407" i="6"/>
  <c r="D405" i="6"/>
  <c r="J405" i="6"/>
  <c r="G404" i="6"/>
  <c r="I403" i="6"/>
  <c r="H402" i="6"/>
  <c r="G400" i="6"/>
  <c r="A399" i="6"/>
  <c r="F397" i="6"/>
  <c r="F396" i="6"/>
  <c r="H395" i="6"/>
  <c r="C394" i="6"/>
  <c r="A393" i="6"/>
  <c r="J393" i="6"/>
  <c r="J392" i="6"/>
  <c r="I283" i="6"/>
  <c r="I277" i="6"/>
  <c r="K276" i="6"/>
  <c r="D159" i="6"/>
  <c r="E159" i="6"/>
  <c r="H159" i="6"/>
  <c r="J159" i="6"/>
  <c r="K159" i="6"/>
  <c r="L159" i="6"/>
  <c r="B158" i="6"/>
  <c r="D158" i="6"/>
  <c r="F158" i="6"/>
  <c r="G158" i="6"/>
  <c r="I158" i="6"/>
  <c r="K158" i="6"/>
  <c r="L158" i="6"/>
  <c r="B157" i="6"/>
  <c r="E157" i="6"/>
  <c r="G157" i="6"/>
  <c r="H157" i="6"/>
  <c r="I157" i="6"/>
  <c r="L157" i="6"/>
  <c r="B156" i="6"/>
  <c r="C156" i="6"/>
  <c r="E156" i="6"/>
  <c r="F156" i="6"/>
  <c r="I156" i="6"/>
  <c r="J156" i="6"/>
  <c r="A155" i="6"/>
  <c r="C155" i="6"/>
  <c r="E155" i="6"/>
  <c r="G155" i="6"/>
  <c r="H155" i="6"/>
  <c r="J155" i="6"/>
  <c r="B154" i="6"/>
  <c r="C154" i="6"/>
  <c r="E154" i="6"/>
  <c r="G154" i="6"/>
  <c r="I154" i="6"/>
  <c r="K154" i="6"/>
  <c r="B153" i="6"/>
  <c r="E153" i="6"/>
  <c r="F153" i="6"/>
  <c r="I153" i="6"/>
  <c r="K153" i="6"/>
  <c r="A152" i="6"/>
  <c r="D152" i="6"/>
  <c r="G152" i="6"/>
  <c r="H152" i="6"/>
  <c r="J152" i="6"/>
  <c r="K152" i="6"/>
  <c r="A151" i="6"/>
  <c r="C151" i="6"/>
  <c r="E151" i="6"/>
  <c r="F151" i="6"/>
  <c r="G151" i="6"/>
  <c r="I151" i="6"/>
  <c r="J151" i="6"/>
  <c r="K151" i="6"/>
  <c r="A150" i="6"/>
  <c r="C150" i="6"/>
  <c r="D150" i="6"/>
  <c r="E150" i="6"/>
  <c r="G150" i="6"/>
  <c r="H150" i="6"/>
  <c r="J150" i="6"/>
  <c r="L150" i="6"/>
  <c r="A149" i="6"/>
  <c r="B149" i="6"/>
  <c r="D148" i="6"/>
  <c r="F148" i="6"/>
  <c r="G148" i="6"/>
  <c r="E144" i="6"/>
  <c r="A143" i="6"/>
  <c r="J137" i="6"/>
  <c r="D135" i="6"/>
  <c r="I454" i="6"/>
  <c r="K454" i="6"/>
  <c r="E132" i="6"/>
  <c r="F132" i="6"/>
  <c r="H132" i="6"/>
  <c r="G131" i="6"/>
  <c r="I131" i="6"/>
  <c r="F130" i="6"/>
  <c r="A129" i="6"/>
  <c r="A128" i="6"/>
  <c r="G126" i="6"/>
  <c r="H125" i="6"/>
  <c r="C124" i="6"/>
  <c r="H124" i="6"/>
  <c r="B123" i="6"/>
  <c r="A122" i="6"/>
  <c r="H122" i="6"/>
  <c r="K122" i="6"/>
  <c r="F121" i="6"/>
  <c r="C115" i="6"/>
  <c r="H115" i="6"/>
  <c r="D114" i="6"/>
  <c r="K114" i="6"/>
  <c r="A113" i="6"/>
  <c r="L113" i="6"/>
  <c r="E112" i="6"/>
  <c r="C111" i="6"/>
  <c r="I111" i="6"/>
  <c r="F110" i="6"/>
  <c r="C109" i="6"/>
  <c r="B108" i="6"/>
  <c r="E108" i="6"/>
  <c r="J108" i="6"/>
  <c r="B107" i="6"/>
  <c r="J106" i="6"/>
  <c r="I105" i="6"/>
  <c r="D81" i="6"/>
  <c r="C80" i="6"/>
  <c r="L80" i="6"/>
  <c r="B507" i="6"/>
  <c r="B503" i="6"/>
  <c r="H503" i="6"/>
  <c r="L503" i="6"/>
  <c r="D502" i="6"/>
  <c r="J486" i="6"/>
  <c r="J482" i="6"/>
  <c r="J480" i="6"/>
  <c r="H477" i="6"/>
  <c r="I476" i="6"/>
  <c r="D459" i="6"/>
  <c r="D456" i="6"/>
  <c r="B455" i="6"/>
  <c r="H453" i="6"/>
  <c r="D412" i="6"/>
  <c r="A403" i="6"/>
  <c r="G394" i="6"/>
  <c r="D393" i="6"/>
  <c r="E282" i="6"/>
  <c r="E102" i="6"/>
  <c r="I102" i="6"/>
  <c r="J102" i="6"/>
  <c r="A101" i="6"/>
  <c r="L101" i="6"/>
  <c r="D100" i="6"/>
  <c r="H99" i="6"/>
  <c r="C98" i="6"/>
  <c r="D98" i="6"/>
  <c r="H98" i="6"/>
  <c r="A97" i="6"/>
  <c r="K97" i="6"/>
  <c r="H96" i="6"/>
  <c r="G95" i="6"/>
  <c r="I94" i="6"/>
  <c r="J94" i="6"/>
  <c r="B93" i="6"/>
  <c r="K93" i="6"/>
  <c r="A92" i="6"/>
  <c r="L92" i="6"/>
  <c r="D91" i="6"/>
  <c r="K91" i="6"/>
  <c r="B90" i="6"/>
  <c r="I90" i="6"/>
  <c r="C89" i="6"/>
  <c r="D88" i="6"/>
  <c r="J88" i="6"/>
  <c r="C87" i="6"/>
  <c r="I87" i="6"/>
  <c r="J87" i="6"/>
  <c r="K87" i="6"/>
  <c r="J86" i="6"/>
  <c r="B85" i="6"/>
  <c r="E85" i="6"/>
  <c r="F84" i="6"/>
  <c r="J83" i="6"/>
  <c r="L83" i="6"/>
  <c r="A81" i="6"/>
  <c r="H80" i="6"/>
  <c r="C508" i="6"/>
  <c r="I506" i="6"/>
  <c r="D505" i="6"/>
  <c r="E485" i="6"/>
  <c r="C483" i="6"/>
  <c r="I481" i="6"/>
  <c r="F479" i="6"/>
  <c r="H478" i="6"/>
  <c r="A476" i="6"/>
  <c r="E459" i="6"/>
  <c r="F458" i="6"/>
  <c r="J404" i="6"/>
  <c r="H400" i="6"/>
  <c r="H396" i="6"/>
  <c r="G395" i="6"/>
  <c r="C393" i="6"/>
  <c r="E391" i="6"/>
  <c r="G277" i="6"/>
  <c r="G79" i="6"/>
  <c r="F78" i="6"/>
  <c r="L78" i="6"/>
  <c r="G76" i="6"/>
  <c r="A75" i="6"/>
  <c r="D75" i="6"/>
  <c r="I75" i="6"/>
  <c r="A74" i="6"/>
  <c r="H74" i="6"/>
  <c r="H73" i="6"/>
  <c r="A72" i="6"/>
  <c r="C71" i="6"/>
  <c r="F71" i="6"/>
  <c r="J71" i="6"/>
  <c r="I58" i="6"/>
  <c r="B50" i="6"/>
  <c r="L50" i="6"/>
  <c r="K46" i="6"/>
  <c r="A46" i="6"/>
  <c r="D46" i="6"/>
  <c r="B46" i="6"/>
  <c r="L32" i="6"/>
  <c r="E30" i="6"/>
  <c r="A30" i="6"/>
  <c r="C22" i="6"/>
  <c r="F21" i="6"/>
  <c r="F20" i="6"/>
  <c r="E20" i="6"/>
  <c r="H20" i="6"/>
  <c r="E120" i="6"/>
  <c r="L120" i="6"/>
  <c r="F118" i="6"/>
  <c r="K118" i="6"/>
  <c r="D116" i="6"/>
  <c r="E13" i="6"/>
  <c r="B510" i="6"/>
  <c r="E506" i="6"/>
  <c r="C503" i="6"/>
  <c r="K501" i="6"/>
  <c r="K488" i="6"/>
  <c r="L482" i="6"/>
  <c r="C480" i="6"/>
  <c r="B479" i="6"/>
  <c r="D478" i="6"/>
  <c r="B477" i="6"/>
  <c r="J477" i="6"/>
  <c r="B460" i="6"/>
  <c r="A458" i="6"/>
  <c r="L454" i="6"/>
  <c r="G451" i="6"/>
  <c r="C411" i="6"/>
  <c r="C410" i="6"/>
  <c r="G398" i="6"/>
  <c r="I281" i="6"/>
  <c r="D70" i="6"/>
  <c r="B70" i="6"/>
  <c r="K70" i="6"/>
  <c r="K102" i="6"/>
  <c r="J92" i="6"/>
  <c r="G91" i="6"/>
  <c r="B75" i="6"/>
  <c r="K72" i="6"/>
  <c r="E50" i="6"/>
  <c r="F46" i="6"/>
</calcChain>
</file>

<file path=xl/sharedStrings.xml><?xml version="1.0" encoding="utf-8"?>
<sst xmlns="http://schemas.openxmlformats.org/spreadsheetml/2006/main" count="16049" uniqueCount="4650">
  <si>
    <t>Top 25 expansion targets</t>
  </si>
  <si>
    <t>Highest-priority candidates not marked already served. Food-access estimates guide the first outreach and verification round.</t>
  </si>
  <si>
    <t>Ranking weights</t>
  </si>
  <si>
    <t>Review as of</t>
  </si>
  <si>
    <t>Review valid days</t>
  </si>
  <si>
    <t>Oldest retrieval</t>
  </si>
  <si>
    <t>Baseline</t>
  </si>
  <si>
    <t>Eligible candidates</t>
  </si>
  <si>
    <t>Top 25 enrollment</t>
  </si>
  <si>
    <t>Marked served</t>
  </si>
  <si>
    <t>Directory 2026–27. Demographics 2025–26. Charter Title I uses last populated 2025–26 designation; confirm before commitment.</t>
  </si>
  <si>
    <t>Order</t>
  </si>
  <si>
    <t>School</t>
  </si>
  <si>
    <t>Type</t>
  </si>
  <si>
    <t>Economic %</t>
  </si>
  <si>
    <t>Enrollment</t>
  </si>
  <si>
    <t>Fresh miles</t>
  </si>
  <si>
    <t>Resources ≤1mi</t>
  </si>
  <si>
    <t>Score /85</t>
  </si>
  <si>
    <t>Food evidence</t>
  </si>
  <si>
    <t>Why it needs attention</t>
  </si>
  <si>
    <t>Review row</t>
  </si>
  <si>
    <t>Missing-data queue</t>
  </si>
  <si>
    <t>Weights</t>
  </si>
  <si>
    <t>Economic need</t>
  </si>
  <si>
    <t>Fresh access</t>
  </si>
  <si>
    <t>Resource gap</t>
  </si>
  <si>
    <t>Reach</t>
  </si>
  <si>
    <t>Active</t>
  </si>
  <si>
    <t>Custom</t>
  </si>
  <si>
    <t>Set Already served to Yes at the indicated Staff Review row. The next candidate replaces it automatically. No means unchecked.</t>
  </si>
  <si>
    <t>Refresh status</t>
  </si>
  <si>
    <t>Snapshot 2026-10-09. Install the supplied Windows refresh setup once, then use Data &gt; Refresh All.</t>
  </si>
  <si>
    <t>School search</t>
  </si>
  <si>
    <t>Search a name, ZIP or ID. Results update when you press Enter. Top 25 remains independent of these filters.</t>
  </si>
  <si>
    <t>Search name / ZIP / ID</t>
  </si>
  <si>
    <t>School type</t>
  </si>
  <si>
    <t>Results</t>
  </si>
  <si>
    <t>Page</t>
  </si>
  <si>
    <t>All</t>
  </si>
  <si>
    <t>Not marked served</t>
  </si>
  <si>
    <t>Listed food access is provisional. Blank scores identify missing source data. Open School Profile for the evidence.</t>
  </si>
  <si>
    <t>Need rank</t>
  </si>
  <si>
    <t>Already served</t>
  </si>
  <si>
    <t>Status</t>
  </si>
  <si>
    <t>School ID</t>
  </si>
  <si>
    <t>School profile</t>
  </si>
  <si>
    <t>Choose a school to see its need, evidence and next action.</t>
  </si>
  <si>
    <t>Tacony Academy Charter School</t>
  </si>
  <si>
    <t>Rubric component</t>
  </si>
  <si>
    <t>Points</t>
  </si>
  <si>
    <t>School address</t>
  </si>
  <si>
    <t>Economic disadvantage</t>
  </si>
  <si>
    <t>Active priority score /85</t>
  </si>
  <si>
    <t>Baseline score /85</t>
  </si>
  <si>
    <t>Already served (staff flag)</t>
  </si>
  <si>
    <t>Outreach status</t>
  </si>
  <si>
    <t>Scope / target status</t>
  </si>
  <si>
    <t>Fresh access miles</t>
  </si>
  <si>
    <t>Listed miles do not establish produce quality, affordability or walking access.</t>
  </si>
  <si>
    <t>Fresh access basis</t>
  </si>
  <si>
    <t>Nearby resources ≤1mi</t>
  </si>
  <si>
    <t>Verified inputs require a date and evidence in Staff Review.</t>
  </si>
  <si>
    <t>Resource basis</t>
  </si>
  <si>
    <t>Nearest listed supermarket</t>
  </si>
  <si>
    <t>Retailer address</t>
  </si>
  <si>
    <t>Nearby listed food sites</t>
  </si>
  <si>
    <t>Active City Food Site candidates within one mile. Check hours, recurrence and eligibility before counting as verified access.</t>
  </si>
  <si>
    <t>Miles</t>
  </si>
  <si>
    <t>Food site</t>
  </si>
  <si>
    <t>Address</t>
  </si>
  <si>
    <t>Website</t>
  </si>
  <si>
    <t>School phone</t>
  </si>
  <si>
    <t>School website</t>
  </si>
  <si>
    <t>Staff review and service list</t>
  </si>
  <si>
    <t>Filter School name. Set Already served to Yes to remove a school from targets; No means unchecked. Amber cells are editable.</t>
  </si>
  <si>
    <t>Food evidence is optional for initial targeting. Enter a verified value, date and evidence to replace a listed estimate.</t>
  </si>
  <si>
    <t>School name</t>
  </si>
  <si>
    <t>Verified fresh miles</t>
  </si>
  <si>
    <t>Fresh checked</t>
  </si>
  <si>
    <t>Verified resources ≤1mi</t>
  </si>
  <si>
    <t>Resources checked</t>
  </si>
  <si>
    <t>Evidence / notes</t>
  </si>
  <si>
    <t>Owner</t>
  </si>
  <si>
    <t>Contact stage</t>
  </si>
  <si>
    <t>Readiness</t>
  </si>
  <si>
    <t>Record status</t>
  </si>
  <si>
    <t>6090</t>
  </si>
  <si>
    <t>No</t>
  </si>
  <si>
    <t>Not contacted</t>
  </si>
  <si>
    <t>Unknown</t>
  </si>
  <si>
    <t>8010</t>
  </si>
  <si>
    <t>2520</t>
  </si>
  <si>
    <t>2620</t>
  </si>
  <si>
    <t>6480</t>
  </si>
  <si>
    <t>2310</t>
  </si>
  <si>
    <t>3820</t>
  </si>
  <si>
    <t>3379</t>
  </si>
  <si>
    <t>1460</t>
  </si>
  <si>
    <t>1470</t>
  </si>
  <si>
    <t>2470</t>
  </si>
  <si>
    <t>5200</t>
  </si>
  <si>
    <t>7380</t>
  </si>
  <si>
    <t>7290</t>
  </si>
  <si>
    <t>3315</t>
  </si>
  <si>
    <t>8390</t>
  </si>
  <si>
    <t>5430</t>
  </si>
  <si>
    <t>1290</t>
  </si>
  <si>
    <t>7390</t>
  </si>
  <si>
    <t>6200</t>
  </si>
  <si>
    <t>6440</t>
  </si>
  <si>
    <t>8400</t>
  </si>
  <si>
    <t>3395</t>
  </si>
  <si>
    <t>8040</t>
  </si>
  <si>
    <t>1300</t>
  </si>
  <si>
    <t>2210</t>
  </si>
  <si>
    <t>7440</t>
  </si>
  <si>
    <t>3368</t>
  </si>
  <si>
    <t>3210</t>
  </si>
  <si>
    <t>1260</t>
  </si>
  <si>
    <t>7280</t>
  </si>
  <si>
    <t>2010</t>
  </si>
  <si>
    <t>3388</t>
  </si>
  <si>
    <t>7470</t>
  </si>
  <si>
    <t>5610</t>
  </si>
  <si>
    <t>4030</t>
  </si>
  <si>
    <t>8120</t>
  </si>
  <si>
    <t>5490</t>
  </si>
  <si>
    <t>6010</t>
  </si>
  <si>
    <t>8160</t>
  </si>
  <si>
    <t>6250</t>
  </si>
  <si>
    <t>3306</t>
  </si>
  <si>
    <t>7200</t>
  </si>
  <si>
    <t>3301</t>
  </si>
  <si>
    <t>2670</t>
  </si>
  <si>
    <t>6410</t>
  </si>
  <si>
    <t>8690</t>
  </si>
  <si>
    <t>3190</t>
  </si>
  <si>
    <t>2190</t>
  </si>
  <si>
    <t>3438</t>
  </si>
  <si>
    <t>2370</t>
  </si>
  <si>
    <t>4440</t>
  </si>
  <si>
    <t>4350</t>
  </si>
  <si>
    <t>3250</t>
  </si>
  <si>
    <t>4530</t>
  </si>
  <si>
    <t>4300</t>
  </si>
  <si>
    <t>6390</t>
  </si>
  <si>
    <t>8250</t>
  </si>
  <si>
    <t>2450</t>
  </si>
  <si>
    <t>3510</t>
  </si>
  <si>
    <t>6220</t>
  </si>
  <si>
    <t>2580</t>
  </si>
  <si>
    <t>7260</t>
  </si>
  <si>
    <t>3333</t>
  </si>
  <si>
    <t>8200</t>
  </si>
  <si>
    <t>3307</t>
  </si>
  <si>
    <t>3291</t>
  </si>
  <si>
    <t>8080</t>
  </si>
  <si>
    <t>3290</t>
  </si>
  <si>
    <t>3040</t>
  </si>
  <si>
    <t>2240</t>
  </si>
  <si>
    <t>2510</t>
  </si>
  <si>
    <t>7310</t>
  </si>
  <si>
    <t>7500</t>
  </si>
  <si>
    <t>3364</t>
  </si>
  <si>
    <t>6230</t>
  </si>
  <si>
    <t>3384</t>
  </si>
  <si>
    <t>8260</t>
  </si>
  <si>
    <t>5440</t>
  </si>
  <si>
    <t>7300</t>
  </si>
  <si>
    <t>2540</t>
  </si>
  <si>
    <t>7010</t>
  </si>
  <si>
    <t>2290</t>
  </si>
  <si>
    <t>6210</t>
  </si>
  <si>
    <t>3403</t>
  </si>
  <si>
    <t>3331</t>
  </si>
  <si>
    <t>3318</t>
  </si>
  <si>
    <t>8100</t>
  </si>
  <si>
    <t>3419</t>
  </si>
  <si>
    <t>2340</t>
  </si>
  <si>
    <t>4570</t>
  </si>
  <si>
    <t>7130</t>
  </si>
  <si>
    <t>5480</t>
  </si>
  <si>
    <t>2260</t>
  </si>
  <si>
    <t>2590</t>
  </si>
  <si>
    <t>2630</t>
  </si>
  <si>
    <t>8030</t>
  </si>
  <si>
    <t>8350</t>
  </si>
  <si>
    <t>2410</t>
  </si>
  <si>
    <t>3337</t>
  </si>
  <si>
    <t>3428</t>
  </si>
  <si>
    <t>5530</t>
  </si>
  <si>
    <t>3365</t>
  </si>
  <si>
    <t>7370</t>
  </si>
  <si>
    <t>4520</t>
  </si>
  <si>
    <t>8240</t>
  </si>
  <si>
    <t>8770</t>
  </si>
  <si>
    <t>3302</t>
  </si>
  <si>
    <t>5210</t>
  </si>
  <si>
    <t>1340</t>
  </si>
  <si>
    <t>6260</t>
  </si>
  <si>
    <t>7330</t>
  </si>
  <si>
    <t>2020</t>
  </si>
  <si>
    <t>1030</t>
  </si>
  <si>
    <t>6460</t>
  </si>
  <si>
    <t>5680</t>
  </si>
  <si>
    <t>2160</t>
  </si>
  <si>
    <t>5300</t>
  </si>
  <si>
    <t>3309</t>
  </si>
  <si>
    <t>3442</t>
  </si>
  <si>
    <t>3341</t>
  </si>
  <si>
    <t>3308</t>
  </si>
  <si>
    <t>5410</t>
  </si>
  <si>
    <t>8310</t>
  </si>
  <si>
    <t>6450</t>
  </si>
  <si>
    <t>4220</t>
  </si>
  <si>
    <t>7430</t>
  </si>
  <si>
    <t>6300</t>
  </si>
  <si>
    <t>7350</t>
  </si>
  <si>
    <t>5340</t>
  </si>
  <si>
    <t>1410</t>
  </si>
  <si>
    <t>7100</t>
  </si>
  <si>
    <t>6470</t>
  </si>
  <si>
    <t>5580</t>
  </si>
  <si>
    <t>1200</t>
  </si>
  <si>
    <t>1010</t>
  </si>
  <si>
    <t>5320</t>
  </si>
  <si>
    <t>6310</t>
  </si>
  <si>
    <t>2690</t>
  </si>
  <si>
    <t>5590</t>
  </si>
  <si>
    <t>1400</t>
  </si>
  <si>
    <t>7360</t>
  </si>
  <si>
    <t>5370</t>
  </si>
  <si>
    <t>6270</t>
  </si>
  <si>
    <t>5420</t>
  </si>
  <si>
    <t>8430</t>
  </si>
  <si>
    <t>8210</t>
  </si>
  <si>
    <t>6340</t>
  </si>
  <si>
    <t>1250</t>
  </si>
  <si>
    <t>5060</t>
  </si>
  <si>
    <t>5170</t>
  </si>
  <si>
    <t>2140</t>
  </si>
  <si>
    <t>7320</t>
  </si>
  <si>
    <t>7150</t>
  </si>
  <si>
    <t>4360</t>
  </si>
  <si>
    <t>8230</t>
  </si>
  <si>
    <t>5550</t>
  </si>
  <si>
    <t>5700</t>
  </si>
  <si>
    <t>5520</t>
  </si>
  <si>
    <t>3389</t>
  </si>
  <si>
    <t>3353</t>
  </si>
  <si>
    <t>3437</t>
  </si>
  <si>
    <t>3436</t>
  </si>
  <si>
    <t>3370</t>
  </si>
  <si>
    <t>3443</t>
  </si>
  <si>
    <t>3310</t>
  </si>
  <si>
    <t>6540</t>
  </si>
  <si>
    <t>7220</t>
  </si>
  <si>
    <t>2490</t>
  </si>
  <si>
    <t>4240</t>
  </si>
  <si>
    <t>5260</t>
  </si>
  <si>
    <t>8380</t>
  </si>
  <si>
    <t>2480</t>
  </si>
  <si>
    <t>3332</t>
  </si>
  <si>
    <t>3366</t>
  </si>
  <si>
    <t>1420</t>
  </si>
  <si>
    <t>6060</t>
  </si>
  <si>
    <t>7510</t>
  </si>
  <si>
    <t>3440</t>
  </si>
  <si>
    <t>3445</t>
  </si>
  <si>
    <t>3361</t>
  </si>
  <si>
    <t>3420</t>
  </si>
  <si>
    <t>3415</t>
  </si>
  <si>
    <t>3412</t>
  </si>
  <si>
    <t>3416</t>
  </si>
  <si>
    <t>3323</t>
  </si>
  <si>
    <t>3407</t>
  </si>
  <si>
    <t>3408</t>
  </si>
  <si>
    <t>3426</t>
  </si>
  <si>
    <t>3393</t>
  </si>
  <si>
    <t>3383</t>
  </si>
  <si>
    <t>3409</t>
  </si>
  <si>
    <t>3385</t>
  </si>
  <si>
    <t>3427</t>
  </si>
  <si>
    <t>3439</t>
  </si>
  <si>
    <t>3328</t>
  </si>
  <si>
    <t>8300</t>
  </si>
  <si>
    <t>5710</t>
  </si>
  <si>
    <t>1580</t>
  </si>
  <si>
    <t>1360</t>
  </si>
  <si>
    <t>1190</t>
  </si>
  <si>
    <t>3312</t>
  </si>
  <si>
    <t>4060</t>
  </si>
  <si>
    <t>3334</t>
  </si>
  <si>
    <t>8130</t>
  </si>
  <si>
    <t>8020</t>
  </si>
  <si>
    <t>3850</t>
  </si>
  <si>
    <t>3386</t>
  </si>
  <si>
    <t>8070</t>
  </si>
  <si>
    <t>7400</t>
  </si>
  <si>
    <t>7060</t>
  </si>
  <si>
    <t>7061</t>
  </si>
  <si>
    <t>3810</t>
  </si>
  <si>
    <t>8190</t>
  </si>
  <si>
    <t>8860</t>
  </si>
  <si>
    <t>8890</t>
  </si>
  <si>
    <t>8891</t>
  </si>
  <si>
    <t>4480</t>
  </si>
  <si>
    <t>4370</t>
  </si>
  <si>
    <t>4020</t>
  </si>
  <si>
    <t>3394</t>
  </si>
  <si>
    <t>5080</t>
  </si>
  <si>
    <t>5070</t>
  </si>
  <si>
    <t>5090</t>
  </si>
  <si>
    <t>5250</t>
  </si>
  <si>
    <t>1050</t>
  </si>
  <si>
    <t>5160</t>
  </si>
  <si>
    <t>8540</t>
  </si>
  <si>
    <t>1440</t>
  </si>
  <si>
    <t>3335</t>
  </si>
  <si>
    <t>3322</t>
  </si>
  <si>
    <t>7069</t>
  </si>
  <si>
    <t>3358</t>
  </si>
  <si>
    <t>3446</t>
  </si>
  <si>
    <t>6050</t>
  </si>
  <si>
    <t>2530</t>
  </si>
  <si>
    <t>8470</t>
  </si>
  <si>
    <t>8460</t>
  </si>
  <si>
    <t>5050</t>
  </si>
  <si>
    <t>3378</t>
  </si>
  <si>
    <t>3336</t>
  </si>
  <si>
    <t>8780</t>
  </si>
  <si>
    <t>5390</t>
  </si>
  <si>
    <t>3313</t>
  </si>
  <si>
    <t>7490</t>
  </si>
  <si>
    <t>8900</t>
  </si>
  <si>
    <t>8360</t>
  </si>
  <si>
    <t>3359</t>
  </si>
  <si>
    <t>4470</t>
  </si>
  <si>
    <t>5400</t>
  </si>
  <si>
    <t>8410</t>
  </si>
  <si>
    <t>4320</t>
  </si>
  <si>
    <t>2390</t>
  </si>
  <si>
    <t>7730</t>
  </si>
  <si>
    <t>6030</t>
  </si>
  <si>
    <t>1490</t>
  </si>
  <si>
    <t>3360</t>
  </si>
  <si>
    <t>5230</t>
  </si>
  <si>
    <t>1370</t>
  </si>
  <si>
    <t>1280</t>
  </si>
  <si>
    <t>7120</t>
  </si>
  <si>
    <t>4280</t>
  </si>
  <si>
    <t>6350</t>
  </si>
  <si>
    <t>1390</t>
  </si>
  <si>
    <t>3399</t>
  </si>
  <si>
    <t>2650</t>
  </si>
  <si>
    <t>2050</t>
  </si>
  <si>
    <t>6380</t>
  </si>
  <si>
    <t>8340</t>
  </si>
  <si>
    <t>2000</t>
  </si>
  <si>
    <t>3880</t>
  </si>
  <si>
    <t>2640</t>
  </si>
  <si>
    <t>3392</t>
  </si>
  <si>
    <t>5560</t>
  </si>
  <si>
    <t>8420</t>
  </si>
  <si>
    <t>2320</t>
  </si>
  <si>
    <t>5581</t>
  </si>
  <si>
    <t>4140</t>
  </si>
  <si>
    <t>8090</t>
  </si>
  <si>
    <t>3404</t>
  </si>
  <si>
    <t>4460</t>
  </si>
  <si>
    <t>3441</t>
  </si>
  <si>
    <t>3292</t>
  </si>
  <si>
    <t>3240</t>
  </si>
  <si>
    <t>3372</t>
  </si>
  <si>
    <t>5660</t>
  </si>
  <si>
    <t>3422</t>
  </si>
  <si>
    <t>2680</t>
  </si>
  <si>
    <t>5620</t>
  </si>
  <si>
    <t>8560</t>
  </si>
  <si>
    <t>6360</t>
  </si>
  <si>
    <t>5020</t>
  </si>
  <si>
    <t>1380</t>
  </si>
  <si>
    <t>8270</t>
  </si>
  <si>
    <t>7270</t>
  </si>
  <si>
    <t>4380</t>
  </si>
  <si>
    <t>6320</t>
  </si>
  <si>
    <t>5500</t>
  </si>
  <si>
    <t>3424</t>
  </si>
  <si>
    <t>3417</t>
  </si>
  <si>
    <t>3421</t>
  </si>
  <si>
    <t>3326</t>
  </si>
  <si>
    <t>2720</t>
  </si>
  <si>
    <t>5180</t>
  </si>
  <si>
    <t>6040</t>
  </si>
  <si>
    <t>7110</t>
  </si>
  <si>
    <t>8370</t>
  </si>
  <si>
    <t>3314</t>
  </si>
  <si>
    <t>3357</t>
  </si>
  <si>
    <t>1020</t>
  </si>
  <si>
    <t>6400</t>
  </si>
  <si>
    <t>1230</t>
  </si>
  <si>
    <t>1350</t>
  </si>
  <si>
    <t>5470</t>
  </si>
  <si>
    <t>4560</t>
  </si>
  <si>
    <t>4270</t>
  </si>
  <si>
    <t>5330</t>
  </si>
  <si>
    <t>8440</t>
  </si>
  <si>
    <t>7460</t>
  </si>
  <si>
    <t>1100</t>
  </si>
  <si>
    <t>2380</t>
  </si>
  <si>
    <t>5350</t>
  </si>
  <si>
    <t>7530</t>
  </si>
  <si>
    <t>1130</t>
  </si>
  <si>
    <t>5150</t>
  </si>
  <si>
    <t>3362</t>
  </si>
  <si>
    <t>8450</t>
  </si>
  <si>
    <t>3329</t>
  </si>
  <si>
    <t>3304</t>
  </si>
  <si>
    <t>Governance</t>
  </si>
  <si>
    <t>Title I</t>
  </si>
  <si>
    <t>Level</t>
  </si>
  <si>
    <t>City</t>
  </si>
  <si>
    <t>ZIP</t>
  </si>
  <si>
    <t>Latitude</t>
  </si>
  <si>
    <t>Longitude</t>
  </si>
  <si>
    <t>Listed food sites ≤1mi</t>
  </si>
  <si>
    <t>School year</t>
  </si>
  <si>
    <t>Retrieved</t>
  </si>
  <si>
    <t>Dataset</t>
  </si>
  <si>
    <t>PA school code</t>
  </si>
  <si>
    <t>AUN</t>
  </si>
  <si>
    <t>Setting</t>
  </si>
  <si>
    <t>Value</t>
  </si>
  <si>
    <t>John Bartram High School</t>
  </si>
  <si>
    <t>District</t>
  </si>
  <si>
    <t>Yes</t>
  </si>
  <si>
    <t>High</t>
  </si>
  <si>
    <t>2401 S 67TH ST</t>
  </si>
  <si>
    <t>PHILADELPHIA</t>
  </si>
  <si>
    <t>19142</t>
  </si>
  <si>
    <t>2025-2026</t>
  </si>
  <si>
    <t>2026-10-09</t>
  </si>
  <si>
    <t>Live</t>
  </si>
  <si>
    <t>3847</t>
  </si>
  <si>
    <t>126515001</t>
  </si>
  <si>
    <t>SchoolURL</t>
  </si>
  <si>
    <t>https://cdn.philasd.org/offices/performance/Open_Data/School_Information/School_List/2026-2027%20Master%20School%20List%20(20260928).csv</t>
  </si>
  <si>
    <t>West Philadelphia High School</t>
  </si>
  <si>
    <t>4901 CHESTNUT ST</t>
  </si>
  <si>
    <t>19139</t>
  </si>
  <si>
    <t>3860</t>
  </si>
  <si>
    <t>EnrollmentURL</t>
  </si>
  <si>
    <t>https://cdn.philasd.org/offices/performance/Open_Data/School_Information/Enrollment_Demographics_School/2025-2026%20Enrollment%20%26%20Demographics.csv</t>
  </si>
  <si>
    <t>High School of the Future</t>
  </si>
  <si>
    <t>4021 PARKSIDE AVE</t>
  </si>
  <si>
    <t>19104</t>
  </si>
  <si>
    <t>7903</t>
  </si>
  <si>
    <t>EconomicURL</t>
  </si>
  <si>
    <t>https://www.pa.gov/content/dam/copapwp-pagov/en/education/documents/data-and-reporting/loan-cancellation/public/2526%20public%20schools%20percent%20low%20income.xlsx</t>
  </si>
  <si>
    <t>Paul Robeson High School for Human Services</t>
  </si>
  <si>
    <t>4125 LUDLOW ST</t>
  </si>
  <si>
    <t>7780</t>
  </si>
  <si>
    <t>FoodURL</t>
  </si>
  <si>
    <t>https://services.arcgis.com/fLeGjb7u4uXqeF9q/ArcGIS/rest/services/free_meal_sites/FeatureServer/0/query?where=1%3D1&amp;outFields=*&amp;outSR=4326&amp;f=json</t>
  </si>
  <si>
    <t>William L. Sayre High School</t>
  </si>
  <si>
    <t>5800 WALNUT ST</t>
  </si>
  <si>
    <t>7245</t>
  </si>
  <si>
    <t>TitleHistoryURL</t>
  </si>
  <si>
    <t>https://cdn.philasd.org/offices/performance/Open_Data/School_Information/School_List/2025-2026%20Master%20School%20List%20(20251001).csv</t>
  </si>
  <si>
    <t>William T. Tilden Middle School</t>
  </si>
  <si>
    <t>Middle</t>
  </si>
  <si>
    <t>6601 ELMWOOD AVE</t>
  </si>
  <si>
    <t>8297</t>
  </si>
  <si>
    <t>DirectoryYear</t>
  </si>
  <si>
    <t>2026-2027</t>
  </si>
  <si>
    <t>Motivation High School</t>
  </si>
  <si>
    <t>5900 BALTIMORE AVE</t>
  </si>
  <si>
    <t>19143</t>
  </si>
  <si>
    <t>7815</t>
  </si>
  <si>
    <t>EconomicSheet</t>
  </si>
  <si>
    <t>2026 LIP by School</t>
  </si>
  <si>
    <t>John Barry School</t>
  </si>
  <si>
    <t>Elementary-Middle</t>
  </si>
  <si>
    <t>5900 RACE ST</t>
  </si>
  <si>
    <t>8029</t>
  </si>
  <si>
    <t>William C. Bryant School</t>
  </si>
  <si>
    <t>6001 CEDAR AVE</t>
  </si>
  <si>
    <t>3601</t>
  </si>
  <si>
    <t>Joseph W. Catharine School</t>
  </si>
  <si>
    <t>Elementary</t>
  </si>
  <si>
    <t>6600 CHESTER AVE</t>
  </si>
  <si>
    <t>3602</t>
  </si>
  <si>
    <t>Benjamin B. Comegys School</t>
  </si>
  <si>
    <t>5100 GREENWAY AVE</t>
  </si>
  <si>
    <t>3782</t>
  </si>
  <si>
    <t>Method</t>
  </si>
  <si>
    <t>Definition</t>
  </si>
  <si>
    <t>Sadie T.M. Alexander UPenn Partnership School</t>
  </si>
  <si>
    <t>4209 SPRUCE ST</t>
  </si>
  <si>
    <t>7706</t>
  </si>
  <si>
    <t>Scope</t>
  </si>
  <si>
    <t>Philadelphia district schools and charters with last-published Title I status. Contracted schools excluded.</t>
  </si>
  <si>
    <t>Andrew Hamilton School</t>
  </si>
  <si>
    <t>5640 SPRUCE ST</t>
  </si>
  <si>
    <t>5185</t>
  </si>
  <si>
    <t>Directory</t>
  </si>
  <si>
    <t>2026–27 current school directory; demographics use 2025–26 published files.</t>
  </si>
  <si>
    <t>Avery D. Harrington School</t>
  </si>
  <si>
    <t>5300 BALTIMORE AVE</t>
  </si>
  <si>
    <t>6528</t>
  </si>
  <si>
    <t>Title I gap</t>
  </si>
  <si>
    <t>2026–27 and May 2026 directories omit charter Title I. Last populated October 2025 designation is matched on ULCS + AUN + PA code. Confirm charter eligibility before commitment.</t>
  </si>
  <si>
    <t>Henry C. Lea School</t>
  </si>
  <si>
    <t>4700 LOCUST ST</t>
  </si>
  <si>
    <t>6530</t>
  </si>
  <si>
    <t>Nearest USDA-listed SNAP supermarket/superstore. Smaller groceries and produce affordability are not established.</t>
  </si>
  <si>
    <t>William C. Longstreth School</t>
  </si>
  <si>
    <t>5700 WILLOWS AVE</t>
  </si>
  <si>
    <t>6533</t>
  </si>
  <si>
    <t>Food resources</t>
  </si>
  <si>
    <t>Distinct active City Food Site addresses within 1 mile, excluding closure flags. Recurrence, eligibility and neighboring jurisdictions require review.</t>
  </si>
  <si>
    <t>Morton McMichael School</t>
  </si>
  <si>
    <t>3543 FAIRMOUNT AVE</t>
  </si>
  <si>
    <t>3611</t>
  </si>
  <si>
    <t>Review overrides</t>
  </si>
  <si>
    <t>Dated, nonnegative staff inputs with evidence replace the corresponding source proxy for 180 days by default. Zero is valid.</t>
  </si>
  <si>
    <t>S. Weir Mitchell School</t>
  </si>
  <si>
    <t>5500 KINGSESSING AVE</t>
  </si>
  <si>
    <t>3798</t>
  </si>
  <si>
    <t>Staff flag only. No means unchecked, not proof the organization has never served the school. Yes excludes it immediately.</t>
  </si>
  <si>
    <t>Thomas G. Morton School</t>
  </si>
  <si>
    <t>2501 S 63RD ST</t>
  </si>
  <si>
    <t>6535</t>
  </si>
  <si>
    <t>Rank order</t>
  </si>
  <si>
    <t>Active score descending, then economic disadvantage descending, enrollment descending, then school ID ascending. Equal scores still share a need rank.</t>
  </si>
  <si>
    <t>Samuel Powel School</t>
  </si>
  <si>
    <t>3610 WARREN ST</t>
  </si>
  <si>
    <t>3783</t>
  </si>
  <si>
    <t>Tier</t>
  </si>
  <si>
    <t>Baseline rubric only: 70+ Tier 1, 55+ Tier 2, 40+ Tier 3, below 40 Tier 4.</t>
  </si>
  <si>
    <t>John M. Patterson School</t>
  </si>
  <si>
    <t>7000 BUIST AVE</t>
  </si>
  <si>
    <t>3613</t>
  </si>
  <si>
    <t>Missing data</t>
  </si>
  <si>
    <t>Missing economic %, enrollment or access input prevents a complete score. No imputation.</t>
  </si>
  <si>
    <t>James Rhoads School</t>
  </si>
  <si>
    <t>4901 PARRISH ST</t>
  </si>
  <si>
    <t>3614</t>
  </si>
  <si>
    <t>Refresh</t>
  </si>
  <si>
    <t>Native query installation is required once on Windows. Then Data &gt; Refresh All. See kit.</t>
  </si>
  <si>
    <t>Martha Washington School</t>
  </si>
  <si>
    <t>766 N 44TH ST</t>
  </si>
  <si>
    <t>3615</t>
  </si>
  <si>
    <t>Source check</t>
  </si>
  <si>
    <t>Government source files retrieved 2026-10-09. This is a retrieval date, not their reporting period.</t>
  </si>
  <si>
    <t>Penrose School</t>
  </si>
  <si>
    <t>2515 S 78TH ST</t>
  </si>
  <si>
    <t>19153</t>
  </si>
  <si>
    <t>3616</t>
  </si>
  <si>
    <t>Annual update</t>
  </si>
  <si>
    <t>Review current district and PDE downloads. Update SourceSettings and validate keys, definitions and reporting periods.</t>
  </si>
  <si>
    <t>Add B. Anderson School</t>
  </si>
  <si>
    <t>1034 S 60TH ST</t>
  </si>
  <si>
    <t>3804</t>
  </si>
  <si>
    <t>Retail feed</t>
  </si>
  <si>
    <t>https://services1.arcgis.com/RLQu0rK7h4kbsBq5/arcgis/rest/services/snap_retailer_location_data/FeatureServer/0/query?where=Latitude%3E%3D39.8%20AND%20Latitude%3C%3D40.2%20AND%20Longitude%3E%3D-75.4%20AND%20Longitude%3C%3D-74.9%20AND%20Store_Type%20IN%20(%27Supermarket%27,%27Super%20Store%27)&amp;outFields=*&amp;returnGeometry=false&amp;f=json&amp;resultRecordCount=1000&amp;orderByFields=ObjectId</t>
  </si>
  <si>
    <t>Alain Locke School</t>
  </si>
  <si>
    <t>4550 HAVERFORD AVE</t>
  </si>
  <si>
    <t>4732</t>
  </si>
  <si>
    <t>Notes</t>
  </si>
  <si>
    <t>Straight-line Haversine miles (earth radius 3958.7613). Estimates guide outreach; listed access is not verified availability.</t>
  </si>
  <si>
    <t>Rudolph Blankenburg School</t>
  </si>
  <si>
    <t>4600 W GIRARD AVE</t>
  </si>
  <si>
    <t>19131</t>
  </si>
  <si>
    <t>3663</t>
  </si>
  <si>
    <t>Middle Years Alternative School</t>
  </si>
  <si>
    <t>4725 FAIRMOUNT AVE</t>
  </si>
  <si>
    <t>7022</t>
  </si>
  <si>
    <t>South Philadelphia High School</t>
  </si>
  <si>
    <t>2101 S BROAD ST</t>
  </si>
  <si>
    <t>19148</t>
  </si>
  <si>
    <t>3859</t>
  </si>
  <si>
    <t>Benjamin Franklin High School</t>
  </si>
  <si>
    <t>550 N BROAD ST</t>
  </si>
  <si>
    <t>19130</t>
  </si>
  <si>
    <t>3851</t>
  </si>
  <si>
    <t>High School for Creative and Performing Arts</t>
  </si>
  <si>
    <t>901 S BROAD ST</t>
  </si>
  <si>
    <t>19147</t>
  </si>
  <si>
    <t>6996</t>
  </si>
  <si>
    <t>Science Leadership Academy Middle School</t>
  </si>
  <si>
    <t>8387</t>
  </si>
  <si>
    <t>Julia R. Masterman High School</t>
  </si>
  <si>
    <t>Middle-High</t>
  </si>
  <si>
    <t>1699 SPRING GARDEN ST</t>
  </si>
  <si>
    <t>3808</t>
  </si>
  <si>
    <t>Horace Furness High School</t>
  </si>
  <si>
    <t>1900 S 3RD ST</t>
  </si>
  <si>
    <t>3818</t>
  </si>
  <si>
    <t>D. Newlin Fell School</t>
  </si>
  <si>
    <t>900 W OREGON AVE</t>
  </si>
  <si>
    <t>7226</t>
  </si>
  <si>
    <t>Bache-Martin School</t>
  </si>
  <si>
    <t>2201 BROWN ST</t>
  </si>
  <si>
    <t>3618</t>
  </si>
  <si>
    <t>F. Amedee Bregy School</t>
  </si>
  <si>
    <t>1700 BIGLER ST</t>
  </si>
  <si>
    <t>19145</t>
  </si>
  <si>
    <t>3620</t>
  </si>
  <si>
    <t>George W. Childs School</t>
  </si>
  <si>
    <t>1599 WHARTON ST</t>
  </si>
  <si>
    <t>19146</t>
  </si>
  <si>
    <t>3622</t>
  </si>
  <si>
    <t>Franklin Learning Center</t>
  </si>
  <si>
    <t>616 N 15TH ST</t>
  </si>
  <si>
    <t>6822</t>
  </si>
  <si>
    <t>Phone</t>
  </si>
  <si>
    <t>Directory year</t>
  </si>
  <si>
    <t>Title I source year</t>
  </si>
  <si>
    <t>Published Title I value used</t>
  </si>
  <si>
    <t>Current directory Title I</t>
  </si>
  <si>
    <t>Achieve Academy of Philadelphia</t>
  </si>
  <si>
    <t>Contracted</t>
  </si>
  <si>
    <t>Transition/Overage School</t>
  </si>
  <si>
    <t>1435 N 26TH ST</t>
  </si>
  <si>
    <t>19121</t>
  </si>
  <si>
    <t>9999</t>
  </si>
  <si>
    <t>215-400-8100</t>
  </si>
  <si>
    <t>https://bartram.philasd.org/</t>
  </si>
  <si>
    <t>1</t>
  </si>
  <si>
    <t>Stephen Girard School</t>
  </si>
  <si>
    <t>1800 SNYDER AVE</t>
  </si>
  <si>
    <t>3776</t>
  </si>
  <si>
    <t>215-400-7900</t>
  </si>
  <si>
    <t>https://wphs.philasd.org/</t>
  </si>
  <si>
    <t>General George A. McCall School</t>
  </si>
  <si>
    <t>325 S 7TH ST</t>
  </si>
  <si>
    <t>19106</t>
  </si>
  <si>
    <t>3648</t>
  </si>
  <si>
    <t>215-400-7790</t>
  </si>
  <si>
    <t>https://sof.philasd.org/</t>
  </si>
  <si>
    <t>Delaplaine McDaniel School</t>
  </si>
  <si>
    <t>1801 S 22ND ST</t>
  </si>
  <si>
    <t>3629</t>
  </si>
  <si>
    <t>215-400-7780</t>
  </si>
  <si>
    <t>https://robeson.philasd.org/</t>
  </si>
  <si>
    <t>William M. Meredith School</t>
  </si>
  <si>
    <t>725 S 5TH ST</t>
  </si>
  <si>
    <t>3649</t>
  </si>
  <si>
    <t>215-400-7800</t>
  </si>
  <si>
    <t>https://sayre.philasd.org/</t>
  </si>
  <si>
    <t>Robert Morris School</t>
  </si>
  <si>
    <t>2600 W THOMPSON ST</t>
  </si>
  <si>
    <t>4868</t>
  </si>
  <si>
    <t>215-400-8170</t>
  </si>
  <si>
    <t>https://tilden.philasd.org/</t>
  </si>
  <si>
    <t>Girard Academic Music Program High School</t>
  </si>
  <si>
    <t>2136 W RITNER ST, GAMP</t>
  </si>
  <si>
    <t>007664</t>
  </si>
  <si>
    <t>215-400-7930</t>
  </si>
  <si>
    <t>https://motivationhs.philasd.org/</t>
  </si>
  <si>
    <t>Edwin M. Stanton School</t>
  </si>
  <si>
    <t>901 S. 17TH ST.</t>
  </si>
  <si>
    <t>3635</t>
  </si>
  <si>
    <t>215-400-7640</t>
  </si>
  <si>
    <t>https://barry.philasd.org/</t>
  </si>
  <si>
    <t>Albert M. Greenfield School</t>
  </si>
  <si>
    <t>2200 CHESTNUT ST</t>
  </si>
  <si>
    <t>19103</t>
  </si>
  <si>
    <t>5186</t>
  </si>
  <si>
    <t>215-400-7910</t>
  </si>
  <si>
    <t>https://bryant.philasd.org/</t>
  </si>
  <si>
    <t>Marian Anderson Neighborhood Academy</t>
  </si>
  <si>
    <t>2000 CATHARINE ST</t>
  </si>
  <si>
    <t>3805</t>
  </si>
  <si>
    <t>215-400-8150</t>
  </si>
  <si>
    <t>https://catharine.philasd.org/</t>
  </si>
  <si>
    <t>Laura W. Waring School</t>
  </si>
  <si>
    <t>1801 GREEN ST</t>
  </si>
  <si>
    <t>7225</t>
  </si>
  <si>
    <t>215-400-7860</t>
  </si>
  <si>
    <t>https://comegys.philasd.org/</t>
  </si>
  <si>
    <t>Fanny Jackson Coppin School</t>
  </si>
  <si>
    <t>1213 S 12TH ST</t>
  </si>
  <si>
    <t>3642</t>
  </si>
  <si>
    <t>215-400-7760</t>
  </si>
  <si>
    <t>https://pennalexander.philasd.org/</t>
  </si>
  <si>
    <t>Abram S. Jenks School</t>
  </si>
  <si>
    <t>2501 S 13TH ST</t>
  </si>
  <si>
    <t>7227</t>
  </si>
  <si>
    <t>215-400-7650</t>
  </si>
  <si>
    <t>https://hamilton.philasd.org/</t>
  </si>
  <si>
    <t>Philadelphia Juvenile Justice Services Center</t>
  </si>
  <si>
    <t>91 N 48TH ST</t>
  </si>
  <si>
    <t>215-400-7920</t>
  </si>
  <si>
    <t>https://harrington.philasd.org/</t>
  </si>
  <si>
    <t>Francis S. Key School</t>
  </si>
  <si>
    <t>2230 S 8TH ST</t>
  </si>
  <si>
    <t>7228</t>
  </si>
  <si>
    <t>215-400-7660</t>
  </si>
  <si>
    <t>https://lea.philasd.org/</t>
  </si>
  <si>
    <t>Eliza B. Kirkbride School</t>
  </si>
  <si>
    <t>1501 S 7TH ST</t>
  </si>
  <si>
    <t>3647</t>
  </si>
  <si>
    <t>215-400-7870</t>
  </si>
  <si>
    <t>https://longstreth.philasd.org/</t>
  </si>
  <si>
    <t>George W. Nebinger School</t>
  </si>
  <si>
    <t>601 CARPENTER ST</t>
  </si>
  <si>
    <t>3650</t>
  </si>
  <si>
    <t>215-400-7750</t>
  </si>
  <si>
    <t>https://mcmichael.philasd.org/</t>
  </si>
  <si>
    <t>Academy at Palumbo</t>
  </si>
  <si>
    <t>1100 CATHARINE ST</t>
  </si>
  <si>
    <t>7904</t>
  </si>
  <si>
    <t>215-400-7880</t>
  </si>
  <si>
    <t>https://mitchell.philasd.org/</t>
  </si>
  <si>
    <t>George W. Sharswood School</t>
  </si>
  <si>
    <t>2300 S 2ND ST</t>
  </si>
  <si>
    <t>3653</t>
  </si>
  <si>
    <t>215-400-8160</t>
  </si>
  <si>
    <t>https://morton.philasd.org/</t>
  </si>
  <si>
    <t>Southwark School</t>
  </si>
  <si>
    <t>1835 S 9TH ST</t>
  </si>
  <si>
    <t>3654</t>
  </si>
  <si>
    <t>215-400-7740</t>
  </si>
  <si>
    <t>https://powel.philasd.org/</t>
  </si>
  <si>
    <t>Science Leadership Academy High School</t>
  </si>
  <si>
    <t>550 N BROAD ST, SCIENCE LEADERSHIP ACADEMY, SUITE 202</t>
  </si>
  <si>
    <t>7906</t>
  </si>
  <si>
    <t>215-400-8190</t>
  </si>
  <si>
    <t>https://patterson.philasd.org/</t>
  </si>
  <si>
    <t>Constitution High School</t>
  </si>
  <si>
    <t>18 S 7TH ST</t>
  </si>
  <si>
    <t>7905</t>
  </si>
  <si>
    <t>215-400-7680</t>
  </si>
  <si>
    <t>https://rhoads.philasd.org/</t>
  </si>
  <si>
    <t>The Science Leadership Academy at Beeber High School</t>
  </si>
  <si>
    <t>5925 MALVERN AVE</t>
  </si>
  <si>
    <t>8330</t>
  </si>
  <si>
    <t>215-400-7770</t>
  </si>
  <si>
    <t>https://mwashington.philasd.org/</t>
  </si>
  <si>
    <t>John H. Taggart School</t>
  </si>
  <si>
    <t>400 W PORTER ST</t>
  </si>
  <si>
    <t>3657</t>
  </si>
  <si>
    <t>215-400-8310</t>
  </si>
  <si>
    <t>https://penrose.philasd.org/</t>
  </si>
  <si>
    <t>Vare-Washington School</t>
  </si>
  <si>
    <t>1198 S 5TH ST</t>
  </si>
  <si>
    <t>8294</t>
  </si>
  <si>
    <t>215-400-7890</t>
  </si>
  <si>
    <t>https://anderson.philasd.org/</t>
  </si>
  <si>
    <t>Excel Middle Years Academy</t>
  </si>
  <si>
    <t>4300 WESTMINSTER AVE</t>
  </si>
  <si>
    <t>215-400-7670</t>
  </si>
  <si>
    <t>https://locke.philasd.org/</t>
  </si>
  <si>
    <t>Crossroads at Hunting Park</t>
  </si>
  <si>
    <t>4224 N FRONT ST</t>
  </si>
  <si>
    <t>19140</t>
  </si>
  <si>
    <t>215-400-7280</t>
  </si>
  <si>
    <t>https://blankenburg.philasd.org/</t>
  </si>
  <si>
    <t>Ben Franklin High School EOP</t>
  </si>
  <si>
    <t>215-400-7720</t>
  </si>
  <si>
    <t>https://mya.philasd.org/</t>
  </si>
  <si>
    <t>The Fortis Program</t>
  </si>
  <si>
    <t>2343 E TUCKER ST</t>
  </si>
  <si>
    <t>19125</t>
  </si>
  <si>
    <t>N/A</t>
  </si>
  <si>
    <t>326510730</t>
  </si>
  <si>
    <t>215-400-8400</t>
  </si>
  <si>
    <t>https://sphs.philasd.org/</t>
  </si>
  <si>
    <t>Early College Charter School of Philadelphia</t>
  </si>
  <si>
    <t>Charter</t>
  </si>
  <si>
    <t>1420 PINE ST</t>
  </si>
  <si>
    <t>19102</t>
  </si>
  <si>
    <t>126518705</t>
  </si>
  <si>
    <t>215-400-7600</t>
  </si>
  <si>
    <t>https://bfhs.philasd.org/</t>
  </si>
  <si>
    <t>Excel Academy South</t>
  </si>
  <si>
    <t>4641 ROOSEVELT BLVD</t>
  </si>
  <si>
    <t>19124</t>
  </si>
  <si>
    <t>215-400-8140</t>
  </si>
  <si>
    <t>https://capa.philasd.org/</t>
  </si>
  <si>
    <t>Excel Academy Central</t>
  </si>
  <si>
    <t>201 E OLNEY AVE</t>
  </si>
  <si>
    <t>19120</t>
  </si>
  <si>
    <t>215-400-8320</t>
  </si>
  <si>
    <t>https://slams.philasd.org/</t>
  </si>
  <si>
    <t>The Academy of Continued Education School</t>
  </si>
  <si>
    <t>440 N BROAD ST</t>
  </si>
  <si>
    <t>215-400-7580</t>
  </si>
  <si>
    <t>https://masterman.philasd.org/</t>
  </si>
  <si>
    <t>Community Academy of Philadelphia Charter School</t>
  </si>
  <si>
    <t>Elementary-Middle-High</t>
  </si>
  <si>
    <t>1100 E ERIE AVE</t>
  </si>
  <si>
    <t>126512840</t>
  </si>
  <si>
    <t>215-400-8300</t>
  </si>
  <si>
    <t>https://furness.philasd.org/</t>
  </si>
  <si>
    <t>Harambee Institute of Science and Technology Charter School</t>
  </si>
  <si>
    <t>640 N 66TH ST</t>
  </si>
  <si>
    <t>19151</t>
  </si>
  <si>
    <t>7511</t>
  </si>
  <si>
    <t>126512850</t>
  </si>
  <si>
    <t>215-400-8260</t>
  </si>
  <si>
    <t>https://fell.philasd.org/</t>
  </si>
  <si>
    <t>YouthBuild Philadelphia Charter School</t>
  </si>
  <si>
    <t>2309 N BROAD ST</t>
  </si>
  <si>
    <t>19132</t>
  </si>
  <si>
    <t>007513</t>
  </si>
  <si>
    <t>126512870</t>
  </si>
  <si>
    <t>215-400-7550</t>
  </si>
  <si>
    <t>https://bachemartin.philasd.org/</t>
  </si>
  <si>
    <t>Christopher Columbus Charter School</t>
  </si>
  <si>
    <t>916 CHRISTIAN ST</t>
  </si>
  <si>
    <t>7575</t>
  </si>
  <si>
    <t>126513160</t>
  </si>
  <si>
    <t>215-400-8210</t>
  </si>
  <si>
    <t>https://bregy.philasd.org/</t>
  </si>
  <si>
    <t>Eugenio Maria De Hostos Charter School</t>
  </si>
  <si>
    <t>6301 N 2ND ST</t>
  </si>
  <si>
    <t>7564</t>
  </si>
  <si>
    <t>126513100</t>
  </si>
  <si>
    <t>215-400-7950</t>
  </si>
  <si>
    <t>https://childs.philasd.org/</t>
  </si>
  <si>
    <t>Inquiry Charter School</t>
  </si>
  <si>
    <t>1301 BELMONT AVE</t>
  </si>
  <si>
    <t>7557</t>
  </si>
  <si>
    <t>126513070</t>
  </si>
  <si>
    <t>215-400-7570</t>
  </si>
  <si>
    <t>https://flc.philasd.org/</t>
  </si>
  <si>
    <t>Imhotep Institute Charter High School</t>
  </si>
  <si>
    <t>6201 N 21ST ST</t>
  </si>
  <si>
    <t>19138</t>
  </si>
  <si>
    <t>7542</t>
  </si>
  <si>
    <t>126512980</t>
  </si>
  <si>
    <t>215-684-5080</t>
  </si>
  <si>
    <t>https://sesischools.com/location/achieve-academy-of-philadelphia/</t>
  </si>
  <si>
    <t>0</t>
  </si>
  <si>
    <t>Laboratory Charter School of Communication and Languages</t>
  </si>
  <si>
    <t>926 W SEDGLEY AVE</t>
  </si>
  <si>
    <t>7565</t>
  </si>
  <si>
    <t>126513110</t>
  </si>
  <si>
    <t>215-400-8180</t>
  </si>
  <si>
    <t>https://girard.philasd.org/</t>
  </si>
  <si>
    <t>Multicultural Academy Charter School</t>
  </si>
  <si>
    <t>3821 N BROAD ST</t>
  </si>
  <si>
    <t>7546</t>
  </si>
  <si>
    <t>126513000</t>
  </si>
  <si>
    <t>215-400-7840</t>
  </si>
  <si>
    <t>https://mccall.philasd.org/</t>
  </si>
  <si>
    <t>Preparatory Charter School of Mathematics, Science, Technology and Careers</t>
  </si>
  <si>
    <t>1928 POINT BREEZE AVE</t>
  </si>
  <si>
    <t>7540</t>
  </si>
  <si>
    <t>126512960</t>
  </si>
  <si>
    <t>215-400-8220</t>
  </si>
  <si>
    <t>https://mcdaniel.philasd.org/</t>
  </si>
  <si>
    <t>West Oak Lane Charter School</t>
  </si>
  <si>
    <t>7115 STENTON AVE</t>
  </si>
  <si>
    <t>7548</t>
  </si>
  <si>
    <t>126513020</t>
  </si>
  <si>
    <t>215-400-7990</t>
  </si>
  <si>
    <t>https://meredith.philasd.org/</t>
  </si>
  <si>
    <t>Alliance For Progress Charter School</t>
  </si>
  <si>
    <t>1722 CECIL B MOORE AVE</t>
  </si>
  <si>
    <t>7543</t>
  </si>
  <si>
    <t>126512990</t>
  </si>
  <si>
    <t>215-400-7320</t>
  </si>
  <si>
    <t>https://morris.philasd.org/</t>
  </si>
  <si>
    <t>Freire Charter School</t>
  </si>
  <si>
    <t>2027 CHESTNUT ST</t>
  </si>
  <si>
    <t>7586</t>
  </si>
  <si>
    <t>126513270</t>
  </si>
  <si>
    <t>215-400-8230</t>
  </si>
  <si>
    <t>https://gamp.philasd.org/</t>
  </si>
  <si>
    <t>Philadelphia Academy Charter School</t>
  </si>
  <si>
    <t>11000 ROOSEVELT BLVD</t>
  </si>
  <si>
    <t>19116</t>
  </si>
  <si>
    <t>7587</t>
  </si>
  <si>
    <t>126513280</t>
  </si>
  <si>
    <t>215-400-7960</t>
  </si>
  <si>
    <t>https://emstanton.philasd.org/</t>
  </si>
  <si>
    <t>Mastery Charter School at Hardy Williams</t>
  </si>
  <si>
    <t>5400 WARRINGTON AVE</t>
  </si>
  <si>
    <t>7588</t>
  </si>
  <si>
    <t>126513290</t>
  </si>
  <si>
    <t>215-400-7810</t>
  </si>
  <si>
    <t>https://greenfield.philasd.org/</t>
  </si>
  <si>
    <t>Universal Institute Charter School</t>
  </si>
  <si>
    <t>801 S 15TH ST</t>
  </si>
  <si>
    <t>7580</t>
  </si>
  <si>
    <t>126513210</t>
  </si>
  <si>
    <t>215-400-7940</t>
  </si>
  <si>
    <t>https://mariananderson.philasd.org/</t>
  </si>
  <si>
    <t>Mathematics, Science, and Technology Community Charter School (MaST)</t>
  </si>
  <si>
    <t>1800 BYBERRY RD</t>
  </si>
  <si>
    <t>7574</t>
  </si>
  <si>
    <t>126513150</t>
  </si>
  <si>
    <t>215-400-7560</t>
  </si>
  <si>
    <t>https://waring.philasd.org/</t>
  </si>
  <si>
    <t>Young Scholars Charter School</t>
  </si>
  <si>
    <t>900 N MARSHALL ST</t>
  </si>
  <si>
    <t>19123</t>
  </si>
  <si>
    <t>7584</t>
  </si>
  <si>
    <t>126513250</t>
  </si>
  <si>
    <t>215-400-7970</t>
  </si>
  <si>
    <t>https://coppin.philasd.org/</t>
  </si>
  <si>
    <t>Franklin Towne Charter High School</t>
  </si>
  <si>
    <t>5301 TACONY ST</t>
  </si>
  <si>
    <t>19137</t>
  </si>
  <si>
    <t>7666</t>
  </si>
  <si>
    <t>126513450</t>
  </si>
  <si>
    <t>215-400-8240</t>
  </si>
  <si>
    <t>https://asjenks.philasd.org/</t>
  </si>
  <si>
    <t>Mariana Bracetti Academy Charter School</t>
  </si>
  <si>
    <t>1840 TORRESDALE AVE</t>
  </si>
  <si>
    <t>7672</t>
  </si>
  <si>
    <t>126513480</t>
  </si>
  <si>
    <t>215-683-3495</t>
  </si>
  <si>
    <t>https://pjjsc.philasd.org/</t>
  </si>
  <si>
    <t>Esperanza Academy Charter School</t>
  </si>
  <si>
    <t>301 W HUNTING PARK AVE</t>
  </si>
  <si>
    <t>7665</t>
  </si>
  <si>
    <t>126513440</t>
  </si>
  <si>
    <t>215-400-8250</t>
  </si>
  <si>
    <t>https://key.philasd.org/</t>
  </si>
  <si>
    <t>New Foundations Charter School</t>
  </si>
  <si>
    <t>8001 TORRESDALE AVE</t>
  </si>
  <si>
    <t>19136</t>
  </si>
  <si>
    <t>7649</t>
  </si>
  <si>
    <t>126513420</t>
  </si>
  <si>
    <t>215-400-7980</t>
  </si>
  <si>
    <t>https://kirkbride.philasd.org/</t>
  </si>
  <si>
    <t>People for People Charter School</t>
  </si>
  <si>
    <t>800 N BROAD ST</t>
  </si>
  <si>
    <t>7685</t>
  </si>
  <si>
    <t>126510004</t>
  </si>
  <si>
    <t>215-400-8110</t>
  </si>
  <si>
    <t>https://nebinger.philasd.org/</t>
  </si>
  <si>
    <t>Philadelphia Performing Arts Charter School</t>
  </si>
  <si>
    <t>2600 S BROAD ST</t>
  </si>
  <si>
    <t>7647</t>
  </si>
  <si>
    <t>126513400</t>
  </si>
  <si>
    <t>215-400-8130</t>
  </si>
  <si>
    <t>https://palumbo.philasd.org/</t>
  </si>
  <si>
    <t>Global Leadership Academy Charter School</t>
  </si>
  <si>
    <t>4601 W GIRARD AVE</t>
  </si>
  <si>
    <t>7639</t>
  </si>
  <si>
    <t>126513380</t>
  </si>
  <si>
    <t>215-400-8270</t>
  </si>
  <si>
    <t>https://sharswood.philasd.org/</t>
  </si>
  <si>
    <t>Independence Charter School</t>
  </si>
  <si>
    <t>1600 LOMBARD ST</t>
  </si>
  <si>
    <t>7683</t>
  </si>
  <si>
    <t>126513510</t>
  </si>
  <si>
    <t>215-400-8280</t>
  </si>
  <si>
    <t>https://southwark.philasd.org/</t>
  </si>
  <si>
    <t>KIPP DuBois Charter School</t>
  </si>
  <si>
    <t>5070 PARKSIDE AVE</t>
  </si>
  <si>
    <t>8358</t>
  </si>
  <si>
    <t>126514864</t>
  </si>
  <si>
    <t>215-400-7830</t>
  </si>
  <si>
    <t>https://sla.philasd.org/</t>
  </si>
  <si>
    <t>West Philadelphia Achievement Charter School</t>
  </si>
  <si>
    <t>6701 CALLOWHILL ST</t>
  </si>
  <si>
    <t>7722</t>
  </si>
  <si>
    <t>126510006</t>
  </si>
  <si>
    <t>215-400-7850</t>
  </si>
  <si>
    <t>https://constitutionhs.philasd.org/</t>
  </si>
  <si>
    <t>Philadelphia Electrical and Technology Charter High School</t>
  </si>
  <si>
    <t>1709 BENJAMIN FRANKLIN PKWY</t>
  </si>
  <si>
    <t>7737</t>
  </si>
  <si>
    <t>126510009</t>
  </si>
  <si>
    <t>215-400-7270</t>
  </si>
  <si>
    <t>https://slabeeber.philasd.org/</t>
  </si>
  <si>
    <t>Richard Allen Preparatory Charter School</t>
  </si>
  <si>
    <t>2601 S 58TH ST</t>
  </si>
  <si>
    <t>7684</t>
  </si>
  <si>
    <t>126510008</t>
  </si>
  <si>
    <t>215-400-8290</t>
  </si>
  <si>
    <t>https://taggart.philasd.org/</t>
  </si>
  <si>
    <t>Russell Byers Charter School</t>
  </si>
  <si>
    <t>1911 ARCH ST</t>
  </si>
  <si>
    <t>7677</t>
  </si>
  <si>
    <t>126510001</t>
  </si>
  <si>
    <t>215-400-8120</t>
  </si>
  <si>
    <t>https://vare.philasd.org/</t>
  </si>
  <si>
    <t>Mastery Charter High School</t>
  </si>
  <si>
    <t>35 S 4TH ST</t>
  </si>
  <si>
    <t>7678</t>
  </si>
  <si>
    <t>126510002</t>
  </si>
  <si>
    <t>215-436-0307</t>
  </si>
  <si>
    <t>https://sesischools.com/location/excel-middle-years-academy/</t>
  </si>
  <si>
    <t>Wissahickon Charter School</t>
  </si>
  <si>
    <t>4700 WISSAHICKON AVE</t>
  </si>
  <si>
    <t>19144</t>
  </si>
  <si>
    <t>7724</t>
  </si>
  <si>
    <t>126510007</t>
  </si>
  <si>
    <t>215-400-9060</t>
  </si>
  <si>
    <t>https://crossroads-huntingpark.philasd.org/</t>
  </si>
  <si>
    <t>First Philadelphia Preparatory Charter School</t>
  </si>
  <si>
    <t>4300 TACONY ST</t>
  </si>
  <si>
    <t>7744</t>
  </si>
  <si>
    <t>100510000</t>
  </si>
  <si>
    <t>https://www.philasd.org/backontrack/#aded</t>
  </si>
  <si>
    <t>Green Woods Charter School</t>
  </si>
  <si>
    <t>468 DOMINO LN</t>
  </si>
  <si>
    <t>19128</t>
  </si>
  <si>
    <t>7748</t>
  </si>
  <si>
    <t>126510005</t>
  </si>
  <si>
    <t>215-571-1952</t>
  </si>
  <si>
    <t>https://www.liguoriacademy.org/the-fortis-program</t>
  </si>
  <si>
    <t>Maritime Academy Charter School</t>
  </si>
  <si>
    <t>2275 BRIDGE ST</t>
  </si>
  <si>
    <t>7777</t>
  </si>
  <si>
    <t>126510014</t>
  </si>
  <si>
    <t>https://earlycollegephl.org/</t>
  </si>
  <si>
    <t>Belmont Elementary Charter School</t>
  </si>
  <si>
    <t>4030 BROWN ST</t>
  </si>
  <si>
    <t>7750</t>
  </si>
  <si>
    <t>126510010</t>
  </si>
  <si>
    <t>215-904-6254</t>
  </si>
  <si>
    <t>http://cameloteducation.org/our-schools/accelerated-schools/excel-academy-south</t>
  </si>
  <si>
    <t>KIPP Philadelphia Charter School</t>
  </si>
  <si>
    <t>2600 W CLEARFIELD ST</t>
  </si>
  <si>
    <t>7776</t>
  </si>
  <si>
    <t>126510013</t>
  </si>
  <si>
    <t>215-346-8970</t>
  </si>
  <si>
    <t>https://sesischools.com/</t>
  </si>
  <si>
    <t>The Jacquelyn Y. Kelley Discovery Charter School</t>
  </si>
  <si>
    <t>4700 PARKSIDE AVE</t>
  </si>
  <si>
    <t>7775</t>
  </si>
  <si>
    <t>126510011</t>
  </si>
  <si>
    <t>215-400-6844</t>
  </si>
  <si>
    <t>https://www.philasd.org/academics/ace/</t>
  </si>
  <si>
    <t>Philadelphia Montessori Charter School</t>
  </si>
  <si>
    <t>2227 ISLAND RD</t>
  </si>
  <si>
    <t>7828</t>
  </si>
  <si>
    <t>126510016</t>
  </si>
  <si>
    <t>215-533-6700</t>
  </si>
  <si>
    <t>https://www.communityacademy.org</t>
  </si>
  <si>
    <t>Ad Prima Charter School</t>
  </si>
  <si>
    <t>1922 N 63RD ST</t>
  </si>
  <si>
    <t>7825</t>
  </si>
  <si>
    <t>126510015</t>
  </si>
  <si>
    <t>215-472-8770</t>
  </si>
  <si>
    <t>https://histcs.org</t>
  </si>
  <si>
    <t>Mastery Charter School at Shoemaker</t>
  </si>
  <si>
    <t>5301 MEDIA ST</t>
  </si>
  <si>
    <t>7909</t>
  </si>
  <si>
    <t>126510022</t>
  </si>
  <si>
    <t>https://www.youthbuildphilly.org</t>
  </si>
  <si>
    <t>Folk Arts-Cultural Treasures Charter School</t>
  </si>
  <si>
    <t>1023 CALLOWHILL ST</t>
  </si>
  <si>
    <t>7857</t>
  </si>
  <si>
    <t>126510021</t>
  </si>
  <si>
    <t>215-925-7400</t>
  </si>
  <si>
    <t>https://columbuscharter.org/</t>
  </si>
  <si>
    <t>Mastery Charter School at Thomas Campus</t>
  </si>
  <si>
    <t>927 JOHNSTON ST</t>
  </si>
  <si>
    <t>7910</t>
  </si>
  <si>
    <t>126510023</t>
  </si>
  <si>
    <t>215-455-2300</t>
  </si>
  <si>
    <t>https://hostoscharter.org/</t>
  </si>
  <si>
    <t>Northwood Academy Charter School</t>
  </si>
  <si>
    <t>4621 CASTOR AVE</t>
  </si>
  <si>
    <t>7856</t>
  </si>
  <si>
    <t>126510019</t>
  </si>
  <si>
    <t>215-386-5768</t>
  </si>
  <si>
    <t>https://www.belmontcharternetwork.org/ics/</t>
  </si>
  <si>
    <t>Boys' Latin of Philadelphia Charter School</t>
  </si>
  <si>
    <t>5501 CEDAR AVE</t>
  </si>
  <si>
    <t>7981</t>
  </si>
  <si>
    <t>185515523</t>
  </si>
  <si>
    <t>215-438-4140</t>
  </si>
  <si>
    <t>https://www.imhotephighschool.com</t>
  </si>
  <si>
    <t>Keystone Academy Charter School</t>
  </si>
  <si>
    <t>4521 LONGSHORE AVE</t>
  </si>
  <si>
    <t>19135</t>
  </si>
  <si>
    <t>7979</t>
  </si>
  <si>
    <t>182514568</t>
  </si>
  <si>
    <t>215-574-1680</t>
  </si>
  <si>
    <t>https://www.laboratorycharterschool.com/</t>
  </si>
  <si>
    <t>Southwest Leadership Academy Charter School</t>
  </si>
  <si>
    <t>7101 PASCHALL AVE</t>
  </si>
  <si>
    <t>7960</t>
  </si>
  <si>
    <t>108515107</t>
  </si>
  <si>
    <t>215-457-6666</t>
  </si>
  <si>
    <t>https://www.macs.k12.pa.us</t>
  </si>
  <si>
    <t>Mastery Charter School at Pickett</t>
  </si>
  <si>
    <t>5700 WAYNE AVE</t>
  </si>
  <si>
    <t>7961</t>
  </si>
  <si>
    <t>151514721</t>
  </si>
  <si>
    <t>215-334-6144</t>
  </si>
  <si>
    <t>https://prepchs.org</t>
  </si>
  <si>
    <t>Pan American Academy Charter School</t>
  </si>
  <si>
    <t>2830 N AMERICAN ST</t>
  </si>
  <si>
    <t>19133</t>
  </si>
  <si>
    <t>7985</t>
  </si>
  <si>
    <t>173515368</t>
  </si>
  <si>
    <t>215-927-7995</t>
  </si>
  <si>
    <t>https://www.wolcs.org</t>
  </si>
  <si>
    <t>Antonia Pantoja Charter School</t>
  </si>
  <si>
    <t>4101 N AMERICAN ST</t>
  </si>
  <si>
    <t>8031</t>
  </si>
  <si>
    <t>104510394</t>
  </si>
  <si>
    <t>215-232-4892</t>
  </si>
  <si>
    <t>https://www.afpcs.org</t>
  </si>
  <si>
    <t>Sankofa Freedom Academy Charter School</t>
  </si>
  <si>
    <t>2501 KENSINGTON AVE</t>
  </si>
  <si>
    <t>8083</t>
  </si>
  <si>
    <t>114514135</t>
  </si>
  <si>
    <t>215-557-8555</t>
  </si>
  <si>
    <t>https://freirecharterschool.org/</t>
  </si>
  <si>
    <t>Franklin Towne Charter Elementary School</t>
  </si>
  <si>
    <t>4259 RICHMOND ST</t>
  </si>
  <si>
    <t>8123</t>
  </si>
  <si>
    <t>147513703</t>
  </si>
  <si>
    <t>215-676-8320</t>
  </si>
  <si>
    <t>https://www.philadelphiaacademy.org</t>
  </si>
  <si>
    <t>1330 RHAWN ST</t>
  </si>
  <si>
    <t>19111</t>
  </si>
  <si>
    <t>8126</t>
  </si>
  <si>
    <t>192518422</t>
  </si>
  <si>
    <t>215-724-2343</t>
  </si>
  <si>
    <t>https://masterycharter.org/secondary-schools/hardy-williams-high</t>
  </si>
  <si>
    <t>Mastery Charter School at Harrity</t>
  </si>
  <si>
    <t>5601 CHRISTIAN ST</t>
  </si>
  <si>
    <t>8153</t>
  </si>
  <si>
    <t>126516457</t>
  </si>
  <si>
    <t>215-732-2876</t>
  </si>
  <si>
    <t>https://www.universalfamilyofschools.org/universal-institute/</t>
  </si>
  <si>
    <t>Mastery Charter School at Mann</t>
  </si>
  <si>
    <t>5376 W BERKS ST</t>
  </si>
  <si>
    <t>8152</t>
  </si>
  <si>
    <t>126519433</t>
  </si>
  <si>
    <t>267-348-1100</t>
  </si>
  <si>
    <t>https://www.mastccs.org</t>
  </si>
  <si>
    <t>Mastery Charter School at Smedley</t>
  </si>
  <si>
    <t>1790 BRIDGE ST</t>
  </si>
  <si>
    <t>8151</t>
  </si>
  <si>
    <t>126517286</t>
  </si>
  <si>
    <t>215-232-9727</t>
  </si>
  <si>
    <t>https://www.phillyscholars.org</t>
  </si>
  <si>
    <t>Mastery Charter School at Douglass</t>
  </si>
  <si>
    <t>2118 W NORRIS ST</t>
  </si>
  <si>
    <t>8150</t>
  </si>
  <si>
    <t>126518547</t>
  </si>
  <si>
    <t>215-289-5000</t>
  </si>
  <si>
    <t>https://hs.franklintowne.org</t>
  </si>
  <si>
    <t>Mastery Charter School at Clymer</t>
  </si>
  <si>
    <t>1201 W RUSH ST</t>
  </si>
  <si>
    <t>8208</t>
  </si>
  <si>
    <t>126511748</t>
  </si>
  <si>
    <t>215-291-4436</t>
  </si>
  <si>
    <t>https://www.mbacs.org</t>
  </si>
  <si>
    <t>Mastery Charter School at Gratz</t>
  </si>
  <si>
    <t>1798 W HUNTING PARK AVE</t>
  </si>
  <si>
    <t>8207</t>
  </si>
  <si>
    <t>126513734</t>
  </si>
  <si>
    <t>215-457-3667</t>
  </si>
  <si>
    <t>https://esperanzaacademycs.org</t>
  </si>
  <si>
    <t>Universal Charter School at Audenried</t>
  </si>
  <si>
    <t>3301 TASKER ST</t>
  </si>
  <si>
    <t>8195</t>
  </si>
  <si>
    <t>126519434</t>
  </si>
  <si>
    <t>215-624-8100</t>
  </si>
  <si>
    <t>https://www.newfoundations.org/</t>
  </si>
  <si>
    <t>General David B. Birney Charter School</t>
  </si>
  <si>
    <t>900 LINDLEY AVE</t>
  </si>
  <si>
    <t>19141</t>
  </si>
  <si>
    <t>8206</t>
  </si>
  <si>
    <t>126519476</t>
  </si>
  <si>
    <t>215-763-7060</t>
  </si>
  <si>
    <t>https://www.pfpcs.org</t>
  </si>
  <si>
    <t>Mastery Charter School at Cleveland</t>
  </si>
  <si>
    <t>3701 N 19TH ST</t>
  </si>
  <si>
    <t>8259</t>
  </si>
  <si>
    <t>126519644</t>
  </si>
  <si>
    <t>215-551-4000</t>
  </si>
  <si>
    <t>https://www.stringtheoryschools.org</t>
  </si>
  <si>
    <t>Universal Charter School at Creighton</t>
  </si>
  <si>
    <t>5401 TABOR AVE</t>
  </si>
  <si>
    <t>8251</t>
  </si>
  <si>
    <t>126517442</t>
  </si>
  <si>
    <t>215-477-6672</t>
  </si>
  <si>
    <t>https://glacharter.org/gla-west</t>
  </si>
  <si>
    <t>The Philadelphia Charter School for Arts and Sciences</t>
  </si>
  <si>
    <t>1197 HAWORTH ST</t>
  </si>
  <si>
    <t>8252</t>
  </si>
  <si>
    <t>126515691</t>
  </si>
  <si>
    <t>215-238-8000</t>
  </si>
  <si>
    <t>https://independencecharter.org/</t>
  </si>
  <si>
    <t>Universal Charter School at Alcorn</t>
  </si>
  <si>
    <t>3200 DICKINSON ST</t>
  </si>
  <si>
    <t>8287</t>
  </si>
  <si>
    <t>126512674</t>
  </si>
  <si>
    <t>https://kippphiladelphia.org/our-schools/kipp-dubois-collegiate-academy</t>
  </si>
  <si>
    <t>Mastery Charter School at Pastorius</t>
  </si>
  <si>
    <t>5650 SPRAGUE ST</t>
  </si>
  <si>
    <t>8288</t>
  </si>
  <si>
    <t>126518795</t>
  </si>
  <si>
    <t>215-476-6471</t>
  </si>
  <si>
    <t>https://www.wpaces.org</t>
  </si>
  <si>
    <t>Mastery Charter School at Wister</t>
  </si>
  <si>
    <t>67 E BRINGHURST ST</t>
  </si>
  <si>
    <t>8365</t>
  </si>
  <si>
    <t>126518118</t>
  </si>
  <si>
    <t>267-514-1823</t>
  </si>
  <si>
    <t>https://www.petchs.org</t>
  </si>
  <si>
    <t>Global Leadership Academy Charter School Southwest at Huey</t>
  </si>
  <si>
    <t>5200 PINE ST</t>
  </si>
  <si>
    <t>126518004</t>
  </si>
  <si>
    <t>215-878-5144</t>
  </si>
  <si>
    <t>https://www.rapcs.org</t>
  </si>
  <si>
    <t>KIPP Octavius Catto Charter School</t>
  </si>
  <si>
    <t>4601 MARKET ST</t>
  </si>
  <si>
    <t>8499</t>
  </si>
  <si>
    <t>126515362</t>
  </si>
  <si>
    <t>215-972-1700</t>
  </si>
  <si>
    <t>https://www.byerschool.org</t>
  </si>
  <si>
    <t>KIPP North Philadelphia Charter School</t>
  </si>
  <si>
    <t>2539 N 16TH ST</t>
  </si>
  <si>
    <t>8431</t>
  </si>
  <si>
    <t>126514059</t>
  </si>
  <si>
    <t>215-922-1902</t>
  </si>
  <si>
    <t>https://masterycharter.org/secondary-schools/lenfest-campus</t>
  </si>
  <si>
    <t>Deep Roots Charter School</t>
  </si>
  <si>
    <t>3556 FRANKFORD AVE</t>
  </si>
  <si>
    <t>19134</t>
  </si>
  <si>
    <t>8425</t>
  </si>
  <si>
    <t>126516724</t>
  </si>
  <si>
    <t>267-338-1020</t>
  </si>
  <si>
    <t>https://www.wissahickoncharter.org/</t>
  </si>
  <si>
    <t>Mastery Prep Elementary Charter School</t>
  </si>
  <si>
    <t>1801 W PIKE ST</t>
  </si>
  <si>
    <t>8427</t>
  </si>
  <si>
    <t>126517643</t>
  </si>
  <si>
    <t>215-743-3100</t>
  </si>
  <si>
    <t>https://www.ap-schools.org/First-Phila-Prep/</t>
  </si>
  <si>
    <t>MaST Community Charter School II</t>
  </si>
  <si>
    <t>Elementary-High</t>
  </si>
  <si>
    <t>6501 STATE RD</t>
  </si>
  <si>
    <t>126513117</t>
  </si>
  <si>
    <t>215-482-6337</t>
  </si>
  <si>
    <t>https://www.greenwoodscharter.org</t>
  </si>
  <si>
    <t>TECH Freire Charter School</t>
  </si>
  <si>
    <t>2221 N BROAD ST</t>
  </si>
  <si>
    <t>8359</t>
  </si>
  <si>
    <t>126511530</t>
  </si>
  <si>
    <t>215-535-4555</t>
  </si>
  <si>
    <t>https://www.maritimecharter.org</t>
  </si>
  <si>
    <t>Impact Charter School West</t>
  </si>
  <si>
    <t>5600 CHESTER AVE</t>
  </si>
  <si>
    <t>8361</t>
  </si>
  <si>
    <t>126512039</t>
  </si>
  <si>
    <t>215-823-8208</t>
  </si>
  <si>
    <t>https://www.belmontcharternetwork.org/bcs</t>
  </si>
  <si>
    <t>KIPP West Philadelphia Charter School</t>
  </si>
  <si>
    <t>8363</t>
  </si>
  <si>
    <t>126515492</t>
  </si>
  <si>
    <t>215-227-1728</t>
  </si>
  <si>
    <t>https://kippphiladelphia.org/our-schools/kipp-philadelphia-preparatory-academy</t>
  </si>
  <si>
    <t>MAST Community Charter School III</t>
  </si>
  <si>
    <t>1 CROWN WAY</t>
  </si>
  <si>
    <t>19154</t>
  </si>
  <si>
    <t>8453</t>
  </si>
  <si>
    <t>126511624</t>
  </si>
  <si>
    <t>215-879-8182</t>
  </si>
  <si>
    <t>https://jykdiscoverycharterschool.com/</t>
  </si>
  <si>
    <t>Philadelphia Hebrew Public Charter School</t>
  </si>
  <si>
    <t>3300 HENRY AVE</t>
  </si>
  <si>
    <t>19129</t>
  </si>
  <si>
    <t>8454</t>
  </si>
  <si>
    <t>126510929</t>
  </si>
  <si>
    <t>215-365-4011</t>
  </si>
  <si>
    <t>https://www.philadelphiamontessori.org</t>
  </si>
  <si>
    <t>El Centro de Estudiantes</t>
  </si>
  <si>
    <t>3360 FRANKFORD AVE</t>
  </si>
  <si>
    <t>267-403-2672</t>
  </si>
  <si>
    <t>https://www.adprimacharterschools.org</t>
  </si>
  <si>
    <t>One Bright Ray - Elmwood</t>
  </si>
  <si>
    <t>6404 ELMWOOD AVE</t>
  </si>
  <si>
    <t>267-296-7111</t>
  </si>
  <si>
    <t>https://masterycharter.org/secondary-schools/shoemaker-campus</t>
  </si>
  <si>
    <t>Achieve Academy of Philadelphia - East Campus</t>
  </si>
  <si>
    <t>215-569-2600</t>
  </si>
  <si>
    <t>https://factschool.org/</t>
  </si>
  <si>
    <t>Northeast High School EOP</t>
  </si>
  <si>
    <t>1601 COTTMAN AVE</t>
  </si>
  <si>
    <t>267-236-0036</t>
  </si>
  <si>
    <t>https://masterycharter.org/elementary-schools/thomas</t>
  </si>
  <si>
    <t>South Philadelphia High School EOP</t>
  </si>
  <si>
    <t>215-289-5606</t>
  </si>
  <si>
    <t>https://www.northwoodcs.org</t>
  </si>
  <si>
    <t>Overbrook High School</t>
  </si>
  <si>
    <t>5898 LANCASTER AVE</t>
  </si>
  <si>
    <t>3857</t>
  </si>
  <si>
    <t>215-387-5149</t>
  </si>
  <si>
    <t>https://www.boyslatin.org</t>
  </si>
  <si>
    <t>Carver High School of Engineering and Science</t>
  </si>
  <si>
    <t>1600 W NORRIS ST</t>
  </si>
  <si>
    <t>7023</t>
  </si>
  <si>
    <t>215-332-2111</t>
  </si>
  <si>
    <t>https://keystoneacademycs.org/</t>
  </si>
  <si>
    <t>Murrell Dobbins Career and Technical High School</t>
  </si>
  <si>
    <t>2150 W LEHIGH AVE</t>
  </si>
  <si>
    <t>3841</t>
  </si>
  <si>
    <t>215-729-1939</t>
  </si>
  <si>
    <t>https://www.slacs-phila.org/</t>
  </si>
  <si>
    <t>Strawberry Mansion High School</t>
  </si>
  <si>
    <t>3133 RIDGE AVE</t>
  </si>
  <si>
    <t>7255</t>
  </si>
  <si>
    <t>215-866-9000</t>
  </si>
  <si>
    <t>https://masterycharter.org/secondary-schools/pickett-campus</t>
  </si>
  <si>
    <t>James G. Blaine School</t>
  </si>
  <si>
    <t>3001 W BERKS ST</t>
  </si>
  <si>
    <t>3662</t>
  </si>
  <si>
    <t>215-425-1212</t>
  </si>
  <si>
    <t>https://panamcs.org/</t>
  </si>
  <si>
    <t>Lewis C. Cassidy Academics Plus School</t>
  </si>
  <si>
    <t>6523 LANSDOWNE AVE</t>
  </si>
  <si>
    <t>3664</t>
  </si>
  <si>
    <t>https://pantojacharter.org/</t>
  </si>
  <si>
    <t>William Dick School</t>
  </si>
  <si>
    <t>2498 W DIAMOND ST</t>
  </si>
  <si>
    <t>3786</t>
  </si>
  <si>
    <t>https://www.sfacs.us</t>
  </si>
  <si>
    <t>Samuel Gompers School</t>
  </si>
  <si>
    <t>5701 WYNNEFIELD AVE</t>
  </si>
  <si>
    <t>3668</t>
  </si>
  <si>
    <t>https://www.towne.org/</t>
  </si>
  <si>
    <t>Edward Heston School</t>
  </si>
  <si>
    <t>1621 N 54TH ST</t>
  </si>
  <si>
    <t>5187</t>
  </si>
  <si>
    <t>https://www.ap-schools.org/Tacony-Academy-Charter/</t>
  </si>
  <si>
    <t>Robert E. Lamberton School</t>
  </si>
  <si>
    <t>7501 WOODBINE AVE</t>
  </si>
  <si>
    <t>3670</t>
  </si>
  <si>
    <t>215-471-2908</t>
  </si>
  <si>
    <t>https://masterycharter.org/elementary-schools/harrity</t>
  </si>
  <si>
    <t>E. Washington Rhodes School</t>
  </si>
  <si>
    <t>2900 W CLEARFIELD ST</t>
  </si>
  <si>
    <t>8292</t>
  </si>
  <si>
    <t>215-581-5516</t>
  </si>
  <si>
    <t>https://masterycharter.org/elementary-schools/mann</t>
  </si>
  <si>
    <t>Kenderton School</t>
  </si>
  <si>
    <t>1500 W ONTARIO ST</t>
  </si>
  <si>
    <t>8389</t>
  </si>
  <si>
    <t>215-537-2523</t>
  </si>
  <si>
    <t>https://masterycharter.org/elementary-schools/smedley</t>
  </si>
  <si>
    <t>Overbrook Elementary School</t>
  </si>
  <si>
    <t>2032 N 62ND ST</t>
  </si>
  <si>
    <t>7472</t>
  </si>
  <si>
    <t>215-684-5063</t>
  </si>
  <si>
    <t>https://masterycharter.org/elementary-schools/frederick-douglass</t>
  </si>
  <si>
    <t>Thomas M. Peirce School</t>
  </si>
  <si>
    <t>2300 W CAMBRIA ST</t>
  </si>
  <si>
    <t>3675</t>
  </si>
  <si>
    <t>https://masterycharter.org/elementary-schools/clymer</t>
  </si>
  <si>
    <t>Dr. Ethel Allen School</t>
  </si>
  <si>
    <t>3200 W LEHIGH AVE</t>
  </si>
  <si>
    <t>5292</t>
  </si>
  <si>
    <t>https://masterycharter.org/secondary-schools/gratz-prep-middle</t>
  </si>
  <si>
    <t>Tanner G. Duckrey School</t>
  </si>
  <si>
    <t>1501 W DIAMOND ST</t>
  </si>
  <si>
    <t>5040</t>
  </si>
  <si>
    <t>https://www.universalfamilyofschools.org/universal-audenried/</t>
  </si>
  <si>
    <t>Richard R. Wright School</t>
  </si>
  <si>
    <t>2201 N 28TH ST</t>
  </si>
  <si>
    <t>5188</t>
  </si>
  <si>
    <t>https://www.ap-schools.org/Lindley-Academy/</t>
  </si>
  <si>
    <t>Overbrook Educational Center</t>
  </si>
  <si>
    <t>6722 LANSDOWNE AVE</t>
  </si>
  <si>
    <t>6960</t>
  </si>
  <si>
    <t>https://masterycharter.org/elementary-schools/grover-cleveland</t>
  </si>
  <si>
    <t>Guion S. Bluford School</t>
  </si>
  <si>
    <t>5720 MEDIA ST</t>
  </si>
  <si>
    <t>8515</t>
  </si>
  <si>
    <t>https://www.universalfamilyofschools.org/universal-creighton/</t>
  </si>
  <si>
    <t>Edward Gideon School</t>
  </si>
  <si>
    <t>2817 W GLENWOOD AVE</t>
  </si>
  <si>
    <t>3625</t>
  </si>
  <si>
    <t>215-537-2520</t>
  </si>
  <si>
    <t>https://asphl.stringtheoryschools.org/</t>
  </si>
  <si>
    <t>William D. Kelley School</t>
  </si>
  <si>
    <t>1601 N 28TH ST</t>
  </si>
  <si>
    <t>3626</t>
  </si>
  <si>
    <t>https://www.universalfamilyofschools.org/universal-alcorn/</t>
  </si>
  <si>
    <t>General George G. Meade School</t>
  </si>
  <si>
    <t>1600 N 18TH ST</t>
  </si>
  <si>
    <t>3630</t>
  </si>
  <si>
    <t>https://masterycharter.org/elementary-schools/pastorius-richardson</t>
  </si>
  <si>
    <t>Thomas A. Edison High School</t>
  </si>
  <si>
    <t>151 W LUZERNE ST</t>
  </si>
  <si>
    <t>3849</t>
  </si>
  <si>
    <t>https://masterycharter.org/elementary-schools/john-wister</t>
  </si>
  <si>
    <t>Philadelphia Military Academy</t>
  </si>
  <si>
    <t>2118 N. 13TH ST.</t>
  </si>
  <si>
    <t>19122</t>
  </si>
  <si>
    <t>7850</t>
  </si>
  <si>
    <t>https://glacharter.org/gla-sw</t>
  </si>
  <si>
    <t>Jules E. Mastbaum Area Vocational Technical High School</t>
  </si>
  <si>
    <t>3116 FRANKFORD AVE</t>
  </si>
  <si>
    <t>3842</t>
  </si>
  <si>
    <t>267-417-3070</t>
  </si>
  <si>
    <t>https://kippphiladelphia.org/our-schools/kipp-philadelphia-octavius-catto-elementary/</t>
  </si>
  <si>
    <t>Parkway Northwest High School</t>
  </si>
  <si>
    <t>6200 CRITTENDEN ST</t>
  </si>
  <si>
    <t>6548</t>
  </si>
  <si>
    <t>https://kippphiladelphia.org/kipp-north-philadelphia-academy</t>
  </si>
  <si>
    <t>Parkway Center City Middle College High School</t>
  </si>
  <si>
    <t>540 N 13TH ST</t>
  </si>
  <si>
    <t>7782</t>
  </si>
  <si>
    <t>https://deeprootscs.org</t>
  </si>
  <si>
    <t>Parkway West High School</t>
  </si>
  <si>
    <t>7808</t>
  </si>
  <si>
    <t>https://masterycharter.org/elementary-schools/mastery-prep</t>
  </si>
  <si>
    <t>William W. Bodine High School</t>
  </si>
  <si>
    <t>1101 N 4TH ST</t>
  </si>
  <si>
    <t>7070</t>
  </si>
  <si>
    <t>https://mast2.org/</t>
  </si>
  <si>
    <t>Penn Treaty School</t>
  </si>
  <si>
    <t>600 E THOMPSON ST</t>
  </si>
  <si>
    <t>8293</t>
  </si>
  <si>
    <t>http://techfreire.org/</t>
  </si>
  <si>
    <t>Julia de Burgos School</t>
  </si>
  <si>
    <t>401 W LEHIGH AVE</t>
  </si>
  <si>
    <t>7175</t>
  </si>
  <si>
    <t>https://icswest.org/</t>
  </si>
  <si>
    <t>Vaux High School</t>
  </si>
  <si>
    <t>2300 W MASTER ST</t>
  </si>
  <si>
    <t>267-787-5700</t>
  </si>
  <si>
    <t>https://kippphiladelphia.org/our-schools/kipp-west-philadelphia-elementary-academy/</t>
  </si>
  <si>
    <t>Alexander Adaire School</t>
  </si>
  <si>
    <t>1300 E PALMER ST</t>
  </si>
  <si>
    <t>7256</t>
  </si>
  <si>
    <t>https://mast3.org/</t>
  </si>
  <si>
    <t>Henry A. Brown School</t>
  </si>
  <si>
    <t>1946 E SERGEANT ST</t>
  </si>
  <si>
    <t>3684</t>
  </si>
  <si>
    <t>https://philadelphiahebrewpublic.org/</t>
  </si>
  <si>
    <t>Russell H. Conwell School</t>
  </si>
  <si>
    <t>1849 E CLEARFIELD ST</t>
  </si>
  <si>
    <t>6525</t>
  </si>
  <si>
    <t>267-687-1172</t>
  </si>
  <si>
    <t>https://www.elcentrobpp.org/</t>
  </si>
  <si>
    <t>Paul L. Dunbar School</t>
  </si>
  <si>
    <t>1750 N 12TH ST</t>
  </si>
  <si>
    <t>3687</t>
  </si>
  <si>
    <t>215-488-1177</t>
  </si>
  <si>
    <t>https://www.onebrightraycommunity.org/</t>
  </si>
  <si>
    <t>Lewis Elkin School</t>
  </si>
  <si>
    <t>3199 D ST</t>
  </si>
  <si>
    <t>3688</t>
  </si>
  <si>
    <t>267-335-4764</t>
  </si>
  <si>
    <t>https://sesischools.com/location/achieve-academy-of-philadelphia-east-campus/</t>
  </si>
  <si>
    <t>Horatio B. Hackett School</t>
  </si>
  <si>
    <t>2161 E YORK ST</t>
  </si>
  <si>
    <t>5120</t>
  </si>
  <si>
    <t>215-400-3200</t>
  </si>
  <si>
    <t>John F. Hartranft School</t>
  </si>
  <si>
    <t>720 W CUMBERLAND ST</t>
  </si>
  <si>
    <t>5125</t>
  </si>
  <si>
    <t>William H. Hunter School</t>
  </si>
  <si>
    <t>2400 N FRONT ST</t>
  </si>
  <si>
    <t>3693</t>
  </si>
  <si>
    <t>215-400-7300</t>
  </si>
  <si>
    <t>https://overbrookhs.philasd.org/</t>
  </si>
  <si>
    <t>James R. Ludlow School</t>
  </si>
  <si>
    <t>550 W MASTER ST</t>
  </si>
  <si>
    <t>3694</t>
  </si>
  <si>
    <t>215-400-7380</t>
  </si>
  <si>
    <t>https://hses.philasd.org/</t>
  </si>
  <si>
    <t>William McKinley School</t>
  </si>
  <si>
    <t>2101 N ORKNEY ST</t>
  </si>
  <si>
    <t>5293</t>
  </si>
  <si>
    <t>215-400-7050</t>
  </si>
  <si>
    <t>https://dobbins.philasd.org/</t>
  </si>
  <si>
    <t>John Moffet School</t>
  </si>
  <si>
    <t>127 W OXFORD ST</t>
  </si>
  <si>
    <t>3697</t>
  </si>
  <si>
    <t>215-400-7500</t>
  </si>
  <si>
    <t>https://smhs.philasd.org/</t>
  </si>
  <si>
    <t>Potter-Thomas School</t>
  </si>
  <si>
    <t>3001 N 6TH ST</t>
  </si>
  <si>
    <t>5121</t>
  </si>
  <si>
    <t>215-400-7330</t>
  </si>
  <si>
    <t>https://blaine.philasd.org/</t>
  </si>
  <si>
    <t>Richmond School</t>
  </si>
  <si>
    <t>2944 BELGRADE ST</t>
  </si>
  <si>
    <t>3701</t>
  </si>
  <si>
    <t>215-400-7510</t>
  </si>
  <si>
    <t>https://cassidy.philasd.org/</t>
  </si>
  <si>
    <t>Isaac A. Sheppard School</t>
  </si>
  <si>
    <t>120 W CAMBRIA ST</t>
  </si>
  <si>
    <t>3702</t>
  </si>
  <si>
    <t>215-400-7340</t>
  </si>
  <si>
    <t>https://wdick.philasd.org/</t>
  </si>
  <si>
    <t>John Welsh School</t>
  </si>
  <si>
    <t>2331 N 4TH ST</t>
  </si>
  <si>
    <t>3703</t>
  </si>
  <si>
    <t>215-400-7250</t>
  </si>
  <si>
    <t>https://gompers.philasd.org/</t>
  </si>
  <si>
    <t>Alternative Middle Years at James Martin</t>
  </si>
  <si>
    <t>3380 RICHMOND ST</t>
  </si>
  <si>
    <t>6823</t>
  </si>
  <si>
    <t>215-400-7290</t>
  </si>
  <si>
    <t>https://heston.philasd.org/</t>
  </si>
  <si>
    <t>Frances E. Willard School</t>
  </si>
  <si>
    <t>1930 E ELKHART ST</t>
  </si>
  <si>
    <t>6544</t>
  </si>
  <si>
    <t>215-400-7530</t>
  </si>
  <si>
    <t>https://lamberton.philasd.org/</t>
  </si>
  <si>
    <t>William Cramp School</t>
  </si>
  <si>
    <t>3449 N MASCHER ST</t>
  </si>
  <si>
    <t>5123</t>
  </si>
  <si>
    <t>215-400-7060</t>
  </si>
  <si>
    <t>https://rhodes.philasd.org/</t>
  </si>
  <si>
    <t>General Philip Kearny School</t>
  </si>
  <si>
    <t>601 FAIRMOUNT AVE</t>
  </si>
  <si>
    <t>3645</t>
  </si>
  <si>
    <t>215-400-8340</t>
  </si>
  <si>
    <t>https://kenderton.philasd.org/</t>
  </si>
  <si>
    <t>Cayuga School</t>
  </si>
  <si>
    <t>4344 N 5TH ST</t>
  </si>
  <si>
    <t>7404</t>
  </si>
  <si>
    <t>215-400-7520</t>
  </si>
  <si>
    <t>https://overbrook.philasd.org/</t>
  </si>
  <si>
    <t>Thurgood Marshall School</t>
  </si>
  <si>
    <t>5120 N 6TH ST</t>
  </si>
  <si>
    <t>7521</t>
  </si>
  <si>
    <t>215-400-7020</t>
  </si>
  <si>
    <t>https://tmpeirce.philasd.org/</t>
  </si>
  <si>
    <t>Kensington High School for Creative and Performing Arts</t>
  </si>
  <si>
    <t>1901 N FRONT ST</t>
  </si>
  <si>
    <t>7852</t>
  </si>
  <si>
    <t>215-400-7040</t>
  </si>
  <si>
    <t>https://ethelallen.philasd.org/</t>
  </si>
  <si>
    <t>Gloria Casarez School</t>
  </si>
  <si>
    <t>800 E ONTARIO ST</t>
  </si>
  <si>
    <t>3800</t>
  </si>
  <si>
    <t>215-400-7350</t>
  </si>
  <si>
    <t>https://duckrey.philasd.org/</t>
  </si>
  <si>
    <t>Kensington Health Sciences Academy</t>
  </si>
  <si>
    <t>2463 EMERALD ST</t>
  </si>
  <si>
    <t>7855</t>
  </si>
  <si>
    <t>215-400-7030</t>
  </si>
  <si>
    <t>https://wright.philasd.org/</t>
  </si>
  <si>
    <t>Spring Garden School</t>
  </si>
  <si>
    <t>1146 MELON ST</t>
  </si>
  <si>
    <t>3655</t>
  </si>
  <si>
    <t>215-400-7540</t>
  </si>
  <si>
    <t>https://oec.philasd.org/</t>
  </si>
  <si>
    <t>John B. Stetson Middle School</t>
  </si>
  <si>
    <t>3200 B ST</t>
  </si>
  <si>
    <t>8507</t>
  </si>
  <si>
    <t>215-400-9170</t>
  </si>
  <si>
    <t>https://bluford.philasd.org/</t>
  </si>
  <si>
    <t>Stetson Middle School Continuation Academy</t>
  </si>
  <si>
    <t>215-400-7360</t>
  </si>
  <si>
    <t>https://gideon.philasd.org/</t>
  </si>
  <si>
    <t>John H. Webster School</t>
  </si>
  <si>
    <t>3400 FRANKFORD AVE</t>
  </si>
  <si>
    <t>5124</t>
  </si>
  <si>
    <t>215-400-7370</t>
  </si>
  <si>
    <t>https://kelley.philasd.org/</t>
  </si>
  <si>
    <t>Building 21</t>
  </si>
  <si>
    <t>6501 LIMEKILN PIKE</t>
  </si>
  <si>
    <t>8332</t>
  </si>
  <si>
    <t>215-400-7310</t>
  </si>
  <si>
    <t>https://meade.philasd.org/</t>
  </si>
  <si>
    <t>The U School</t>
  </si>
  <si>
    <t>2000 N 7TH ST</t>
  </si>
  <si>
    <t>8329</t>
  </si>
  <si>
    <t>215-400-3900</t>
  </si>
  <si>
    <t>https://edison.philasd.org/</t>
  </si>
  <si>
    <t>The LINC High School</t>
  </si>
  <si>
    <t>122 W ERIE AVE</t>
  </si>
  <si>
    <t>8331</t>
  </si>
  <si>
    <t>215-400-7420</t>
  </si>
  <si>
    <t>https://pma.philasd.org/</t>
  </si>
  <si>
    <t>Honorable Luis Munoz-Marin School</t>
  </si>
  <si>
    <t>3300 N 3RD ST</t>
  </si>
  <si>
    <t>7522</t>
  </si>
  <si>
    <t>215-400-7220</t>
  </si>
  <si>
    <t>https://mastbaum.philasd.org/</t>
  </si>
  <si>
    <t>Kensington High School</t>
  </si>
  <si>
    <t>3001 RYAN AVE</t>
  </si>
  <si>
    <t>19152</t>
  </si>
  <si>
    <t>8388</t>
  </si>
  <si>
    <t>215-400-3390</t>
  </si>
  <si>
    <t>https://parkwaynw.philasd.org/</t>
  </si>
  <si>
    <t>Memphis Street Middle School</t>
  </si>
  <si>
    <t>2950 MEMPHIS ST</t>
  </si>
  <si>
    <t>8557</t>
  </si>
  <si>
    <t>215-400-7620</t>
  </si>
  <si>
    <t>https://parkwaycc.philasd.org/</t>
  </si>
  <si>
    <t>Central High School</t>
  </si>
  <si>
    <t>1700 W OLNEY AVE</t>
  </si>
  <si>
    <t>3848</t>
  </si>
  <si>
    <t>215-400-7710</t>
  </si>
  <si>
    <t>https://parkwaywest.philasd.org/</t>
  </si>
  <si>
    <t>Roxborough High School</t>
  </si>
  <si>
    <t>6498 RIDGE AVE</t>
  </si>
  <si>
    <t>3844</t>
  </si>
  <si>
    <t>215-400-7630</t>
  </si>
  <si>
    <t>https://bodine.philasd.org/</t>
  </si>
  <si>
    <t>Walter B. Saul High School</t>
  </si>
  <si>
    <t>7100 HENRY AVE</t>
  </si>
  <si>
    <t>3861</t>
  </si>
  <si>
    <t>215-400-3800</t>
  </si>
  <si>
    <t>https://penntreaty.philasd.org/</t>
  </si>
  <si>
    <t>Philadelphia High School for Girls</t>
  </si>
  <si>
    <t>1400 W OLNEY AVE</t>
  </si>
  <si>
    <t>3843</t>
  </si>
  <si>
    <t>215-400-7080</t>
  </si>
  <si>
    <t>https://deburgos.philasd.org/</t>
  </si>
  <si>
    <t>Martin Luther King High School</t>
  </si>
  <si>
    <t>6100 STENTON AVE</t>
  </si>
  <si>
    <t>6675</t>
  </si>
  <si>
    <t>https://www.vauxbpp.org/</t>
  </si>
  <si>
    <t>A. Philip Randolph Career and Technical High School</t>
  </si>
  <si>
    <t>3101 HENRY AVE</t>
  </si>
  <si>
    <t>7813</t>
  </si>
  <si>
    <t>215-400-7480</t>
  </si>
  <si>
    <t>https://adaire.philasd.org/</t>
  </si>
  <si>
    <t>Anna B. Day School</t>
  </si>
  <si>
    <t>6324 CRITTENDEN ST</t>
  </si>
  <si>
    <t>3706</t>
  </si>
  <si>
    <t>215-400-7490</t>
  </si>
  <si>
    <t>https://habrown.philasd.org/</t>
  </si>
  <si>
    <t>Franklin S. Edmonds School</t>
  </si>
  <si>
    <t>8025 THOURON AVE</t>
  </si>
  <si>
    <t>19150</t>
  </si>
  <si>
    <t>3708</t>
  </si>
  <si>
    <t>215-400-7210</t>
  </si>
  <si>
    <t>https://conwell.philasd.org/</t>
  </si>
  <si>
    <t>Eleanor C. Emlen School</t>
  </si>
  <si>
    <t>6501 CHEW AVE</t>
  </si>
  <si>
    <t>19119</t>
  </si>
  <si>
    <t>3709</t>
  </si>
  <si>
    <t>215-400-7410</t>
  </si>
  <si>
    <t>https://dunbar.philasd.org/</t>
  </si>
  <si>
    <t>Fitler Academics Plus School</t>
  </si>
  <si>
    <t>140 W SEYMOUR ST</t>
  </si>
  <si>
    <t>6913</t>
  </si>
  <si>
    <t>215-400-7140</t>
  </si>
  <si>
    <t>https://elkin.philasd.org/</t>
  </si>
  <si>
    <t>Charles W. Henry School</t>
  </si>
  <si>
    <t>601 CARPENTER LN</t>
  </si>
  <si>
    <t>3712</t>
  </si>
  <si>
    <t>215-400-7470</t>
  </si>
  <si>
    <t>https://hackett.philasd.org/</t>
  </si>
  <si>
    <t>Henry H. Houston School</t>
  </si>
  <si>
    <t>7300 RURAL LN</t>
  </si>
  <si>
    <t>3713</t>
  </si>
  <si>
    <t>215-400-7090</t>
  </si>
  <si>
    <t>https://hartranft.philasd.org/</t>
  </si>
  <si>
    <t>John S. Jenks Academy for the Arts and Sciences</t>
  </si>
  <si>
    <t>8301 GERMANTOWN AVE</t>
  </si>
  <si>
    <t>19118</t>
  </si>
  <si>
    <t>3714</t>
  </si>
  <si>
    <t>215-400-7110</t>
  </si>
  <si>
    <t>https://hunter.philasd.org/</t>
  </si>
  <si>
    <t>James Logan School</t>
  </si>
  <si>
    <t>1700 LINDLEY AVE</t>
  </si>
  <si>
    <t>3718</t>
  </si>
  <si>
    <t>215-400-7430</t>
  </si>
  <si>
    <t>https://ludlow.philasd.org/</t>
  </si>
  <si>
    <t>John F. McCloskey School</t>
  </si>
  <si>
    <t>8500 PICKERING AVE</t>
  </si>
  <si>
    <t>3719</t>
  </si>
  <si>
    <t>215-400-7440</t>
  </si>
  <si>
    <t>https://mckinley.philasd.org/</t>
  </si>
  <si>
    <t>Thomas Mifflin School</t>
  </si>
  <si>
    <t>3624 CONRAD ST</t>
  </si>
  <si>
    <t>3720</t>
  </si>
  <si>
    <t>215-400-7390</t>
  </si>
  <si>
    <t>https://moffet.philasd.org/</t>
  </si>
  <si>
    <t>Joseph Pennell School</t>
  </si>
  <si>
    <t>1800 NEDRO AVE</t>
  </si>
  <si>
    <t>3722</t>
  </si>
  <si>
    <t>215-400-7120</t>
  </si>
  <si>
    <t>https://potterthomas.philasd.org/</t>
  </si>
  <si>
    <t>Samuel Pennypacker School</t>
  </si>
  <si>
    <t>1858 E WASHINGTON LN</t>
  </si>
  <si>
    <t>6539</t>
  </si>
  <si>
    <t>215-400-7150</t>
  </si>
  <si>
    <t>https://richmond.philasd.org/</t>
  </si>
  <si>
    <t>Theodore Roosevelt School</t>
  </si>
  <si>
    <t>430 E WASHINGTON LN</t>
  </si>
  <si>
    <t>8296</t>
  </si>
  <si>
    <t>215-400-7070</t>
  </si>
  <si>
    <t>https://sheppard.philasd.org/</t>
  </si>
  <si>
    <t>Shawmont School</t>
  </si>
  <si>
    <t>535 SHAWMONT AVE</t>
  </si>
  <si>
    <t>3725</t>
  </si>
  <si>
    <t>215-400-7130</t>
  </si>
  <si>
    <t>https://welsh.philasd.org/</t>
  </si>
  <si>
    <t>Edward T. Steel School</t>
  </si>
  <si>
    <t>4301 WAYNE AVE</t>
  </si>
  <si>
    <t>3727</t>
  </si>
  <si>
    <t>215-400-7190</t>
  </si>
  <si>
    <t>https://amymartin.philasd.org/</t>
  </si>
  <si>
    <t>Widener Memorial School</t>
  </si>
  <si>
    <t>1450 W OLNEY AVE</t>
  </si>
  <si>
    <t>3728</t>
  </si>
  <si>
    <t>215-400-7180</t>
  </si>
  <si>
    <t>https://willard.philasd.org/</t>
  </si>
  <si>
    <t>Cook-Wissahickon School</t>
  </si>
  <si>
    <t>201 E SALAIGNAC ST</t>
  </si>
  <si>
    <t>5122</t>
  </si>
  <si>
    <t>215-400-3860</t>
  </si>
  <si>
    <t>https://cramp.philasd.org/</t>
  </si>
  <si>
    <t>Anna L. Lingelbach School</t>
  </si>
  <si>
    <t>6340 WAYNE AVE</t>
  </si>
  <si>
    <t>3717</t>
  </si>
  <si>
    <t>215-400-7590</t>
  </si>
  <si>
    <t>https://kearny.philasd.org/</t>
  </si>
  <si>
    <t>James Dobson School</t>
  </si>
  <si>
    <t>4667 UMBRIA ST</t>
  </si>
  <si>
    <t>19127</t>
  </si>
  <si>
    <t>3726</t>
  </si>
  <si>
    <t>215-400-3850</t>
  </si>
  <si>
    <t>https://cayuga.philasd.org/</t>
  </si>
  <si>
    <t>Hill-Freedman World Academy</t>
  </si>
  <si>
    <t>1100 E MOUNT PLEASANT AVE</t>
  </si>
  <si>
    <t>7229</t>
  </si>
  <si>
    <t>215-400-3770</t>
  </si>
  <si>
    <t>https://thurgoodmarshall.philasd.org/</t>
  </si>
  <si>
    <t>John B. Kelly School</t>
  </si>
  <si>
    <t>5116 PULASKI AVE</t>
  </si>
  <si>
    <t>5294</t>
  </si>
  <si>
    <t>215-400-7400</t>
  </si>
  <si>
    <t>https://kcapa.philasd.org/</t>
  </si>
  <si>
    <t>Academy for the Middle Years at Northwest</t>
  </si>
  <si>
    <t>6000 RIDGE AVE</t>
  </si>
  <si>
    <t>7024</t>
  </si>
  <si>
    <t>215-400-7160</t>
  </si>
  <si>
    <t>https://casarez.philasd.org/</t>
  </si>
  <si>
    <t>Lankenau High School</t>
  </si>
  <si>
    <t>201 SPRING LN</t>
  </si>
  <si>
    <t>7811</t>
  </si>
  <si>
    <t>215-400-3600</t>
  </si>
  <si>
    <t>https://khsa.philasd.org/</t>
  </si>
  <si>
    <t>Frankford High School</t>
  </si>
  <si>
    <t>5000 OXFORD AVE</t>
  </si>
  <si>
    <t>215-400-7610</t>
  </si>
  <si>
    <t>https://springgarden.philasd.org/</t>
  </si>
  <si>
    <t>Olney High School</t>
  </si>
  <si>
    <t>100 W DUNCANNON AVE</t>
  </si>
  <si>
    <t>8508</t>
  </si>
  <si>
    <t>215-400-9150</t>
  </si>
  <si>
    <t>https://stetson.philasd.org/</t>
  </si>
  <si>
    <t>Olney High School Continuation Academy</t>
  </si>
  <si>
    <t>https://www.philasd.org/backontrack/#contin</t>
  </si>
  <si>
    <t>Philadelphia Continuation Academy</t>
  </si>
  <si>
    <t>100 E DUNCANNON AVE</t>
  </si>
  <si>
    <t>215-400-7170</t>
  </si>
  <si>
    <t>https://webster.philasd.org/</t>
  </si>
  <si>
    <t>Jay Cooke School</t>
  </si>
  <si>
    <t>1300 W LOUDON ST</t>
  </si>
  <si>
    <t>7239</t>
  </si>
  <si>
    <t>215-400-7450</t>
  </si>
  <si>
    <t>https://building21.philasd.org/</t>
  </si>
  <si>
    <t>Warren G. Harding Middle School</t>
  </si>
  <si>
    <t>2000 WAKELING ST</t>
  </si>
  <si>
    <t>7242</t>
  </si>
  <si>
    <t>215-400-7460</t>
  </si>
  <si>
    <t>https://uschool.philasd.org/</t>
  </si>
  <si>
    <t>Samuel Fels High School</t>
  </si>
  <si>
    <t>5500 LANGDON ST</t>
  </si>
  <si>
    <t>3816</t>
  </si>
  <si>
    <t>215-400-3940</t>
  </si>
  <si>
    <t>https://thelinc.philasd.org/</t>
  </si>
  <si>
    <t>General Louis Wagner School</t>
  </si>
  <si>
    <t>1701 W CHELTEN AVE</t>
  </si>
  <si>
    <t>19126</t>
  </si>
  <si>
    <t>3835</t>
  </si>
  <si>
    <t>215-400-3920</t>
  </si>
  <si>
    <t>https://munozmarin.philasd.org/</t>
  </si>
  <si>
    <t>Juniata Park Academy</t>
  </si>
  <si>
    <t>801 E HUNTING PARK AVE</t>
  </si>
  <si>
    <t>7963</t>
  </si>
  <si>
    <t>215-400-7700</t>
  </si>
  <si>
    <t>https://kensingtonhs.philasd.org/</t>
  </si>
  <si>
    <t>Clara Barton School</t>
  </si>
  <si>
    <t>4600 ROSEHILL ST</t>
  </si>
  <si>
    <t>3732</t>
  </si>
  <si>
    <t>215-400-9190</t>
  </si>
  <si>
    <t>https://memphis.philasd.org/</t>
  </si>
  <si>
    <t>Laura H. Carnell School</t>
  </si>
  <si>
    <t>1100 DEVEREAUX AVE</t>
  </si>
  <si>
    <t>7230</t>
  </si>
  <si>
    <t>215-400-3590</t>
  </si>
  <si>
    <t>https://centralhs.philasd.org/</t>
  </si>
  <si>
    <t>Ellwood School</t>
  </si>
  <si>
    <t>6701 N 13TH ST</t>
  </si>
  <si>
    <t>3738</t>
  </si>
  <si>
    <t>215-400-3400</t>
  </si>
  <si>
    <t>https://roxboroughhs.philasd.org/</t>
  </si>
  <si>
    <t>Thomas K. Finletter School</t>
  </si>
  <si>
    <t>6101 N FRONT ST</t>
  </si>
  <si>
    <t>3739</t>
  </si>
  <si>
    <t>215-400-3450</t>
  </si>
  <si>
    <t>https://saul.philasd.org/</t>
  </si>
  <si>
    <t>Benjamin Franklin Elementary School</t>
  </si>
  <si>
    <t>5737 RISING SUN AVE</t>
  </si>
  <si>
    <t>7231</t>
  </si>
  <si>
    <t>215-400-3700</t>
  </si>
  <si>
    <t>https://girlshs.philasd.org/</t>
  </si>
  <si>
    <t>Allen M. Stearne School</t>
  </si>
  <si>
    <t>1655 UNITY ST</t>
  </si>
  <si>
    <t>4963</t>
  </si>
  <si>
    <t>215-400-3500</t>
  </si>
  <si>
    <t>https://mlkhs.philasd.org/</t>
  </si>
  <si>
    <t>Francis Hopkinson School</t>
  </si>
  <si>
    <t>4001 L ST</t>
  </si>
  <si>
    <t>3742</t>
  </si>
  <si>
    <t>215-400-3840</t>
  </si>
  <si>
    <t>https://randolph.philasd.org/</t>
  </si>
  <si>
    <t>Feltonville Intermediate School</t>
  </si>
  <si>
    <t>238 E WYOMING AVE</t>
  </si>
  <si>
    <t>3751</t>
  </si>
  <si>
    <t>215-400-3520</t>
  </si>
  <si>
    <t>https://abday.philasd.org/</t>
  </si>
  <si>
    <t>Julia W. Howe School</t>
  </si>
  <si>
    <t>5800 N 13TH ST</t>
  </si>
  <si>
    <t>3743</t>
  </si>
  <si>
    <t>215-400-3370</t>
  </si>
  <si>
    <t>https://edmonds.philasd.org/</t>
  </si>
  <si>
    <t>Henry W. Lawton School</t>
  </si>
  <si>
    <t>6101 JACKSON ST</t>
  </si>
  <si>
    <t>3744</t>
  </si>
  <si>
    <t>215-400-3470</t>
  </si>
  <si>
    <t>https://emlen.philasd.org/</t>
  </si>
  <si>
    <t>James R. Lowell School</t>
  </si>
  <si>
    <t>450 W NEDRO AVE</t>
  </si>
  <si>
    <t>7232</t>
  </si>
  <si>
    <t>215-400-3610</t>
  </si>
  <si>
    <t>https://fitler.philasd.org/</t>
  </si>
  <si>
    <t>John Marshall School</t>
  </si>
  <si>
    <t>4500 GRISCOM ST</t>
  </si>
  <si>
    <t>3797</t>
  </si>
  <si>
    <t>215-400-3480</t>
  </si>
  <si>
    <t>https://henry.philasd.org/</t>
  </si>
  <si>
    <t>Grover Washington, Jr. Middle School</t>
  </si>
  <si>
    <t>7663</t>
  </si>
  <si>
    <t>215-400-3490</t>
  </si>
  <si>
    <t>https://houston.philasd.org/</t>
  </si>
  <si>
    <t>Alexander K. McClure School</t>
  </si>
  <si>
    <t>600 W HUNTING PARK AVE</t>
  </si>
  <si>
    <t>6534</t>
  </si>
  <si>
    <t>215-400-3360</t>
  </si>
  <si>
    <t>https://jsjenks.philasd.org/</t>
  </si>
  <si>
    <t>Andrew J. Morrison School</t>
  </si>
  <si>
    <t>5100 N 3RD ST</t>
  </si>
  <si>
    <t>3749</t>
  </si>
  <si>
    <t>215-400-3670</t>
  </si>
  <si>
    <t>https://logan.philasd.org/</t>
  </si>
  <si>
    <t>Olney Elementary School</t>
  </si>
  <si>
    <t>5301 N WATER ST</t>
  </si>
  <si>
    <t>3750</t>
  </si>
  <si>
    <t>215-400-3380</t>
  </si>
  <si>
    <t>https://mccloskey.philasd.org/</t>
  </si>
  <si>
    <t>James J. Sullivan School</t>
  </si>
  <si>
    <t>5300 DITMAN ST</t>
  </si>
  <si>
    <t>3753</t>
  </si>
  <si>
    <t>215-400-3830</t>
  </si>
  <si>
    <t>https://mifflin.philasd.org/</t>
  </si>
  <si>
    <t>Bayard Taylor School</t>
  </si>
  <si>
    <t>3698 N RANDOLPH ST</t>
  </si>
  <si>
    <t>3755</t>
  </si>
  <si>
    <t>215-400-3680</t>
  </si>
  <si>
    <t>https://pennell.philasd.org/</t>
  </si>
  <si>
    <t>William H. Ziegler School</t>
  </si>
  <si>
    <t>5935 SAUL ST</t>
  </si>
  <si>
    <t>19149</t>
  </si>
  <si>
    <t>7233</t>
  </si>
  <si>
    <t>215-400-3510</t>
  </si>
  <si>
    <t>https://pennypacker.philasd.org/</t>
  </si>
  <si>
    <t>Bridesburg School</t>
  </si>
  <si>
    <t>2824 JENKS ST</t>
  </si>
  <si>
    <t>3745</t>
  </si>
  <si>
    <t>215-400-3640</t>
  </si>
  <si>
    <t>https://roosevelt.philasd.org/</t>
  </si>
  <si>
    <t>Prince Hall School</t>
  </si>
  <si>
    <t>6101 N GRATZ ST</t>
  </si>
  <si>
    <t>6765</t>
  </si>
  <si>
    <t>215-400-3440</t>
  </si>
  <si>
    <t>https://shawmont.philasd.org/</t>
  </si>
  <si>
    <t>Feltonville School of Arts and Sciences</t>
  </si>
  <si>
    <t>210 E COURTLAND ST</t>
  </si>
  <si>
    <t>7368</t>
  </si>
  <si>
    <t>215-400-3910</t>
  </si>
  <si>
    <t>https://steel.philasd.org/</t>
  </si>
  <si>
    <t>Mary M. Bethune School</t>
  </si>
  <si>
    <t>3301 OLD YORK RD</t>
  </si>
  <si>
    <t>5183</t>
  </si>
  <si>
    <t>215-400-3710</t>
  </si>
  <si>
    <t>https://widener.philasd.org/</t>
  </si>
  <si>
    <t>William Rowen School</t>
  </si>
  <si>
    <t>6841 N 19TH ST</t>
  </si>
  <si>
    <t>3724</t>
  </si>
  <si>
    <t>215-400-3430</t>
  </si>
  <si>
    <t>https://cookwissahickon.philasd.org/</t>
  </si>
  <si>
    <t>Roberto Clemente Middle School</t>
  </si>
  <si>
    <t>6767</t>
  </si>
  <si>
    <t>215-400-3630</t>
  </si>
  <si>
    <t>https://lingelbach.philasd.org/</t>
  </si>
  <si>
    <t>Abraham Lincoln High School</t>
  </si>
  <si>
    <t>3201 RYAN AVE</t>
  </si>
  <si>
    <t>3845</t>
  </si>
  <si>
    <t>215-400-3570</t>
  </si>
  <si>
    <t>https://dobson.philasd.org/</t>
  </si>
  <si>
    <t>Northeast High School</t>
  </si>
  <si>
    <t>3855</t>
  </si>
  <si>
    <t>215-400-3530</t>
  </si>
  <si>
    <t>https://hfwa.philasd.org/</t>
  </si>
  <si>
    <t>George Washington High School</t>
  </si>
  <si>
    <t>10175 BUSTLETON AVE</t>
  </si>
  <si>
    <t>6527</t>
  </si>
  <si>
    <t>215-400-3580</t>
  </si>
  <si>
    <t>https://kelly.philasd.org/</t>
  </si>
  <si>
    <t>Arts Academy at Benjamin Rush</t>
  </si>
  <si>
    <t>11081 KNIGHTS RD</t>
  </si>
  <si>
    <t>8039</t>
  </si>
  <si>
    <t>215-400-3460</t>
  </si>
  <si>
    <t>https://amynw.philasd.org/</t>
  </si>
  <si>
    <t>OIC Career and Academic Development Institute</t>
  </si>
  <si>
    <t>444 N 3RD ST</t>
  </si>
  <si>
    <t>215-400-3420</t>
  </si>
  <si>
    <t>https://lankenau.philasd.org/</t>
  </si>
  <si>
    <t>Excel Academy North</t>
  </si>
  <si>
    <t>215-400-7200</t>
  </si>
  <si>
    <t>https://frankfordhs.philasd.org/</t>
  </si>
  <si>
    <t>Swenson Arts and Technology High School</t>
  </si>
  <si>
    <t>2750 RED LION RD</t>
  </si>
  <si>
    <t>19114</t>
  </si>
  <si>
    <t>7072</t>
  </si>
  <si>
    <t>215-400-9140</t>
  </si>
  <si>
    <t>https://olneyhs.philasd.org/</t>
  </si>
  <si>
    <t>Gateway to College - Community College of Philadelphia</t>
  </si>
  <si>
    <t>1700 SPRING GARDEN ST</t>
  </si>
  <si>
    <t>Castor Gardens Middle School</t>
  </si>
  <si>
    <t>1800 COTTMAN AVE</t>
  </si>
  <si>
    <t>7253</t>
  </si>
  <si>
    <t>https://sesischools.com/location/philadelphia-continuation-academy/</t>
  </si>
  <si>
    <t>Northeast Community Propel Academy</t>
  </si>
  <si>
    <t>7500 ROWLAND AVE</t>
  </si>
  <si>
    <t>8493</t>
  </si>
  <si>
    <t>215-400-8330</t>
  </si>
  <si>
    <t>https://cooke.philasd.org/</t>
  </si>
  <si>
    <t>Charles C.A. Baldi Middle School</t>
  </si>
  <si>
    <t>8801 VERREE RD</t>
  </si>
  <si>
    <t>19115</t>
  </si>
  <si>
    <t>6824</t>
  </si>
  <si>
    <t>215-400-3990</t>
  </si>
  <si>
    <t>https://harding.philasd.org/</t>
  </si>
  <si>
    <t>One Bright Ray - Fairhill</t>
  </si>
  <si>
    <t>2820 N 4TH ST</t>
  </si>
  <si>
    <t>215-400-7100</t>
  </si>
  <si>
    <t>https://fels.philasd.org/</t>
  </si>
  <si>
    <t>Ethan Allen School</t>
  </si>
  <si>
    <t>6329 BATTERSBY ST</t>
  </si>
  <si>
    <t>3758</t>
  </si>
  <si>
    <t>215-400-3560</t>
  </si>
  <si>
    <t>https://wagner.philasd.org/</t>
  </si>
  <si>
    <t>Joseph H. Brown School</t>
  </si>
  <si>
    <t>3600 STANWOOD ST</t>
  </si>
  <si>
    <t>6529</t>
  </si>
  <si>
    <t>215-400-7010</t>
  </si>
  <si>
    <t>https://juniatapark.philasd.org/</t>
  </si>
  <si>
    <t>Kennedy C. Crossan School</t>
  </si>
  <si>
    <t>7350 BINGHAM ST</t>
  </si>
  <si>
    <t>3762</t>
  </si>
  <si>
    <t>215-400-3720</t>
  </si>
  <si>
    <t>https://barton.philasd.org/</t>
  </si>
  <si>
    <t>Hamilton Disston School</t>
  </si>
  <si>
    <t>6801 COTTAGE ST</t>
  </si>
  <si>
    <t>3763</t>
  </si>
  <si>
    <t>215-400-3150</t>
  </si>
  <si>
    <t>https://carnell.philasd.org/</t>
  </si>
  <si>
    <t>Edwin Forrest School</t>
  </si>
  <si>
    <t>7300 COTTAGE ST</t>
  </si>
  <si>
    <t>3764</t>
  </si>
  <si>
    <t>215-400-3540</t>
  </si>
  <si>
    <t>https://ellwood.philasd.org/</t>
  </si>
  <si>
    <t>Fox Chase School</t>
  </si>
  <si>
    <t>500 RHAWN ST</t>
  </si>
  <si>
    <t>3765</t>
  </si>
  <si>
    <t>215-400-3750</t>
  </si>
  <si>
    <t>https://finletter.philasd.org/</t>
  </si>
  <si>
    <t>Thomas Holme School</t>
  </si>
  <si>
    <t>9125 ACADEMY RD</t>
  </si>
  <si>
    <t>3766</t>
  </si>
  <si>
    <t>215-400-3760</t>
  </si>
  <si>
    <t>https://franklin.philasd.org/</t>
  </si>
  <si>
    <t>Mayfair School</t>
  </si>
  <si>
    <t>3001 PRINCETON AVE</t>
  </si>
  <si>
    <t>3769</t>
  </si>
  <si>
    <t>215-400-3980</t>
  </si>
  <si>
    <t>https://stearne.philasd.org/</t>
  </si>
  <si>
    <t>J. Hampton Moore School</t>
  </si>
  <si>
    <t>6900 SUMMERDALE AVE</t>
  </si>
  <si>
    <t>3770</t>
  </si>
  <si>
    <t>215-400-3970</t>
  </si>
  <si>
    <t>https://hopkinson.philasd.org/</t>
  </si>
  <si>
    <t>Solomon Solis-Cohen School</t>
  </si>
  <si>
    <t>7001 HORROCKS ST</t>
  </si>
  <si>
    <t>3773</t>
  </si>
  <si>
    <t>215-400-3730</t>
  </si>
  <si>
    <t>https://fint.philasd.org/</t>
  </si>
  <si>
    <t>Gilbert Spruance School</t>
  </si>
  <si>
    <t>6401 HORROCKS ST</t>
  </si>
  <si>
    <t>7234</t>
  </si>
  <si>
    <t>215-400-3650</t>
  </si>
  <si>
    <t>https://howe.philasd.org/</t>
  </si>
  <si>
    <t>Rhawnhurst School</t>
  </si>
  <si>
    <t>7809 CASTOR AVE</t>
  </si>
  <si>
    <t>3771</t>
  </si>
  <si>
    <t>215-400-3340</t>
  </si>
  <si>
    <t>https://lawton.philasd.org/</t>
  </si>
  <si>
    <t>Watson Comly School</t>
  </si>
  <si>
    <t>1001 BYBERRY RD</t>
  </si>
  <si>
    <t>3760</t>
  </si>
  <si>
    <t>215-400-3740</t>
  </si>
  <si>
    <t>https://lowell.philasd.org/</t>
  </si>
  <si>
    <t>Louis H. Farrell School</t>
  </si>
  <si>
    <t>8300 CASTOR AVE</t>
  </si>
  <si>
    <t>7235</t>
  </si>
  <si>
    <t>215-400-3950</t>
  </si>
  <si>
    <t>https://johnmarshall.philasd.org/</t>
  </si>
  <si>
    <t>Aloysius L. Fitzpatrick School</t>
  </si>
  <si>
    <t>11061 KNIGHTS RD</t>
  </si>
  <si>
    <t>3781</t>
  </si>
  <si>
    <t>215-400-3820</t>
  </si>
  <si>
    <t>https://gwjr.philasd.org/</t>
  </si>
  <si>
    <t>Anne Frank School</t>
  </si>
  <si>
    <t>2000 BOWLER ST</t>
  </si>
  <si>
    <t>3803</t>
  </si>
  <si>
    <t>215-400-3870</t>
  </si>
  <si>
    <t>https://mcclure.philasd.org/</t>
  </si>
  <si>
    <t>Robert B. Pollock School</t>
  </si>
  <si>
    <t>2875 WELSH RD</t>
  </si>
  <si>
    <t>3801</t>
  </si>
  <si>
    <t>215-400-3780</t>
  </si>
  <si>
    <t>https://morrison.philasd.org/</t>
  </si>
  <si>
    <t>Stephen Decatur School</t>
  </si>
  <si>
    <t>3500 ACADEMY RD</t>
  </si>
  <si>
    <t>4727</t>
  </si>
  <si>
    <t>215-400-3790</t>
  </si>
  <si>
    <t>https://olney.philasd.org/</t>
  </si>
  <si>
    <t>Joseph Greenberg School</t>
  </si>
  <si>
    <t>600 SHARON LN</t>
  </si>
  <si>
    <t>4726</t>
  </si>
  <si>
    <t>215-400-3960</t>
  </si>
  <si>
    <t>https://sullivan.philasd.org/</t>
  </si>
  <si>
    <t>William H. Loesche School</t>
  </si>
  <si>
    <t>595 TOMLINSON RD</t>
  </si>
  <si>
    <t>4961</t>
  </si>
  <si>
    <t>215-400-3880</t>
  </si>
  <si>
    <t>https://taylor.philasd.org/</t>
  </si>
  <si>
    <t>YESPhilly</t>
  </si>
  <si>
    <t>2709 N BROAD ST</t>
  </si>
  <si>
    <t>215-400-3260</t>
  </si>
  <si>
    <t>https://ziegler.philasd.org/</t>
  </si>
  <si>
    <t>Philadelphia Learning Academy West</t>
  </si>
  <si>
    <t>8386</t>
  </si>
  <si>
    <t>215-400-7240</t>
  </si>
  <si>
    <t>https://bridesburg.philasd.org/</t>
  </si>
  <si>
    <t>Philadelphia Learning Academy North</t>
  </si>
  <si>
    <t>8385</t>
  </si>
  <si>
    <t>215-400-3690</t>
  </si>
  <si>
    <t>https://princehall.philasd.org/</t>
  </si>
  <si>
    <t>Pennypack House School</t>
  </si>
  <si>
    <t>7901 STATE RD</t>
  </si>
  <si>
    <t>215-400-3810</t>
  </si>
  <si>
    <t>https://fas.philasd.org/</t>
  </si>
  <si>
    <t>The Workshop High School</t>
  </si>
  <si>
    <t>221 S HANSON ST</t>
  </si>
  <si>
    <t>8328</t>
  </si>
  <si>
    <t>215-400-3890</t>
  </si>
  <si>
    <t>https://bethune.philasd.org/</t>
  </si>
  <si>
    <t>Crossroads Accelerated Academy</t>
  </si>
  <si>
    <t>215-400-3550</t>
  </si>
  <si>
    <t>https://rowen.philasd.org/</t>
  </si>
  <si>
    <t>Hancock, John Demonstration School</t>
  </si>
  <si>
    <t>3700 MORRELL AVE</t>
  </si>
  <si>
    <t>5041</t>
  </si>
  <si>
    <t>215-400-3930</t>
  </si>
  <si>
    <t>https://clemente.philasd.org/</t>
  </si>
  <si>
    <t>Philadelphia Virtual Academy</t>
  </si>
  <si>
    <t>8298</t>
  </si>
  <si>
    <t>215-400-3300</t>
  </si>
  <si>
    <t>https://lincoln.philasd.org/</t>
  </si>
  <si>
    <t>One Bright Ray - Mansion</t>
  </si>
  <si>
    <t>https://nehs.philasd.org/</t>
  </si>
  <si>
    <t>One Bright Ray - Simpson</t>
  </si>
  <si>
    <t>1142 E ERIE AVE</t>
  </si>
  <si>
    <t>215-400-3100</t>
  </si>
  <si>
    <t>https://gwhs.philasd.org/</t>
  </si>
  <si>
    <t>One Bright Ray - Simpson Evening</t>
  </si>
  <si>
    <t>215-400-3030</t>
  </si>
  <si>
    <t>https://rush.philasd.org/</t>
  </si>
  <si>
    <t>Re-Engagement Center</t>
  </si>
  <si>
    <t>215-567-2410</t>
  </si>
  <si>
    <t>https://oic-cadi.org/</t>
  </si>
  <si>
    <t>https://sesischools.com/location/excel-academy-north/</t>
  </si>
  <si>
    <t>215-400-3140</t>
  </si>
  <si>
    <t>https://swenson.philasd.org/</t>
  </si>
  <si>
    <t>215-751-8540</t>
  </si>
  <si>
    <t>https://www.ccp.edu/degrees-programs/all-academic-offerings/middle-and-high-school-student-programs/gateway-college</t>
  </si>
  <si>
    <t>215-400-3190</t>
  </si>
  <si>
    <t>https://castorgardens.philasd.org</t>
  </si>
  <si>
    <t>215-400-8350</t>
  </si>
  <si>
    <t>https://ncpa.philasd.org/</t>
  </si>
  <si>
    <t>215-400-3090</t>
  </si>
  <si>
    <t>https://baldi.philasd.org/</t>
  </si>
  <si>
    <t>215-423-1776</t>
  </si>
  <si>
    <t>215-400-3270</t>
  </si>
  <si>
    <t>https://ethanallen.philasd.org/</t>
  </si>
  <si>
    <t>215-400-3320</t>
  </si>
  <si>
    <t>https://jhbrown.philasd.org/</t>
  </si>
  <si>
    <t>215-400-3160</t>
  </si>
  <si>
    <t>https://crossan.philasd.org/</t>
  </si>
  <si>
    <t>215-400-3350</t>
  </si>
  <si>
    <t>https://disston.philasd.org/</t>
  </si>
  <si>
    <t>215-400-3330</t>
  </si>
  <si>
    <t>https://forrest.philasd.org/</t>
  </si>
  <si>
    <t>215-400-3170</t>
  </si>
  <si>
    <t>https://foxchase.philasd.org/</t>
  </si>
  <si>
    <t>215-400-3130</t>
  </si>
  <si>
    <t>https://holme.philasd.org/</t>
  </si>
  <si>
    <t>215-400-3280</t>
  </si>
  <si>
    <t>https://mayfair.philasd.org/</t>
  </si>
  <si>
    <t>215-400-3180</t>
  </si>
  <si>
    <t>https://moore.philasd.org/</t>
  </si>
  <si>
    <t>215-400-3250</t>
  </si>
  <si>
    <t>https://soliscohen.philasd.org/</t>
  </si>
  <si>
    <t>215-400-3290</t>
  </si>
  <si>
    <t>https://spruance.philasd.org/</t>
  </si>
  <si>
    <t>215-400-3220</t>
  </si>
  <si>
    <t>https://rhawnhurst.philasd.org/</t>
  </si>
  <si>
    <t>215-400-3010</t>
  </si>
  <si>
    <t>https://comly.philasd.org/</t>
  </si>
  <si>
    <t>215-400-3230</t>
  </si>
  <si>
    <t>https://farrell.philasd.org/</t>
  </si>
  <si>
    <t>215-400-3060</t>
  </si>
  <si>
    <t>https://fitzpatrick.philasd.org/</t>
  </si>
  <si>
    <t>215-400-3070</t>
  </si>
  <si>
    <t>https://annefrank.philasd.org/</t>
  </si>
  <si>
    <t>215-400-3210</t>
  </si>
  <si>
    <t>https://pollock.philasd.org/</t>
  </si>
  <si>
    <t>215-400-3050</t>
  </si>
  <si>
    <t>https://decatur.philasd.org/</t>
  </si>
  <si>
    <t>215-400-3080</t>
  </si>
  <si>
    <t>https://greenberg.philasd.org/</t>
  </si>
  <si>
    <t>215-400-3020</t>
  </si>
  <si>
    <t>https://loesche.philasd.org/</t>
  </si>
  <si>
    <t>215-769-0340</t>
  </si>
  <si>
    <t>https://yesphilly.org/</t>
  </si>
  <si>
    <t>215-400-9080</t>
  </si>
  <si>
    <t>https://plawest.philasd.org/</t>
  </si>
  <si>
    <t>215-400-9050</t>
  </si>
  <si>
    <t>https://planorth.philasd.org/</t>
  </si>
  <si>
    <t>215-685-7752</t>
  </si>
  <si>
    <t>https://pennypackhouse.philasd.org/</t>
  </si>
  <si>
    <t>215-400-7730</t>
  </si>
  <si>
    <t>https://workshopschool.philasd.org/</t>
  </si>
  <si>
    <t>215-400-9070</t>
  </si>
  <si>
    <t>https://crossroads-accelerated.philasd.org/</t>
  </si>
  <si>
    <t>215-400-3120</t>
  </si>
  <si>
    <t>https://hancock.philasd.org/</t>
  </si>
  <si>
    <t>215-400-3110</t>
  </si>
  <si>
    <t>https://pva.philasd.org/</t>
  </si>
  <si>
    <t>215-744-6000</t>
  </si>
  <si>
    <t>215-400-6700</t>
  </si>
  <si>
    <t>https://www.philasd.org/backontrack/#reengagecenter</t>
  </si>
  <si>
    <t>Site ID</t>
  </si>
  <si>
    <t>Site name</t>
  </si>
  <si>
    <t>Candidate</t>
  </si>
  <si>
    <t>Temporary closure</t>
  </si>
  <si>
    <t>Seasonal closure</t>
  </si>
  <si>
    <t>ZIP restrictions</t>
  </si>
  <si>
    <t>Profile miles</t>
  </si>
  <si>
    <t>Profile order</t>
  </si>
  <si>
    <t>Mighty Writers West</t>
  </si>
  <si>
    <t>3520 Fairmount Ave.</t>
  </si>
  <si>
    <t>Food Site</t>
  </si>
  <si>
    <t>Permanently Closed</t>
  </si>
  <si>
    <t>yes</t>
  </si>
  <si>
    <t>https://www.sharefoodprogram.org/</t>
  </si>
  <si>
    <t>2</t>
  </si>
  <si>
    <t>Hickman Temple Daycare</t>
  </si>
  <si>
    <t>1220 S. 58th St</t>
  </si>
  <si>
    <t>3</t>
  </si>
  <si>
    <t>Temple University Hospital, Episcopal Campus</t>
  </si>
  <si>
    <t>100 E. Lehigh Ave.</t>
  </si>
  <si>
    <t>19111, 19120, 19121, 19122, 19124, 19125, 19132, 19133, 19134, 19135, 19140, 19149</t>
  </si>
  <si>
    <t>4</t>
  </si>
  <si>
    <t>Saint Paul's Baptist Church</t>
  </si>
  <si>
    <t>1000 Wallace St</t>
  </si>
  <si>
    <t>https://www.philabundance.org/</t>
  </si>
  <si>
    <t>5</t>
  </si>
  <si>
    <t>Lutheran Settlement House (Lehigh Ave.)</t>
  </si>
  <si>
    <t>1007 W Lehigh Ave</t>
  </si>
  <si>
    <t>General Meal Site</t>
  </si>
  <si>
    <t>https://www.phila.gov/departments/office-of-homeless-services/</t>
  </si>
  <si>
    <t>6</t>
  </si>
  <si>
    <t>Kleinlife Northeast &amp;  Kleinlife Russian Satellite</t>
  </si>
  <si>
    <t>10100 Jamison Ave</t>
  </si>
  <si>
    <t>https://kleinlife.org/</t>
  </si>
  <si>
    <t>7</t>
  </si>
  <si>
    <t>10100 Jamison Ave.</t>
  </si>
  <si>
    <t>Senior Meal Site</t>
  </si>
  <si>
    <t>https://www.pcacares.org/</t>
  </si>
  <si>
    <t>8</t>
  </si>
  <si>
    <t>Waters Memorial Community Center</t>
  </si>
  <si>
    <t>1016-1018 South St</t>
  </si>
  <si>
    <t>9</t>
  </si>
  <si>
    <t>West Philadelphia Senior Community Center</t>
  </si>
  <si>
    <t>1016-26 N. 41st St.</t>
  </si>
  <si>
    <t>10</t>
  </si>
  <si>
    <t>George Washington High School Pantry</t>
  </si>
  <si>
    <t>10175 Bustleton Ave</t>
  </si>
  <si>
    <t>11</t>
  </si>
  <si>
    <t>Mighty Writers El Futuro</t>
  </si>
  <si>
    <t>1025 S. 9th St.</t>
  </si>
  <si>
    <t>12</t>
  </si>
  <si>
    <t>Faith Chapel Church FCDC</t>
  </si>
  <si>
    <t>108 E. Price St.</t>
  </si>
  <si>
    <t>13</t>
  </si>
  <si>
    <t>Refuge Evangelical Baptist Church</t>
  </si>
  <si>
    <t>1100 Oak Ln</t>
  </si>
  <si>
    <t>14</t>
  </si>
  <si>
    <t>5th District Food Access at 10th and Poplar</t>
  </si>
  <si>
    <t>1100 Poplar St.</t>
  </si>
  <si>
    <t>15</t>
  </si>
  <si>
    <t>South Philly Community Fridge at Porco's Philly Pantry</t>
  </si>
  <si>
    <t>1100 S 22nd St</t>
  </si>
  <si>
    <t>https://southphillyfridge.com/</t>
  </si>
  <si>
    <t>16</t>
  </si>
  <si>
    <t>APM</t>
  </si>
  <si>
    <t>1116 E Luzerne St</t>
  </si>
  <si>
    <t>https://apmphila.org/</t>
  </si>
  <si>
    <t>17</t>
  </si>
  <si>
    <t>South Philly Community Fridge at the People's Kitchen</t>
  </si>
  <si>
    <t>1149 S. 9th St</t>
  </si>
  <si>
    <t>18</t>
  </si>
  <si>
    <t>Now Faith Worship Center</t>
  </si>
  <si>
    <t>1159 Chelten Ave</t>
  </si>
  <si>
    <t>www.nowfaithworshipcenter.com</t>
  </si>
  <si>
    <t>19</t>
  </si>
  <si>
    <t>South Philadelphia WIC Office</t>
  </si>
  <si>
    <t>1165 S. Broad St.</t>
  </si>
  <si>
    <t>Public Benefits</t>
  </si>
  <si>
    <t>https://www.facebook.com/PhiladelphiaWICProgram/</t>
  </si>
  <si>
    <t>20</t>
  </si>
  <si>
    <t>Neighborhood Community Action Center 1</t>
  </si>
  <si>
    <t>1200 Carpenter St.</t>
  </si>
  <si>
    <t>https://www.phila.gov/programs/neighborhood-community-action-centers/</t>
  </si>
  <si>
    <t>21</t>
  </si>
  <si>
    <t>St. John's Hospice</t>
  </si>
  <si>
    <t>1221 Race St</t>
  </si>
  <si>
    <t>22</t>
  </si>
  <si>
    <t>Holy Redeemer Food Cupboard</t>
  </si>
  <si>
    <t>12265 Townsend Rd.</t>
  </si>
  <si>
    <t>23</t>
  </si>
  <si>
    <t>Greater Mt. Sinai Baptist Church</t>
  </si>
  <si>
    <t>1228 S 21st St</t>
  </si>
  <si>
    <t>24</t>
  </si>
  <si>
    <t>Face to Face Germantown</t>
  </si>
  <si>
    <t>123 E Price St</t>
  </si>
  <si>
    <t>https://facetofacegermantown.org</t>
  </si>
  <si>
    <t>25</t>
  </si>
  <si>
    <t>123 E. Price St</t>
  </si>
  <si>
    <t>26</t>
  </si>
  <si>
    <t>Small Things Market at Emmanuel (inside of Resurrection Church)</t>
  </si>
  <si>
    <t>123 S 17th St</t>
  </si>
  <si>
    <t>https://www.smallthingsphilly.org/</t>
  </si>
  <si>
    <t>27</t>
  </si>
  <si>
    <t>Philadelphia FIGHT</t>
  </si>
  <si>
    <t>1233 Locust St.</t>
  </si>
  <si>
    <t>https://fight.org/</t>
  </si>
  <si>
    <t>28</t>
  </si>
  <si>
    <t>Parkwood WIC Office</t>
  </si>
  <si>
    <t>12347 Academy Rd.</t>
  </si>
  <si>
    <t>29</t>
  </si>
  <si>
    <t>Juniata Park Older Adult Center</t>
  </si>
  <si>
    <t>1251 E. Sedgley Avenue</t>
  </si>
  <si>
    <t>https://www.phila.gov/programs/programs-for-older-adults/</t>
  </si>
  <si>
    <t>30</t>
  </si>
  <si>
    <t>Small Things Philly Market - House of Hope</t>
  </si>
  <si>
    <t>1300 W. Hunting Park Ave</t>
  </si>
  <si>
    <t>31</t>
  </si>
  <si>
    <t>Dreuding Center</t>
  </si>
  <si>
    <t>1321 N. Lawrence St. Door Number 10</t>
  </si>
  <si>
    <t>https://nutritionaldevelopmentservices.org/</t>
  </si>
  <si>
    <t>32</t>
  </si>
  <si>
    <t>Bible Way Baptist Church</t>
  </si>
  <si>
    <t>1323 N 52nd St.</t>
  </si>
  <si>
    <t>33</t>
  </si>
  <si>
    <t>Temple - Wyoming WIC Office</t>
  </si>
  <si>
    <t>1331 E Wyoming Ave.</t>
  </si>
  <si>
    <t>34</t>
  </si>
  <si>
    <t>Neighborhood Community Action Center 9</t>
  </si>
  <si>
    <t>1333 Wagner Ave.</t>
  </si>
  <si>
    <t>35</t>
  </si>
  <si>
    <t>Salvation Army Temple</t>
  </si>
  <si>
    <t>1340 Brown St</t>
  </si>
  <si>
    <t>36</t>
  </si>
  <si>
    <t>Lutheran Settlement House</t>
  </si>
  <si>
    <t>1340 Frankford Ave.</t>
  </si>
  <si>
    <t>37</t>
  </si>
  <si>
    <t>The H.O.P.E. Food Pantry</t>
  </si>
  <si>
    <t>140 E Mt. Airy Ave</t>
  </si>
  <si>
    <t>38</t>
  </si>
  <si>
    <t>The Everywhere Project (Love Park)</t>
  </si>
  <si>
    <t>N 15th St. and John F. Kennedy Blvd</t>
  </si>
  <si>
    <t>39</t>
  </si>
  <si>
    <t>New Bethany Baptist Church</t>
  </si>
  <si>
    <t>1415 S 23rd St</t>
  </si>
  <si>
    <t>40</t>
  </si>
  <si>
    <t>Mount Hebron Baptist Church</t>
  </si>
  <si>
    <t>1417-15 Wharton St</t>
  </si>
  <si>
    <t>41</t>
  </si>
  <si>
    <t>Gather the People House of Prayer</t>
  </si>
  <si>
    <t>1429 W Clearfield St</t>
  </si>
  <si>
    <t>42</t>
  </si>
  <si>
    <t>South Philly Older Adult Center</t>
  </si>
  <si>
    <t>1430 E. Passyunk Avenue</t>
  </si>
  <si>
    <t>43</t>
  </si>
  <si>
    <t>Church of the Redeemer Baptist</t>
  </si>
  <si>
    <t>1440 S 24th St.</t>
  </si>
  <si>
    <t>19145, 19146, 19147</t>
  </si>
  <si>
    <t>44</t>
  </si>
  <si>
    <t>North Philadelphia SDA Church</t>
  </si>
  <si>
    <t>1510 W Oxford St</t>
  </si>
  <si>
    <t>45</t>
  </si>
  <si>
    <t>MAP Holistic CDC (Mankind Against Poverty)</t>
  </si>
  <si>
    <t>1510 W Stiles St</t>
  </si>
  <si>
    <t>46</t>
  </si>
  <si>
    <t>Grace Tabernacle Christian Church</t>
  </si>
  <si>
    <t>1519 S 52nd St (Parking Lot)</t>
  </si>
  <si>
    <t>47</t>
  </si>
  <si>
    <t>Page Academy CDC</t>
  </si>
  <si>
    <t>1524 W Champlost Ave</t>
  </si>
  <si>
    <t>48</t>
  </si>
  <si>
    <t>Padre Pio Prayer Center Food Distribution (St. Joachim)</t>
  </si>
  <si>
    <t>1527 Church St</t>
  </si>
  <si>
    <t>49</t>
  </si>
  <si>
    <t>The Word in Action International Ministries</t>
  </si>
  <si>
    <t>1539 W. Courtland Street (enter on 16th St)</t>
  </si>
  <si>
    <t>50</t>
  </si>
  <si>
    <t>Zion AME Church</t>
  </si>
  <si>
    <t>1600 S 21st St (Corner of 21st &amp; Tasker Streets)</t>
  </si>
  <si>
    <t>51</t>
  </si>
  <si>
    <t>10th St. Market (North 10)</t>
  </si>
  <si>
    <t>3890 N. 10th St., 2nd Fl</t>
  </si>
  <si>
    <t>52</t>
  </si>
  <si>
    <t>Bright Hope Baptist Church</t>
  </si>
  <si>
    <t>1601 N 12th St.</t>
  </si>
  <si>
    <t>53</t>
  </si>
  <si>
    <t>Helping Hands Nonprofit Organization</t>
  </si>
  <si>
    <t>1604 Margaret St</t>
  </si>
  <si>
    <t>54</t>
  </si>
  <si>
    <t>BenePhilly Center at Office of Community Empowerment and Opportunity</t>
  </si>
  <si>
    <t>1617 JFK Blvd. Suite 1800</t>
  </si>
  <si>
    <t>https://www.phila.gov/departments/office-of-community-empowerment-and-opportunity/</t>
  </si>
  <si>
    <t>55</t>
  </si>
  <si>
    <t>Saint Mark's Food Cupboard</t>
  </si>
  <si>
    <t>1625 Locust St.</t>
  </si>
  <si>
    <t>56</t>
  </si>
  <si>
    <t>Epiphany Fellowship Church Community Fridge</t>
  </si>
  <si>
    <t>1632 W Diamond St</t>
  </si>
  <si>
    <t>57</t>
  </si>
  <si>
    <t>Campbell AME Church</t>
  </si>
  <si>
    <t>1657 Kinsey St</t>
  </si>
  <si>
    <t>58</t>
  </si>
  <si>
    <t>Bethel Worship Center</t>
  </si>
  <si>
    <t>169 W. Wyoming Ave.</t>
  </si>
  <si>
    <t>https://www.bethelcommunityimpact.org</t>
  </si>
  <si>
    <t>59</t>
  </si>
  <si>
    <t>60</t>
  </si>
  <si>
    <t>Together We Can Change at Love Park</t>
  </si>
  <si>
    <t>16th St. and JFK Blvd.</t>
  </si>
  <si>
    <t>61</t>
  </si>
  <si>
    <t>Bethany Indonesian Church</t>
  </si>
  <si>
    <t>1709 South Broad St</t>
  </si>
  <si>
    <t>62</t>
  </si>
  <si>
    <t>Parkside Association of Philadelphia</t>
  </si>
  <si>
    <t>1719 N 52nd St, Suite G</t>
  </si>
  <si>
    <t>63</t>
  </si>
  <si>
    <t>Woodland WIC Office</t>
  </si>
  <si>
    <t>1741 S. 54th St.</t>
  </si>
  <si>
    <t>64</t>
  </si>
  <si>
    <t>North Light Community Center</t>
  </si>
  <si>
    <t>175 Green Ln</t>
  </si>
  <si>
    <t>65</t>
  </si>
  <si>
    <t>Association of Former Gang Members</t>
  </si>
  <si>
    <t>1801 W Diamond St</t>
  </si>
  <si>
    <t>66</t>
  </si>
  <si>
    <t>The Everywhere Project (E. Clearfield St.)</t>
  </si>
  <si>
    <t>1810 E. Clearfield St.</t>
  </si>
  <si>
    <t>67</t>
  </si>
  <si>
    <t>South Philly Community Fridge at LUHV Fridge</t>
  </si>
  <si>
    <t>1840 Ellsworth St.</t>
  </si>
  <si>
    <t>68</t>
  </si>
  <si>
    <t>Project HOME</t>
  </si>
  <si>
    <t>1845 N 23rd St.</t>
  </si>
  <si>
    <t>69</t>
  </si>
  <si>
    <t>Germantown Community Fridge</t>
  </si>
  <si>
    <t>19 E. High St.</t>
  </si>
  <si>
    <t>https://www.germantowncommunityfridge.com/</t>
  </si>
  <si>
    <t>70</t>
  </si>
  <si>
    <t>First United Methodist Church of Germantown</t>
  </si>
  <si>
    <t>19 E. High Street</t>
  </si>
  <si>
    <t>71</t>
  </si>
  <si>
    <t>Philadelphia Episcopal Cathedral</t>
  </si>
  <si>
    <t>19 S 38th St</t>
  </si>
  <si>
    <t>72</t>
  </si>
  <si>
    <t>Bethel Presbyterian Church</t>
  </si>
  <si>
    <t>1900 W York St</t>
  </si>
  <si>
    <t>73</t>
  </si>
  <si>
    <t>1900 W York St.</t>
  </si>
  <si>
    <t>74</t>
  </si>
  <si>
    <t>Philadelphia Senior Center - Allegheny Branch</t>
  </si>
  <si>
    <t>1900 W. Allegheny Ave.</t>
  </si>
  <si>
    <t>75</t>
  </si>
  <si>
    <t>South Philly Community Fridge at BOK Building</t>
  </si>
  <si>
    <t>1901 S. 9th St.</t>
  </si>
  <si>
    <t>76</t>
  </si>
  <si>
    <t>South Philly Community Fridge at Good Shepherd Penn Partners</t>
  </si>
  <si>
    <t>1901 South St.</t>
  </si>
  <si>
    <t>77</t>
  </si>
  <si>
    <t>Frances E Willard Elementary School</t>
  </si>
  <si>
    <t>1930 Elkhart St</t>
  </si>
  <si>
    <t>78</t>
  </si>
  <si>
    <t>St. Benedict Food Bank</t>
  </si>
  <si>
    <t>1940 E Chelten Ave</t>
  </si>
  <si>
    <t>79</t>
  </si>
  <si>
    <t>Provision of Grace World Mission Church</t>
  </si>
  <si>
    <t>1950 W Rockland St</t>
  </si>
  <si>
    <t>80</t>
  </si>
  <si>
    <t>BenePhilly Center at Impact Services</t>
  </si>
  <si>
    <t>1952 E. Allegheny Ave.</t>
  </si>
  <si>
    <t>https://www.impactservices.org/</t>
  </si>
  <si>
    <t>81</t>
  </si>
  <si>
    <t>Champlost Homes Tenant Council</t>
  </si>
  <si>
    <t>1953 W Nedro Ave.</t>
  </si>
  <si>
    <t>82</t>
  </si>
  <si>
    <t>First Haitian Church of God of Prophecy</t>
  </si>
  <si>
    <t>199 E. Tabor Rd</t>
  </si>
  <si>
    <t>83</t>
  </si>
  <si>
    <t>20 W. Armat St.</t>
  </si>
  <si>
    <t>84</t>
  </si>
  <si>
    <t>Mi Salud Wellness Center</t>
  </si>
  <si>
    <t>200 E. Wyoming Ave.</t>
  </si>
  <si>
    <t>85</t>
  </si>
  <si>
    <t>Norris Homes/North Central Community Center</t>
  </si>
  <si>
    <t>2000 N 11th St</t>
  </si>
  <si>
    <t>86</t>
  </si>
  <si>
    <t>2000 N 7th St.</t>
  </si>
  <si>
    <t>87</t>
  </si>
  <si>
    <t>Mitzvah Food Program Northeast</t>
  </si>
  <si>
    <t>88</t>
  </si>
  <si>
    <t>New Jerusalem Laura</t>
  </si>
  <si>
    <t>2011 W Norris St</t>
  </si>
  <si>
    <t>89</t>
  </si>
  <si>
    <t>Mission of St. Joan of Arc Food Cupboard</t>
  </si>
  <si>
    <t>2025 E Atlantic St</t>
  </si>
  <si>
    <t>90</t>
  </si>
  <si>
    <t>Family Support Circle</t>
  </si>
  <si>
    <t>2059 E Chelten Ave</t>
  </si>
  <si>
    <t>91</t>
  </si>
  <si>
    <t>Philadelphia Housing Authority Cassie L. Holly Apts. Satelite</t>
  </si>
  <si>
    <t>2100 Dickinson St.</t>
  </si>
  <si>
    <t>92</t>
  </si>
  <si>
    <t>King Older Adult Center</t>
  </si>
  <si>
    <t>2100 W. Cecil B. Moore Ave.</t>
  </si>
  <si>
    <t>93</t>
  </si>
  <si>
    <t>Neighborhood Community Action Center 5</t>
  </si>
  <si>
    <t>2101 Cecil B. Moore Ave</t>
  </si>
  <si>
    <t>94</t>
  </si>
  <si>
    <t>CHCS Norris Square Center</t>
  </si>
  <si>
    <t>2121 N. Howard St</t>
  </si>
  <si>
    <t>95</t>
  </si>
  <si>
    <t>St. Edmonds Senior Community Center Catholic Housing and Community Services</t>
  </si>
  <si>
    <t>2130 S 21st St.</t>
  </si>
  <si>
    <t>96</t>
  </si>
  <si>
    <t>Saint Edmond Senior Community Center</t>
  </si>
  <si>
    <t>97</t>
  </si>
  <si>
    <t>Veterans Multi-Service Center</t>
  </si>
  <si>
    <t>213-217 N. 4th St.</t>
  </si>
  <si>
    <t>98</t>
  </si>
  <si>
    <t>Saint Michael's Lutheran Church</t>
  </si>
  <si>
    <t>2139 E Cumberland St</t>
  </si>
  <si>
    <t>99</t>
  </si>
  <si>
    <t>Dobbins Technical High School</t>
  </si>
  <si>
    <t>2150 W Lehigh Ave.</t>
  </si>
  <si>
    <t>100</t>
  </si>
  <si>
    <t>Lehigh WIC Office</t>
  </si>
  <si>
    <t>217-33 W. Lehigh Ave.</t>
  </si>
  <si>
    <t>101</t>
  </si>
  <si>
    <t>On Lok House Satellite</t>
  </si>
  <si>
    <t>219 N. 10th St.</t>
  </si>
  <si>
    <t>102</t>
  </si>
  <si>
    <t>Bryn Mawr Avenue New Testament Church of God</t>
  </si>
  <si>
    <t>2227 Bryn Mawr Ave</t>
  </si>
  <si>
    <t>103</t>
  </si>
  <si>
    <t>Mighty Writers North</t>
  </si>
  <si>
    <t>2300 Master St.</t>
  </si>
  <si>
    <t>104</t>
  </si>
  <si>
    <t>Urban Creators</t>
  </si>
  <si>
    <t>2315 N. 11th St.</t>
  </si>
  <si>
    <t>105</t>
  </si>
  <si>
    <t>Eddie's House - The Cornerstone</t>
  </si>
  <si>
    <t>2321 N Broad St</t>
  </si>
  <si>
    <t>106</t>
  </si>
  <si>
    <t>Aramingo WIC Office</t>
  </si>
  <si>
    <t>2401 E. Tioga St., #A-4</t>
  </si>
  <si>
    <t>107</t>
  </si>
  <si>
    <t>Marconi Older Adult Program</t>
  </si>
  <si>
    <t>2433 S. 15th St.</t>
  </si>
  <si>
    <t>108</t>
  </si>
  <si>
    <t>Cast Your Cares</t>
  </si>
  <si>
    <t>2436-2438 Kensington Ave</t>
  </si>
  <si>
    <t>109</t>
  </si>
  <si>
    <t>St. Francis Inn</t>
  </si>
  <si>
    <t>2441 Kensington Ave</t>
  </si>
  <si>
    <t>110</t>
  </si>
  <si>
    <t>Women Walking in Victory</t>
  </si>
  <si>
    <t>2441 N 29th St</t>
  </si>
  <si>
    <t>111</t>
  </si>
  <si>
    <t>Whitman Council, Inc</t>
  </si>
  <si>
    <t>2455 S. 3rd Street</t>
  </si>
  <si>
    <t>112</t>
  </si>
  <si>
    <t>Philadelphia Housing Authority Wilson Park</t>
  </si>
  <si>
    <t>2500 Jackson St.</t>
  </si>
  <si>
    <t>113</t>
  </si>
  <si>
    <t>First Church Worship Center</t>
  </si>
  <si>
    <t>2509 N 30th St</t>
  </si>
  <si>
    <t>114</t>
  </si>
  <si>
    <t>Ian-Yae's In Touch</t>
  </si>
  <si>
    <t>2524 N. 27th St.</t>
  </si>
  <si>
    <t>115</t>
  </si>
  <si>
    <t>Church of Pentecost</t>
  </si>
  <si>
    <t>2530 Wharton St</t>
  </si>
  <si>
    <t>116</t>
  </si>
  <si>
    <t>Geiger Memorial Brethren Church</t>
  </si>
  <si>
    <t>2543 W. Lehigh Ave.</t>
  </si>
  <si>
    <t>117</t>
  </si>
  <si>
    <t>South Philly Community Fridge at Growing Together Garden Party</t>
  </si>
  <si>
    <t>2550 Reed St</t>
  </si>
  <si>
    <t>118</t>
  </si>
  <si>
    <t>The Church of the Holy Apostles and the Mediator</t>
  </si>
  <si>
    <t>260 S 51st St.</t>
  </si>
  <si>
    <t>119</t>
  </si>
  <si>
    <t>Community Center at Visitation</t>
  </si>
  <si>
    <t>2646 Kensington Ave</t>
  </si>
  <si>
    <t>120</t>
  </si>
  <si>
    <t>Young Chances Foundation</t>
  </si>
  <si>
    <t>2703 Tasker St</t>
  </si>
  <si>
    <t>121</t>
  </si>
  <si>
    <t>Bridesburg United Methodist Church</t>
  </si>
  <si>
    <t>2717-2719 Kirkbride St.</t>
  </si>
  <si>
    <t>19134, 19137</t>
  </si>
  <si>
    <t>122</t>
  </si>
  <si>
    <t>Operation Save Our City</t>
  </si>
  <si>
    <t>2774 Kensington Ave</t>
  </si>
  <si>
    <t>123</t>
  </si>
  <si>
    <t>Gideon School</t>
  </si>
  <si>
    <t>2817 W Glenwood Ave.</t>
  </si>
  <si>
    <t>124</t>
  </si>
  <si>
    <t>Allegheny West Foundation</t>
  </si>
  <si>
    <t>2850 N 22nd Street</t>
  </si>
  <si>
    <t>125</t>
  </si>
  <si>
    <t>Saint John Memorial Baptist Church</t>
  </si>
  <si>
    <t>2853 Germantown Ave</t>
  </si>
  <si>
    <t>126</t>
  </si>
  <si>
    <t>Grace Community Christian Center</t>
  </si>
  <si>
    <t>29 W Johnson St</t>
  </si>
  <si>
    <t>127</t>
  </si>
  <si>
    <t>Share Community Fridge</t>
  </si>
  <si>
    <t>2901 W Hunting Park Ave</t>
  </si>
  <si>
    <t>128</t>
  </si>
  <si>
    <t>Crossroads Community Center</t>
  </si>
  <si>
    <t>2918 N 6th St.</t>
  </si>
  <si>
    <t>129</t>
  </si>
  <si>
    <t>Men Who Care of Germantown Inc</t>
  </si>
  <si>
    <t>180 E Tulpehocken St</t>
  </si>
  <si>
    <t>https://www.menwhocareofgermantown.org/general-7</t>
  </si>
  <si>
    <t>130</t>
  </si>
  <si>
    <t>Brewerytown Sharswood Coalition</t>
  </si>
  <si>
    <t>3000 W Master St</t>
  </si>
  <si>
    <t>131</t>
  </si>
  <si>
    <t>Martin Luther King Jr. Association For Nonviolence Inc. (MLK)</t>
  </si>
  <si>
    <t>3001 Walnut St.</t>
  </si>
  <si>
    <t>132</t>
  </si>
  <si>
    <t>Philly House</t>
  </si>
  <si>
    <t>302 N 13th St.</t>
  </si>
  <si>
    <t>133</t>
  </si>
  <si>
    <t>Canaan Family Life Center</t>
  </si>
  <si>
    <t>302 West School House Lane</t>
  </si>
  <si>
    <t>https://www.canaanfamilylife.org/</t>
  </si>
  <si>
    <t>134</t>
  </si>
  <si>
    <t>Pente Church of God</t>
  </si>
  <si>
    <t>3027 N 5th St</t>
  </si>
  <si>
    <t>135</t>
  </si>
  <si>
    <t>First Church of Love and Deliverance</t>
  </si>
  <si>
    <t>3101 Ridge Ave.</t>
  </si>
  <si>
    <t>136</t>
  </si>
  <si>
    <t>Feast of Justice (Tyson Ave)</t>
  </si>
  <si>
    <t>3101 Tyson Ave</t>
  </si>
  <si>
    <t>19111, 19114, 19115, 19116, 19120, 19124, 19135, 19136, 19149, 19152, 19154</t>
  </si>
  <si>
    <t>https://www.feastofjustice.org/</t>
  </si>
  <si>
    <t>137</t>
  </si>
  <si>
    <t>Saint Peter's Food Cupboard</t>
  </si>
  <si>
    <t>313 Pine St.</t>
  </si>
  <si>
    <t>138</t>
  </si>
  <si>
    <t>Broad Street Love</t>
  </si>
  <si>
    <t>315 S Broad Street</t>
  </si>
  <si>
    <t>139</t>
  </si>
  <si>
    <t>Salvation Army Tabernacle</t>
  </si>
  <si>
    <t>3150 N Mascher St.</t>
  </si>
  <si>
    <t>140</t>
  </si>
  <si>
    <t>Cornerstone Community Church</t>
  </si>
  <si>
    <t>3176 Frankford Ave</t>
  </si>
  <si>
    <t>141</t>
  </si>
  <si>
    <t>Friends Pantry &amp; Community Fridge</t>
  </si>
  <si>
    <t>320 Arch St</t>
  </si>
  <si>
    <t>https://www.historicasmh.org/friendspantry</t>
  </si>
  <si>
    <t>142</t>
  </si>
  <si>
    <t>320 Arch Street</t>
  </si>
  <si>
    <t>143</t>
  </si>
  <si>
    <t>The Sunday Love Project</t>
  </si>
  <si>
    <t>3200 Kensington Ave</t>
  </si>
  <si>
    <t>144</t>
  </si>
  <si>
    <t>Mann Older Adult Center</t>
  </si>
  <si>
    <t>3201 N. 5th St.</t>
  </si>
  <si>
    <t>145</t>
  </si>
  <si>
    <t>Neighborhood Community Action Center 7</t>
  </si>
  <si>
    <t>146</t>
  </si>
  <si>
    <t>Friends' Fridge Philly</t>
  </si>
  <si>
    <t>3217 West Clearfield St</t>
  </si>
  <si>
    <t>https://www.friendsfridgephilly.com/</t>
  </si>
  <si>
    <t>147</t>
  </si>
  <si>
    <t>Brothers of Strawberry Mansion</t>
  </si>
  <si>
    <t>3218 W Susquehanna Ave</t>
  </si>
  <si>
    <t>148</t>
  </si>
  <si>
    <t>Brothers of Strawberry Mansion Clifford St.</t>
  </si>
  <si>
    <t>3223 W Clifford St</t>
  </si>
  <si>
    <t>149</t>
  </si>
  <si>
    <t>Church of the Annunciation</t>
  </si>
  <si>
    <t>324 Carpenter Ln.</t>
  </si>
  <si>
    <t>19118, 19119, 19138, 19150</t>
  </si>
  <si>
    <t>150</t>
  </si>
  <si>
    <t>Nativity Satellite Program</t>
  </si>
  <si>
    <t>3255 Belgrade St</t>
  </si>
  <si>
    <t>151</t>
  </si>
  <si>
    <t>Open Door Ministries</t>
  </si>
  <si>
    <t>3373 Frankford Ave.</t>
  </si>
  <si>
    <t>19120, 19124, 19125, 19133, 19134, 19140</t>
  </si>
  <si>
    <t>152</t>
  </si>
  <si>
    <t>Mitzvah Food Program - Mainline</t>
  </si>
  <si>
    <t>345 Montgomery Ave</t>
  </si>
  <si>
    <t>153</t>
  </si>
  <si>
    <t>Germantown Avenue Crisis Ministry</t>
  </si>
  <si>
    <t>35 W Chelten Ave</t>
  </si>
  <si>
    <t>154</t>
  </si>
  <si>
    <t>East Falls Community Fridge</t>
  </si>
  <si>
    <t>3507 Midvale Ave.</t>
  </si>
  <si>
    <t>https://eastfallscommunityfridge.com/</t>
  </si>
  <si>
    <t>155</t>
  </si>
  <si>
    <t>Drexel University Dornsife Center for Neighborhood Partnerships</t>
  </si>
  <si>
    <t>3509 Brandywine Street</t>
  </si>
  <si>
    <t>https://drexel.edu/dornsifecenter/</t>
  </si>
  <si>
    <t>156</t>
  </si>
  <si>
    <t>157</t>
  </si>
  <si>
    <t>Small Things Philly Market - Fairhill</t>
  </si>
  <si>
    <t>3510 A St.</t>
  </si>
  <si>
    <t>158</t>
  </si>
  <si>
    <t>Grace Lutheran Church</t>
  </si>
  <si>
    <t>3529 Haverford Ave</t>
  </si>
  <si>
    <t>159</t>
  </si>
  <si>
    <t>Fresh Fire Apostolic International Ministries</t>
  </si>
  <si>
    <t>3579 Emerald Street</t>
  </si>
  <si>
    <t>160</t>
  </si>
  <si>
    <t>Interfaith Food Cupboard</t>
  </si>
  <si>
    <t>3600 Baring St</t>
  </si>
  <si>
    <t>161</t>
  </si>
  <si>
    <t>As I Plant This Seed Community Fridge</t>
  </si>
  <si>
    <t>3958 N 9th St</t>
  </si>
  <si>
    <t>162</t>
  </si>
  <si>
    <t>Chosen 300 Ministries Inc.</t>
  </si>
  <si>
    <t>3959 Lancaster Ave</t>
  </si>
  <si>
    <t>163</t>
  </si>
  <si>
    <t>The Welcome Church</t>
  </si>
  <si>
    <t>2111 Sansom St</t>
  </si>
  <si>
    <t>164</t>
  </si>
  <si>
    <t>The Center at Journey’s Way</t>
  </si>
  <si>
    <t>403 Rector St.</t>
  </si>
  <si>
    <t>165</t>
  </si>
  <si>
    <t>Mount Zion United Holy Church</t>
  </si>
  <si>
    <t>4118 Haverford Ave</t>
  </si>
  <si>
    <t>166</t>
  </si>
  <si>
    <t>Two Ladies of Christ</t>
  </si>
  <si>
    <t>4125 Ludlow St</t>
  </si>
  <si>
    <t>167</t>
  </si>
  <si>
    <t>BenePhilly Center at Esperanza</t>
  </si>
  <si>
    <t>4261 N. 5th St.</t>
  </si>
  <si>
    <t>https://www.esperanza.us/</t>
  </si>
  <si>
    <t>168</t>
  </si>
  <si>
    <t>Mizpah SDA</t>
  </si>
  <si>
    <t>4355 Paul St</t>
  </si>
  <si>
    <t>169</t>
  </si>
  <si>
    <t>Ujima Friends Peace Center</t>
  </si>
  <si>
    <t>4371 Waln St</t>
  </si>
  <si>
    <t>170</t>
  </si>
  <si>
    <t>Casa Del Carmen</t>
  </si>
  <si>
    <t>4400 N Reese St</t>
  </si>
  <si>
    <t>171</t>
  </si>
  <si>
    <t>Centre d'Adoration Chretienne</t>
  </si>
  <si>
    <t>4520 Benner St</t>
  </si>
  <si>
    <t>172</t>
  </si>
  <si>
    <t>West Philadelphia SDA</t>
  </si>
  <si>
    <t>4527 Haverford Ave.</t>
  </si>
  <si>
    <t>173</t>
  </si>
  <si>
    <t>174</t>
  </si>
  <si>
    <t>Mt. Vernon Baptist Church</t>
  </si>
  <si>
    <t>458 E Rittenhouse St</t>
  </si>
  <si>
    <t>175</t>
  </si>
  <si>
    <t>Mama-Tee Fridge at Hue Boba Cafe</t>
  </si>
  <si>
    <t>4600 Woodland Ave</t>
  </si>
  <si>
    <t>https://www.mamateefridge.com/</t>
  </si>
  <si>
    <t>176</t>
  </si>
  <si>
    <t>Bless Philadelphia Corporation</t>
  </si>
  <si>
    <t>4610 Devereaux St</t>
  </si>
  <si>
    <t>177</t>
  </si>
  <si>
    <t>178</t>
  </si>
  <si>
    <t>Truth Baptist Church</t>
  </si>
  <si>
    <t>4666-4668 N 15th St</t>
  </si>
  <si>
    <t>179</t>
  </si>
  <si>
    <t>Germantown WIC Office</t>
  </si>
  <si>
    <t>47 W. Chelten Avenue</t>
  </si>
  <si>
    <t>180</t>
  </si>
  <si>
    <t>Catholic Housing and Community Services Star Harbor Senior Center Satellite</t>
  </si>
  <si>
    <t>4700 Springfield Ave.</t>
  </si>
  <si>
    <t>181</t>
  </si>
  <si>
    <t>Philadelphia Masjid</t>
  </si>
  <si>
    <t>4700 Wyalusing Ave.</t>
  </si>
  <si>
    <t>182</t>
  </si>
  <si>
    <t>New Life Community Center</t>
  </si>
  <si>
    <t>4726 N Broad St</t>
  </si>
  <si>
    <t>183</t>
  </si>
  <si>
    <t>Northeast Baptist Church Oasis Food Ministry</t>
  </si>
  <si>
    <t>4744 Tackawanna St</t>
  </si>
  <si>
    <t>184</t>
  </si>
  <si>
    <t>Peter Brassi NE Senior Center</t>
  </si>
  <si>
    <t>4744-46 Frankford Ave.</t>
  </si>
  <si>
    <t>185</t>
  </si>
  <si>
    <t>Katie's Cupboard at Tabor</t>
  </si>
  <si>
    <t>4860 N Howard St</t>
  </si>
  <si>
    <t>186</t>
  </si>
  <si>
    <t>Greater Philadelphia Alliance Social Service Center (GPASS)</t>
  </si>
  <si>
    <t>4943 N 5th St</t>
  </si>
  <si>
    <t>www.philabundance.org</t>
  </si>
  <si>
    <t>187</t>
  </si>
  <si>
    <t>UC Hospitality Coalition (Philadelphia Episcopal Cathedral)</t>
  </si>
  <si>
    <t>38th and Ludlow (Red Door)</t>
  </si>
  <si>
    <t>188</t>
  </si>
  <si>
    <t>Mount Enon Baptist Church</t>
  </si>
  <si>
    <t>500 Snyder Ave.</t>
  </si>
  <si>
    <t>189</t>
  </si>
  <si>
    <t>UC Hospitality Coalition (St. Mary's)</t>
  </si>
  <si>
    <t>3619 Locust Walk</t>
  </si>
  <si>
    <t>190</t>
  </si>
  <si>
    <t>Revelation Philadelphia Ministry Inc</t>
  </si>
  <si>
    <t>2561 South 67th St</t>
  </si>
  <si>
    <t>191</t>
  </si>
  <si>
    <t>UC Hospitality Coalition (Lutheran)</t>
  </si>
  <si>
    <t>3637 Chesnut Street</t>
  </si>
  <si>
    <t>192</t>
  </si>
  <si>
    <t>Chosen 300 West</t>
  </si>
  <si>
    <t>193</t>
  </si>
  <si>
    <t>New Beginnings Pentecostal</t>
  </si>
  <si>
    <t>502 E Haines St.</t>
  </si>
  <si>
    <t>194</t>
  </si>
  <si>
    <t>Philadelphia Senior Center - Avenue of the Arts and Asia-Pacific Senior Resource Center</t>
  </si>
  <si>
    <t>509 S. Broad St.</t>
  </si>
  <si>
    <t>195</t>
  </si>
  <si>
    <t>Somerton Food Bank</t>
  </si>
  <si>
    <t>510 Somerton Ave.</t>
  </si>
  <si>
    <t>19114, 19115, 19116, 19136, 19152, 19154</t>
  </si>
  <si>
    <t>196</t>
  </si>
  <si>
    <t>Holy Temple Lord and Savior</t>
  </si>
  <si>
    <t>5116 Market St</t>
  </si>
  <si>
    <t>197</t>
  </si>
  <si>
    <t>Feed the People Philly</t>
  </si>
  <si>
    <t>5120 Chestnut St</t>
  </si>
  <si>
    <t>https://www.feedthepeoplephilly.com/</t>
  </si>
  <si>
    <t>198</t>
  </si>
  <si>
    <t>South Philly Community Fridge at Mifflin Sq. Park</t>
  </si>
  <si>
    <t>516 Wolf St.</t>
  </si>
  <si>
    <t>199</t>
  </si>
  <si>
    <t>Our Lady of Hope</t>
  </si>
  <si>
    <t>5200 N. Broad St</t>
  </si>
  <si>
    <t>200</t>
  </si>
  <si>
    <t>True Vine Worship Center</t>
  </si>
  <si>
    <t>521-23 W. Lehigh Ave.</t>
  </si>
  <si>
    <t>201</t>
  </si>
  <si>
    <t>Helping Hands for the Hungry</t>
  </si>
  <si>
    <t>525 S. Cobbs Creek Parkway</t>
  </si>
  <si>
    <t>202</t>
  </si>
  <si>
    <t>Holsey Temple CME Church</t>
  </si>
  <si>
    <t>5305-5315 Germantown Ave</t>
  </si>
  <si>
    <t>203</t>
  </si>
  <si>
    <t>Firehouse Active Adult Center</t>
  </si>
  <si>
    <t>5331 Haverford Ave.</t>
  </si>
  <si>
    <t>204</t>
  </si>
  <si>
    <t>Wharton Wesley Helping Hands</t>
  </si>
  <si>
    <t>5341 Catharine St</t>
  </si>
  <si>
    <t>205</t>
  </si>
  <si>
    <t>St. Barbara</t>
  </si>
  <si>
    <t>5359 Lebanon Ave (side entrance)</t>
  </si>
  <si>
    <t>206</t>
  </si>
  <si>
    <t>Jerusalem French Church</t>
  </si>
  <si>
    <t>537 E. Wyoming Ave.</t>
  </si>
  <si>
    <t>207</t>
  </si>
  <si>
    <t>Lena St. Community Fridge</t>
  </si>
  <si>
    <t>5424 Lena Street</t>
  </si>
  <si>
    <t>https://www.facebook.com/germantowncommunityfridge/</t>
  </si>
  <si>
    <t>208</t>
  </si>
  <si>
    <t>Grace Cafe</t>
  </si>
  <si>
    <t>55 N Broad St</t>
  </si>
  <si>
    <t>209</t>
  </si>
  <si>
    <t>The Center, Arch St. United Methodist Church</t>
  </si>
  <si>
    <t>210</t>
  </si>
  <si>
    <t>Iglesia Christiana Avivamiento</t>
  </si>
  <si>
    <t>5500 Tabor Rd</t>
  </si>
  <si>
    <t>211</t>
  </si>
  <si>
    <t>Salvation Army West Philadelphia Corps</t>
  </si>
  <si>
    <t>5501 Market St</t>
  </si>
  <si>
    <t>212</t>
  </si>
  <si>
    <t>Devereux Memorial United Methodist Church</t>
  </si>
  <si>
    <t>2527 W Allegheny Ave</t>
  </si>
  <si>
    <t>213</t>
  </si>
  <si>
    <t>48th Street Mount Pleasant Baptist Church</t>
  </si>
  <si>
    <t>5539 Vine St</t>
  </si>
  <si>
    <t>214</t>
  </si>
  <si>
    <t>Faith Temple Pentecostal Church</t>
  </si>
  <si>
    <t>5618 Kingsessing Ave</t>
  </si>
  <si>
    <t>215</t>
  </si>
  <si>
    <t>Neighborhood Community Action Center 4</t>
  </si>
  <si>
    <t>5630 Vine St.</t>
  </si>
  <si>
    <t>216</t>
  </si>
  <si>
    <t>FAWN Food Pantry at Rising Sun Health Center</t>
  </si>
  <si>
    <t>5675 N. Front St.</t>
  </si>
  <si>
    <t>https://turningpointsforchildren.phmc.org/programs/fawn</t>
  </si>
  <si>
    <t>217</t>
  </si>
  <si>
    <t>Ezekiel Baptist Church</t>
  </si>
  <si>
    <t>5701 Grays Ave</t>
  </si>
  <si>
    <t>218</t>
  </si>
  <si>
    <t>KleinLife Rhawnhurst</t>
  </si>
  <si>
    <t>2101 Strahle Street</t>
  </si>
  <si>
    <t>219</t>
  </si>
  <si>
    <t>Bethany Missionary Baptist Church</t>
  </si>
  <si>
    <t>5749 Warrington Ave.</t>
  </si>
  <si>
    <t>220</t>
  </si>
  <si>
    <t>Olney/Logan WIC Office</t>
  </si>
  <si>
    <t>5751 N. Broad St., Unit 5</t>
  </si>
  <si>
    <t>221</t>
  </si>
  <si>
    <t>New Hope AME Zion Church</t>
  </si>
  <si>
    <t>5802 Musgrave St.</t>
  </si>
  <si>
    <t>222</t>
  </si>
  <si>
    <t>Center in the Park</t>
  </si>
  <si>
    <t>5818 Germantown Ave.</t>
  </si>
  <si>
    <t>223</t>
  </si>
  <si>
    <t>Salvation Army Rising Sun</t>
  </si>
  <si>
    <t>5830 Rising Sun Ave.</t>
  </si>
  <si>
    <t>224</t>
  </si>
  <si>
    <t>BenePhilly Center at Impact Services at PA CareerLink, Northwest</t>
  </si>
  <si>
    <t>5847 Germantown Ave.</t>
  </si>
  <si>
    <t>https://www.impactservices.org/pa-careerlink-nw-philadelphia</t>
  </si>
  <si>
    <t>225</t>
  </si>
  <si>
    <t>Saint Paul's Outreach</t>
  </si>
  <si>
    <t>5900 N 5th St.</t>
  </si>
  <si>
    <t>226</t>
  </si>
  <si>
    <t>African Family Health Organization (AFAHO)</t>
  </si>
  <si>
    <t>5901 Larchwood Ave</t>
  </si>
  <si>
    <t>227</t>
  </si>
  <si>
    <t>McClure Elementary School</t>
  </si>
  <si>
    <t>600 W Hunting Park Ave</t>
  </si>
  <si>
    <t>228</t>
  </si>
  <si>
    <t>Feast for Friends</t>
  </si>
  <si>
    <t>6001 Colgate St.</t>
  </si>
  <si>
    <t>229</t>
  </si>
  <si>
    <t>Episcopal Community Services</t>
  </si>
  <si>
    <t>6006 W Girard Ave</t>
  </si>
  <si>
    <t>230</t>
  </si>
  <si>
    <t>Episcopal Community Service St. Barnabas Community Resource Center</t>
  </si>
  <si>
    <t>6006 West Girard Ave</t>
  </si>
  <si>
    <t>231</t>
  </si>
  <si>
    <t>Solomon Temple</t>
  </si>
  <si>
    <t>602 W Erie Ave.</t>
  </si>
  <si>
    <t>232</t>
  </si>
  <si>
    <t>Reconciliation And Liberty Bible Church</t>
  </si>
  <si>
    <t>6027 Chestnut St</t>
  </si>
  <si>
    <t>233</t>
  </si>
  <si>
    <t>UC Hospitality Coalition (Tabernacle United Church)</t>
  </si>
  <si>
    <t>3700 Chesnut Street</t>
  </si>
  <si>
    <t>234</t>
  </si>
  <si>
    <t>Living Word Community</t>
  </si>
  <si>
    <t>142 N. 17th St</t>
  </si>
  <si>
    <t>235</t>
  </si>
  <si>
    <t>The Charles Foundation</t>
  </si>
  <si>
    <t>605 N 52nd St</t>
  </si>
  <si>
    <t>236</t>
  </si>
  <si>
    <t>Chelten Christian Crusade</t>
  </si>
  <si>
    <t>609 E Chelten Ave</t>
  </si>
  <si>
    <t>237</t>
  </si>
  <si>
    <t>Freedom Development Corporation</t>
  </si>
  <si>
    <t>6100 W Columbia Ave</t>
  </si>
  <si>
    <t>238</t>
  </si>
  <si>
    <t>Giving of Self Partnership</t>
  </si>
  <si>
    <t>6101 Limekiln Pike</t>
  </si>
  <si>
    <t>239</t>
  </si>
  <si>
    <t>Calvary Agape Outreach Service</t>
  </si>
  <si>
    <t>6114 Haverford Ave</t>
  </si>
  <si>
    <t>240</t>
  </si>
  <si>
    <t>Good Samaritan Baptist Church</t>
  </si>
  <si>
    <t>6148-6150 Lansdowne Ave</t>
  </si>
  <si>
    <t>241</t>
  </si>
  <si>
    <t>Breaking Bread on Broad</t>
  </si>
  <si>
    <t>615 N Broad St</t>
  </si>
  <si>
    <t>242</t>
  </si>
  <si>
    <t>Community of Compassion Inc.</t>
  </si>
  <si>
    <t>6150 Cedar Ave.</t>
  </si>
  <si>
    <t>243</t>
  </si>
  <si>
    <t>Neighborhood Community Action Center 3</t>
  </si>
  <si>
    <t>244</t>
  </si>
  <si>
    <t>Resurrection Community Church</t>
  </si>
  <si>
    <t>6200 Dicks Ave</t>
  </si>
  <si>
    <t>245</t>
  </si>
  <si>
    <t>Catholic Social Services Southwest Family Service Center</t>
  </si>
  <si>
    <t>6214 Grays Ave</t>
  </si>
  <si>
    <t>246</t>
  </si>
  <si>
    <t>BenePhilly Center at Catholic Social Services Southwest</t>
  </si>
  <si>
    <t>6214 Grays Ave.</t>
  </si>
  <si>
    <t>https://cssphiladelphia.org/family-service-centers/southwest-family-service-center/</t>
  </si>
  <si>
    <t>247</t>
  </si>
  <si>
    <t>Brand New Life Christian Center</t>
  </si>
  <si>
    <t>6301 Germantown Ave</t>
  </si>
  <si>
    <t>248</t>
  </si>
  <si>
    <t>Kingdom Life Christian Center</t>
  </si>
  <si>
    <t>6325 Frankford Ave.</t>
  </si>
  <si>
    <t>249</t>
  </si>
  <si>
    <t>Feast of Justice - Northeast Services Hub</t>
  </si>
  <si>
    <t>6434 Castor Ave</t>
  </si>
  <si>
    <t>250</t>
  </si>
  <si>
    <t>Christ Apostolic Church of America (WOSEM)</t>
  </si>
  <si>
    <t>6438 Vine St</t>
  </si>
  <si>
    <t>251</t>
  </si>
  <si>
    <t>OCCCDA (Castor Ave)</t>
  </si>
  <si>
    <t>6500 Castor Ave</t>
  </si>
  <si>
    <t>252</t>
  </si>
  <si>
    <t>New Era Baptist Church</t>
  </si>
  <si>
    <t>6618 Wyncote Ave.</t>
  </si>
  <si>
    <t>253</t>
  </si>
  <si>
    <t>Philadelphia Housing Authority Emlen Arms</t>
  </si>
  <si>
    <t>6733 Emlen St.</t>
  </si>
  <si>
    <t>254</t>
  </si>
  <si>
    <t>Neighborhood Community Action Center 8</t>
  </si>
  <si>
    <t>68 W. Chelten Ave.</t>
  </si>
  <si>
    <t>255</t>
  </si>
  <si>
    <t>Mt. Airy Community Fridge</t>
  </si>
  <si>
    <t>6900 Stenton Ave</t>
  </si>
  <si>
    <t>https://mtairyeats.wordpress.com/</t>
  </si>
  <si>
    <t>256</t>
  </si>
  <si>
    <t>Southwest Senior Center</t>
  </si>
  <si>
    <t>6916 Elmwood Ave.</t>
  </si>
  <si>
    <t>257</t>
  </si>
  <si>
    <t>Penn Asian Senior Services</t>
  </si>
  <si>
    <t>6926 Old York Rd</t>
  </si>
  <si>
    <t>258</t>
  </si>
  <si>
    <t>Friends Rehabilitation Program</t>
  </si>
  <si>
    <t>704 W Girard Ave</t>
  </si>
  <si>
    <t>259</t>
  </si>
  <si>
    <t>Why Not Prosper</t>
  </si>
  <si>
    <t>717 E. Chelten Ave</t>
  </si>
  <si>
    <t>https://www.why-not-prosper.org/</t>
  </si>
  <si>
    <t>260</t>
  </si>
  <si>
    <t>West Oak Lane Senior Center</t>
  </si>
  <si>
    <t>7210 Ogontz Avenue</t>
  </si>
  <si>
    <t>261</t>
  </si>
  <si>
    <t>Star of Hope Baptist Church</t>
  </si>
  <si>
    <t>7212 Keystone St</t>
  </si>
  <si>
    <t>262</t>
  </si>
  <si>
    <t>Upper Room Missionary Baptist Church</t>
  </si>
  <si>
    <t>7236 Ogontz Ave</t>
  </si>
  <si>
    <t>263</t>
  </si>
  <si>
    <t>Catholic Social Services Northeast Family Service Center</t>
  </si>
  <si>
    <t>7340 Jackson St</t>
  </si>
  <si>
    <t>264</t>
  </si>
  <si>
    <t>Neighborhood Community Action Center 6</t>
  </si>
  <si>
    <t>7374 Edmund St.</t>
  </si>
  <si>
    <t>265</t>
  </si>
  <si>
    <t>Masjidullah Center for Human Excellence</t>
  </si>
  <si>
    <t>7401 Limekiln Pike</t>
  </si>
  <si>
    <t>266</t>
  </si>
  <si>
    <t>Live to Serve</t>
  </si>
  <si>
    <t>728 E Allegheny Ave</t>
  </si>
  <si>
    <t>267</t>
  </si>
  <si>
    <t>Tindley Temple Soup Kitchen</t>
  </si>
  <si>
    <t>750 South Broad St</t>
  </si>
  <si>
    <t>https://www.tindleyphl.us/soupkitchen</t>
  </si>
  <si>
    <t>268</t>
  </si>
  <si>
    <t>Mt. Vernon Manor</t>
  </si>
  <si>
    <t>769 N 39th St</t>
  </si>
  <si>
    <t>269</t>
  </si>
  <si>
    <t>Remnant Church of God</t>
  </si>
  <si>
    <t>7708-7712 Ogontz Ave</t>
  </si>
  <si>
    <t>270</t>
  </si>
  <si>
    <t>Northeast Community Fridge</t>
  </si>
  <si>
    <t>7902 Oxford Ave</t>
  </si>
  <si>
    <t>271</t>
  </si>
  <si>
    <t>Food Pantry For Hope, Memorial Presbyterian Church of Fox Chase</t>
  </si>
  <si>
    <t>7902 Oxford Ave.</t>
  </si>
  <si>
    <t>https://sites.google.com/site/foxchasechurch/</t>
  </si>
  <si>
    <t>272</t>
  </si>
  <si>
    <t>Northeast WIC Office</t>
  </si>
  <si>
    <t>7959 Bustleton Ave.</t>
  </si>
  <si>
    <t>273</t>
  </si>
  <si>
    <t>University City Hospitality Coalition Hillel</t>
  </si>
  <si>
    <t>215 S 39th St.</t>
  </si>
  <si>
    <t>274</t>
  </si>
  <si>
    <t>Old First United Church of Christ</t>
  </si>
  <si>
    <t>322 Race St</t>
  </si>
  <si>
    <t>275</t>
  </si>
  <si>
    <t>Saint Luke's Episcopal Church</t>
  </si>
  <si>
    <t>5421 Germantown Ave</t>
  </si>
  <si>
    <t>276</t>
  </si>
  <si>
    <t>Memorial Tabernacle Church</t>
  </si>
  <si>
    <t>2249 W Hunting Park Ave</t>
  </si>
  <si>
    <t>277</t>
  </si>
  <si>
    <t>1340 Frankford Ave</t>
  </si>
  <si>
    <t>278</t>
  </si>
  <si>
    <t>Northeast Older Adult Center</t>
  </si>
  <si>
    <t>8101 Bustleton Ave.</t>
  </si>
  <si>
    <t>279</t>
  </si>
  <si>
    <t>Haitian Evangelical Baptist Church</t>
  </si>
  <si>
    <t>814 E Chelten Ave</t>
  </si>
  <si>
    <t>280</t>
  </si>
  <si>
    <t>Summer Homes for Hope</t>
  </si>
  <si>
    <t>814 N 41st St.</t>
  </si>
  <si>
    <t>281</t>
  </si>
  <si>
    <t>Northern Living Center</t>
  </si>
  <si>
    <t>827 N Franklin St.</t>
  </si>
  <si>
    <t>282</t>
  </si>
  <si>
    <t>St Paul A.M.E. Church</t>
  </si>
  <si>
    <t>8398 Lindbergh Blvd</t>
  </si>
  <si>
    <t>283</t>
  </si>
  <si>
    <t>Abiding Truth Ministries</t>
  </si>
  <si>
    <t>846 S 57th St.</t>
  </si>
  <si>
    <t>284</t>
  </si>
  <si>
    <t>Siloam Food Pantry</t>
  </si>
  <si>
    <t>850 11th St</t>
  </si>
  <si>
    <t>https://www.wearesiloam.org/</t>
  </si>
  <si>
    <t>285</t>
  </si>
  <si>
    <t>Bethany AME Church</t>
  </si>
  <si>
    <t>8898 Ashton Rd</t>
  </si>
  <si>
    <t>286</t>
  </si>
  <si>
    <t>Our Brother's Place</t>
  </si>
  <si>
    <t>907 Hamilton St.</t>
  </si>
  <si>
    <t>287</t>
  </si>
  <si>
    <t>OCCCDA (Howell St.)</t>
  </si>
  <si>
    <t>900 E Howell St</t>
  </si>
  <si>
    <t>288</t>
  </si>
  <si>
    <t>Second Antioch Baptist Church</t>
  </si>
  <si>
    <t>912 N 41st St</t>
  </si>
  <si>
    <t>289</t>
  </si>
  <si>
    <t>The Reid Foundation, Inc. at Always Independent</t>
  </si>
  <si>
    <t>9150 Marshall Street</t>
  </si>
  <si>
    <t>290</t>
  </si>
  <si>
    <t>New Testament Church of God</t>
  </si>
  <si>
    <t>935 S 53rd St</t>
  </si>
  <si>
    <t>291</t>
  </si>
  <si>
    <t>Mount Tabor CEED Corporation</t>
  </si>
  <si>
    <t>961-971 N 7th St</t>
  </si>
  <si>
    <t>292</t>
  </si>
  <si>
    <t>Neighborhood Community Action Center 10</t>
  </si>
  <si>
    <t>9800 Roosevelt Blvd.</t>
  </si>
  <si>
    <t>293</t>
  </si>
  <si>
    <t>Focus Philadelphia</t>
  </si>
  <si>
    <t>Aviator Park (1958 Benjamin Franklin Pkwy)</t>
  </si>
  <si>
    <t>294</t>
  </si>
  <si>
    <t>La Salle College High School</t>
  </si>
  <si>
    <t>Benjamin Franklin Parkway and Vine St. (Logan Square next to Pennypacker Memorial)</t>
  </si>
  <si>
    <t>295</t>
  </si>
  <si>
    <t>There's Hope</t>
  </si>
  <si>
    <t>Kensington Ave. and E. Hilton St.</t>
  </si>
  <si>
    <t>296</t>
  </si>
  <si>
    <t>The Table - Calvary Vision</t>
  </si>
  <si>
    <t>Kensington Ave. and E. Sergeant St.</t>
  </si>
  <si>
    <t>297</t>
  </si>
  <si>
    <t>Feeding 5,000 a NJ Non-Profit Corp</t>
  </si>
  <si>
    <t>Logan Square (200 N 19th St.)</t>
  </si>
  <si>
    <t>298</t>
  </si>
  <si>
    <t>Beulah Baptist Church</t>
  </si>
  <si>
    <t>Love Park (JFK Blvd and N 15th St.)</t>
  </si>
  <si>
    <t>299</t>
  </si>
  <si>
    <t>St. Christopher's Hospital WIC Office</t>
  </si>
  <si>
    <t>Nelson Pavilion Bldg., 160 Erie Ave.</t>
  </si>
  <si>
    <t>300</t>
  </si>
  <si>
    <t>Bread of Life</t>
  </si>
  <si>
    <t>North 17th St. and Benjamin Franklin Parkway</t>
  </si>
  <si>
    <t>301</t>
  </si>
  <si>
    <t>Keeping It Real Christian Fellowship Bread of Life Ministry</t>
  </si>
  <si>
    <t>302</t>
  </si>
  <si>
    <t>Old St. Joseph's Faith, Food and Friends</t>
  </si>
  <si>
    <t>Northeast Corner of 4th St. and Walnut St.</t>
  </si>
  <si>
    <t>303</t>
  </si>
  <si>
    <t>Oakland St. &amp; Harrison St.</t>
  </si>
  <si>
    <t>304</t>
  </si>
  <si>
    <t>Overbrook WIC Office</t>
  </si>
  <si>
    <t>Overbrook Plaza, #1400, 5610 Lancaster Ave.</t>
  </si>
  <si>
    <t>305</t>
  </si>
  <si>
    <t>Germantown SDA Church</t>
  </si>
  <si>
    <t>W Chelten Ave. and Wayne Ave.</t>
  </si>
  <si>
    <t>306</t>
  </si>
  <si>
    <t>Hub of Hope</t>
  </si>
  <si>
    <t>1401 JFK Pkway, Suburban Station Concourse (lower level)</t>
  </si>
  <si>
    <t>307</t>
  </si>
  <si>
    <t>Church of the Holy Trinity, Open Hearts Cafe</t>
  </si>
  <si>
    <t>1904 Walnut St</t>
  </si>
  <si>
    <t>308</t>
  </si>
  <si>
    <t>Chosen 300</t>
  </si>
  <si>
    <t>1116 Spring Garden St.</t>
  </si>
  <si>
    <t>309</t>
  </si>
  <si>
    <t>Retailer ID</t>
  </si>
  <si>
    <t>Retailer name</t>
  </si>
  <si>
    <t>Store type</t>
  </si>
  <si>
    <t>State</t>
  </si>
  <si>
    <t>Source</t>
  </si>
  <si>
    <t>1712831</t>
  </si>
  <si>
    <t>Sharswood Grocery Outlet 731</t>
  </si>
  <si>
    <t>Supermarket</t>
  </si>
  <si>
    <t>2077 Ridge Ave</t>
  </si>
  <si>
    <t>Philadelphia</t>
  </si>
  <si>
    <t>PA</t>
  </si>
  <si>
    <t>USDA SNAP retailer list</t>
  </si>
  <si>
    <t>1708511</t>
  </si>
  <si>
    <t>Citimart</t>
  </si>
  <si>
    <t>Super Store</t>
  </si>
  <si>
    <t>2743 S 3rd St</t>
  </si>
  <si>
    <t>1714128</t>
  </si>
  <si>
    <t>New Oregon Market Inc</t>
  </si>
  <si>
    <t>320 W Oregon Ave</t>
  </si>
  <si>
    <t>1715195</t>
  </si>
  <si>
    <t>722 Adams Meat Corp/Ideal Food Basket</t>
  </si>
  <si>
    <t>722 Adams Ave</t>
  </si>
  <si>
    <t>1697893</t>
  </si>
  <si>
    <t>B Js Wholesale Club 92</t>
  </si>
  <si>
    <t>300 Alan Wood Rd</t>
  </si>
  <si>
    <t>Conshohocken</t>
  </si>
  <si>
    <t>19428</t>
  </si>
  <si>
    <t>1699087</t>
  </si>
  <si>
    <t>Giant Food Store 6581</t>
  </si>
  <si>
    <t>701 Cathedral Road</t>
  </si>
  <si>
    <t>1695974</t>
  </si>
  <si>
    <t>Grocery Outlet Of Sharon Hill 718</t>
  </si>
  <si>
    <t>1130 Chester Pike</t>
  </si>
  <si>
    <t>Sharon Hill</t>
  </si>
  <si>
    <t>19079</t>
  </si>
  <si>
    <t>1698197</t>
  </si>
  <si>
    <t>Shoprite of Drexeline</t>
  </si>
  <si>
    <t>5000 State Rd</t>
  </si>
  <si>
    <t>Drexel Hill</t>
  </si>
  <si>
    <t>19026</t>
  </si>
  <si>
    <t>1698963</t>
  </si>
  <si>
    <t>Walmart 3564</t>
  </si>
  <si>
    <t>2101 Blair Mill Rd</t>
  </si>
  <si>
    <t>Willow Grove</t>
  </si>
  <si>
    <t>19090</t>
  </si>
  <si>
    <t>1697681</t>
  </si>
  <si>
    <t>Giant Food Store 6464</t>
  </si>
  <si>
    <t>721 W Sproul Rd</t>
  </si>
  <si>
    <t>Springfield</t>
  </si>
  <si>
    <t>19064</t>
  </si>
  <si>
    <t>1697685</t>
  </si>
  <si>
    <t>Sprouts Farmers Market 855</t>
  </si>
  <si>
    <t>2370 W Oregon Ave</t>
  </si>
  <si>
    <t>1699976</t>
  </si>
  <si>
    <t>Cousin's Fresh Market 3 Llc</t>
  </si>
  <si>
    <t>5704 Baltimore Ave</t>
  </si>
  <si>
    <t>1693617</t>
  </si>
  <si>
    <t>Delco Farmers Market</t>
  </si>
  <si>
    <t>1850 Delmar Dr</t>
  </si>
  <si>
    <t>Folcroft</t>
  </si>
  <si>
    <t>19032</t>
  </si>
  <si>
    <t>1700077</t>
  </si>
  <si>
    <t>Grocery Outlet Of University City 744</t>
  </si>
  <si>
    <t>4301 Chestnut St</t>
  </si>
  <si>
    <t>1640725</t>
  </si>
  <si>
    <t>ShopRite of Aramingo 482</t>
  </si>
  <si>
    <t>3745 Aramingo Ave</t>
  </si>
  <si>
    <t>250975</t>
  </si>
  <si>
    <t>ACME 4727</t>
  </si>
  <si>
    <t>2761 W Ridge Pike</t>
  </si>
  <si>
    <t>Norristown</t>
  </si>
  <si>
    <t>19403</t>
  </si>
  <si>
    <t>1640730</t>
  </si>
  <si>
    <t>ShopRite of Bridge and Harbison 495</t>
  </si>
  <si>
    <t>5597 Tulip St</t>
  </si>
  <si>
    <t>1637652</t>
  </si>
  <si>
    <t>Kleins Supermarket</t>
  </si>
  <si>
    <t>2401 Pennsylvania Ave</t>
  </si>
  <si>
    <t>1641080</t>
  </si>
  <si>
    <t>Giant Food Store 6577</t>
  </si>
  <si>
    <t>93 Old York Rd</t>
  </si>
  <si>
    <t>Jenkintown</t>
  </si>
  <si>
    <t>19046</t>
  </si>
  <si>
    <t>251965</t>
  </si>
  <si>
    <t>ACME 2931</t>
  </si>
  <si>
    <t>100 Blackhorse Pike</t>
  </si>
  <si>
    <t>Audubon</t>
  </si>
  <si>
    <t>NJ</t>
  </si>
  <si>
    <t>08106</t>
  </si>
  <si>
    <t>252982</t>
  </si>
  <si>
    <t>ACME 787</t>
  </si>
  <si>
    <t>6640 Oxford Ave</t>
  </si>
  <si>
    <t>243509</t>
  </si>
  <si>
    <t>ACME 1945</t>
  </si>
  <si>
    <t>40 Ellis St</t>
  </si>
  <si>
    <t>Haddonfield</t>
  </si>
  <si>
    <t>08033</t>
  </si>
  <si>
    <t>267446</t>
  </si>
  <si>
    <t>Whole Foods Market 10100</t>
  </si>
  <si>
    <t>1575 The Fairway</t>
  </si>
  <si>
    <t>254407</t>
  </si>
  <si>
    <t>Norristown ThriftwayInc</t>
  </si>
  <si>
    <t>815 Dekalb St</t>
  </si>
  <si>
    <t>19401</t>
  </si>
  <si>
    <t>254504</t>
  </si>
  <si>
    <t>FRESH GROCER</t>
  </si>
  <si>
    <t>5601 Chestnut St</t>
  </si>
  <si>
    <t>226136</t>
  </si>
  <si>
    <t>ACME 769</t>
  </si>
  <si>
    <t>323 Old York Rd</t>
  </si>
  <si>
    <t>261374</t>
  </si>
  <si>
    <t>HAN AH REUM</t>
  </si>
  <si>
    <t>1720 RT. 70E./marlton pike east</t>
  </si>
  <si>
    <t>CHERRY HILL</t>
  </si>
  <si>
    <t>08003</t>
  </si>
  <si>
    <t>261385</t>
  </si>
  <si>
    <t>Trader Joe's 631</t>
  </si>
  <si>
    <t>300 Route 73 S Ste P</t>
  </si>
  <si>
    <t>Marlton</t>
  </si>
  <si>
    <t>08053</t>
  </si>
  <si>
    <t>262598</t>
  </si>
  <si>
    <t>SHOPRITE OF BERLIN</t>
  </si>
  <si>
    <t>RTE 73 &amp; MINCK AVE</t>
  </si>
  <si>
    <t>WEST BERLIN</t>
  </si>
  <si>
    <t>08091</t>
  </si>
  <si>
    <t>278558</t>
  </si>
  <si>
    <t>ACME 2774</t>
  </si>
  <si>
    <t>200 Blair Mill Rd</t>
  </si>
  <si>
    <t>Horsham</t>
  </si>
  <si>
    <t>19044</t>
  </si>
  <si>
    <t>259997</t>
  </si>
  <si>
    <t>Giant Food Store 6089</t>
  </si>
  <si>
    <t>314 HORSHAM ROAD</t>
  </si>
  <si>
    <t>HORSHAM</t>
  </si>
  <si>
    <t>309275</t>
  </si>
  <si>
    <t>Trader Joe's 633</t>
  </si>
  <si>
    <t>933 Old York Rd</t>
  </si>
  <si>
    <t>291554</t>
  </si>
  <si>
    <t>ACME 114</t>
  </si>
  <si>
    <t>7010 Germantown Ave</t>
  </si>
  <si>
    <t>310277</t>
  </si>
  <si>
    <t>ACME 726</t>
  </si>
  <si>
    <t>1400 E Passyunk Ave</t>
  </si>
  <si>
    <t>381716</t>
  </si>
  <si>
    <t>Walmart Supercenter 2096</t>
  </si>
  <si>
    <t>100 E Street Rd</t>
  </si>
  <si>
    <t>Warminster</t>
  </si>
  <si>
    <t>18974</t>
  </si>
  <si>
    <t>347128</t>
  </si>
  <si>
    <t>ACME 3963</t>
  </si>
  <si>
    <t>300 S Lenola Rd</t>
  </si>
  <si>
    <t>Maple Shade</t>
  </si>
  <si>
    <t>08052</t>
  </si>
  <si>
    <t>347713</t>
  </si>
  <si>
    <t>Walmart 2830</t>
  </si>
  <si>
    <t>1570 Chester Pike</t>
  </si>
  <si>
    <t>Eddystone</t>
  </si>
  <si>
    <t>19022</t>
  </si>
  <si>
    <t>451568</t>
  </si>
  <si>
    <t>Walmart Supercenter 2871</t>
  </si>
  <si>
    <t>2501 Rt 130 S</t>
  </si>
  <si>
    <t>Cinnaminson</t>
  </si>
  <si>
    <t>08077</t>
  </si>
  <si>
    <t>1590749</t>
  </si>
  <si>
    <t>First Oriental Market Inc</t>
  </si>
  <si>
    <t>1111 S 6th St</t>
  </si>
  <si>
    <t>351281</t>
  </si>
  <si>
    <t>Whole Foods Market 10086</t>
  </si>
  <si>
    <t>940 Route 73 N</t>
  </si>
  <si>
    <t>281428</t>
  </si>
  <si>
    <t>ACME 3739</t>
  </si>
  <si>
    <t>105 E Street Rd</t>
  </si>
  <si>
    <t>Feasterville Trevose</t>
  </si>
  <si>
    <t>19053</t>
  </si>
  <si>
    <t>240825</t>
  </si>
  <si>
    <t>ACME 4723</t>
  </si>
  <si>
    <t>1640 Bethlehem Pike</t>
  </si>
  <si>
    <t>Flourtown</t>
  </si>
  <si>
    <t>19031</t>
  </si>
  <si>
    <t>455463</t>
  </si>
  <si>
    <t>ACME 2998</t>
  </si>
  <si>
    <t>501 E Evesham Rd</t>
  </si>
  <si>
    <t>Runnemede</t>
  </si>
  <si>
    <t>08078</t>
  </si>
  <si>
    <t>454729</t>
  </si>
  <si>
    <t>SHOP RITE OF MARLTON</t>
  </si>
  <si>
    <t>307 Route 70 W</t>
  </si>
  <si>
    <t>265461</t>
  </si>
  <si>
    <t>ACME 3970</t>
  </si>
  <si>
    <t>631 Mantua Ave</t>
  </si>
  <si>
    <t>Woodbury</t>
  </si>
  <si>
    <t>08096</t>
  </si>
  <si>
    <t>359402</t>
  </si>
  <si>
    <t>Walmart 5229</t>
  </si>
  <si>
    <t>1000 Easton Rd</t>
  </si>
  <si>
    <t>Wyncote</t>
  </si>
  <si>
    <t>19095</t>
  </si>
  <si>
    <t>413071</t>
  </si>
  <si>
    <t>ACME 893</t>
  </si>
  <si>
    <t>124 Morton Ave</t>
  </si>
  <si>
    <t>Folsom</t>
  </si>
  <si>
    <t>19033</t>
  </si>
  <si>
    <t>327601</t>
  </si>
  <si>
    <t>ACME 3719</t>
  </si>
  <si>
    <t>2301 Pasqualone Blvd</t>
  </si>
  <si>
    <t>Bensalem</t>
  </si>
  <si>
    <t>19020</t>
  </si>
  <si>
    <t>415816</t>
  </si>
  <si>
    <t>Save A Lot 61354</t>
  </si>
  <si>
    <t>2881 Mount Ephraim Ave</t>
  </si>
  <si>
    <t>Camden</t>
  </si>
  <si>
    <t>08104</t>
  </si>
  <si>
    <t>501384</t>
  </si>
  <si>
    <t>Whole Foods Market 10112</t>
  </si>
  <si>
    <t>929 South St</t>
  </si>
  <si>
    <t>506241</t>
  </si>
  <si>
    <t>ALDI 50</t>
  </si>
  <si>
    <t>2603 S Front St</t>
  </si>
  <si>
    <t>500749</t>
  </si>
  <si>
    <t>ACME 3711</t>
  </si>
  <si>
    <t>121 E City Ave</t>
  </si>
  <si>
    <t>Bala Cynwyd</t>
  </si>
  <si>
    <t>19004</t>
  </si>
  <si>
    <t>477159</t>
  </si>
  <si>
    <t>SHOPRITE OF CHERRYWOOD 586</t>
  </si>
  <si>
    <t>1468 Blackwood Clementon Rd</t>
  </si>
  <si>
    <t>Clementon</t>
  </si>
  <si>
    <t>08021</t>
  </si>
  <si>
    <t>481374</t>
  </si>
  <si>
    <t>SHOPRITE OF WEST DEPTFORD</t>
  </si>
  <si>
    <t>1077 Mantua Pike</t>
  </si>
  <si>
    <t>West Deptford</t>
  </si>
  <si>
    <t>478868</t>
  </si>
  <si>
    <t>SHOPRITE OF GARDENSTATE RACETRACK</t>
  </si>
  <si>
    <t>2240 Route 70 W</t>
  </si>
  <si>
    <t>Cherry Hill</t>
  </si>
  <si>
    <t>08002</t>
  </si>
  <si>
    <t>543716</t>
  </si>
  <si>
    <t>ALDI 60095</t>
  </si>
  <si>
    <t>1102 White Horse Pike</t>
  </si>
  <si>
    <t>Stratford</t>
  </si>
  <si>
    <t>08084</t>
  </si>
  <si>
    <t>389853</t>
  </si>
  <si>
    <t>Verchio Produce Outlet</t>
  </si>
  <si>
    <t>1 West Brooklawn Circle</t>
  </si>
  <si>
    <t>Brooklawn</t>
  </si>
  <si>
    <t>08030</t>
  </si>
  <si>
    <t>1693059</t>
  </si>
  <si>
    <t>Giant Food Store 6561</t>
  </si>
  <si>
    <t>60 N 23rd St</t>
  </si>
  <si>
    <t>398230</t>
  </si>
  <si>
    <t>ACME 3742</t>
  </si>
  <si>
    <t>3200-09 Red Lion Rd</t>
  </si>
  <si>
    <t>408249</t>
  </si>
  <si>
    <t>Mariposa Food Coop</t>
  </si>
  <si>
    <t>4824 Baltimore Ave</t>
  </si>
  <si>
    <t>405773</t>
  </si>
  <si>
    <t>ACME 779</t>
  </si>
  <si>
    <t>1336 Bristol Pike</t>
  </si>
  <si>
    <t>406146</t>
  </si>
  <si>
    <t>ACME 2762</t>
  </si>
  <si>
    <t>5927-59 Ridge Ave</t>
  </si>
  <si>
    <t>407692</t>
  </si>
  <si>
    <t>ACME 2974</t>
  </si>
  <si>
    <t>400 W Cuthbert Blvd</t>
  </si>
  <si>
    <t>Haddon Township</t>
  </si>
  <si>
    <t>08108</t>
  </si>
  <si>
    <t>304309</t>
  </si>
  <si>
    <t>Trader Joe's 634</t>
  </si>
  <si>
    <t>2121 Market St</t>
  </si>
  <si>
    <t>392528</t>
  </si>
  <si>
    <t>ALDI 2</t>
  </si>
  <si>
    <t>1205 MacDade Blvd</t>
  </si>
  <si>
    <t>Collingdale</t>
  </si>
  <si>
    <t>19023</t>
  </si>
  <si>
    <t>597868</t>
  </si>
  <si>
    <t>Giant Food Store 6091</t>
  </si>
  <si>
    <t>1760 Dekalb Pike</t>
  </si>
  <si>
    <t>Blue Bell</t>
  </si>
  <si>
    <t>19422</t>
  </si>
  <si>
    <t>450520</t>
  </si>
  <si>
    <t>PriceRite of Secane 401</t>
  </si>
  <si>
    <t>923 Providence Rd</t>
  </si>
  <si>
    <t>Secane</t>
  </si>
  <si>
    <t>19018</t>
  </si>
  <si>
    <t>631322</t>
  </si>
  <si>
    <t>Walmart 1869</t>
  </si>
  <si>
    <t>150 E Route 70</t>
  </si>
  <si>
    <t>434063</t>
  </si>
  <si>
    <t>HONG KONG SUPERMARKET OF PA INC</t>
  </si>
  <si>
    <t>571 ADAMS AVE</t>
  </si>
  <si>
    <t>483058</t>
  </si>
  <si>
    <t>F S FOODS SOUTH INC</t>
  </si>
  <si>
    <t>2221 South St</t>
  </si>
  <si>
    <t>720000</t>
  </si>
  <si>
    <t>ACME 3798</t>
  </si>
  <si>
    <t>1991 Sproul Rd</t>
  </si>
  <si>
    <t>Broomall</t>
  </si>
  <si>
    <t>19008</t>
  </si>
  <si>
    <t>512561</t>
  </si>
  <si>
    <t>Shoprite of Brooklawn 471</t>
  </si>
  <si>
    <t>130 Browning Ln</t>
  </si>
  <si>
    <t>426717</t>
  </si>
  <si>
    <t>ACME 4715</t>
  </si>
  <si>
    <t>1901 Johnston St</t>
  </si>
  <si>
    <t>687579</t>
  </si>
  <si>
    <t>ACME 2789</t>
  </si>
  <si>
    <t>815 Lansdowne Ave</t>
  </si>
  <si>
    <t>Upper Darby</t>
  </si>
  <si>
    <t>19082</t>
  </si>
  <si>
    <t>493829</t>
  </si>
  <si>
    <t>ALDI 42R</t>
  </si>
  <si>
    <t>930 Dekalb Pike</t>
  </si>
  <si>
    <t>837205</t>
  </si>
  <si>
    <t>SAVE-A-LOT 60146</t>
  </si>
  <si>
    <t>2801 W Dauphin St</t>
  </si>
  <si>
    <t>465336</t>
  </si>
  <si>
    <t>ALDI 60018 60018</t>
  </si>
  <si>
    <t>3320 Grant Ave</t>
  </si>
  <si>
    <t>603807</t>
  </si>
  <si>
    <t>ACME 992</t>
  </si>
  <si>
    <t>700 Haddonfield  Berlin</t>
  </si>
  <si>
    <t>Voorhees</t>
  </si>
  <si>
    <t>08043</t>
  </si>
  <si>
    <t>838487</t>
  </si>
  <si>
    <t>Cramer Hill Supermarket</t>
  </si>
  <si>
    <t>3201 River Rd</t>
  </si>
  <si>
    <t>08105</t>
  </si>
  <si>
    <t>603482</t>
  </si>
  <si>
    <t>COLONIAL VILLAGE MEAT MARKET</t>
  </si>
  <si>
    <t>253 MacDade Blvd</t>
  </si>
  <si>
    <t>471848</t>
  </si>
  <si>
    <t>Shop Rite of Roxborough 519</t>
  </si>
  <si>
    <t>6901 Ridge Ave</t>
  </si>
  <si>
    <t>472798</t>
  </si>
  <si>
    <t>ALDI 49</t>
  </si>
  <si>
    <t>5200 Whitaker Ave</t>
  </si>
  <si>
    <t>497673</t>
  </si>
  <si>
    <t>ACME 3788</t>
  </si>
  <si>
    <t>601 W Lancaster Ave</t>
  </si>
  <si>
    <t>Bryn Mawr</t>
  </si>
  <si>
    <t>19010</t>
  </si>
  <si>
    <t>497084</t>
  </si>
  <si>
    <t>COUSINS SUPERMARKET INC. #2</t>
  </si>
  <si>
    <t>4037 N 5th St</t>
  </si>
  <si>
    <t>571493</t>
  </si>
  <si>
    <t>MEAT STOP PLUS</t>
  </si>
  <si>
    <t>320 BEVERLY RANCOCAS RD</t>
  </si>
  <si>
    <t>WILLINGBORO</t>
  </si>
  <si>
    <t>08046</t>
  </si>
  <si>
    <t>607908</t>
  </si>
  <si>
    <t>ALDI 58</t>
  </si>
  <si>
    <t>8200 Ogontz Ave</t>
  </si>
  <si>
    <t>841139</t>
  </si>
  <si>
    <t>Nanak Subzi Mandi Of Cherry Hill</t>
  </si>
  <si>
    <t>1400 Berlin Rd</t>
  </si>
  <si>
    <t>613930</t>
  </si>
  <si>
    <t>Trader Joe's 637</t>
  </si>
  <si>
    <t>12 E State St</t>
  </si>
  <si>
    <t>Media</t>
  </si>
  <si>
    <t>19063</t>
  </si>
  <si>
    <t>473586</t>
  </si>
  <si>
    <t>SAVE-A-LOT FOOD STORE 60145</t>
  </si>
  <si>
    <t>3949 Federal St</t>
  </si>
  <si>
    <t>Pennsauken</t>
  </si>
  <si>
    <t>08110</t>
  </si>
  <si>
    <t>613705</t>
  </si>
  <si>
    <t>ACME 3722</t>
  </si>
  <si>
    <t>1825 Limekiln Pike</t>
  </si>
  <si>
    <t>Dresher</t>
  </si>
  <si>
    <t>19025</t>
  </si>
  <si>
    <t>528830</t>
  </si>
  <si>
    <t>Walmart Supercenter 1807</t>
  </si>
  <si>
    <t>265 N Route 73</t>
  </si>
  <si>
    <t>West Berlin</t>
  </si>
  <si>
    <t>536486</t>
  </si>
  <si>
    <t>Net Cost Market 4</t>
  </si>
  <si>
    <t>11701 Bustleton Ave</t>
  </si>
  <si>
    <t>536570</t>
  </si>
  <si>
    <t>ARKADY DVOR T/A A&amp;N HOUSE OF PROD</t>
  </si>
  <si>
    <t>5929 Greene St</t>
  </si>
  <si>
    <t>537272</t>
  </si>
  <si>
    <t>ACME 2704</t>
  </si>
  <si>
    <t>6601 Roosevelt Blvd</t>
  </si>
  <si>
    <t>706467</t>
  </si>
  <si>
    <t>Giant Food Store 6011</t>
  </si>
  <si>
    <t>2450 Chemical Rd</t>
  </si>
  <si>
    <t>Plymouth Meeting</t>
  </si>
  <si>
    <t>19462</t>
  </si>
  <si>
    <t>702563</t>
  </si>
  <si>
    <t>ACME 809</t>
  </si>
  <si>
    <t>527 E Baltimore Pike</t>
  </si>
  <si>
    <t>580777</t>
  </si>
  <si>
    <t>ALDI 75</t>
  </si>
  <si>
    <t>203 S Broad St</t>
  </si>
  <si>
    <t>580877</t>
  </si>
  <si>
    <t>ACME 1910</t>
  </si>
  <si>
    <t>41 W Main St</t>
  </si>
  <si>
    <t>623219</t>
  </si>
  <si>
    <t>O'NEILL'S FOOD MARKET</t>
  </si>
  <si>
    <t>347 N Easton Rd</t>
  </si>
  <si>
    <t>Glenside</t>
  </si>
  <si>
    <t>19038</t>
  </si>
  <si>
    <t>710867</t>
  </si>
  <si>
    <t>MELROSE PARK HAR INC DBA HAN AH R</t>
  </si>
  <si>
    <t>7320 Old York Rd</t>
  </si>
  <si>
    <t>Elkins Park</t>
  </si>
  <si>
    <t>19027</t>
  </si>
  <si>
    <t>710967</t>
  </si>
  <si>
    <t>Shoprite of Delran</t>
  </si>
  <si>
    <t>1310 Fairview Blvd</t>
  </si>
  <si>
    <t>Delran</t>
  </si>
  <si>
    <t>08075</t>
  </si>
  <si>
    <t>662451</t>
  </si>
  <si>
    <t>PETROVSKY MARKET</t>
  </si>
  <si>
    <t>9808 Bustleton Ave</t>
  </si>
  <si>
    <t>764737</t>
  </si>
  <si>
    <t>Target Store 1183</t>
  </si>
  <si>
    <t>800 Rock Hill Dr</t>
  </si>
  <si>
    <t>764923</t>
  </si>
  <si>
    <t>Target Store 1917</t>
  </si>
  <si>
    <t>4 Centerton Rd</t>
  </si>
  <si>
    <t>Mount Laurel</t>
  </si>
  <si>
    <t>08054</t>
  </si>
  <si>
    <t>764928</t>
  </si>
  <si>
    <t>Target Store 1085</t>
  </si>
  <si>
    <t>2137 Route 38</t>
  </si>
  <si>
    <t>764929</t>
  </si>
  <si>
    <t>Target Store 1269</t>
  </si>
  <si>
    <t>2250 Chemical Rd</t>
  </si>
  <si>
    <t>764930</t>
  </si>
  <si>
    <t>Target Store 1133</t>
  </si>
  <si>
    <t>1139 White Horse Rd</t>
  </si>
  <si>
    <t>764937</t>
  </si>
  <si>
    <t>Target Store 1809</t>
  </si>
  <si>
    <t>11000 Roosevelt Blvd</t>
  </si>
  <si>
    <t>647200</t>
  </si>
  <si>
    <t>ALDI 54</t>
  </si>
  <si>
    <t>4421 Market St</t>
  </si>
  <si>
    <t>647481</t>
  </si>
  <si>
    <t>George's Market at Dreshertown</t>
  </si>
  <si>
    <t>1650 Limekiln Pike</t>
  </si>
  <si>
    <t>729356</t>
  </si>
  <si>
    <t>ALDI 60052 60052</t>
  </si>
  <si>
    <t>30 White Horse Pike</t>
  </si>
  <si>
    <t>Collingswood</t>
  </si>
  <si>
    <t>08107</t>
  </si>
  <si>
    <t>590804</t>
  </si>
  <si>
    <t>Aldi 60056</t>
  </si>
  <si>
    <t>4225 Route 130</t>
  </si>
  <si>
    <t>Edgewater Park</t>
  </si>
  <si>
    <t>08010</t>
  </si>
  <si>
    <t>825088</t>
  </si>
  <si>
    <t>Target Stores 2124</t>
  </si>
  <si>
    <t>4000 Monument Rd</t>
  </si>
  <si>
    <t>694560</t>
  </si>
  <si>
    <t>Trader Joe's 635</t>
  </si>
  <si>
    <t>112 Coulter Ave</t>
  </si>
  <si>
    <t>Ardmore</t>
  </si>
  <si>
    <t>19003</t>
  </si>
  <si>
    <t>682428</t>
  </si>
  <si>
    <t>ACME 613</t>
  </si>
  <si>
    <t>829 Montgomery Ave</t>
  </si>
  <si>
    <t>Penn Valley</t>
  </si>
  <si>
    <t>19072</t>
  </si>
  <si>
    <t>776083</t>
  </si>
  <si>
    <t>Walmart 5131</t>
  </si>
  <si>
    <t>3461 Horizon Blvd</t>
  </si>
  <si>
    <t>778898</t>
  </si>
  <si>
    <t>Target 2075</t>
  </si>
  <si>
    <t>2701 Castor Ave</t>
  </si>
  <si>
    <t>779292</t>
  </si>
  <si>
    <t>FAYERS MARKET</t>
  </si>
  <si>
    <t>1400 Haddon Ave</t>
  </si>
  <si>
    <t>08103</t>
  </si>
  <si>
    <t>779942</t>
  </si>
  <si>
    <t>Target 2104</t>
  </si>
  <si>
    <t>4004 ROUTE 130 N</t>
  </si>
  <si>
    <t>671704</t>
  </si>
  <si>
    <t>SAVE-A-LOT 248</t>
  </si>
  <si>
    <t>3520 Edgmont Ave</t>
  </si>
  <si>
    <t>Brookhaven</t>
  </si>
  <si>
    <t>19015</t>
  </si>
  <si>
    <t>878092</t>
  </si>
  <si>
    <t>Sam's Club 6670</t>
  </si>
  <si>
    <t>2000 Clements Bridge Rd</t>
  </si>
  <si>
    <t>1603131</t>
  </si>
  <si>
    <t>Walmart 5130</t>
  </si>
  <si>
    <t>9745 Roosevelt Blvd</t>
  </si>
  <si>
    <t>1012862</t>
  </si>
  <si>
    <t>Shop Mark Supermarket</t>
  </si>
  <si>
    <t>2522 W Lehigh Ave</t>
  </si>
  <si>
    <t>675478</t>
  </si>
  <si>
    <t>ACME 3786</t>
  </si>
  <si>
    <t>3590 West Chester Pike</t>
  </si>
  <si>
    <t>Newtown Square</t>
  </si>
  <si>
    <t>19073</t>
  </si>
  <si>
    <t>749238</t>
  </si>
  <si>
    <t>SHOPRITE OF EDDYSTONE</t>
  </si>
  <si>
    <t>1568 Chester Pike</t>
  </si>
  <si>
    <t>880839</t>
  </si>
  <si>
    <t>B Js Wholesale Club 162</t>
  </si>
  <si>
    <t>2300A W Oregon Ave</t>
  </si>
  <si>
    <t>1286448</t>
  </si>
  <si>
    <t>Save-A-Lot 60142</t>
  </si>
  <si>
    <t>2101 W Lehigh Ave</t>
  </si>
  <si>
    <t>880831</t>
  </si>
  <si>
    <t>B Js Wholesale Club 153</t>
  </si>
  <si>
    <t>152 Rt 73</t>
  </si>
  <si>
    <t>744178</t>
  </si>
  <si>
    <t>Save A Lot 60131</t>
  </si>
  <si>
    <t>6412 Castor Ave</t>
  </si>
  <si>
    <t>931961</t>
  </si>
  <si>
    <t>Whole Foods Market 10249</t>
  </si>
  <si>
    <t>500 W. Germantown Pike</t>
  </si>
  <si>
    <t>946643</t>
  </si>
  <si>
    <t>Save A Lot 24712</t>
  </si>
  <si>
    <t>5601 Vine St</t>
  </si>
  <si>
    <t>903503</t>
  </si>
  <si>
    <t>Walmart Supercenter 5476</t>
  </si>
  <si>
    <t>820 Cooper St</t>
  </si>
  <si>
    <t>923784</t>
  </si>
  <si>
    <t>Costco Wholesale 0749</t>
  </si>
  <si>
    <t>100 Centerton Rd</t>
  </si>
  <si>
    <t>906753</t>
  </si>
  <si>
    <t>THE FRESH GROCER</t>
  </si>
  <si>
    <t>5301 Chew Ave</t>
  </si>
  <si>
    <t>1294972</t>
  </si>
  <si>
    <t>ACME 2771</t>
  </si>
  <si>
    <t>29 Snyder Ave</t>
  </si>
  <si>
    <t>1041845</t>
  </si>
  <si>
    <t>Giant Food Store 6510</t>
  </si>
  <si>
    <t>1121 Bethlehem Pike</t>
  </si>
  <si>
    <t>Spring House</t>
  </si>
  <si>
    <t>19477</t>
  </si>
  <si>
    <t>1041977</t>
  </si>
  <si>
    <t>Giant Food Store 6507</t>
  </si>
  <si>
    <t>550 E Lancaster Ave</t>
  </si>
  <si>
    <t>St Davids</t>
  </si>
  <si>
    <t>19087</t>
  </si>
  <si>
    <t>1041992</t>
  </si>
  <si>
    <t>Giant Food Store 6517</t>
  </si>
  <si>
    <t>168 N Flowers Mill Rd</t>
  </si>
  <si>
    <t>Langhorne</t>
  </si>
  <si>
    <t>19047</t>
  </si>
  <si>
    <t>862106</t>
  </si>
  <si>
    <t>Walmart 3422</t>
  </si>
  <si>
    <t>Deptford</t>
  </si>
  <si>
    <t>1298051</t>
  </si>
  <si>
    <t>MOM's Organic Market 17</t>
  </si>
  <si>
    <t>34 S 11th St</t>
  </si>
  <si>
    <t>19107</t>
  </si>
  <si>
    <t>1049038</t>
  </si>
  <si>
    <t>Walmart 5891</t>
  </si>
  <si>
    <t>2200 Wheatsheaf Ln</t>
  </si>
  <si>
    <t>1098245</t>
  </si>
  <si>
    <t>5 Lee Brothers Corp</t>
  </si>
  <si>
    <t>1930 W Main St</t>
  </si>
  <si>
    <t>1112130</t>
  </si>
  <si>
    <t>SAVE-A-LOT 60132</t>
  </si>
  <si>
    <t>6801 Frankford Ave</t>
  </si>
  <si>
    <t>1103774</t>
  </si>
  <si>
    <t>Aldi 60029</t>
  </si>
  <si>
    <t>651 Rt 70 West</t>
  </si>
  <si>
    <t>1059013</t>
  </si>
  <si>
    <t>Weis Markets 231</t>
  </si>
  <si>
    <t>200 W Ridge Pike</t>
  </si>
  <si>
    <t>1059038</t>
  </si>
  <si>
    <t>Weis Markets 233</t>
  </si>
  <si>
    <t>25 W Germantown Pike</t>
  </si>
  <si>
    <t>1685699</t>
  </si>
  <si>
    <t>Costco Wholesale 1103</t>
  </si>
  <si>
    <t>100 Veterans Way</t>
  </si>
  <si>
    <t>1443900</t>
  </si>
  <si>
    <t>Walmart 5103</t>
  </si>
  <si>
    <t>4600 E Roosevelt Blvd</t>
  </si>
  <si>
    <t>1443903</t>
  </si>
  <si>
    <t>ACME MARKETS LLC 1725</t>
  </si>
  <si>
    <t>8200 Roosevelt Blvd</t>
  </si>
  <si>
    <t>1443916</t>
  </si>
  <si>
    <t>Save A Lot 60143</t>
  </si>
  <si>
    <t>101 W Cheltenham Ave</t>
  </si>
  <si>
    <t>Cheltenham</t>
  </si>
  <si>
    <t>19012</t>
  </si>
  <si>
    <t>1443919</t>
  </si>
  <si>
    <t>Save A Lot 60136</t>
  </si>
  <si>
    <t>400 W Allegheny Ave</t>
  </si>
  <si>
    <t>1443921</t>
  </si>
  <si>
    <t>Shoprite of Parkside 419</t>
  </si>
  <si>
    <t>1575 N 52nd St</t>
  </si>
  <si>
    <t>1443923</t>
  </si>
  <si>
    <t>Shoprite of Island Ave 423</t>
  </si>
  <si>
    <t>2946 Island Ave</t>
  </si>
  <si>
    <t>1443924</t>
  </si>
  <si>
    <t>SHOP RITE OF OXFORD &amp; LEVICK</t>
  </si>
  <si>
    <t>6301 Oxford Ave</t>
  </si>
  <si>
    <t>1443927</t>
  </si>
  <si>
    <t>SHOPRITE 537</t>
  </si>
  <si>
    <t>101 E Olney Ave</t>
  </si>
  <si>
    <t>1443994</t>
  </si>
  <si>
    <t>SAVE-A-LOT 60133</t>
  </si>
  <si>
    <t>3901-29 M St</t>
  </si>
  <si>
    <t>1232656</t>
  </si>
  <si>
    <t>Save-A-Lot 60138</t>
  </si>
  <si>
    <t>4424 N Broad St</t>
  </si>
  <si>
    <t>1690031</t>
  </si>
  <si>
    <t>ShopRite of Whitman Plaza 411</t>
  </si>
  <si>
    <t>330 W Oregon Ave</t>
  </si>
  <si>
    <t>1689452</t>
  </si>
  <si>
    <t>PJP Marketplace</t>
  </si>
  <si>
    <t>8960 Frankford Avenue</t>
  </si>
  <si>
    <t>1447825</t>
  </si>
  <si>
    <t>Grocery Outlet 728</t>
  </si>
  <si>
    <t>25 W Hortter St</t>
  </si>
  <si>
    <t>1154279</t>
  </si>
  <si>
    <t>Whole Foods Market 10526</t>
  </si>
  <si>
    <t>1558 Kings Hwy N</t>
  </si>
  <si>
    <t>08034</t>
  </si>
  <si>
    <t>1071633</t>
  </si>
  <si>
    <t>The Fresh Market 108</t>
  </si>
  <si>
    <t>100 Welsh Rd</t>
  </si>
  <si>
    <t>1120710</t>
  </si>
  <si>
    <t>Weis Markets 237</t>
  </si>
  <si>
    <t>2100 County Line Rd</t>
  </si>
  <si>
    <t>Huntingdon Valley</t>
  </si>
  <si>
    <t>19006</t>
  </si>
  <si>
    <t>1088409</t>
  </si>
  <si>
    <t>Rittenhouse Market</t>
  </si>
  <si>
    <t>1733 Spruce St</t>
  </si>
  <si>
    <t>1650472</t>
  </si>
  <si>
    <t>ALDI 60161</t>
  </si>
  <si>
    <t>2101 Washington Ave</t>
  </si>
  <si>
    <t>1215658</t>
  </si>
  <si>
    <t>Acme 0291</t>
  </si>
  <si>
    <t>180 W Girard Ave</t>
  </si>
  <si>
    <t>1214355</t>
  </si>
  <si>
    <t>Aldi 12</t>
  </si>
  <si>
    <t>7900 Roosevelt Blvd</t>
  </si>
  <si>
    <t>1212873</t>
  </si>
  <si>
    <t>6100 Westfield Food Corp/Associated</t>
  </si>
  <si>
    <t>6100 Westfield Ave</t>
  </si>
  <si>
    <t>1208927</t>
  </si>
  <si>
    <t>Aldi 43</t>
  </si>
  <si>
    <t>3101 W Girard Ave</t>
  </si>
  <si>
    <t>1210565</t>
  </si>
  <si>
    <t>ALDI 60008</t>
  </si>
  <si>
    <t>9303 Krewstown Rd</t>
  </si>
  <si>
    <t>1211685</t>
  </si>
  <si>
    <t>Aldi 10</t>
  </si>
  <si>
    <t>48 W Baltimore Ave</t>
  </si>
  <si>
    <t>Lansdowne</t>
  </si>
  <si>
    <t>19050</t>
  </si>
  <si>
    <t>1211687</t>
  </si>
  <si>
    <t>Aldi 19</t>
  </si>
  <si>
    <t>156 W Browning Rd</t>
  </si>
  <si>
    <t>Bellmawr</t>
  </si>
  <si>
    <t>08031</t>
  </si>
  <si>
    <t>1215798</t>
  </si>
  <si>
    <t>ALDI 60039 60039</t>
  </si>
  <si>
    <t>3975 Castor Ave</t>
  </si>
  <si>
    <t>1215799</t>
  </si>
  <si>
    <t>ALDI 60011 60011</t>
  </si>
  <si>
    <t>6119 N Broad St</t>
  </si>
  <si>
    <t>1220175</t>
  </si>
  <si>
    <t>Acme 0773</t>
  </si>
  <si>
    <t>1305 W Chester Pike</t>
  </si>
  <si>
    <t>Havertown</t>
  </si>
  <si>
    <t>19083</t>
  </si>
  <si>
    <t>1220176</t>
  </si>
  <si>
    <t>Acme 2638</t>
  </si>
  <si>
    <t>309 S 5th St</t>
  </si>
  <si>
    <t>1220177</t>
  </si>
  <si>
    <t>Acme 2668</t>
  </si>
  <si>
    <t>1001 South St</t>
  </si>
  <si>
    <t>1219811</t>
  </si>
  <si>
    <t>Acme 2833</t>
  </si>
  <si>
    <t>7700 Crittenden Ave</t>
  </si>
  <si>
    <t>1219825</t>
  </si>
  <si>
    <t>Acme 0299</t>
  </si>
  <si>
    <t>2101 Cottman Ave</t>
  </si>
  <si>
    <t>1522661</t>
  </si>
  <si>
    <t>Asr Food Market</t>
  </si>
  <si>
    <t>14101 Bustleton Ave</t>
  </si>
  <si>
    <t>1158050</t>
  </si>
  <si>
    <t>Target Store 2596</t>
  </si>
  <si>
    <t>160 W Dekalb Pike</t>
  </si>
  <si>
    <t>King of Prussia</t>
  </si>
  <si>
    <t>19406</t>
  </si>
  <si>
    <t>1128347</t>
  </si>
  <si>
    <t>Apna Bazar Cash &amp; Carry</t>
  </si>
  <si>
    <t>2631 Street Rd</t>
  </si>
  <si>
    <t>1028690</t>
  </si>
  <si>
    <t>Save A Lot 24854</t>
  </si>
  <si>
    <t>1500 Garrett Rd</t>
  </si>
  <si>
    <t>1702054</t>
  </si>
  <si>
    <t>Sam's Club 8145</t>
  </si>
  <si>
    <t>2521 Route 130 S</t>
  </si>
  <si>
    <t>974341</t>
  </si>
  <si>
    <t>Walmart Supercenter 4456</t>
  </si>
  <si>
    <t>1 Coopertowne Blvd</t>
  </si>
  <si>
    <t>Somerdale</t>
  </si>
  <si>
    <t>08083</t>
  </si>
  <si>
    <t>1230435</t>
  </si>
  <si>
    <t>69 Marshall Foods LLC-Fresh Grocer Of Upper Darby 438</t>
  </si>
  <si>
    <t>421 S 69th St</t>
  </si>
  <si>
    <t>1224275</t>
  </si>
  <si>
    <t>ALDI 60024 60024</t>
  </si>
  <si>
    <t>1911 N 76th St</t>
  </si>
  <si>
    <t>1031743</t>
  </si>
  <si>
    <t>Save A Lot 24858</t>
  </si>
  <si>
    <t>5834 Pulaski Ave</t>
  </si>
  <si>
    <t>1270964</t>
  </si>
  <si>
    <t>Save A Lot 45141</t>
  </si>
  <si>
    <t>6301 Chew Ave</t>
  </si>
  <si>
    <t>1275288</t>
  </si>
  <si>
    <t>Target 3247</t>
  </si>
  <si>
    <t>7162 Ridge Ave</t>
  </si>
  <si>
    <t>1171179</t>
  </si>
  <si>
    <t>Save A Lot 60139</t>
  </si>
  <si>
    <t>701 W Lehigh Ave</t>
  </si>
  <si>
    <t>1687064</t>
  </si>
  <si>
    <t>Wegmans 08</t>
  </si>
  <si>
    <t>2 Centerton Rd</t>
  </si>
  <si>
    <t>1689247</t>
  </si>
  <si>
    <t>537 Adams Ave</t>
  </si>
  <si>
    <t>1672971</t>
  </si>
  <si>
    <t>Giant Food Store 6513</t>
  </si>
  <si>
    <t>1925 Norristown Rd</t>
  </si>
  <si>
    <t>Ambler</t>
  </si>
  <si>
    <t>19002</t>
  </si>
  <si>
    <t>1231350</t>
  </si>
  <si>
    <t>The Fresh Market 133</t>
  </si>
  <si>
    <t>8208 Germantown Ave</t>
  </si>
  <si>
    <t>1314836</t>
  </si>
  <si>
    <t>Whole Foods Market 10599</t>
  </si>
  <si>
    <t>111 North Bethlehem Pike</t>
  </si>
  <si>
    <t>Springhouse</t>
  </si>
  <si>
    <t>1345626</t>
  </si>
  <si>
    <t>ALDI 60014</t>
  </si>
  <si>
    <t>620 Rockhill Dr</t>
  </si>
  <si>
    <t>1600223</t>
  </si>
  <si>
    <t>Sprouts Farmers Market 854</t>
  </si>
  <si>
    <t>2327 Cottman Ave</t>
  </si>
  <si>
    <t>1345364</t>
  </si>
  <si>
    <t>Giant Heirloom Market 6553</t>
  </si>
  <si>
    <t>2303 Bainbridge St</t>
  </si>
  <si>
    <t>1344997</t>
  </si>
  <si>
    <t>Wilson's Meat</t>
  </si>
  <si>
    <t>2325 E Venango St</t>
  </si>
  <si>
    <t>1673015</t>
  </si>
  <si>
    <t>Giant Martins 6570</t>
  </si>
  <si>
    <t>1403 S Christopher Columbus Blvd</t>
  </si>
  <si>
    <t>1673265</t>
  </si>
  <si>
    <t>Giant Food Store 6549</t>
  </si>
  <si>
    <t>1001 S Broad St</t>
  </si>
  <si>
    <t>1712142</t>
  </si>
  <si>
    <t>6327 Meat Corp DBA Food Town</t>
  </si>
  <si>
    <t>6327 Torresdale Ave</t>
  </si>
  <si>
    <t>1320080</t>
  </si>
  <si>
    <t>Walmart Supercenter 5944</t>
  </si>
  <si>
    <t>934 Route 73</t>
  </si>
  <si>
    <t>1206344</t>
  </si>
  <si>
    <t>Aldi 47</t>
  </si>
  <si>
    <t>1955 Davisville Rd</t>
  </si>
  <si>
    <t>1207094</t>
  </si>
  <si>
    <t>Aldi 67</t>
  </si>
  <si>
    <t>2110 Route 38</t>
  </si>
  <si>
    <t>1321192</t>
  </si>
  <si>
    <t>Cousins Fresh Market 4</t>
  </si>
  <si>
    <t>3117 W 9th St</t>
  </si>
  <si>
    <t>Chester</t>
  </si>
  <si>
    <t>19013</t>
  </si>
  <si>
    <t>1321664</t>
  </si>
  <si>
    <t>House Of Kosher Inc</t>
  </si>
  <si>
    <t>9806 Bustleton Ave</t>
  </si>
  <si>
    <t>1322731</t>
  </si>
  <si>
    <t>Aldi 60104</t>
  </si>
  <si>
    <t>142 Route 73</t>
  </si>
  <si>
    <t>1673273</t>
  </si>
  <si>
    <t>Save A Lot 24775</t>
  </si>
  <si>
    <t>150 MacDade Blvd</t>
  </si>
  <si>
    <t>Darby</t>
  </si>
  <si>
    <t>1348369</t>
  </si>
  <si>
    <t>Knorr Street Shoprite Inc. 462</t>
  </si>
  <si>
    <t>6725 Frankford Ave</t>
  </si>
  <si>
    <t>1325066</t>
  </si>
  <si>
    <t>Aldi 60159</t>
  </si>
  <si>
    <t>4801 Edgmont Ave</t>
  </si>
  <si>
    <t>1070373</t>
  </si>
  <si>
    <t>Kashmir Garden Super Market Inc</t>
  </si>
  <si>
    <t>9325 Krewstown Rd</t>
  </si>
  <si>
    <t>1393870</t>
  </si>
  <si>
    <t>Hung Vuong Food Market</t>
  </si>
  <si>
    <t>1445 Brace Rd</t>
  </si>
  <si>
    <t>1657176</t>
  </si>
  <si>
    <t>Super Foodtown 705</t>
  </si>
  <si>
    <t>3528 I St</t>
  </si>
  <si>
    <t>1300165</t>
  </si>
  <si>
    <t>Target 3227</t>
  </si>
  <si>
    <t>2001 Pennsylvania Ave</t>
  </si>
  <si>
    <t>1372228</t>
  </si>
  <si>
    <t>Giant Heirloom Market 6551</t>
  </si>
  <si>
    <t>3401 Chestnut St</t>
  </si>
  <si>
    <t>1378015</t>
  </si>
  <si>
    <t>Pa Fair Farm Food Corp/Fine Fare Supermarket</t>
  </si>
  <si>
    <t>1240 E Erie Ave</t>
  </si>
  <si>
    <t>1378202</t>
  </si>
  <si>
    <t>Trader Joe's 618</t>
  </si>
  <si>
    <t>1324 Arch St</t>
  </si>
  <si>
    <t>1398646</t>
  </si>
  <si>
    <t>Trader Joe's 613</t>
  </si>
  <si>
    <t>775 HADDONFIELD RD</t>
  </si>
  <si>
    <t>1254911</t>
  </si>
  <si>
    <t>Mccaffreys Markets 1619</t>
  </si>
  <si>
    <t>1301 Skippack Pike</t>
  </si>
  <si>
    <t>1258866</t>
  </si>
  <si>
    <t>Whole Foods Market 10496</t>
  </si>
  <si>
    <t>15 E Wynnewood Rd</t>
  </si>
  <si>
    <t>Wynnewood</t>
  </si>
  <si>
    <t>19096</t>
  </si>
  <si>
    <t>1363720</t>
  </si>
  <si>
    <t>ALDI 60141</t>
  </si>
  <si>
    <t>197 E Dekalb Pike</t>
  </si>
  <si>
    <t>1259799</t>
  </si>
  <si>
    <t>Target 3206</t>
  </si>
  <si>
    <t>1900 Chestnut St</t>
  </si>
  <si>
    <t>1262416</t>
  </si>
  <si>
    <t>Whole Foods Market 10514</t>
  </si>
  <si>
    <t>2101 Pennsylvania Ave</t>
  </si>
  <si>
    <t>1265057</t>
  </si>
  <si>
    <t>The Fresh Grocer Of Grays Ferry</t>
  </si>
  <si>
    <t>3021 Grays Ferry Ave</t>
  </si>
  <si>
    <t>1364284</t>
  </si>
  <si>
    <t>Cousins Supermarket Inc 1</t>
  </si>
  <si>
    <t>1943 N 6th St</t>
  </si>
  <si>
    <t>1364922</t>
  </si>
  <si>
    <t>Sprouts Farmers Market 945</t>
  </si>
  <si>
    <t>227 Route 73 S</t>
  </si>
  <si>
    <t>1389770</t>
  </si>
  <si>
    <t>Asianfresh</t>
  </si>
  <si>
    <t>142 N 10th St</t>
  </si>
  <si>
    <t>1329953</t>
  </si>
  <si>
    <t>Target T3285</t>
  </si>
  <si>
    <t>456 N 5th St</t>
  </si>
  <si>
    <t>1329956</t>
  </si>
  <si>
    <t>Target T3296</t>
  </si>
  <si>
    <t>650 W Cuthbert Blvd</t>
  </si>
  <si>
    <t>1354159</t>
  </si>
  <si>
    <t>Al Rayyan Market Corporation 1</t>
  </si>
  <si>
    <t>121 S 43rd St</t>
  </si>
  <si>
    <t>1575960</t>
  </si>
  <si>
    <t>Shoprite of Oregon 420</t>
  </si>
  <si>
    <t>24th St &amp; Oregon Ave</t>
  </si>
  <si>
    <t>1710492</t>
  </si>
  <si>
    <t>Grocery Outlet 744</t>
  </si>
  <si>
    <t>1421377</t>
  </si>
  <si>
    <t>MOM's Organic Market AB 20</t>
  </si>
  <si>
    <t>925 Easton Rd</t>
  </si>
  <si>
    <t>Abington</t>
  </si>
  <si>
    <t>19001</t>
  </si>
  <si>
    <t>1337758</t>
  </si>
  <si>
    <t>Sprouts Farmers Market 850</t>
  </si>
  <si>
    <t>1000 S Broad St</t>
  </si>
  <si>
    <t>1338140</t>
  </si>
  <si>
    <t>No.1 Asian Supermarket Inc</t>
  </si>
  <si>
    <t>2842 Saint Vincent St</t>
  </si>
  <si>
    <t>1435146</t>
  </si>
  <si>
    <t>Patel Brothers</t>
  </si>
  <si>
    <t>1907 Street Rd</t>
  </si>
  <si>
    <t>1341352</t>
  </si>
  <si>
    <t>Target T3263</t>
  </si>
  <si>
    <t>1020 S Broad St</t>
  </si>
  <si>
    <t>1476342</t>
  </si>
  <si>
    <t>ALDI 60168</t>
  </si>
  <si>
    <t>260 E Street Rd</t>
  </si>
  <si>
    <t>1423061</t>
  </si>
  <si>
    <t>Acme 2397</t>
  </si>
  <si>
    <t>4001 Walnut St</t>
  </si>
  <si>
    <t>1424011</t>
  </si>
  <si>
    <t>Costco Wholesale 1415</t>
  </si>
  <si>
    <t>650 Garden Park Blvd</t>
  </si>
  <si>
    <t>1404719</t>
  </si>
  <si>
    <t>Acme 0147</t>
  </si>
  <si>
    <t>920 Red Lion Rd</t>
  </si>
  <si>
    <t>1685709</t>
  </si>
  <si>
    <t>Sprouts Farmers Market 851</t>
  </si>
  <si>
    <t>2001 Welsh Rd</t>
  </si>
  <si>
    <t>1687062</t>
  </si>
  <si>
    <t>Lidl 1246</t>
  </si>
  <si>
    <t>2613 Ridge Pike</t>
  </si>
  <si>
    <t>1426195</t>
  </si>
  <si>
    <t>H MART PHILADELPHIA LLC.</t>
  </si>
  <si>
    <t>6201 N Front St</t>
  </si>
  <si>
    <t>1425306</t>
  </si>
  <si>
    <t>Aldi 60169</t>
  </si>
  <si>
    <t>1300 Fairmount Ave</t>
  </si>
  <si>
    <t>1437536</t>
  </si>
  <si>
    <t>South Philly Food Co-op</t>
  </si>
  <si>
    <t>2031 S Juniper St</t>
  </si>
  <si>
    <t>1663868</t>
  </si>
  <si>
    <t>Giant Heirloom Market 6552</t>
  </si>
  <si>
    <t>1004 N 2nd St</t>
  </si>
  <si>
    <t>1681833</t>
  </si>
  <si>
    <t>Bell's Market</t>
  </si>
  <si>
    <t>1055 Bustleton Pike</t>
  </si>
  <si>
    <t>1483107</t>
  </si>
  <si>
    <t>Sam's Club 6676</t>
  </si>
  <si>
    <t>3925 Welsh Rd</t>
  </si>
  <si>
    <t>1483390</t>
  </si>
  <si>
    <t>PORT RICHMOND THRIFTWAY</t>
  </si>
  <si>
    <t>2497 Aramingo Ave</t>
  </si>
  <si>
    <t>1416214</t>
  </si>
  <si>
    <t>Sam And Sam Meatsinc.</t>
  </si>
  <si>
    <t>851 Upland Ave</t>
  </si>
  <si>
    <t>1501136</t>
  </si>
  <si>
    <t>Acme Market</t>
  </si>
  <si>
    <t>503 S Mac Dade Blvd</t>
  </si>
  <si>
    <t>Holmes</t>
  </si>
  <si>
    <t>19043</t>
  </si>
  <si>
    <t>1494726</t>
  </si>
  <si>
    <t>Cousin's Fresh Market Inc</t>
  </si>
  <si>
    <t>6411 Woodland Ave</t>
  </si>
  <si>
    <t>1506533</t>
  </si>
  <si>
    <t>Grocery Outlet Of Welsh Road 732</t>
  </si>
  <si>
    <t>2524 Welsh Rd</t>
  </si>
  <si>
    <t>1616813</t>
  </si>
  <si>
    <t>Giant Food Store 6468</t>
  </si>
  <si>
    <t>2550 Grant Ave</t>
  </si>
  <si>
    <t>1537996</t>
  </si>
  <si>
    <t>ALDI 60192</t>
  </si>
  <si>
    <t>1300 MacDade Blvd</t>
  </si>
  <si>
    <t>Woodlyn</t>
  </si>
  <si>
    <t>19094</t>
  </si>
  <si>
    <t>1537997</t>
  </si>
  <si>
    <t>ALDI 60181</t>
  </si>
  <si>
    <t>2810 S 20th St</t>
  </si>
  <si>
    <t>1472828</t>
  </si>
  <si>
    <t>ALDI 60177</t>
  </si>
  <si>
    <t>104 Alan Wood Rd</t>
  </si>
  <si>
    <t>1496799</t>
  </si>
  <si>
    <t>Riverwards Produce</t>
  </si>
  <si>
    <t>146 N Bread St</t>
  </si>
  <si>
    <t>1673063</t>
  </si>
  <si>
    <t>Giant Food Store 6427</t>
  </si>
  <si>
    <t>315 N York Rd</t>
  </si>
  <si>
    <t>1509327</t>
  </si>
  <si>
    <t>ACME</t>
  </si>
  <si>
    <t>5300 Baltimore Pike</t>
  </si>
  <si>
    <t>Clifton Heights</t>
  </si>
  <si>
    <t>1663029</t>
  </si>
  <si>
    <t>Shoprite of Cheltenham 426</t>
  </si>
  <si>
    <t>2471 W Cheltenham Ave</t>
  </si>
  <si>
    <t>1544244</t>
  </si>
  <si>
    <t>LIDL 1203</t>
  </si>
  <si>
    <t>420 MacDade Blvd</t>
  </si>
  <si>
    <t>1544245</t>
  </si>
  <si>
    <t>Sam's Club 6332</t>
  </si>
  <si>
    <t>1000 Franklin Mills Cir</t>
  </si>
  <si>
    <t>1673002</t>
  </si>
  <si>
    <t>Walmart 4687</t>
  </si>
  <si>
    <t>275 N Gulph Rd</t>
  </si>
  <si>
    <t>1686557</t>
  </si>
  <si>
    <t>15501 Bustleton Ave</t>
  </si>
  <si>
    <t>1551026</t>
  </si>
  <si>
    <t>Save A Lot 21637</t>
  </si>
  <si>
    <t>545 W Broad St</t>
  </si>
  <si>
    <t>Paulsboro</t>
  </si>
  <si>
    <t>08066</t>
  </si>
  <si>
    <t>1672967</t>
  </si>
  <si>
    <t>Giant Food Store 6573</t>
  </si>
  <si>
    <t>510 N Broad St</t>
  </si>
  <si>
    <t>1549061</t>
  </si>
  <si>
    <t>ALDI 60191</t>
  </si>
  <si>
    <t>12002 Roosevelt Blvd</t>
  </si>
  <si>
    <t>1658621</t>
  </si>
  <si>
    <t>Grocery Outlet Of West Oregon Ave 0730</t>
  </si>
  <si>
    <t>2017 W Oregon Ave</t>
  </si>
  <si>
    <t>1549007</t>
  </si>
  <si>
    <t>Giant Food Store 6522</t>
  </si>
  <si>
    <t>1874 Bethlehem Pike</t>
  </si>
  <si>
    <t>841127</t>
  </si>
  <si>
    <t>Sun Seng Supermarket</t>
  </si>
  <si>
    <t>5201 Route 38</t>
  </si>
  <si>
    <t>Merchantville</t>
  </si>
  <si>
    <t>08109</t>
  </si>
  <si>
    <t>1550023</t>
  </si>
  <si>
    <t>Mccaffreys Market Gladwyne 1621</t>
  </si>
  <si>
    <t>1025 Youngs Ford Rd</t>
  </si>
  <si>
    <t>Gladwyne</t>
  </si>
  <si>
    <t>19035</t>
  </si>
  <si>
    <t>1230432</t>
  </si>
  <si>
    <t>Shoprite Of Brookhaven 452</t>
  </si>
  <si>
    <t>5005 Edgmont Ave</t>
  </si>
  <si>
    <t>1474863</t>
  </si>
  <si>
    <t>Target Store T3389</t>
  </si>
  <si>
    <t>250 E Lancaster Ave</t>
  </si>
  <si>
    <t>1559115</t>
  </si>
  <si>
    <t>Sprouts Farmers Market 946</t>
  </si>
  <si>
    <t>640 W Cuthbert Blvd</t>
  </si>
  <si>
    <t>1550384</t>
  </si>
  <si>
    <t>Afor Market Philadelphia Llc</t>
  </si>
  <si>
    <t>5228 Market St</t>
  </si>
  <si>
    <t>1687206</t>
  </si>
  <si>
    <t>Pjp Marketplace</t>
  </si>
  <si>
    <t>3899 Aramingo Ave</t>
  </si>
  <si>
    <t>1551623</t>
  </si>
  <si>
    <t>Grocery Outlet Of Woodhaven 750</t>
  </si>
  <si>
    <t>4016 Woodhaven Rd</t>
  </si>
  <si>
    <t>1673279</t>
  </si>
  <si>
    <t>ShopRite of Mt Laurel 594</t>
  </si>
  <si>
    <t>1000 Nixon Dr</t>
  </si>
  <si>
    <t>1673268</t>
  </si>
  <si>
    <t>Giant Food Store 6523</t>
  </si>
  <si>
    <t>2180 W Chester Pike</t>
  </si>
  <si>
    <t>1690952</t>
  </si>
  <si>
    <t>Redners Warehouse Market 76</t>
  </si>
  <si>
    <t>2506 Knights Rd</t>
  </si>
  <si>
    <t>874209</t>
  </si>
  <si>
    <t>ShopRite of Cinnaminson 0518</t>
  </si>
  <si>
    <t>141 Route 130 S</t>
  </si>
  <si>
    <t>898295</t>
  </si>
  <si>
    <t>Target Store 1136</t>
  </si>
  <si>
    <t>857 Baltimore Pike</t>
  </si>
  <si>
    <t>1297817</t>
  </si>
  <si>
    <t>Weavers Way Ambler</t>
  </si>
  <si>
    <t>217 E Butler Ave</t>
  </si>
  <si>
    <t>1120089</t>
  </si>
  <si>
    <t>Fresh Supermarket Inc/ Cousins Family Market</t>
  </si>
  <si>
    <t>203 E Allegheny Ave</t>
  </si>
  <si>
    <t>1562710</t>
  </si>
  <si>
    <t>Acme 53</t>
  </si>
  <si>
    <t>25 E Germantown Pike</t>
  </si>
  <si>
    <t>1657700</t>
  </si>
  <si>
    <t>Associated Supermarket</t>
  </si>
  <si>
    <t>803 Blackwood Clementon Rd</t>
  </si>
  <si>
    <t>Lindenwold</t>
  </si>
  <si>
    <t>1249280</t>
  </si>
  <si>
    <t>Chelten Market Inc</t>
  </si>
  <si>
    <t>176-82 W Chelten Ave</t>
  </si>
  <si>
    <t>880531</t>
  </si>
  <si>
    <t>B Js Wholesale Club 56</t>
  </si>
  <si>
    <t>1260 E Woodland Ave</t>
  </si>
  <si>
    <t>1064418</t>
  </si>
  <si>
    <t>Deterding Family Market</t>
  </si>
  <si>
    <t>506 E Gibbsboro Rd</t>
  </si>
  <si>
    <t>880303</t>
  </si>
  <si>
    <t>B Js Wholesale Club 13</t>
  </si>
  <si>
    <t>131 E Kings Hwy</t>
  </si>
  <si>
    <t>829499</t>
  </si>
  <si>
    <t>Shoprite of Chews Landing 507</t>
  </si>
  <si>
    <t>1200 Chews Landing Rd</t>
  </si>
  <si>
    <t>865311</t>
  </si>
  <si>
    <t>McMenamin Family Shop Rite 450</t>
  </si>
  <si>
    <t>9910 Frankford Avenue</t>
  </si>
  <si>
    <t>898275</t>
  </si>
  <si>
    <t>Target Store 1389</t>
  </si>
  <si>
    <t>1900 Deptford Center Rd</t>
  </si>
  <si>
    <t>749124</t>
  </si>
  <si>
    <t>Walmart 5495</t>
  </si>
  <si>
    <t>50 N MacDade Blvd</t>
  </si>
  <si>
    <t>Glenolden</t>
  </si>
  <si>
    <t>19036</t>
  </si>
  <si>
    <t>1702680</t>
  </si>
  <si>
    <t>Juniata Supermarket Inc. 2</t>
  </si>
  <si>
    <t>901 E Luzerne St</t>
  </si>
  <si>
    <t>1654279</t>
  </si>
  <si>
    <t>Grocery Outlet</t>
  </si>
  <si>
    <t>1181382</t>
  </si>
  <si>
    <t>Heng Fa Food Market</t>
  </si>
  <si>
    <t>130 N 10th St</t>
  </si>
  <si>
    <t>1690280</t>
  </si>
  <si>
    <t>Wegmans 10</t>
  </si>
  <si>
    <t>2100 Route 70 W</t>
  </si>
  <si>
    <t>1706608</t>
  </si>
  <si>
    <t>Walmart 5881</t>
  </si>
  <si>
    <t>400 S State Rd</t>
  </si>
  <si>
    <t>1706661</t>
  </si>
  <si>
    <t>2005 Marlton Pike E</t>
  </si>
  <si>
    <t>1241114</t>
  </si>
  <si>
    <t>Fresh Grocer Of Wyncote 415</t>
  </si>
  <si>
    <t>1196055</t>
  </si>
  <si>
    <t>Ma Khodiyar Inc/Universal Supermarket</t>
  </si>
  <si>
    <t>2101 Federal St</t>
  </si>
  <si>
    <t>1119080</t>
  </si>
  <si>
    <t>Cousin's Fresh Market 2 Inc</t>
  </si>
  <si>
    <t>5429 W Girard Ave</t>
  </si>
  <si>
    <t>873236</t>
  </si>
  <si>
    <t>Target Store 1365</t>
  </si>
  <si>
    <t>751 Route 73 S</t>
  </si>
  <si>
    <t>1672972</t>
  </si>
  <si>
    <t>Giant Food Store 6534</t>
  </si>
  <si>
    <t>4930 Edgmont Ave</t>
  </si>
  <si>
    <t>881801</t>
  </si>
  <si>
    <t>Target Store 2418</t>
  </si>
  <si>
    <t>7400 Bustleton Ave</t>
  </si>
  <si>
    <t>937619</t>
  </si>
  <si>
    <t>Meat Shoppers Plus LLC</t>
  </si>
  <si>
    <t>6619 Castor Ave</t>
  </si>
  <si>
    <t>1255614</t>
  </si>
  <si>
    <t>1122 Washington Ave</t>
  </si>
  <si>
    <t>828566</t>
  </si>
  <si>
    <t>Shop Rite of Evesham Rd</t>
  </si>
  <si>
    <t>400 E Evesham Rd</t>
  </si>
  <si>
    <t>915351</t>
  </si>
  <si>
    <t>Target Store 2312</t>
  </si>
  <si>
    <t>1200 Baltimore Pike</t>
  </si>
  <si>
    <t>1105136</t>
  </si>
  <si>
    <t>Shoprite of Fox Street 430</t>
  </si>
  <si>
    <t>2800 Fox Street</t>
  </si>
  <si>
    <t>1255596</t>
  </si>
  <si>
    <t>MOM's Organic Market 16</t>
  </si>
  <si>
    <t>1631 Kings Hwy N</t>
  </si>
  <si>
    <t>1130897</t>
  </si>
  <si>
    <t>Del Buono's Bakery</t>
  </si>
  <si>
    <t>319 Black Horse Pike</t>
  </si>
  <si>
    <t>Haddon Heights</t>
  </si>
  <si>
    <t>08035</t>
  </si>
  <si>
    <t>1705347</t>
  </si>
  <si>
    <t>Metfresh Supermarket</t>
  </si>
  <si>
    <t>2014 S Broad St</t>
  </si>
  <si>
    <t>1212469</t>
  </si>
  <si>
    <t>1206331</t>
  </si>
  <si>
    <t>JC 131 West Corp/Fine Fare</t>
  </si>
  <si>
    <t>131 W Lehigh Ave</t>
  </si>
  <si>
    <t>873249</t>
  </si>
  <si>
    <t>Target Store 1256</t>
  </si>
  <si>
    <t>1495 Old York Rd</t>
  </si>
  <si>
    <t>896345</t>
  </si>
  <si>
    <t>ALDI 60048</t>
  </si>
  <si>
    <t>1445 Street Rd</t>
  </si>
  <si>
    <t>903932</t>
  </si>
  <si>
    <t>Target Store 2527</t>
  </si>
  <si>
    <t>2450 Shoppers Ln</t>
  </si>
  <si>
    <t>1673263</t>
  </si>
  <si>
    <t>Giant Food Store 6518</t>
  </si>
  <si>
    <t>2350 Susquehanna Rd</t>
  </si>
  <si>
    <t>1670833</t>
  </si>
  <si>
    <t>Abington Grocery Outlet 814</t>
  </si>
  <si>
    <t>1441 Old York Rd</t>
  </si>
  <si>
    <t>1673064</t>
  </si>
  <si>
    <t>Giant Food Store 6046</t>
  </si>
  <si>
    <t>2721 Street Rd</t>
  </si>
  <si>
    <t>950162</t>
  </si>
  <si>
    <t>Weavers Way Co-op</t>
  </si>
  <si>
    <t>8424 Germantown Ave</t>
  </si>
  <si>
    <t>1095257</t>
  </si>
  <si>
    <t>Lawnside Shoprite 534</t>
  </si>
  <si>
    <t>130 White Horse Pike</t>
  </si>
  <si>
    <t>Lawnside</t>
  </si>
  <si>
    <t>08045</t>
  </si>
  <si>
    <t>1131885</t>
  </si>
  <si>
    <t>MOM's Organic Market 11</t>
  </si>
  <si>
    <t>1149 East Lancaster Ave</t>
  </si>
  <si>
    <t>Rosemont</t>
  </si>
  <si>
    <t>873256</t>
  </si>
  <si>
    <t>Target Store 1443</t>
  </si>
  <si>
    <t>1 Mifflin St</t>
  </si>
  <si>
    <t>828514</t>
  </si>
  <si>
    <t>Union Mill Shop Rite</t>
  </si>
  <si>
    <t>892 Union Mill Rd</t>
  </si>
  <si>
    <t>1700824</t>
  </si>
  <si>
    <t>Hung Vuong Food Market Lp</t>
  </si>
  <si>
    <t>6410 Frankford Ave</t>
  </si>
  <si>
    <t>813824</t>
  </si>
  <si>
    <t>Castor Avenue Market LLC</t>
  </si>
  <si>
    <t>900 E Orthodox St</t>
  </si>
  <si>
    <t>1272868</t>
  </si>
  <si>
    <t>Fresh Grocer of Monument 456</t>
  </si>
  <si>
    <t>4160 Monument Rd</t>
  </si>
  <si>
    <t>751839</t>
  </si>
  <si>
    <t>PENNSAUKEN FOODS INC</t>
  </si>
  <si>
    <t>7500 N Crescent Blvd</t>
  </si>
  <si>
    <t>1598720</t>
  </si>
  <si>
    <t>Giant Food Store 6329</t>
  </si>
  <si>
    <t>300 E Baltimore Ave</t>
  </si>
  <si>
    <t>1654907</t>
  </si>
  <si>
    <t>Sprouts Farmers Market 949</t>
  </si>
  <si>
    <t>875 Mantua Pike</t>
  </si>
  <si>
    <t>1194818</t>
  </si>
  <si>
    <t>Net Cost Market 9</t>
  </si>
  <si>
    <t>2417 Welsh Rd</t>
  </si>
  <si>
    <t>782259</t>
  </si>
  <si>
    <t>WALNUT FOODS LLC</t>
  </si>
  <si>
    <t>4301 Walnut St</t>
  </si>
  <si>
    <t>805208</t>
  </si>
  <si>
    <t>SAVE-A-LOT 60135</t>
  </si>
  <si>
    <t>5800 Woodland Ave</t>
  </si>
  <si>
    <t>1593980</t>
  </si>
  <si>
    <t>Delran Grocery Outlet 736</t>
  </si>
  <si>
    <t>4004 Us-130</t>
  </si>
  <si>
    <t>1318931</t>
  </si>
  <si>
    <t>Ali Baba Bakery Inc</t>
  </si>
  <si>
    <t>10184 Bustleton Ave</t>
  </si>
  <si>
    <t>1649879</t>
  </si>
  <si>
    <t>Lidl 1342</t>
  </si>
  <si>
    <t>503 Highway 130</t>
  </si>
  <si>
    <t>1615057</t>
  </si>
  <si>
    <t>TRADER JOE'S KING OF PRUSSIA 585</t>
  </si>
  <si>
    <t>224 W Dekalb Pike</t>
  </si>
  <si>
    <t>1616167</t>
  </si>
  <si>
    <t>Walmart Supercenter 2141</t>
  </si>
  <si>
    <t>1675 S Columbus Blvd</t>
  </si>
  <si>
    <t>1612031</t>
  </si>
  <si>
    <t>Grocery Outlet Of Gibbstown 762</t>
  </si>
  <si>
    <t>401 Harmony Rd</t>
  </si>
  <si>
    <t>Gibbstown</t>
  </si>
  <si>
    <t>08027</t>
  </si>
  <si>
    <t>1615088</t>
  </si>
  <si>
    <t>Giant Food Store 6562</t>
  </si>
  <si>
    <t>2201 Cottman Ave</t>
  </si>
  <si>
    <t>1619421</t>
  </si>
  <si>
    <t>ALDI 60205</t>
  </si>
  <si>
    <t>3500 Aramingo Ave</t>
  </si>
  <si>
    <t>1615263</t>
  </si>
  <si>
    <t>Bravo Fresh Market</t>
  </si>
  <si>
    <t>1721 Markley St</t>
  </si>
  <si>
    <t>1708329</t>
  </si>
  <si>
    <t>Compare &amp; Save Supermarket</t>
  </si>
  <si>
    <t>405 E Wyoming Ave</t>
  </si>
  <si>
    <t>1708322</t>
  </si>
  <si>
    <t>Jumbo Meat Market</t>
  </si>
  <si>
    <t>7322 Castor Ave</t>
  </si>
  <si>
    <t>1621545</t>
  </si>
  <si>
    <t>Giant Food Store 6509</t>
  </si>
  <si>
    <t>737 Huntingdon Pike</t>
  </si>
  <si>
    <t>1628675</t>
  </si>
  <si>
    <t>Giant Food Store 6095</t>
  </si>
  <si>
    <t>466 2nd Street Pike</t>
  </si>
  <si>
    <t>Southampton</t>
  </si>
  <si>
    <t>18966</t>
  </si>
  <si>
    <t>1652589</t>
  </si>
  <si>
    <t>Sprouts Farmers Market 853</t>
  </si>
  <si>
    <t>501 N Christopher Columbus Blvd</t>
  </si>
  <si>
    <t>1650276</t>
  </si>
  <si>
    <t>Grocery Outlet Of Deptford 780</t>
  </si>
  <si>
    <t>1120 Hurffville Rd</t>
  </si>
  <si>
    <t>1649851</t>
  </si>
  <si>
    <t>Lidl 1250</t>
  </si>
  <si>
    <t>9175 Roosevelt Blvd</t>
  </si>
  <si>
    <t>1650007</t>
  </si>
  <si>
    <t>Costco Wholesale 0245</t>
  </si>
  <si>
    <t>201 Allendale Rd</t>
  </si>
  <si>
    <t>1642105</t>
  </si>
  <si>
    <t>The Fresh Grocer</t>
  </si>
  <si>
    <t>1501 N Broad St</t>
  </si>
  <si>
    <t>1668528</t>
  </si>
  <si>
    <t>Giant Food Store 6442</t>
  </si>
  <si>
    <t>116 W Township Line Rd</t>
  </si>
  <si>
    <t>1701977</t>
  </si>
  <si>
    <t>Giant Food Store 6511</t>
  </si>
  <si>
    <t>950 Baltimore Pike</t>
  </si>
  <si>
    <t>1676099</t>
  </si>
  <si>
    <t>ALDI 60202</t>
  </si>
  <si>
    <t>1755 Deptford Center Rd</t>
  </si>
  <si>
    <t>1674802</t>
  </si>
  <si>
    <t>Global Supermarket</t>
  </si>
  <si>
    <t>200 Marlton Ave</t>
  </si>
  <si>
    <t>1677329</t>
  </si>
  <si>
    <t>Compare &amp; Save</t>
  </si>
  <si>
    <t>5201 Rising Sun Ave</t>
  </si>
  <si>
    <t>1678975</t>
  </si>
  <si>
    <t>Giant Food Store 6481</t>
  </si>
  <si>
    <t>10 E Ridge Pike</t>
  </si>
  <si>
    <t>1678957</t>
  </si>
  <si>
    <t>Save A Lot 30224</t>
  </si>
  <si>
    <t>2132 E Lehigh Ave</t>
  </si>
  <si>
    <t>1672599</t>
  </si>
  <si>
    <t>Al Aqsa Supermarket</t>
  </si>
  <si>
    <t>6501 Market St</t>
  </si>
  <si>
    <t>1688982</t>
  </si>
  <si>
    <t>B Js Wholesale Club 22</t>
  </si>
  <si>
    <t>2054 Red Lion Rd</t>
  </si>
  <si>
    <t>1678965</t>
  </si>
  <si>
    <t>B Js Wholesale Club 85</t>
  </si>
  <si>
    <t>1910 Deptford Center Rd</t>
  </si>
  <si>
    <t>1683640</t>
  </si>
  <si>
    <t>Walmart 5340</t>
  </si>
  <si>
    <t>500 Rt 38</t>
  </si>
  <si>
    <t>1679718</t>
  </si>
  <si>
    <t>American Asian Supermarket Llc</t>
  </si>
  <si>
    <t>5675 Rising Sun Ave</t>
  </si>
  <si>
    <t>1682132</t>
  </si>
  <si>
    <t>8330 Bustleton Ave</t>
  </si>
  <si>
    <t>1688976</t>
  </si>
  <si>
    <t>Giant Food Store 6506</t>
  </si>
  <si>
    <t>50 E Wynnewood Rd</t>
  </si>
  <si>
    <t>1682950</t>
  </si>
  <si>
    <t>ShopRite of Roosevelt Blvd 532</t>
  </si>
  <si>
    <t>1696484</t>
  </si>
  <si>
    <t>Lidl 1035</t>
  </si>
  <si>
    <t>2290 E Butler St</t>
  </si>
  <si>
    <t>1695451</t>
  </si>
  <si>
    <t>Lidl 1162</t>
  </si>
  <si>
    <t>400 Route 38</t>
  </si>
  <si>
    <t>1696483</t>
  </si>
  <si>
    <t>Shoprite of Bensalem 428</t>
  </si>
  <si>
    <t>2200 Bristol Rd</t>
  </si>
  <si>
    <t>1701220</t>
  </si>
  <si>
    <t>HAR UPPER DARBY INC</t>
  </si>
  <si>
    <t>7052 Terminal Sq</t>
  </si>
  <si>
    <t>1700788</t>
  </si>
  <si>
    <t>Christ Followers Inc 729</t>
  </si>
  <si>
    <t>2917 Swede Rd</t>
  </si>
  <si>
    <t>1701711</t>
  </si>
  <si>
    <t>Walmart Supercenter 2650</t>
  </si>
  <si>
    <t>4301 Byberry Rd</t>
  </si>
  <si>
    <t>1701216</t>
  </si>
  <si>
    <t>Walmart 5047</t>
  </si>
  <si>
    <t>130 Blackhorse Pike</t>
  </si>
  <si>
    <t>1703266</t>
  </si>
  <si>
    <t>GFM Food Corporation</t>
  </si>
  <si>
    <t>180 W Duncannon Ave</t>
  </si>
  <si>
    <t>1694809</t>
  </si>
  <si>
    <t>Giant Food Store 6083</t>
  </si>
  <si>
    <t>539 N Oak Ave</t>
  </si>
  <si>
    <t>Aldan</t>
  </si>
  <si>
    <t>1695457</t>
  </si>
  <si>
    <t>Giant Food Store 6541</t>
  </si>
  <si>
    <t>176 W Street Rd</t>
  </si>
  <si>
    <t>1696489</t>
  </si>
  <si>
    <t>Giant Food Store 6512</t>
  </si>
  <si>
    <t>310 S Henderson Rd</t>
  </si>
  <si>
    <t>1694834</t>
  </si>
  <si>
    <t>No. 1 Ben City Supermarket Inc</t>
  </si>
  <si>
    <t>5520 Whitaker Ave</t>
  </si>
  <si>
    <t>1689801</t>
  </si>
  <si>
    <t>Cousins Grocery Market Inc.</t>
  </si>
  <si>
    <t>1607 Bridge St</t>
  </si>
  <si>
    <t>1694249</t>
  </si>
  <si>
    <t>6515 Castor Ave</t>
  </si>
  <si>
    <t>1538494</t>
  </si>
  <si>
    <t>Grocery Outlet of Fishtown 738</t>
  </si>
  <si>
    <t>1801 N American St</t>
  </si>
  <si>
    <t>1711171</t>
  </si>
  <si>
    <t>Shoprite Of Glenolden</t>
  </si>
  <si>
    <t>140 N MacDade Blvd</t>
  </si>
  <si>
    <t>Listed supermarket miles</t>
  </si>
  <si>
    <t>Listed food sites within 1mi</t>
  </si>
  <si>
    <t>Caution</t>
  </si>
  <si>
    <t>6411 Woodland Ave, Philadelphia, PA, 19142</t>
  </si>
  <si>
    <t>Listed outlets and resources require access verification</t>
  </si>
  <si>
    <t>5228 Market St, Philadelphia, PA, 19139</t>
  </si>
  <si>
    <t>3101 W Girard Ave, Philadelphia, PA, 19130</t>
  </si>
  <si>
    <t>4001 Walnut St, Philadelphia, PA, 19104</t>
  </si>
  <si>
    <t>5601 Chestnut St, Philadelphia, PA, 19139</t>
  </si>
  <si>
    <t>5704 Baltimore Ave, Philadelphia, PA, 19143</t>
  </si>
  <si>
    <t>5601 Vine St, Philadelphia, PA, 19139</t>
  </si>
  <si>
    <t>4824 Baltimore Ave, Philadelphia, PA, 19143</t>
  </si>
  <si>
    <t>4301 Walnut St, Philadelphia, PA, 19104</t>
  </si>
  <si>
    <t>4421 Market St, Philadelphia, PA, 19104</t>
  </si>
  <si>
    <t>5800 Woodland Ave, Philadelphia, PA, 19143</t>
  </si>
  <si>
    <t>3401 Chestnut St, Philadelphia, PA, 19104</t>
  </si>
  <si>
    <t>5429 W Girard Ave, Philadelphia, PA, 19131</t>
  </si>
  <si>
    <t>2946 Island Ave, Philadelphia, PA, 19153</t>
  </si>
  <si>
    <t>2031 S Juniper St, Philadelphia, PA, 19148</t>
  </si>
  <si>
    <t>510 N Broad St, Philadelphia, PA, 19130</t>
  </si>
  <si>
    <t>1000 S Broad St, Philadelphia, PA, 19146</t>
  </si>
  <si>
    <t>1 Mifflin St, Philadelphia, PA, 19148</t>
  </si>
  <si>
    <t>330 W Oregon Ave, Philadelphia, PA, 19148</t>
  </si>
  <si>
    <t>2401 Pennsylvania Ave, Philadelphia, PA, 19130</t>
  </si>
  <si>
    <t>1901 Johnston St, Philadelphia, PA, 19145</t>
  </si>
  <si>
    <t>1020 S Broad St, Philadelphia, PA, 19146</t>
  </si>
  <si>
    <t>2077 Ridge Ave, Philadelphia, PA, 19121</t>
  </si>
  <si>
    <t>2014 S Broad St, Philadelphia, PA, 19145</t>
  </si>
  <si>
    <t>309 S 5th St, Philadelphia, PA, 19106</t>
  </si>
  <si>
    <t>2017 W Oregon Ave, Philadelphia, PA, 19145</t>
  </si>
  <si>
    <t>2121 Market St, Philadelphia, PA, 19103</t>
  </si>
  <si>
    <t>2101 Washington Ave, Philadelphia, PA, 19146</t>
  </si>
  <si>
    <t>1400 E Passyunk Ave, Philadelphia, PA, 19147</t>
  </si>
  <si>
    <t>1111 S 6th St, Philadelphia, PA, 19147</t>
  </si>
  <si>
    <t>1122 Washington Ave, Philadelphia, PA, 19147</t>
  </si>
  <si>
    <t>29 Snyder Ave, Philadelphia, PA, 19148</t>
  </si>
  <si>
    <t>34 S 11th St, Philadelphia, PA, 19107</t>
  </si>
  <si>
    <t>1575 N 52nd St, Philadelphia, PA, 19131</t>
  </si>
  <si>
    <t>320 W Oregon Ave, Philadelphia, PA, 19148</t>
  </si>
  <si>
    <t>4037 N 5th St, Philadelphia, PA, 19140</t>
  </si>
  <si>
    <t>2132 E Lehigh Ave, Philadelphia, PA, 19125</t>
  </si>
  <si>
    <t>1733 Spruce St, Philadelphia, PA, 19103</t>
  </si>
  <si>
    <t>4600 E Roosevelt Blvd, Philadelphia, PA, 19124</t>
  </si>
  <si>
    <t>101 E Olney Ave, Philadelphia, PA, 19120</t>
  </si>
  <si>
    <t>1240 E Erie Ave, Philadelphia, PA, 19124</t>
  </si>
  <si>
    <t>6501 Market St, Upper Darby, PA, 19082</t>
  </si>
  <si>
    <t>701 W Lehigh Ave, Philadelphia, PA, 19133</t>
  </si>
  <si>
    <t>6201 N Front St, Philadelphia, PA, 19120</t>
  </si>
  <si>
    <t>5301 Chew Ave, Philadelphia, PA, 19138</t>
  </si>
  <si>
    <t>400 W Allegheny Ave, Philadelphia, PA, 19133</t>
  </si>
  <si>
    <t>4424 N Broad St, Philadelphia, PA, 19140</t>
  </si>
  <si>
    <t>24th St &amp; Oregon Ave, Philadelphia, PA, 19145</t>
  </si>
  <si>
    <t>6301 Chew Ave, Philadelphia, PA, 19138</t>
  </si>
  <si>
    <t>1900 Chestnut St, Philadelphia, PA, 19103</t>
  </si>
  <si>
    <t>11000 Roosevelt Blvd, Philadelphia, PA, 19116</t>
  </si>
  <si>
    <t>12002 Roosevelt Blvd, Philadelphia, PA, 19116</t>
  </si>
  <si>
    <t>1004 N 2nd St, Philadelphia, PA, 19123</t>
  </si>
  <si>
    <t>5597 Tulip St, Philadelphia, PA, 19124</t>
  </si>
  <si>
    <t>3975 Castor Ave, Philadelphia, PA, 19124</t>
  </si>
  <si>
    <t>6801 Frankford Ave, Philadelphia, PA, 19135</t>
  </si>
  <si>
    <t>1300 Fairmount Ave, Philadelphia, PA, 19123</t>
  </si>
  <si>
    <t>1324 Arch St, Philadelphia, PA, 19107</t>
  </si>
  <si>
    <t>146 N Bread St, Philadelphia, PA, 19106</t>
  </si>
  <si>
    <t>2800 Fox Street, Philadelphia, PA, 19129</t>
  </si>
  <si>
    <t>2200 Wheatsheaf Ln, Philadelphia, PA, 19137</t>
  </si>
  <si>
    <t>7162 Ridge Ave, Philadelphia, PA, 19128</t>
  </si>
  <si>
    <t>2522 W Lehigh Ave, Philadelphia, PA, 19132</t>
  </si>
  <si>
    <t>142 N 10th St, Philadelphia, PA, 19107</t>
  </si>
  <si>
    <t>900 E Orthodox St, Philadelphia, PA, 19124</t>
  </si>
  <si>
    <t>5834 Pulaski Ave, Philadelphia, PA, 19144</t>
  </si>
  <si>
    <t>131 W Lehigh Ave, Philadelphia, PA, 19133</t>
  </si>
  <si>
    <t>3899 Aramingo Ave, Philadelphia, PA, 19137</t>
  </si>
  <si>
    <t>8330 Bustleton Ave, Philadelphia, PA, 19152</t>
  </si>
  <si>
    <t>1607 Bridge St, Philadelphia, PA, 19124</t>
  </si>
  <si>
    <t>3021 Grays Ferry Ave, Philadelphia, PA, 19146</t>
  </si>
  <si>
    <t>180 W Duncannon Ave, Philadelphia, PA, 19120</t>
  </si>
  <si>
    <t>722 Adams Ave, Philadelphia, PA, 19124</t>
  </si>
  <si>
    <t>176-82 W Chelten Ave, Philadelphia, PA, 19144</t>
  </si>
  <si>
    <t>2101 W Lehigh Ave, Philadelphia, PA, 19132</t>
  </si>
  <si>
    <t>3500 Aramingo Ave, Philadelphia, PA, 19134</t>
  </si>
  <si>
    <t>6327 Torresdale Ave, Philadelphia, PA, 19135</t>
  </si>
  <si>
    <t>1943 N 6th St, Philadelphia, PA, 19122</t>
  </si>
  <si>
    <t>7322 Castor Ave, Philadelphia, PA, 19152</t>
  </si>
  <si>
    <t>1501 N Broad St, Philadelphia, PA, 19122</t>
  </si>
  <si>
    <t>2801 W Dauphin St, Philadelphia, PA, 19132</t>
  </si>
  <si>
    <t>121 E City Ave, Bala Cynwyd, PA, 19004</t>
  </si>
  <si>
    <t>1911 N 76th St, Philadelphia, PA, 19151</t>
  </si>
  <si>
    <t>2497 Aramingo Ave, Philadelphia, PA, 19125</t>
  </si>
  <si>
    <t>180 W Girard Ave, Philadelphia, PA, 19123</t>
  </si>
  <si>
    <t>3528 I St, Philadelphia, PA, 19134</t>
  </si>
  <si>
    <t>203 E Allegheny Ave, Philadelphia, PA, 19134</t>
  </si>
  <si>
    <t>1801 N American St, Philadelphia, PA, 19122</t>
  </si>
  <si>
    <t>2701 Castor Ave, Philadelphia, PA, 19134</t>
  </si>
  <si>
    <t>456 N 5th St, Philadelphia, PA, 19123</t>
  </si>
  <si>
    <t>6119 N Broad St, Philadelphia, PA, 19141</t>
  </si>
  <si>
    <t>2842 Saint Vincent St, Philadelphia, PA, 19149</t>
  </si>
  <si>
    <t>6901 Ridge Ave, Philadelphia, PA, 19128</t>
  </si>
  <si>
    <t>2471 W Cheltenham Ave, Wyncote, PA, 19095</t>
  </si>
  <si>
    <t>25 W Hortter St, Philadelphia, PA, 19119</t>
  </si>
  <si>
    <t>7010 Germantown Ave, Philadelphia, PA, 19119</t>
  </si>
  <si>
    <t>8208 Germantown Ave, Philadelphia, PA, 19118</t>
  </si>
  <si>
    <t>1000 Easton Rd, Wyncote, PA, 19095</t>
  </si>
  <si>
    <t>5927-59 Ridge Ave, Philadelphia, PA, 19128</t>
  </si>
  <si>
    <t>5929 Greene St, Philadelphia, PA, 19144</t>
  </si>
  <si>
    <t>701 Cathedral Road, Philadelphia, PA, 19128</t>
  </si>
  <si>
    <t>5520 Whitaker Ave, Philadelphia, PA, 19124</t>
  </si>
  <si>
    <t>901 E Luzerne St, Philadelphia, PA, 19124</t>
  </si>
  <si>
    <t>405 E Wyoming Ave, Philadelphia, PA, 19120</t>
  </si>
  <si>
    <t>6412 Castor Ave, Philadelphia, PA, 19149</t>
  </si>
  <si>
    <t>7320 Old York Rd, Elkins Park, PA, 19027</t>
  </si>
  <si>
    <t>537 Adams Ave, Philadelphia, PA, 19120</t>
  </si>
  <si>
    <t>3901-29 M St, Philadelphia, PA, 19124</t>
  </si>
  <si>
    <t>5201 Rising Sun Ave, Philadelphia, PA, 19120</t>
  </si>
  <si>
    <t>10184 Bustleton Ave, Philadelphia, PA, 19116</t>
  </si>
  <si>
    <t>4016 Woodhaven Rd, Philadelphia, PA, 19154</t>
  </si>
  <si>
    <t>2054 Red Lion Rd, Philadelphia, PA, 19115</t>
  </si>
  <si>
    <t>9325 Krewstown Rd, Philadelphia, PA, 19115</t>
  </si>
  <si>
    <t>6410 Frankford Ave, Philadelphia, PA, 19135</t>
  </si>
  <si>
    <t>8960 Frankford Avenue, Philadelphia, PA, 19136</t>
  </si>
  <si>
    <t>6640 Oxford Ave, Philadelphia, PA, 19111</t>
  </si>
  <si>
    <t>737 Huntingdon Pike, Huntingdon Valley, PA, 19006</t>
  </si>
  <si>
    <t>6619 Castor Ave, Philadelphia, PA, 19149</t>
  </si>
  <si>
    <t>2101 Cottman Ave, Philadelphia, PA, 19149</t>
  </si>
  <si>
    <t>6515 Castor Ave, Philadelphia, PA, 19149</t>
  </si>
  <si>
    <t>11701 Bustleton Ave, Philadelphia, PA, 19116</t>
  </si>
  <si>
    <t>9806 Bustleton Ave, Philadelphia, PA, 19115</t>
  </si>
  <si>
    <t>2417 Welsh Rd, Philadelphia, PA, 19114</t>
  </si>
  <si>
    <t>1000 Franklin Mills Cir, Philadelphia, PA, 19154</t>
  </si>
  <si>
    <t>9910 Frankford Avenue, Philadelphia, PA, 19114</t>
  </si>
  <si>
    <t>Eligible</t>
  </si>
  <si>
    <t>Effective fresh miles</t>
  </si>
  <si>
    <t>Effective resources</t>
  </si>
  <si>
    <t>Fresh basis</t>
  </si>
  <si>
    <t>Economic points</t>
  </si>
  <si>
    <t>Fresh points</t>
  </si>
  <si>
    <t>Resource points</t>
  </si>
  <si>
    <t>Reach points</t>
  </si>
  <si>
    <t>Baseline score</t>
  </si>
  <si>
    <t>Active score</t>
  </si>
  <si>
    <t>Target order</t>
  </si>
  <si>
    <t>Search match</t>
  </si>
  <si>
    <t>Search order</t>
  </si>
  <si>
    <t>Rationale</t>
  </si>
  <si>
    <t>Access row</t>
  </si>
  <si>
    <t>Nearest supermarket</t>
  </si>
  <si>
    <t>Fresh review valid</t>
  </si>
  <si>
    <t>Resource review valid</t>
  </si>
  <si>
    <t>Source key count</t>
  </si>
  <si>
    <t>Rankable</t>
  </si>
  <si>
    <t>School key</t>
  </si>
  <si>
    <t>Contact row</t>
  </si>
  <si>
    <t>Search sort</t>
  </si>
  <si>
    <t>School level</t>
  </si>
  <si>
    <t>Matching schools</t>
  </si>
  <si>
    <t>Sort by</t>
  </si>
  <si>
    <t>Direction</t>
  </si>
  <si>
    <t>Priority score</t>
  </si>
  <si>
    <t>Descending</t>
  </si>
  <si>
    <t>Ties follow priority score, economic need, enrollment, then school ID. Level filters match the school classification exactly.</t>
  </si>
  <si>
    <t>Top 25 filter match</t>
  </si>
  <si>
    <t>Top 25 sort value</t>
  </si>
  <si>
    <t>Top 25 filtered order</t>
  </si>
  <si>
    <t>DONOT CHANGE ANY VARIABLES</t>
  </si>
  <si>
    <t>Contacts: blanks = not provided in source</t>
  </si>
  <si>
    <t>Contact no.</t>
  </si>
  <si>
    <t>All rankable schools</t>
  </si>
  <si>
    <t>Use the controls below to filter all rankable schools and choose the sort order.</t>
  </si>
  <si>
    <t>Source row</t>
  </si>
  <si>
    <t>Contact name/title</t>
  </si>
  <si>
    <t>Contact email</t>
  </si>
  <si>
    <t>Master filter match</t>
  </si>
  <si>
    <t>Master sort value</t>
  </si>
  <si>
    <t>Master filtered order</t>
  </si>
  <si>
    <t>Review row2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</si>
</sst>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m/dd/yy"/>
    <numFmt numFmtId="166" formatCode="0.0"/>
  </numFmts>
  <fonts count="30">
    <font>
      <sz val="11"/>
      <name val="Carlito"/>
    </font>
    <font>
      <sz val="11"/>
      <color theme="1"/>
      <name val="Calibri"/>
      <family val="2"/>
      <scheme val="minor"/>
    </font>
    <font>
      <sz val="10"/>
      <color rgb="FF172C43"/>
      <name val="Arial"/>
    </font>
    <font>
      <b/>
      <sz val="16"/>
      <color rgb="FF172C43"/>
      <name val="Arial"/>
    </font>
    <font>
      <sz val="10"/>
      <color rgb="FF61758A"/>
      <name val="Arial"/>
    </font>
    <font>
      <b/>
      <sz val="10"/>
      <color rgb="FF172C43"/>
      <name val="Arial"/>
    </font>
    <font>
      <b/>
      <sz val="10"/>
      <color rgb="FFFFFFFF"/>
      <name val="Arial"/>
    </font>
    <font>
      <sz val="10"/>
      <color rgb="FF315F89"/>
      <name val="Arial"/>
    </font>
    <font>
      <i/>
      <sz val="10"/>
      <color rgb="FF172C43"/>
      <name val="Arial"/>
      <family val="2"/>
    </font>
    <font>
      <sz val="8"/>
      <color rgb="FF172C43"/>
      <name val="Arial"/>
      <family val="2"/>
    </font>
    <font>
      <sz val="10"/>
      <color rgb="FF172C43"/>
      <name val="Arial"/>
      <family val="2"/>
    </font>
    <font>
      <sz val="8"/>
      <color theme="3" tint="0.249977111117893"/>
      <name val="Arial"/>
      <family val="2"/>
    </font>
    <font>
      <b/>
      <sz val="20"/>
      <color rgb="FF172C43"/>
      <name val="Arial"/>
      <family val="2"/>
    </font>
    <font>
      <b/>
      <i/>
      <sz val="10"/>
      <color rgb="FF172C43"/>
      <name val="Arial"/>
      <family val="2"/>
    </font>
    <font>
      <b/>
      <sz val="10"/>
      <color rgb="FF172C43"/>
      <name val="Arial"/>
      <family val="2"/>
    </font>
    <font>
      <sz val="8"/>
      <color rgb="FF61758A"/>
      <name val="Arial"/>
      <family val="2"/>
    </font>
    <font>
      <b/>
      <sz val="11"/>
      <name val="Carlito"/>
    </font>
    <font>
      <b/>
      <sz val="12"/>
      <color rgb="FF172C43"/>
      <name val="Arial"/>
      <family val="2"/>
    </font>
    <font>
      <sz val="20"/>
      <color rgb="FFC00000"/>
      <name val="Arial"/>
      <family val="2"/>
    </font>
    <font>
      <i/>
      <sz val="10"/>
      <color rgb="FF61758A"/>
      <name val="Arial"/>
      <family val="2"/>
    </font>
    <font>
      <b/>
      <sz val="25"/>
      <color rgb="FF172C43"/>
      <name val="Arial"/>
      <family val="2"/>
    </font>
    <font>
      <sz val="11"/>
      <name val="Carlito"/>
    </font>
    <font>
      <sz val="10"/>
      <color rgb="FF243F59"/>
      <name val="Arial"/>
    </font>
    <font>
      <b/>
      <sz val="10"/>
      <color rgb="FFFFFFFF"/>
      <name val="Arial"/>
    </font>
    <font>
      <b/>
      <sz val="17"/>
      <color rgb="FF243F59"/>
      <name val="Arial"/>
    </font>
    <font>
      <b/>
      <sz val="10"/>
      <color rgb="FF243F59"/>
      <name val="Arial"/>
    </font>
    <font>
      <sz val="9"/>
      <color rgb="FF64748B"/>
      <name val="Arial"/>
    </font>
    <font>
      <sz val="11"/>
      <color rgb="FF0000FF"/>
      <name val="Carlito"/>
    </font>
    <font>
      <sz val="11"/>
      <color theme="0"/>
      <name val="Carlito"/>
    </font>
    <font>
      <i/>
      <sz val="10"/>
      <color rgb="FF243F5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23E5A"/>
      </patternFill>
    </fill>
    <fill>
      <patternFill patternType="solid">
        <fgColor rgb="FFFFF1CA"/>
      </patternFill>
    </fill>
    <fill>
      <patternFill patternType="solid">
        <fgColor rgb="FFFFF1CA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none"/>
    </fill>
    <fill>
      <patternFill patternType="solid">
        <fgColor rgb="FF233F5A"/>
      </patternFill>
    </fill>
    <fill>
      <patternFill patternType="solid">
        <fgColor rgb="FFFFFFFF"/>
      </patternFill>
    </fill>
    <fill>
      <patternFill patternType="solid">
        <fgColor rgb="FFF1F4F7"/>
      </patternFill>
    </fill>
    <fill>
      <patternFill patternType="solid">
        <fgColor rgb="FFFFF2CC"/>
      </patternFill>
    </fill>
    <fill>
      <patternFill patternType="solid">
        <fgColor rgb="FF17416B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4" fillId="3" borderId="1" xfId="0" applyFont="1" applyFill="1" applyBorder="1" applyAlignment="1">
      <alignment horizontal="center" vertical="center"/>
    </xf>
  </cellStyleXfs>
  <cellXfs count="1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2" fontId="2" fillId="0" borderId="0" xfId="0" applyNumberFormat="1" applyFont="1"/>
    <xf numFmtId="0" fontId="2" fillId="3" borderId="0" xfId="0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5" borderId="0" xfId="0" applyFont="1" applyFill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164" fontId="2" fillId="8" borderId="1" xfId="0" applyNumberFormat="1" applyFont="1" applyFill="1" applyBorder="1" applyAlignment="1">
      <alignment vertical="center"/>
    </xf>
    <xf numFmtId="0" fontId="2" fillId="8" borderId="1" xfId="0" applyFont="1" applyFill="1" applyBorder="1"/>
    <xf numFmtId="0" fontId="2" fillId="8" borderId="7" xfId="0" applyFont="1" applyFill="1" applyBorder="1"/>
    <xf numFmtId="0" fontId="2" fillId="8" borderId="16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164" fontId="2" fillId="8" borderId="5" xfId="0" applyNumberFormat="1" applyFont="1" applyFill="1" applyBorder="1" applyAlignment="1">
      <alignment vertical="center"/>
    </xf>
    <xf numFmtId="0" fontId="2" fillId="8" borderId="5" xfId="0" applyFont="1" applyFill="1" applyBorder="1"/>
    <xf numFmtId="0" fontId="2" fillId="8" borderId="18" xfId="0" applyFont="1" applyFill="1" applyBorder="1"/>
    <xf numFmtId="0" fontId="16" fillId="0" borderId="17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0" fillId="0" borderId="16" xfId="0" applyBorder="1"/>
    <xf numFmtId="0" fontId="0" fillId="0" borderId="7" xfId="0" applyBorder="1"/>
    <xf numFmtId="0" fontId="0" fillId="0" borderId="8" xfId="0" applyBorder="1"/>
    <xf numFmtId="0" fontId="0" fillId="0" borderId="18" xfId="0" applyBorder="1"/>
    <xf numFmtId="0" fontId="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wrapText="1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 wrapText="1"/>
    </xf>
    <xf numFmtId="0" fontId="2" fillId="9" borderId="0" xfId="0" applyFont="1" applyFill="1"/>
    <xf numFmtId="0" fontId="18" fillId="9" borderId="0" xfId="0" applyFont="1" applyFill="1"/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8" fillId="0" borderId="6" xfId="0" applyFont="1" applyBorder="1" applyAlignment="1">
      <alignment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 wrapText="1"/>
    </xf>
    <xf numFmtId="166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21" fillId="10" borderId="26" xfId="2"/>
    <xf numFmtId="0" fontId="22" fillId="10" borderId="26" xfId="2" applyFont="1"/>
    <xf numFmtId="0" fontId="24" fillId="10" borderId="26" xfId="2" applyFont="1"/>
    <xf numFmtId="0" fontId="27" fillId="10" borderId="26" xfId="2" applyFont="1"/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26" fillId="10" borderId="26" xfId="2" applyFont="1" applyFill="1" applyBorder="1" applyAlignment="1"/>
    <xf numFmtId="0" fontId="26" fillId="10" borderId="26" xfId="2" applyFont="1" applyFill="1" applyBorder="1" applyAlignment="1">
      <alignment wrapText="1"/>
    </xf>
    <xf numFmtId="0" fontId="25" fillId="14" borderId="3" xfId="2" applyFont="1" applyFill="1" applyBorder="1" applyAlignment="1">
      <alignment horizontal="center" vertical="center"/>
    </xf>
    <xf numFmtId="0" fontId="25" fillId="14" borderId="27" xfId="2" applyFont="1" applyFill="1" applyBorder="1" applyAlignment="1">
      <alignment horizontal="center" vertical="center"/>
    </xf>
    <xf numFmtId="0" fontId="25" fillId="14" borderId="4" xfId="2" applyFont="1" applyFill="1" applyBorder="1" applyAlignment="1">
      <alignment horizontal="center" vertical="center"/>
    </xf>
    <xf numFmtId="0" fontId="23" fillId="11" borderId="17" xfId="2" applyFont="1" applyFill="1" applyBorder="1" applyAlignment="1">
      <alignment vertical="center" wrapText="1"/>
    </xf>
    <xf numFmtId="0" fontId="23" fillId="11" borderId="6" xfId="2" applyFont="1" applyFill="1" applyBorder="1" applyAlignment="1">
      <alignment vertical="center" wrapText="1"/>
    </xf>
    <xf numFmtId="0" fontId="28" fillId="15" borderId="6" xfId="0" applyFont="1" applyFill="1" applyBorder="1" applyAlignment="1">
      <alignment horizontal="center" vertical="center"/>
    </xf>
    <xf numFmtId="0" fontId="23" fillId="11" borderId="9" xfId="2" applyFont="1" applyFill="1" applyBorder="1" applyAlignment="1">
      <alignment vertical="center" wrapText="1"/>
    </xf>
    <xf numFmtId="0" fontId="22" fillId="12" borderId="1" xfId="2" applyFont="1" applyFill="1" applyBorder="1" applyAlignment="1">
      <alignment vertical="center" wrapText="1"/>
    </xf>
    <xf numFmtId="0" fontId="0" fillId="9" borderId="1" xfId="2" applyFont="1" applyFill="1" applyBorder="1" applyAlignment="1">
      <alignment horizontal="center"/>
    </xf>
    <xf numFmtId="0" fontId="22" fillId="13" borderId="1" xfId="2" applyFont="1" applyFill="1" applyBorder="1" applyAlignment="1">
      <alignment vertical="center" wrapText="1"/>
    </xf>
    <xf numFmtId="0" fontId="0" fillId="9" borderId="5" xfId="2" applyFont="1" applyFill="1" applyBorder="1" applyAlignment="1">
      <alignment horizontal="center"/>
    </xf>
    <xf numFmtId="0" fontId="22" fillId="12" borderId="16" xfId="2" applyFont="1" applyFill="1" applyBorder="1" applyAlignment="1">
      <alignment horizontal="center" vertical="center" wrapText="1"/>
    </xf>
    <xf numFmtId="0" fontId="22" fillId="13" borderId="16" xfId="2" applyFont="1" applyFill="1" applyBorder="1" applyAlignment="1">
      <alignment horizontal="center" vertical="center" wrapText="1"/>
    </xf>
    <xf numFmtId="0" fontId="22" fillId="13" borderId="8" xfId="2" applyFont="1" applyFill="1" applyBorder="1" applyAlignment="1">
      <alignment horizontal="center" vertical="center" wrapText="1"/>
    </xf>
    <xf numFmtId="0" fontId="29" fillId="12" borderId="1" xfId="2" applyFont="1" applyFill="1" applyBorder="1" applyAlignment="1">
      <alignment vertical="center" wrapText="1"/>
    </xf>
    <xf numFmtId="0" fontId="29" fillId="13" borderId="1" xfId="2" applyFont="1" applyFill="1" applyBorder="1" applyAlignment="1">
      <alignment vertical="center" wrapText="1"/>
    </xf>
    <xf numFmtId="0" fontId="29" fillId="13" borderId="5" xfId="2" applyFont="1" applyFill="1" applyBorder="1" applyAlignment="1">
      <alignment vertical="center" wrapText="1"/>
    </xf>
    <xf numFmtId="0" fontId="22" fillId="12" borderId="1" xfId="2" applyFont="1" applyFill="1" applyBorder="1" applyAlignment="1">
      <alignment horizontal="center" vertical="center" wrapText="1"/>
    </xf>
    <xf numFmtId="164" fontId="22" fillId="12" borderId="1" xfId="2" applyNumberFormat="1" applyFont="1" applyFill="1" applyBorder="1" applyAlignment="1">
      <alignment horizontal="center" vertical="center" wrapText="1"/>
    </xf>
    <xf numFmtId="2" fontId="22" fillId="12" borderId="1" xfId="2" applyNumberFormat="1" applyFont="1" applyFill="1" applyBorder="1" applyAlignment="1">
      <alignment horizontal="center" vertical="center" wrapText="1"/>
    </xf>
    <xf numFmtId="166" fontId="22" fillId="12" borderId="1" xfId="2" applyNumberFormat="1" applyFont="1" applyFill="1" applyBorder="1" applyAlignment="1">
      <alignment horizontal="center" vertical="center" wrapText="1"/>
    </xf>
    <xf numFmtId="0" fontId="22" fillId="12" borderId="7" xfId="2" applyFont="1" applyFill="1" applyBorder="1" applyAlignment="1">
      <alignment horizontal="center" vertical="center" wrapText="1"/>
    </xf>
    <xf numFmtId="0" fontId="22" fillId="13" borderId="1" xfId="2" applyFont="1" applyFill="1" applyBorder="1" applyAlignment="1">
      <alignment horizontal="center" vertical="center" wrapText="1"/>
    </xf>
    <xf numFmtId="164" fontId="22" fillId="13" borderId="1" xfId="2" applyNumberFormat="1" applyFont="1" applyFill="1" applyBorder="1" applyAlignment="1">
      <alignment horizontal="center" vertical="center" wrapText="1"/>
    </xf>
    <xf numFmtId="2" fontId="22" fillId="13" borderId="1" xfId="2" applyNumberFormat="1" applyFont="1" applyFill="1" applyBorder="1" applyAlignment="1">
      <alignment horizontal="center" vertical="center" wrapText="1"/>
    </xf>
    <xf numFmtId="166" fontId="22" fillId="13" borderId="1" xfId="2" applyNumberFormat="1" applyFont="1" applyFill="1" applyBorder="1" applyAlignment="1">
      <alignment horizontal="center" vertical="center" wrapText="1"/>
    </xf>
    <xf numFmtId="0" fontId="22" fillId="13" borderId="7" xfId="2" applyFont="1" applyFill="1" applyBorder="1" applyAlignment="1">
      <alignment horizontal="center" vertical="center" wrapText="1"/>
    </xf>
    <xf numFmtId="0" fontId="22" fillId="13" borderId="5" xfId="2" applyFont="1" applyFill="1" applyBorder="1" applyAlignment="1">
      <alignment horizontal="center" vertical="center" wrapText="1"/>
    </xf>
    <xf numFmtId="164" fontId="22" fillId="13" borderId="5" xfId="2" applyNumberFormat="1" applyFont="1" applyFill="1" applyBorder="1" applyAlignment="1">
      <alignment horizontal="center" vertical="center" wrapText="1"/>
    </xf>
    <xf numFmtId="2" fontId="22" fillId="13" borderId="5" xfId="2" applyNumberFormat="1" applyFont="1" applyFill="1" applyBorder="1" applyAlignment="1">
      <alignment horizontal="center" vertical="center" wrapText="1"/>
    </xf>
    <xf numFmtId="166" fontId="22" fillId="13" borderId="5" xfId="2" applyNumberFormat="1" applyFont="1" applyFill="1" applyBorder="1" applyAlignment="1">
      <alignment horizontal="center" vertical="center" wrapText="1"/>
    </xf>
    <xf numFmtId="0" fontId="22" fillId="13" borderId="18" xfId="2" applyFont="1" applyFill="1" applyBorder="1" applyAlignment="1">
      <alignment horizontal="center" vertical="center" wrapText="1"/>
    </xf>
    <xf numFmtId="0" fontId="23" fillId="11" borderId="1" xfId="2" applyFont="1" applyFill="1" applyBorder="1" applyAlignment="1">
      <alignment vertical="center" wrapText="1"/>
    </xf>
  </cellXfs>
  <cellStyles count="2">
    <cellStyle name="Normal" xfId="0" builtinId="0"/>
    <cellStyle name="Normal 2" xfId="1" xr:uid="{D265C5C5-3C9A-451D-BEDF-8B26C478DF33}"/>
  </cellStyles>
  <dxfs count="59">
    <dxf>
      <font>
        <b/>
        <color rgb="FF35765A"/>
      </font>
      <fill>
        <patternFill>
          <bgColor rgb="FFE7EEE8"/>
        </patternFill>
      </fill>
    </dxf>
    <dxf>
      <fill>
        <patternFill>
          <bgColor rgb="FFF2F5F8"/>
        </patternFill>
      </fill>
    </dxf>
    <dxf>
      <fill>
        <patternFill>
          <bgColor rgb="FFF2F5F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F59"/>
        <name val="Arial"/>
        <scheme val="none"/>
      </font>
      <fill>
        <patternFill patternType="solid">
          <fgColor indexed="64"/>
          <bgColor rgb="FFF1F4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17416B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399436</xdr:colOff>
      <xdr:row>8</xdr:row>
      <xdr:rowOff>162354</xdr:rowOff>
    </xdr:from>
    <xdr:to>
      <xdr:col>2</xdr:col>
      <xdr:colOff>583791</xdr:colOff>
      <xdr:row>9</xdr:row>
      <xdr:rowOff>100903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40A84E0F-11A3-7A6A-A011-76350AE3C9EE}"/>
            </a:ext>
          </a:extLst>
        </xdr:cNvPr>
        <xdr:cNvSpPr/>
      </xdr:nvSpPr>
      <xdr:spPr>
        <a:xfrm>
          <a:off x="3980130" y="2396613"/>
          <a:ext cx="184355" cy="22077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419919</xdr:colOff>
      <xdr:row>8</xdr:row>
      <xdr:rowOff>163871</xdr:rowOff>
    </xdr:from>
    <xdr:to>
      <xdr:col>5</xdr:col>
      <xdr:colOff>604274</xdr:colOff>
      <xdr:row>9</xdr:row>
      <xdr:rowOff>102420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B0790EA2-DB3C-4405-9F38-25DC32370D07}"/>
            </a:ext>
          </a:extLst>
        </xdr:cNvPr>
        <xdr:cNvSpPr/>
      </xdr:nvSpPr>
      <xdr:spPr>
        <a:xfrm>
          <a:off x="6595806" y="2355645"/>
          <a:ext cx="184355" cy="21508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1003709</xdr:colOff>
      <xdr:row>8</xdr:row>
      <xdr:rowOff>153629</xdr:rowOff>
    </xdr:from>
    <xdr:to>
      <xdr:col>8</xdr:col>
      <xdr:colOff>1188064</xdr:colOff>
      <xdr:row>9</xdr:row>
      <xdr:rowOff>92178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F9A9B3A7-9C6C-4247-8BA3-DD4448A50E56}"/>
            </a:ext>
          </a:extLst>
        </xdr:cNvPr>
        <xdr:cNvSpPr/>
      </xdr:nvSpPr>
      <xdr:spPr>
        <a:xfrm>
          <a:off x="9535241" y="2345403"/>
          <a:ext cx="184355" cy="21508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860323</xdr:colOff>
      <xdr:row>8</xdr:row>
      <xdr:rowOff>162353</xdr:rowOff>
    </xdr:from>
    <xdr:to>
      <xdr:col>10</xdr:col>
      <xdr:colOff>1044678</xdr:colOff>
      <xdr:row>9</xdr:row>
      <xdr:rowOff>100902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B028F623-F6BB-49BB-BC28-C719E3E54ECA}"/>
            </a:ext>
          </a:extLst>
        </xdr:cNvPr>
        <xdr:cNvSpPr/>
      </xdr:nvSpPr>
      <xdr:spPr>
        <a:xfrm>
          <a:off x="13601480" y="2396612"/>
          <a:ext cx="184355" cy="22077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3</xdr:row>
      <xdr:rowOff>247651</xdr:rowOff>
    </xdr:from>
    <xdr:to>
      <xdr:col>0</xdr:col>
      <xdr:colOff>613410</xdr:colOff>
      <xdr:row>5</xdr:row>
      <xdr:rowOff>2922</xdr:rowOff>
    </xdr:to>
    <xdr:sp macro="" textlink="">
      <xdr:nvSpPr>
        <xdr:cNvPr id="3" name="Arrow: Bent-Up 2">
          <a:extLst>
            <a:ext uri="{FF2B5EF4-FFF2-40B4-BE49-F238E27FC236}">
              <a16:creationId xmlns:a16="http://schemas.microsoft.com/office/drawing/2014/main" id="{8CF2BBA7-D482-AEAF-7E01-53D30C15472B}"/>
            </a:ext>
          </a:extLst>
        </xdr:cNvPr>
        <xdr:cNvSpPr/>
      </xdr:nvSpPr>
      <xdr:spPr>
        <a:xfrm rot="5400000">
          <a:off x="317944" y="1104457"/>
          <a:ext cx="314071" cy="27686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1555750</xdr:colOff>
      <xdr:row>4</xdr:row>
      <xdr:rowOff>6351</xdr:rowOff>
    </xdr:from>
    <xdr:to>
      <xdr:col>0</xdr:col>
      <xdr:colOff>1870710</xdr:colOff>
      <xdr:row>5</xdr:row>
      <xdr:rowOff>6354</xdr:rowOff>
    </xdr:to>
    <xdr:sp macro="" textlink="">
      <xdr:nvSpPr>
        <xdr:cNvPr id="2" name="Arrow: Bent-Up 1">
          <a:extLst>
            <a:ext uri="{FF2B5EF4-FFF2-40B4-BE49-F238E27FC236}">
              <a16:creationId xmlns:a16="http://schemas.microsoft.com/office/drawing/2014/main" id="{7FFB8E8E-A6E4-F55C-EF01-DB6CDC61B079}"/>
            </a:ext>
          </a:extLst>
        </xdr:cNvPr>
        <xdr:cNvSpPr/>
      </xdr:nvSpPr>
      <xdr:spPr>
        <a:xfrm rot="5400000">
          <a:off x="1573528" y="1106173"/>
          <a:ext cx="279403" cy="314960"/>
        </a:xfrm>
        <a:prstGeom prst="bent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StaffReview" displayName="StaffReview" ref="A7:L507" totalsRowShown="0">
  <tableColumns count="12">
    <tableColumn id="1" xr3:uid="{00000000-0010-0000-0000-000001000000}" name="School ID"/>
    <tableColumn id="2" xr3:uid="{00000000-0010-0000-0000-000002000000}" name="School name"/>
    <tableColumn id="3" xr3:uid="{00000000-0010-0000-0000-000003000000}" name="Already served"/>
    <tableColumn id="4" xr3:uid="{00000000-0010-0000-0000-000004000000}" name="Verified fresh miles"/>
    <tableColumn id="5" xr3:uid="{00000000-0010-0000-0000-000005000000}" name="Fresh checked"/>
    <tableColumn id="6" xr3:uid="{00000000-0010-0000-0000-000006000000}" name="Verified resources ≤1mi"/>
    <tableColumn id="7" xr3:uid="{00000000-0010-0000-0000-000007000000}" name="Resources checked"/>
    <tableColumn id="8" xr3:uid="{00000000-0010-0000-0000-000008000000}" name="Evidence / notes"/>
    <tableColumn id="9" xr3:uid="{00000000-0010-0000-0000-000009000000}" name="Owner"/>
    <tableColumn id="10" xr3:uid="{00000000-0010-0000-0000-00000A000000}" name="Contact stage"/>
    <tableColumn id="11" xr3:uid="{00000000-0010-0000-0000-00000B000000}" name="Readiness"/>
    <tableColumn id="12" xr3:uid="{00000000-0010-0000-0000-00000C000000}" name="Record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6947D0-1A50-4786-B7CE-8E0B08C6EEA3}" name="Table1" displayName="Table1" ref="A12:N512" totalsRowShown="0" headerRowDxfId="17" headerRowBorderDxfId="19" tableBorderDxfId="20" totalsRowBorderDxfId="18">
  <autoFilter ref="A12:N512" xr:uid="{44409BE9-FB9B-4DE3-87CB-930FCDA0A4DA}"/>
  <tableColumns count="14">
    <tableColumn id="1" xr3:uid="{F8EFD8B0-2AB2-4577-8015-3D458347A4FC}" name="Order" dataDxfId="16"/>
    <tableColumn id="2" xr3:uid="{4DA2EC7E-FB83-49FA-BB09-3E964FE620BF}" name="School" dataDxfId="15"/>
    <tableColumn id="3" xr3:uid="{5C6C3D58-1C0D-471C-8749-03E12F85EE9C}" name="Type" dataDxfId="14"/>
    <tableColumn id="12" xr3:uid="{00000000-0010-0000-0700-00000C000000}" name="School level" dataDxfId="13"/>
    <tableColumn id="4" xr3:uid="{2CFCDB87-CFA0-4344-BD9E-308794CD1B45}" name="Economic %" dataDxfId="12"/>
    <tableColumn id="5" xr3:uid="{BFBA4573-D755-449A-8076-FD3087E22462}" name="Enrollment" dataDxfId="11"/>
    <tableColumn id="6" xr3:uid="{4C46FD76-6980-4A8A-8329-69DB29A93CBC}" name="Fresh miles" dataDxfId="10"/>
    <tableColumn id="7" xr3:uid="{477F26F8-3D49-41C1-90FF-8F08280B5466}" name="Resources ≤1mi" dataDxfId="9"/>
    <tableColumn id="8" xr3:uid="{A8D9AF66-A37E-4A81-ABE6-3F133E12E084}" name="Score /85" dataDxfId="8"/>
    <tableColumn id="9" xr3:uid="{606C041C-0044-4A1B-B661-10443886A5B7}" name="Food evidence" dataDxfId="7"/>
    <tableColumn id="10" xr3:uid="{5EC800CC-FAA0-4393-B4CD-C44F4957AC0D}" name="Why it needs attention" dataDxfId="6"/>
    <tableColumn id="13" xr3:uid="{00000000-0010-0000-0100-00000D000000}" name="Contact no." dataDxfId="5"/>
    <tableColumn id="16" xr3:uid="{00000000-0010-0000-0100-000010000000}" name="Source row" dataDxfId="4"/>
    <tableColumn id="14" xr3:uid="{3CF54D99-93ED-4AD2-8E28-BF573CBE4776}" name="Review row2" dataDxfId="3">
      <calculatedColumnFormula>IF($M13=0,"",IF(INDEX(Data!$I$2051:$I$2550,$M13)=0,"Add ID","Row "&amp;(INDEX(Data!$I$2051:$I$2550,$M13)+7)))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choolSource" displayName="SchoolSource" ref="A1:R330" totalsRowShown="0" headerRowDxfId="58" dataDxfId="56" headerRowBorderDxfId="57" tableBorderDxfId="55" totalsRowBorderDxfId="54">
  <tableColumns count="18">
    <tableColumn id="1" xr3:uid="{00000000-0010-0000-0100-000001000000}" name="School ID" dataDxfId="53"/>
    <tableColumn id="2" xr3:uid="{00000000-0010-0000-0100-000002000000}" name="School name" dataDxfId="52"/>
    <tableColumn id="3" xr3:uid="{00000000-0010-0000-0100-000003000000}" name="Governance" dataDxfId="51"/>
    <tableColumn id="4" xr3:uid="{00000000-0010-0000-0100-000004000000}" name="Title I" dataDxfId="50"/>
    <tableColumn id="5" xr3:uid="{00000000-0010-0000-0100-000005000000}" name="Level" dataDxfId="49"/>
    <tableColumn id="6" xr3:uid="{00000000-0010-0000-0100-000006000000}" name="Address" dataDxfId="48"/>
    <tableColumn id="7" xr3:uid="{00000000-0010-0000-0100-000007000000}" name="City" dataDxfId="47"/>
    <tableColumn id="8" xr3:uid="{00000000-0010-0000-0100-000008000000}" name="ZIP" dataDxfId="46"/>
    <tableColumn id="9" xr3:uid="{00000000-0010-0000-0100-000009000000}" name="Latitude" dataDxfId="45"/>
    <tableColumn id="10" xr3:uid="{00000000-0010-0000-0100-00000A000000}" name="Longitude" dataDxfId="44"/>
    <tableColumn id="11" xr3:uid="{00000000-0010-0000-0100-00000B000000}" name="Enrollment" dataDxfId="43"/>
    <tableColumn id="12" xr3:uid="{00000000-0010-0000-0100-00000C000000}" name="Economic disadvantage" dataDxfId="42"/>
    <tableColumn id="13" xr3:uid="{00000000-0010-0000-0100-00000D000000}" name="Listed food sites ≤1mi" dataDxfId="41"/>
    <tableColumn id="14" xr3:uid="{00000000-0010-0000-0100-00000E000000}" name="School year" dataDxfId="40"/>
    <tableColumn id="15" xr3:uid="{00000000-0010-0000-0100-00000F000000}" name="Retrieved" dataDxfId="39"/>
    <tableColumn id="16" xr3:uid="{00000000-0010-0000-0100-000010000000}" name="Dataset" dataDxfId="38"/>
    <tableColumn id="17" xr3:uid="{00000000-0010-0000-0100-000011000000}" name="PA school code" dataDxfId="37"/>
    <tableColumn id="18" xr3:uid="{00000000-0010-0000-0100-000012000000}" name="AUN" dataDxfId="3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FoodSource" displayName="FoodSource" ref="A510:L819" totalsRowShown="0">
  <tableColumns count="12">
    <tableColumn id="1" xr3:uid="{00000000-0010-0000-0200-000001000000}" name="Site ID"/>
    <tableColumn id="2" xr3:uid="{00000000-0010-0000-0200-000002000000}" name="Site name"/>
    <tableColumn id="3" xr3:uid="{00000000-0010-0000-0200-000003000000}" name="Address"/>
    <tableColumn id="4" xr3:uid="{00000000-0010-0000-0200-000004000000}" name="Type"/>
    <tableColumn id="5" xr3:uid="{00000000-0010-0000-0200-000005000000}" name="Status"/>
    <tableColumn id="6" xr3:uid="{00000000-0010-0000-0200-000006000000}" name="Latitude"/>
    <tableColumn id="7" xr3:uid="{00000000-0010-0000-0200-000007000000}" name="Longitude"/>
    <tableColumn id="8" xr3:uid="{00000000-0010-0000-0200-000008000000}" name="Candidate"/>
    <tableColumn id="9" xr3:uid="{00000000-0010-0000-0200-000009000000}" name="Temporary closure"/>
    <tableColumn id="10" xr3:uid="{00000000-0010-0000-0200-00000A000000}" name="Seasonal closure"/>
    <tableColumn id="11" xr3:uid="{00000000-0010-0000-0200-00000B000000}" name="ZIP restrictions"/>
    <tableColumn id="12" xr3:uid="{00000000-0010-0000-0200-00000C000000}" name="Websi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RetailSource" displayName="RetailSource" ref="A1020:K1409" totalsRowShown="0">
  <tableColumns count="11">
    <tableColumn id="1" xr3:uid="{00000000-0010-0000-0300-000001000000}" name="Retailer ID"/>
    <tableColumn id="2" xr3:uid="{00000000-0010-0000-0300-000002000000}" name="Retailer name"/>
    <tableColumn id="3" xr3:uid="{00000000-0010-0000-0300-000003000000}" name="Store type"/>
    <tableColumn id="4" xr3:uid="{00000000-0010-0000-0300-000004000000}" name="Address"/>
    <tableColumn id="5" xr3:uid="{00000000-0010-0000-0300-000005000000}" name="City"/>
    <tableColumn id="6" xr3:uid="{00000000-0010-0000-0300-000006000000}" name="State"/>
    <tableColumn id="7" xr3:uid="{00000000-0010-0000-0300-000007000000}" name="ZIP"/>
    <tableColumn id="8" xr3:uid="{00000000-0010-0000-0300-000008000000}" name="Latitude"/>
    <tableColumn id="9" xr3:uid="{00000000-0010-0000-0300-000009000000}" name="Longitude"/>
    <tableColumn id="10" xr3:uid="{00000000-0010-0000-0300-00000A000000}" name="Source"/>
    <tableColumn id="11" xr3:uid="{00000000-0010-0000-0300-00000B000000}" name="Retriev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AccessSource" displayName="AccessSource" ref="A1530:I1859" totalsRowShown="0">
  <tableColumns count="9">
    <tableColumn id="1" xr3:uid="{00000000-0010-0000-0400-000001000000}" name="School ID"/>
    <tableColumn id="2" xr3:uid="{00000000-0010-0000-0400-000002000000}" name="School name"/>
    <tableColumn id="3" xr3:uid="{00000000-0010-0000-0400-000003000000}" name="Listed supermarket miles"/>
    <tableColumn id="4" xr3:uid="{00000000-0010-0000-0400-000004000000}" name="Retailer ID"/>
    <tableColumn id="5" xr3:uid="{00000000-0010-0000-0400-000005000000}" name="Nearest listed supermarket"/>
    <tableColumn id="6" xr3:uid="{00000000-0010-0000-0400-000006000000}" name="Retailer address"/>
    <tableColumn id="7" xr3:uid="{00000000-0010-0000-0400-000007000000}" name="Listed food sites within 1mi"/>
    <tableColumn id="8" xr3:uid="{00000000-0010-0000-0400-000008000000}" name="Retrieved"/>
    <tableColumn id="9" xr3:uid="{00000000-0010-0000-0400-000009000000}" name="Cau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SourceSettings" displayName="SourceSettings" ref="T1:U8" totalsRowShown="0" headerRowDxfId="35" headerRowBorderDxfId="34" tableBorderDxfId="33" totalsRowBorderDxfId="32">
  <tableColumns count="2">
    <tableColumn id="1" xr3:uid="{00000000-0010-0000-0500-000001000000}" name="Setting" dataDxfId="31"/>
    <tableColumn id="2" xr3:uid="{00000000-0010-0000-0500-000002000000}" name="Value" dataDxfId="30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ContactSource" displayName="ContactSource" ref="T40:Z369" totalsRowShown="0" headerRowDxfId="29" dataDxfId="28">
  <tableColumns count="7">
    <tableColumn id="1" xr3:uid="{00000000-0010-0000-0600-000001000000}" name="School ID" dataDxfId="27"/>
    <tableColumn id="2" xr3:uid="{00000000-0010-0000-0600-000002000000}" name="Phone" dataDxfId="26"/>
    <tableColumn id="3" xr3:uid="{00000000-0010-0000-0600-000003000000}" name="Website" dataDxfId="25"/>
    <tableColumn id="4" xr3:uid="{00000000-0010-0000-0600-000004000000}" name="Directory year" dataDxfId="24"/>
    <tableColumn id="5" xr3:uid="{00000000-0010-0000-0600-000005000000}" name="Title I source year" dataDxfId="23"/>
    <tableColumn id="6" xr3:uid="{00000000-0010-0000-0600-000006000000}" name="Published Title I value used" dataDxfId="22"/>
    <tableColumn id="7" xr3:uid="{00000000-0010-0000-0600-000007000000}" name="Current directory Title I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3B7A-F016-40FE-A8B4-265B2BE58099}">
  <sheetPr>
    <tabColor rgb="FF35765A"/>
  </sheetPr>
  <dimension ref="A1:N560"/>
  <sheetViews>
    <sheetView showGridLines="0" tabSelected="1" zoomScale="70" workbookViewId="0">
      <selection activeCell="B1" sqref="B1"/>
    </sheetView>
  </sheetViews>
  <sheetFormatPr defaultRowHeight="14"/>
  <cols>
    <col min="1" max="1" width="8" customWidth="1"/>
    <col min="2" max="2" width="39" customWidth="1"/>
    <col min="3" max="3" width="12" customWidth="1"/>
    <col min="4" max="5" width="11" customWidth="1"/>
    <col min="6" max="7" width="10" customWidth="1"/>
    <col min="8" max="8" width="11" customWidth="1"/>
    <col min="9" max="9" width="18" customWidth="1"/>
    <col min="10" max="10" width="37" customWidth="1"/>
    <col min="11" max="11" width="14" customWidth="1"/>
    <col min="12" max="12" width="19" customWidth="1"/>
    <col min="13" max="13" width="3" customWidth="1"/>
    <col min="14" max="14" width="0" hidden="1" customWidth="1"/>
  </cols>
  <sheetData>
    <row r="1" spans="1:14" ht="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 ht="36.5" customHeight="1">
      <c r="A2" s="89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4" ht="22" customHeight="1">
      <c r="A3" s="88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4" ht="22" customHeight="1">
      <c r="A4" s="87" t="s">
        <v>2</v>
      </c>
      <c r="B4" s="87"/>
      <c r="C4" s="87"/>
      <c r="D4" s="87"/>
      <c r="E4" s="87" t="s">
        <v>3</v>
      </c>
      <c r="F4" s="87"/>
      <c r="G4" s="87"/>
      <c r="H4" s="87" t="s">
        <v>4</v>
      </c>
      <c r="I4" s="87"/>
      <c r="J4" s="87" t="s">
        <v>5</v>
      </c>
      <c r="K4" s="2"/>
      <c r="L4" s="2"/>
    </row>
    <row r="5" spans="1:14" ht="22" customHeight="1">
      <c r="A5" s="2"/>
      <c r="B5" s="18" t="s">
        <v>6</v>
      </c>
      <c r="C5" s="16"/>
      <c r="D5" s="16"/>
      <c r="E5" s="19">
        <f ca="1">TODAY()</f>
        <v>46316</v>
      </c>
      <c r="F5" s="16"/>
      <c r="G5" s="16"/>
      <c r="H5" s="18">
        <v>180</v>
      </c>
      <c r="I5" s="16"/>
      <c r="J5" s="19">
        <f>MIN(DATEVALUE(Data!O2),DATEVALUE(Data!H1531),DATEVALUE(Data!K1021))</f>
        <v>46304</v>
      </c>
      <c r="K5" s="2"/>
      <c r="L5" s="2"/>
    </row>
    <row r="6" spans="1:14" ht="2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4" ht="22" customHeight="1">
      <c r="A7" s="87" t="s">
        <v>7</v>
      </c>
      <c r="B7" s="87"/>
      <c r="C7" s="87"/>
      <c r="D7" s="87" t="s">
        <v>4629</v>
      </c>
      <c r="E7" s="87"/>
      <c r="F7" s="87"/>
      <c r="G7" s="87" t="s">
        <v>8</v>
      </c>
      <c r="H7" s="87"/>
      <c r="I7" s="87"/>
      <c r="J7" s="104" t="s">
        <v>9</v>
      </c>
      <c r="K7" s="2"/>
      <c r="L7" s="2"/>
    </row>
    <row r="8" spans="1:14" ht="22" customHeight="1">
      <c r="A8" s="2"/>
      <c r="B8" s="15">
        <f>COUNTIFS(Data!$H$2051:$H$2550,"Yes")</f>
        <v>305</v>
      </c>
      <c r="C8" s="16"/>
      <c r="D8" s="16"/>
      <c r="E8" s="15">
        <f ca="1">SUM(Data!$AP$2051:$AP$2550)</f>
        <v>45</v>
      </c>
      <c r="F8" s="16"/>
      <c r="G8" s="16"/>
      <c r="H8" s="17">
        <f ca="1">SUM(E13:E37)</f>
        <v>14077</v>
      </c>
      <c r="I8" s="16"/>
      <c r="J8" s="16"/>
      <c r="K8" s="15">
        <f>COUNTIFS(Data!$H$2051:$H$2550,"Yes",Data!$J$2051:$J$2550,"Yes")</f>
        <v>0</v>
      </c>
      <c r="L8" s="2"/>
    </row>
    <row r="9" spans="1:14" ht="22" customHeight="1">
      <c r="A9" s="103" t="s">
        <v>36</v>
      </c>
      <c r="B9" s="86"/>
      <c r="C9" s="86"/>
      <c r="D9" s="103" t="s">
        <v>4628</v>
      </c>
      <c r="E9" s="86"/>
      <c r="F9" s="86"/>
      <c r="G9" s="103" t="s">
        <v>4630</v>
      </c>
      <c r="H9" s="86"/>
      <c r="I9" s="86"/>
      <c r="J9" s="103" t="s">
        <v>4631</v>
      </c>
      <c r="K9" s="2"/>
      <c r="L9" s="2" t="s">
        <v>4639</v>
      </c>
    </row>
    <row r="10" spans="1:14" ht="27" customHeight="1">
      <c r="A10" s="2" t="s">
        <v>435</v>
      </c>
      <c r="B10" s="2"/>
      <c r="C10" s="2"/>
      <c r="D10" s="2" t="s">
        <v>490</v>
      </c>
      <c r="E10" s="2"/>
      <c r="F10" s="2"/>
      <c r="G10" s="2" t="s">
        <v>4632</v>
      </c>
      <c r="H10" s="2"/>
      <c r="I10" s="2"/>
      <c r="J10" s="2" t="s">
        <v>4633</v>
      </c>
      <c r="K10" s="2"/>
      <c r="L10" s="2"/>
    </row>
    <row r="11" spans="1:14" ht="22" customHeight="1">
      <c r="A11" s="109" t="str">
        <f ca="1">IF(E8=0,"No matching schools. Change the filters above.","Showing "&amp;MIN(25,E8)&amp;" of "&amp;E8&amp;" matching schools not marked served. Select All to reset each filter.")</f>
        <v>Showing 25 of 45 matching schools not marked served. Select All to reset each filter.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1"/>
      <c r="L11" s="2"/>
    </row>
    <row r="12" spans="1:14" ht="44.5" customHeight="1">
      <c r="A12" s="60" t="s">
        <v>11</v>
      </c>
      <c r="B12" s="99" t="s">
        <v>12</v>
      </c>
      <c r="C12" s="99" t="s">
        <v>13</v>
      </c>
      <c r="D12" s="99" t="s">
        <v>14</v>
      </c>
      <c r="E12" s="99" t="s">
        <v>15</v>
      </c>
      <c r="F12" s="100" t="s">
        <v>16</v>
      </c>
      <c r="G12" s="99" t="s">
        <v>17</v>
      </c>
      <c r="H12" s="100" t="s">
        <v>18</v>
      </c>
      <c r="I12" s="101" t="s">
        <v>19</v>
      </c>
      <c r="J12" s="91" t="s">
        <v>20</v>
      </c>
      <c r="K12" s="96" t="s">
        <v>21</v>
      </c>
      <c r="L12" s="156" t="s">
        <v>4640</v>
      </c>
    </row>
    <row r="13" spans="1:14" ht="38" customHeight="1">
      <c r="A13" s="15">
        <f ca="1">IF($N13=0,"",1)</f>
        <v>1</v>
      </c>
      <c r="B13" s="90" t="str">
        <f ca="1">IF($N13=0,"",INDEX(Data!$B$2051:$B$2550,$N13))</f>
        <v>Rhawnhurst School</v>
      </c>
      <c r="C13" s="92" t="str">
        <f ca="1">IF($N13=0,"",INDEX(Data!$C$2051:$C$2550,$N13))</f>
        <v>District</v>
      </c>
      <c r="D13" s="93">
        <f ca="1">IF($N13=0,"",INDEX(Data!$G$2051:$G$2550,$N13))</f>
        <v>0.76370000000000005</v>
      </c>
      <c r="E13" s="94">
        <f ca="1">IF($N13=0,"",INDEX(Data!$F$2051:$F$2550,$N13))</f>
        <v>584</v>
      </c>
      <c r="F13" s="95">
        <f ca="1">IF($N13=0,"",INDEX(Data!$K$2051:$K$2550,$N13))</f>
        <v>0.51437216105070149</v>
      </c>
      <c r="G13" s="92">
        <f ca="1">IF($N13=0,"",INDEX(Data!$L$2051:$L$2550,$N13))</f>
        <v>0</v>
      </c>
      <c r="H13" s="97">
        <f ca="1">IF($N13=0,"",INDEX(Data!$T$2051:$T$2550,$N13))</f>
        <v>64</v>
      </c>
      <c r="I13" s="92" t="str">
        <f ca="1">IF($N13=0,"",INDEX(Data!$U$2051:$U$2550,$N13))</f>
        <v>Listed</v>
      </c>
      <c r="J13" s="98" t="str">
        <f ca="1">IF($N13=0,"",INDEX(Data!$AA$2051:$AA$2550,$N13))</f>
        <v>76% economic need; 0.51 mi fresh access; 0 nearby resources</v>
      </c>
      <c r="K13" s="102" t="str">
        <f ca="1">IF($N13=0,"",IF(INDEX(Data!$I$2051:$I$2550,$N13)=0,"Add ID","Row "&amp;(INDEX(Data!$I$2051:$I$2550,$N13)+7)))</f>
        <v>Row 254</v>
      </c>
      <c r="L13" s="131" t="str">
        <f ca="1">IF($N13=0,"",IF(INDEX(Data!$AN$2051:$AN$2550,$N13)=0,"",IF(INDEX(Data!$U$41:$U$540,INDEX(Data!$AN$2051:$AN$2550,$N13))="","",INDEX(Data!$U$41:$U$540,INDEX(Data!$AN$2051:$AN$2550,$N13)))))</f>
        <v>215-400-3220</v>
      </c>
      <c r="N13" s="105">
        <f ca="1">IF(COUNTIFS(Data!$AR$2051:$AR$2550,1)=1,MATCH(1,Data!$AR$2051:$AR$2550,0),0)</f>
        <v>309</v>
      </c>
    </row>
    <row r="14" spans="1:14" ht="38" customHeight="1">
      <c r="A14" s="15">
        <f ca="1">IF($N14=0,"",2)</f>
        <v>2</v>
      </c>
      <c r="B14" s="23" t="str">
        <f ca="1">IF($N14=0,"",INDEX(Data!$B$2051:$B$2550,$N14))</f>
        <v>Kennedy C. Crossan School</v>
      </c>
      <c r="C14" s="15" t="str">
        <f ca="1">IF($N14=0,"",INDEX(Data!$C$2051:$C$2550,$N14))</f>
        <v>District</v>
      </c>
      <c r="D14" s="24">
        <f ca="1">IF($N14=0,"",INDEX(Data!$G$2051:$G$2550,$N14))</f>
        <v>0.73580000000000001</v>
      </c>
      <c r="E14" s="17">
        <f ca="1">IF($N14=0,"",INDEX(Data!$F$2051:$F$2550,$N14))</f>
        <v>318</v>
      </c>
      <c r="F14" s="25">
        <f ca="1">IF($N14=0,"",INDEX(Data!$K$2051:$K$2550,$N14))</f>
        <v>0.82466884245046634</v>
      </c>
      <c r="G14" s="15">
        <f ca="1">IF($N14=0,"",INDEX(Data!$L$2051:$L$2550,$N14))</f>
        <v>2</v>
      </c>
      <c r="H14" s="26">
        <f ca="1">IF($N14=0,"",INDEX(Data!$T$2051:$T$2550,$N14))</f>
        <v>57</v>
      </c>
      <c r="I14" s="15" t="str">
        <f ca="1">IF($N14=0,"",INDEX(Data!$U$2051:$U$2550,$N14))</f>
        <v>Listed</v>
      </c>
      <c r="J14" s="21" t="str">
        <f ca="1">IF($N14=0,"",INDEX(Data!$AA$2051:$AA$2550,$N14))</f>
        <v>74% economic need; 0.82 mi fresh access; 2 nearby resources</v>
      </c>
      <c r="K14" s="22" t="str">
        <f ca="1">IF($N14=0,"",IF(INDEX(Data!$I$2051:$I$2550,$N14)=0,"Add ID","Row "&amp;(INDEX(Data!$I$2051:$I$2550,$N14)+7)))</f>
        <v>Row 163</v>
      </c>
      <c r="L14" s="133" t="str">
        <f ca="1">IF($N14=0,"",IF(INDEX(Data!$AN$2051:$AN$2550,$N14)=0,"",IF(INDEX(Data!$U$41:$U$540,INDEX(Data!$AN$2051:$AN$2550,$N14))="","",INDEX(Data!$U$41:$U$540,INDEX(Data!$AN$2051:$AN$2550,$N14)))))</f>
        <v>215-400-3160</v>
      </c>
      <c r="N14" s="105">
        <f ca="1">IF(COUNTIFS(Data!$AR$2051:$AR$2550,2)=1,MATCH(2,Data!$AR$2051:$AR$2550,0),0)</f>
        <v>300</v>
      </c>
    </row>
    <row r="15" spans="1:14" ht="38" customHeight="1">
      <c r="A15" s="15">
        <f ca="1">IF($N15=0,"",3)</f>
        <v>3</v>
      </c>
      <c r="B15" s="23" t="str">
        <f ca="1">IF($N15=0,"",INDEX(Data!$B$2051:$B$2550,$N15))</f>
        <v>Edwin Forrest School</v>
      </c>
      <c r="C15" s="15" t="str">
        <f ca="1">IF($N15=0,"",INDEX(Data!$C$2051:$C$2550,$N15))</f>
        <v>District</v>
      </c>
      <c r="D15" s="24">
        <f ca="1">IF($N15=0,"",INDEX(Data!$G$2051:$G$2550,$N15))</f>
        <v>0.77600000000000002</v>
      </c>
      <c r="E15" s="17">
        <f ca="1">IF($N15=0,"",INDEX(Data!$F$2051:$F$2550,$N15))</f>
        <v>798</v>
      </c>
      <c r="F15" s="25">
        <f ca="1">IF($N15=0,"",INDEX(Data!$K$2051:$K$2550,$N15))</f>
        <v>0.7703459815748348</v>
      </c>
      <c r="G15" s="15">
        <f ca="1">IF($N15=0,"",INDEX(Data!$L$2051:$L$2550,$N15))</f>
        <v>3</v>
      </c>
      <c r="H15" s="26">
        <f ca="1">IF($N15=0,"",INDEX(Data!$T$2051:$T$2550,$N15))</f>
        <v>55</v>
      </c>
      <c r="I15" s="15" t="str">
        <f ca="1">IF($N15=0,"",INDEX(Data!$U$2051:$U$2550,$N15))</f>
        <v>Listed</v>
      </c>
      <c r="J15" s="21" t="str">
        <f ca="1">IF($N15=0,"",INDEX(Data!$AA$2051:$AA$2550,$N15))</f>
        <v>78% economic need; 0.77 mi fresh access; 3 nearby resources</v>
      </c>
      <c r="K15" s="22" t="str">
        <f ca="1">IF($N15=0,"",IF(INDEX(Data!$I$2051:$I$2550,$N15)=0,"Add ID","Row "&amp;(INDEX(Data!$I$2051:$I$2550,$N15)+7)))</f>
        <v>Row 65</v>
      </c>
      <c r="L15" s="131" t="str">
        <f ca="1">IF($N15=0,"",IF(INDEX(Data!$AN$2051:$AN$2550,$N15)=0,"",IF(INDEX(Data!$U$41:$U$540,INDEX(Data!$AN$2051:$AN$2550,$N15))="","",INDEX(Data!$U$41:$U$540,INDEX(Data!$AN$2051:$AN$2550,$N15)))))</f>
        <v>215-400-3330</v>
      </c>
      <c r="N15" s="105">
        <f ca="1">IF(COUNTIFS(Data!$AR$2051:$AR$2550,3)=1,MATCH(3,Data!$AR$2051:$AR$2550,0),0)</f>
        <v>302</v>
      </c>
    </row>
    <row r="16" spans="1:14" ht="38" customHeight="1">
      <c r="A16" s="15">
        <f ca="1">IF($N16=0,"",4)</f>
        <v>4</v>
      </c>
      <c r="B16" s="23" t="str">
        <f ca="1">IF($N16=0,"",INDEX(Data!$B$2051:$B$2550,$N16))</f>
        <v>Fox Chase School</v>
      </c>
      <c r="C16" s="15" t="str">
        <f ca="1">IF($N16=0,"",INDEX(Data!$C$2051:$C$2550,$N16))</f>
        <v>District</v>
      </c>
      <c r="D16" s="24">
        <f ca="1">IF($N16=0,"",INDEX(Data!$G$2051:$G$2550,$N16))</f>
        <v>0.68469999999999998</v>
      </c>
      <c r="E16" s="17">
        <f ca="1">IF($N16=0,"",INDEX(Data!$F$2051:$F$2550,$N16))</f>
        <v>500</v>
      </c>
      <c r="F16" s="25">
        <f ca="1">IF($N16=0,"",INDEX(Data!$K$2051:$K$2550,$N16))</f>
        <v>0.86765671809517808</v>
      </c>
      <c r="G16" s="15">
        <f ca="1">IF($N16=0,"",INDEX(Data!$L$2051:$L$2550,$N16))</f>
        <v>2</v>
      </c>
      <c r="H16" s="26">
        <f ca="1">IF($N16=0,"",INDEX(Data!$T$2051:$T$2550,$N16))</f>
        <v>54</v>
      </c>
      <c r="I16" s="15" t="str">
        <f ca="1">IF($N16=0,"",INDEX(Data!$U$2051:$U$2550,$N16))</f>
        <v>Listed</v>
      </c>
      <c r="J16" s="21" t="str">
        <f ca="1">IF($N16=0,"",INDEX(Data!$AA$2051:$AA$2550,$N16))</f>
        <v>68% economic need; 0.87 mi fresh access; 2 nearby resources</v>
      </c>
      <c r="K16" s="22" t="str">
        <f ca="1">IF($N16=0,"",IF(INDEX(Data!$I$2051:$I$2550,$N16)=0,"Add ID","Row "&amp;(INDEX(Data!$I$2051:$I$2550,$N16)+7)))</f>
        <v>Row 85</v>
      </c>
      <c r="L16" s="133" t="str">
        <f ca="1">IF($N16=0,"",IF(INDEX(Data!$AN$2051:$AN$2550,$N16)=0,"",IF(INDEX(Data!$U$41:$U$540,INDEX(Data!$AN$2051:$AN$2550,$N16))="","",INDEX(Data!$U$41:$U$540,INDEX(Data!$AN$2051:$AN$2550,$N16)))))</f>
        <v>215-400-3170</v>
      </c>
      <c r="N16" s="105">
        <f ca="1">IF(COUNTIFS(Data!$AR$2051:$AR$2550,4)=1,MATCH(4,Data!$AR$2051:$AR$2550,0),0)</f>
        <v>303</v>
      </c>
    </row>
    <row r="17" spans="1:14" ht="38" customHeight="1">
      <c r="A17" s="15">
        <f ca="1">IF($N17=0,"",5)</f>
        <v>5</v>
      </c>
      <c r="B17" s="23" t="str">
        <f ca="1">IF($N17=0,"",INDEX(Data!$B$2051:$B$2550,$N17))</f>
        <v>John M. Patterson School</v>
      </c>
      <c r="C17" s="15" t="str">
        <f ca="1">IF($N17=0,"",INDEX(Data!$C$2051:$C$2550,$N17))</f>
        <v>District</v>
      </c>
      <c r="D17" s="24">
        <f ca="1">IF($N17=0,"",INDEX(Data!$G$2051:$G$2550,$N17))</f>
        <v>0.84250000000000003</v>
      </c>
      <c r="E17" s="17">
        <f ca="1">IF($N17=0,"",INDEX(Data!$F$2051:$F$2550,$N17))</f>
        <v>353</v>
      </c>
      <c r="F17" s="25">
        <f ca="1">IF($N17=0,"",INDEX(Data!$K$2051:$K$2550,$N17))</f>
        <v>0.73087419427995581</v>
      </c>
      <c r="G17" s="15">
        <f ca="1">IF($N17=0,"",INDEX(Data!$L$2051:$L$2550,$N17))</f>
        <v>3</v>
      </c>
      <c r="H17" s="26">
        <f ca="1">IF($N17=0,"",INDEX(Data!$T$2051:$T$2550,$N17))</f>
        <v>53</v>
      </c>
      <c r="I17" s="15" t="str">
        <f ca="1">IF($N17=0,"",INDEX(Data!$U$2051:$U$2550,$N17))</f>
        <v>Listed</v>
      </c>
      <c r="J17" s="21" t="str">
        <f ca="1">IF($N17=0,"",INDEX(Data!$AA$2051:$AA$2550,$N17))</f>
        <v>84% economic need; 0.73 mi fresh access; 3 nearby resources</v>
      </c>
      <c r="K17" s="22" t="str">
        <f ca="1">IF($N17=0,"",IF(INDEX(Data!$I$2051:$I$2550,$N17)=0,"Add ID","Row "&amp;(INDEX(Data!$I$2051:$I$2550,$N17)+7)))</f>
        <v>Row 148</v>
      </c>
      <c r="L17" s="131" t="str">
        <f ca="1">IF($N17=0,"",IF(INDEX(Data!$AN$2051:$AN$2550,$N17)=0,"",IF(INDEX(Data!$U$41:$U$540,INDEX(Data!$AN$2051:$AN$2550,$N17))="","",INDEX(Data!$U$41:$U$540,INDEX(Data!$AN$2051:$AN$2550,$N17)))))</f>
        <v>215-400-8190</v>
      </c>
      <c r="N17" s="105">
        <f ca="1">IF(COUNTIFS(Data!$AR$2051:$AR$2550,5)=1,MATCH(5,Data!$AR$2051:$AR$2550,0),0)</f>
        <v>21</v>
      </c>
    </row>
    <row r="18" spans="1:14" ht="38" customHeight="1">
      <c r="A18" s="15">
        <f ca="1">IF($N18=0,"",6)</f>
        <v>6</v>
      </c>
      <c r="B18" s="23" t="str">
        <f ca="1">IF($N18=0,"",INDEX(Data!$B$2051:$B$2550,$N18))</f>
        <v>J. Hampton Moore School</v>
      </c>
      <c r="C18" s="15" t="str">
        <f ca="1">IF($N18=0,"",INDEX(Data!$C$2051:$C$2550,$N18))</f>
        <v>District</v>
      </c>
      <c r="D18" s="24">
        <f ca="1">IF($N18=0,"",INDEX(Data!$G$2051:$G$2550,$N18))</f>
        <v>0.77949999999999997</v>
      </c>
      <c r="E18" s="17">
        <f ca="1">IF($N18=0,"",INDEX(Data!$F$2051:$F$2550,$N18))</f>
        <v>1162</v>
      </c>
      <c r="F18" s="25">
        <f ca="1">IF($N18=0,"",INDEX(Data!$K$2051:$K$2550,$N18))</f>
        <v>0.48677921687658265</v>
      </c>
      <c r="G18" s="15">
        <f ca="1">IF($N18=0,"",INDEX(Data!$L$2051:$L$2550,$N18))</f>
        <v>2</v>
      </c>
      <c r="H18" s="26">
        <f ca="1">IF($N18=0,"",INDEX(Data!$T$2051:$T$2550,$N18))</f>
        <v>50</v>
      </c>
      <c r="I18" s="15" t="str">
        <f ca="1">IF($N18=0,"",INDEX(Data!$U$2051:$U$2550,$N18))</f>
        <v>Listed</v>
      </c>
      <c r="J18" s="21" t="str">
        <f ca="1">IF($N18=0,"",INDEX(Data!$AA$2051:$AA$2550,$N18))</f>
        <v>78% economic need; 0.49 mi fresh access; 2 nearby resources</v>
      </c>
      <c r="K18" s="22" t="str">
        <f ca="1">IF($N18=0,"",IF(INDEX(Data!$I$2051:$I$2550,$N18)=0,"Add ID","Row "&amp;(INDEX(Data!$I$2051:$I$2550,$N18)+7)))</f>
        <v>Row 131</v>
      </c>
      <c r="L18" s="133" t="str">
        <f ca="1">IF($N18=0,"",IF(INDEX(Data!$AN$2051:$AN$2550,$N18)=0,"",IF(INDEX(Data!$U$41:$U$540,INDEX(Data!$AN$2051:$AN$2550,$N18))="","",INDEX(Data!$U$41:$U$540,INDEX(Data!$AN$2051:$AN$2550,$N18)))))</f>
        <v>215-400-3180</v>
      </c>
      <c r="N18" s="105">
        <f ca="1">IF(COUNTIFS(Data!$AR$2051:$AR$2550,6)=1,MATCH(6,Data!$AR$2051:$AR$2550,0),0)</f>
        <v>306</v>
      </c>
    </row>
    <row r="19" spans="1:14" ht="38" customHeight="1">
      <c r="A19" s="15">
        <f ca="1">IF($N19=0,"",7)</f>
        <v>7</v>
      </c>
      <c r="B19" s="23" t="str">
        <f ca="1">IF($N19=0,"",INDEX(Data!$B$2051:$B$2550,$N19))</f>
        <v>Henry W. Lawton School</v>
      </c>
      <c r="C19" s="15" t="str">
        <f ca="1">IF($N19=0,"",INDEX(Data!$C$2051:$C$2550,$N19))</f>
        <v>District</v>
      </c>
      <c r="D19" s="24">
        <f ca="1">IF($N19=0,"",INDEX(Data!$G$2051:$G$2550,$N19))</f>
        <v>0.82750000000000001</v>
      </c>
      <c r="E19" s="17">
        <f ca="1">IF($N19=0,"",INDEX(Data!$F$2051:$F$2550,$N19))</f>
        <v>513</v>
      </c>
      <c r="F19" s="25">
        <f ca="1">IF($N19=0,"",INDEX(Data!$K$2051:$K$2550,$N19))</f>
        <v>0.36615105059730751</v>
      </c>
      <c r="G19" s="15">
        <f ca="1">IF($N19=0,"",INDEX(Data!$L$2051:$L$2550,$N19))</f>
        <v>3</v>
      </c>
      <c r="H19" s="26">
        <f ca="1">IF($N19=0,"",INDEX(Data!$T$2051:$T$2550,$N19))</f>
        <v>49</v>
      </c>
      <c r="I19" s="15" t="str">
        <f ca="1">IF($N19=0,"",INDEX(Data!$U$2051:$U$2550,$N19))</f>
        <v>Listed</v>
      </c>
      <c r="J19" s="21" t="str">
        <f ca="1">IF($N19=0,"",INDEX(Data!$AA$2051:$AA$2550,$N19))</f>
        <v>83% economic need; 0.37 mi fresh access; 3 nearby resources</v>
      </c>
      <c r="K19" s="22" t="str">
        <f ca="1">IF($N19=0,"",IF(INDEX(Data!$I$2051:$I$2550,$N19)=0,"Add ID","Row "&amp;(INDEX(Data!$I$2051:$I$2550,$N19)+7)))</f>
        <v>Row 119</v>
      </c>
      <c r="L19" s="131" t="str">
        <f ca="1">IF($N19=0,"",IF(INDEX(Data!$AN$2051:$AN$2550,$N19)=0,"",IF(INDEX(Data!$U$41:$U$540,INDEX(Data!$AN$2051:$AN$2550,$N19))="","",INDEX(Data!$U$41:$U$540,INDEX(Data!$AN$2051:$AN$2550,$N19)))))</f>
        <v>215-400-3340</v>
      </c>
      <c r="N19" s="105">
        <f ca="1">IF(COUNTIFS(Data!$AR$2051:$AR$2550,7)=1,MATCH(7,Data!$AR$2051:$AR$2550,0),0)</f>
        <v>270</v>
      </c>
    </row>
    <row r="20" spans="1:14" ht="38" customHeight="1">
      <c r="A20" s="15">
        <f ca="1">IF($N20=0,"",8)</f>
        <v>8</v>
      </c>
      <c r="B20" s="23" t="str">
        <f ca="1">IF($N20=0,"",INDEX(Data!$B$2051:$B$2550,$N20))</f>
        <v>Watson Comly School</v>
      </c>
      <c r="C20" s="15" t="str">
        <f ca="1">IF($N20=0,"",INDEX(Data!$C$2051:$C$2550,$N20))</f>
        <v>District</v>
      </c>
      <c r="D20" s="24">
        <f ca="1">IF($N20=0,"",INDEX(Data!$G$2051:$G$2550,$N20))</f>
        <v>0.66559999999999997</v>
      </c>
      <c r="E20" s="17">
        <f ca="1">IF($N20=0,"",INDEX(Data!$F$2051:$F$2550,$N20))</f>
        <v>660</v>
      </c>
      <c r="F20" s="25">
        <f ca="1">IF($N20=0,"",INDEX(Data!$K$2051:$K$2550,$N20))</f>
        <v>0.42671826805716384</v>
      </c>
      <c r="G20" s="15">
        <f ca="1">IF($N20=0,"",INDEX(Data!$L$2051:$L$2550,$N20))</f>
        <v>1</v>
      </c>
      <c r="H20" s="26">
        <f ca="1">IF($N20=0,"",INDEX(Data!$T$2051:$T$2550,$N20))</f>
        <v>49</v>
      </c>
      <c r="I20" s="15" t="str">
        <f ca="1">IF($N20=0,"",INDEX(Data!$U$2051:$U$2550,$N20))</f>
        <v>Listed</v>
      </c>
      <c r="J20" s="21" t="str">
        <f ca="1">IF($N20=0,"",INDEX(Data!$AA$2051:$AA$2550,$N20))</f>
        <v>67% economic need; 0.43 mi fresh access; 1 nearby resources</v>
      </c>
      <c r="K20" s="22" t="str">
        <f ca="1">IF($N20=0,"",IF(INDEX(Data!$I$2051:$I$2550,$N20)=0,"Add ID","Row "&amp;(INDEX(Data!$I$2051:$I$2550,$N20)+7)))</f>
        <v>Row 314</v>
      </c>
      <c r="L20" s="133" t="str">
        <f ca="1">IF($N20=0,"",IF(INDEX(Data!$AN$2051:$AN$2550,$N20)=0,"",IF(INDEX(Data!$U$41:$U$540,INDEX(Data!$AN$2051:$AN$2550,$N20))="","",INDEX(Data!$U$41:$U$540,INDEX(Data!$AN$2051:$AN$2550,$N20)))))</f>
        <v>215-400-3010</v>
      </c>
      <c r="N20" s="105">
        <f ca="1">IF(COUNTIFS(Data!$AR$2051:$AR$2550,8)=1,MATCH(8,Data!$AR$2051:$AR$2550,0),0)</f>
        <v>310</v>
      </c>
    </row>
    <row r="21" spans="1:14" ht="38" customHeight="1">
      <c r="A21" s="15">
        <f ca="1">IF($N21=0,"",9)</f>
        <v>9</v>
      </c>
      <c r="B21" s="23" t="str">
        <f ca="1">IF($N21=0,"",INDEX(Data!$B$2051:$B$2550,$N21))</f>
        <v>Frances E. Willard School</v>
      </c>
      <c r="C21" s="15" t="str">
        <f ca="1">IF($N21=0,"",INDEX(Data!$C$2051:$C$2550,$N21))</f>
        <v>District</v>
      </c>
      <c r="D21" s="24">
        <f ca="1">IF($N21=0,"",INDEX(Data!$G$2051:$G$2550,$N21))</f>
        <v>0.93420000000000003</v>
      </c>
      <c r="E21" s="17">
        <f ca="1">IF($N21=0,"",INDEX(Data!$F$2051:$F$2550,$N21))</f>
        <v>352</v>
      </c>
      <c r="F21" s="25">
        <f ca="1">IF($N21=0,"",INDEX(Data!$K$2051:$K$2550,$N21))</f>
        <v>0.64030941931744734</v>
      </c>
      <c r="G21" s="15">
        <f ca="1">IF($N21=0,"",INDEX(Data!$L$2051:$L$2550,$N21))</f>
        <v>12</v>
      </c>
      <c r="H21" s="26">
        <f ca="1">IF($N21=0,"",INDEX(Data!$T$2051:$T$2550,$N21))</f>
        <v>48</v>
      </c>
      <c r="I21" s="15" t="str">
        <f ca="1">IF($N21=0,"",INDEX(Data!$U$2051:$U$2550,$N21))</f>
        <v>Listed</v>
      </c>
      <c r="J21" s="21" t="str">
        <f ca="1">IF($N21=0,"",INDEX(Data!$AA$2051:$AA$2550,$N21))</f>
        <v>93% economic need; 0.64 mi fresh access; 12 nearby resources</v>
      </c>
      <c r="K21" s="22" t="str">
        <f ca="1">IF($N21=0,"",IF(INDEX(Data!$I$2051:$I$2550,$N21)=0,"Add ID","Row "&amp;(INDEX(Data!$I$2051:$I$2550,$N21)+7)))</f>
        <v>Row 86</v>
      </c>
      <c r="L21" s="131" t="str">
        <f ca="1">IF($N21=0,"",IF(INDEX(Data!$AN$2051:$AN$2550,$N21)=0,"",IF(INDEX(Data!$U$41:$U$540,INDEX(Data!$AN$2051:$AN$2550,$N21))="","",INDEX(Data!$U$41:$U$540,INDEX(Data!$AN$2051:$AN$2550,$N21)))))</f>
        <v>215-400-7180</v>
      </c>
      <c r="N21" s="105">
        <f ca="1">IF(COUNTIFS(Data!$AR$2051:$AR$2550,9)=1,MATCH(9,Data!$AR$2051:$AR$2550,0),0)</f>
        <v>205</v>
      </c>
    </row>
    <row r="22" spans="1:14" ht="38" customHeight="1">
      <c r="A22" s="15">
        <f ca="1">IF($N22=0,"",10)</f>
        <v>10</v>
      </c>
      <c r="B22" s="23" t="str">
        <f ca="1">IF($N22=0,"",INDEX(Data!$B$2051:$B$2550,$N22))</f>
        <v>James R. Lowell School</v>
      </c>
      <c r="C22" s="15" t="str">
        <f ca="1">IF($N22=0,"",INDEX(Data!$C$2051:$C$2550,$N22))</f>
        <v>District</v>
      </c>
      <c r="D22" s="24">
        <f ca="1">IF($N22=0,"",INDEX(Data!$G$2051:$G$2550,$N22))</f>
        <v>0.87680000000000002</v>
      </c>
      <c r="E22" s="17">
        <f ca="1">IF($N22=0,"",INDEX(Data!$F$2051:$F$2550,$N22))</f>
        <v>430</v>
      </c>
      <c r="F22" s="25">
        <f ca="1">IF($N22=0,"",INDEX(Data!$K$2051:$K$2550,$N22))</f>
        <v>0.54540436369651768</v>
      </c>
      <c r="G22" s="15">
        <f ca="1">IF($N22=0,"",INDEX(Data!$L$2051:$L$2550,$N22))</f>
        <v>4</v>
      </c>
      <c r="H22" s="26">
        <f ca="1">IF($N22=0,"",INDEX(Data!$T$2051:$T$2550,$N22))</f>
        <v>48</v>
      </c>
      <c r="I22" s="15" t="str">
        <f ca="1">IF($N22=0,"",INDEX(Data!$U$2051:$U$2550,$N22))</f>
        <v>Listed</v>
      </c>
      <c r="J22" s="21" t="str">
        <f ca="1">IF($N22=0,"",INDEX(Data!$AA$2051:$AA$2550,$N22))</f>
        <v>88% economic need; 0.55 mi fresh access; 4 nearby resources</v>
      </c>
      <c r="K22" s="22" t="str">
        <f ca="1">IF($N22=0,"",IF(INDEX(Data!$I$2051:$I$2550,$N22)=0,"Add ID","Row "&amp;(INDEX(Data!$I$2051:$I$2550,$N22)+7)))</f>
        <v>Row 136</v>
      </c>
      <c r="L22" s="133" t="str">
        <f ca="1">IF($N22=0,"",IF(INDEX(Data!$AN$2051:$AN$2550,$N22)=0,"",IF(INDEX(Data!$U$41:$U$540,INDEX(Data!$AN$2051:$AN$2550,$N22))="","",INDEX(Data!$U$41:$U$540,INDEX(Data!$AN$2051:$AN$2550,$N22)))))</f>
        <v>215-400-3740</v>
      </c>
      <c r="N22" s="105">
        <f ca="1">IF(COUNTIFS(Data!$AR$2051:$AR$2550,10)=1,MATCH(10,Data!$AR$2051:$AR$2550,0),0)</f>
        <v>271</v>
      </c>
    </row>
    <row r="23" spans="1:14" ht="38" customHeight="1">
      <c r="A23" s="15">
        <f ca="1">IF($N23=0,"",11)</f>
        <v>11</v>
      </c>
      <c r="B23" s="23" t="str">
        <f ca="1">IF($N23=0,"",INDEX(Data!$B$2051:$B$2550,$N23))</f>
        <v>James Logan School</v>
      </c>
      <c r="C23" s="15" t="str">
        <f ca="1">IF($N23=0,"",INDEX(Data!$C$2051:$C$2550,$N23))</f>
        <v>District</v>
      </c>
      <c r="D23" s="24">
        <f ca="1">IF($N23=0,"",INDEX(Data!$G$2051:$G$2550,$N23))</f>
        <v>0.90229999999999999</v>
      </c>
      <c r="E23" s="17">
        <f ca="1">IF($N23=0,"",INDEX(Data!$F$2051:$F$2550,$N23))</f>
        <v>223</v>
      </c>
      <c r="F23" s="25">
        <f ca="1">IF($N23=0,"",INDEX(Data!$K$2051:$K$2550,$N23))</f>
        <v>0.69701528040601435</v>
      </c>
      <c r="G23" s="15">
        <f ca="1">IF($N23=0,"",INDEX(Data!$L$2051:$L$2550,$N23))</f>
        <v>8</v>
      </c>
      <c r="H23" s="26">
        <f ca="1">IF($N23=0,"",INDEX(Data!$T$2051:$T$2550,$N23))</f>
        <v>47</v>
      </c>
      <c r="I23" s="15" t="str">
        <f ca="1">IF($N23=0,"",INDEX(Data!$U$2051:$U$2550,$N23))</f>
        <v>Listed</v>
      </c>
      <c r="J23" s="21" t="str">
        <f ca="1">IF($N23=0,"",INDEX(Data!$AA$2051:$AA$2550,$N23))</f>
        <v>90% economic need; 0.70 mi fresh access; 8 nearby resources</v>
      </c>
      <c r="K23" s="22" t="str">
        <f ca="1">IF($N23=0,"",IF(INDEX(Data!$I$2051:$I$2550,$N23)=0,"Add ID","Row "&amp;(INDEX(Data!$I$2051:$I$2550,$N23)+7)))</f>
        <v>Row 135</v>
      </c>
      <c r="L23" s="131" t="str">
        <f ca="1">IF($N23=0,"",IF(INDEX(Data!$AN$2051:$AN$2550,$N23)=0,"",IF(INDEX(Data!$U$41:$U$540,INDEX(Data!$AN$2051:$AN$2550,$N23))="","",INDEX(Data!$U$41:$U$540,INDEX(Data!$AN$2051:$AN$2550,$N23)))))</f>
        <v>215-400-3670</v>
      </c>
      <c r="N23" s="105">
        <f ca="1">IF(COUNTIFS(Data!$AR$2051:$AR$2550,11)=1,MATCH(11,Data!$AR$2051:$AR$2550,0),0)</f>
        <v>236</v>
      </c>
    </row>
    <row r="24" spans="1:14" ht="38" customHeight="1">
      <c r="A24" s="15">
        <f ca="1">IF($N24=0,"",12)</f>
        <v>12</v>
      </c>
      <c r="B24" s="23" t="str">
        <f ca="1">IF($N24=0,"",INDEX(Data!$B$2051:$B$2550,$N24))</f>
        <v>Solomon Solis-Cohen School</v>
      </c>
      <c r="C24" s="15" t="str">
        <f ca="1">IF($N24=0,"",INDEX(Data!$C$2051:$C$2550,$N24))</f>
        <v>District</v>
      </c>
      <c r="D24" s="24">
        <f ca="1">IF($N24=0,"",INDEX(Data!$G$2051:$G$2550,$N24))</f>
        <v>0.79020000000000001</v>
      </c>
      <c r="E24" s="17">
        <f ca="1">IF($N24=0,"",INDEX(Data!$F$2051:$F$2550,$N24))</f>
        <v>1354</v>
      </c>
      <c r="F24" s="25">
        <f ca="1">IF($N24=0,"",INDEX(Data!$K$2051:$K$2550,$N24))</f>
        <v>0.36391859379799124</v>
      </c>
      <c r="G24" s="15">
        <f ca="1">IF($N24=0,"",INDEX(Data!$L$2051:$L$2550,$N24))</f>
        <v>3</v>
      </c>
      <c r="H24" s="26">
        <f ca="1">IF($N24=0,"",INDEX(Data!$T$2051:$T$2550,$N24))</f>
        <v>45</v>
      </c>
      <c r="I24" s="15" t="str">
        <f ca="1">IF($N24=0,"",INDEX(Data!$U$2051:$U$2550,$N24))</f>
        <v>Listed</v>
      </c>
      <c r="J24" s="21" t="str">
        <f ca="1">IF($N24=0,"",INDEX(Data!$AA$2051:$AA$2550,$N24))</f>
        <v>79% economic need; 0.36 mi fresh access; 3 nearby resources</v>
      </c>
      <c r="K24" s="22" t="str">
        <f ca="1">IF($N24=0,"",IF(INDEX(Data!$I$2051:$I$2550,$N24)=0,"Add ID","Row "&amp;(INDEX(Data!$I$2051:$I$2550,$N24)+7)))</f>
        <v>Row 276</v>
      </c>
      <c r="L24" s="133" t="str">
        <f ca="1">IF($N24=0,"",IF(INDEX(Data!$AN$2051:$AN$2550,$N24)=0,"",IF(INDEX(Data!$U$41:$U$540,INDEX(Data!$AN$2051:$AN$2550,$N24))="","",INDEX(Data!$U$41:$U$540,INDEX(Data!$AN$2051:$AN$2550,$N24)))))</f>
        <v>215-400-3250</v>
      </c>
      <c r="N24" s="105">
        <f ca="1">IF(COUNTIFS(Data!$AR$2051:$AR$2550,12)=1,MATCH(12,Data!$AR$2051:$AR$2550,0),0)</f>
        <v>307</v>
      </c>
    </row>
    <row r="25" spans="1:14" ht="38" customHeight="1">
      <c r="A25" s="15">
        <f ca="1">IF($N25=0,"",13)</f>
        <v>13</v>
      </c>
      <c r="B25" s="23" t="str">
        <f ca="1">IF($N25=0,"",INDEX(Data!$B$2051:$B$2550,$N25))</f>
        <v>Anne Frank School</v>
      </c>
      <c r="C25" s="15" t="str">
        <f ca="1">IF($N25=0,"",INDEX(Data!$C$2051:$C$2550,$N25))</f>
        <v>District</v>
      </c>
      <c r="D25" s="24">
        <f ca="1">IF($N25=0,"",INDEX(Data!$G$2051:$G$2550,$N25))</f>
        <v>0.68479999999999996</v>
      </c>
      <c r="E25" s="17">
        <f ca="1">IF($N25=0,"",INDEX(Data!$F$2051:$F$2550,$N25))</f>
        <v>1687</v>
      </c>
      <c r="F25" s="25">
        <f ca="1">IF($N25=0,"",INDEX(Data!$K$2051:$K$2550,$N25))</f>
        <v>0.32586149861755442</v>
      </c>
      <c r="G25" s="15">
        <f ca="1">IF($N25=0,"",INDEX(Data!$L$2051:$L$2550,$N25))</f>
        <v>2</v>
      </c>
      <c r="H25" s="26">
        <f ca="1">IF($N25=0,"",INDEX(Data!$T$2051:$T$2550,$N25))</f>
        <v>45</v>
      </c>
      <c r="I25" s="15" t="str">
        <f ca="1">IF($N25=0,"",INDEX(Data!$U$2051:$U$2550,$N25))</f>
        <v>Listed</v>
      </c>
      <c r="J25" s="21" t="str">
        <f ca="1">IF($N25=0,"",INDEX(Data!$AA$2051:$AA$2550,$N25))</f>
        <v>68% economic need; 0.33 mi fresh access; 2 nearby resources</v>
      </c>
      <c r="K25" s="22" t="str">
        <f ca="1">IF($N25=0,"",IF(INDEX(Data!$I$2051:$I$2550,$N25)=0,"Add ID","Row "&amp;(INDEX(Data!$I$2051:$I$2550,$N25)+7)))</f>
        <v>Row 29</v>
      </c>
      <c r="L25" s="131" t="str">
        <f ca="1">IF($N25=0,"",IF(INDEX(Data!$AN$2051:$AN$2550,$N25)=0,"",IF(INDEX(Data!$U$41:$U$540,INDEX(Data!$AN$2051:$AN$2550,$N25))="","",INDEX(Data!$U$41:$U$540,INDEX(Data!$AN$2051:$AN$2550,$N25)))))</f>
        <v>215-400-3070</v>
      </c>
      <c r="N25" s="105">
        <f ca="1">IF(COUNTIFS(Data!$AR$2051:$AR$2550,13)=1,MATCH(13,Data!$AR$2051:$AR$2550,0),0)</f>
        <v>313</v>
      </c>
    </row>
    <row r="26" spans="1:14" ht="38" customHeight="1">
      <c r="A26" s="15">
        <f ca="1">IF($N26=0,"",14)</f>
        <v>14</v>
      </c>
      <c r="B26" s="23" t="str">
        <f ca="1">IF($N26=0,"",INDEX(Data!$B$2051:$B$2550,$N26))</f>
        <v>Lewis Elkin School</v>
      </c>
      <c r="C26" s="15" t="str">
        <f ca="1">IF($N26=0,"",INDEX(Data!$C$2051:$C$2550,$N26))</f>
        <v>District</v>
      </c>
      <c r="D26" s="24">
        <f ca="1">IF($N26=0,"",INDEX(Data!$G$2051:$G$2550,$N26))</f>
        <v>0.90690000000000004</v>
      </c>
      <c r="E26" s="17">
        <f ca="1">IF($N26=0,"",INDEX(Data!$F$2051:$F$2550,$N26))</f>
        <v>431</v>
      </c>
      <c r="F26" s="25">
        <f ca="1">IF($N26=0,"",INDEX(Data!$K$2051:$K$2550,$N26))</f>
        <v>0.32714422014659533</v>
      </c>
      <c r="G26" s="15">
        <f ca="1">IF($N26=0,"",INDEX(Data!$L$2051:$L$2550,$N26))</f>
        <v>10</v>
      </c>
      <c r="H26" s="26">
        <f ca="1">IF($N26=0,"",INDEX(Data!$T$2051:$T$2550,$N26))</f>
        <v>43</v>
      </c>
      <c r="I26" s="15" t="str">
        <f ca="1">IF($N26=0,"",INDEX(Data!$U$2051:$U$2550,$N26))</f>
        <v>Listed</v>
      </c>
      <c r="J26" s="21" t="str">
        <f ca="1">IF($N26=0,"",INDEX(Data!$AA$2051:$AA$2550,$N26))</f>
        <v>91% economic need; 0.33 mi fresh access; 10 nearby resources</v>
      </c>
      <c r="K26" s="22" t="str">
        <f ca="1">IF($N26=0,"",IF(INDEX(Data!$I$2051:$I$2550,$N26)=0,"Add ID","Row "&amp;(INDEX(Data!$I$2051:$I$2550,$N26)+7)))</f>
        <v>Row 178</v>
      </c>
      <c r="L26" s="133" t="str">
        <f ca="1">IF($N26=0,"",IF(INDEX(Data!$AN$2051:$AN$2550,$N26)=0,"",IF(INDEX(Data!$U$41:$U$540,INDEX(Data!$AN$2051:$AN$2550,$N26))="","",INDEX(Data!$U$41:$U$540,INDEX(Data!$AN$2051:$AN$2550,$N26)))))</f>
        <v>215-400-7140</v>
      </c>
      <c r="N26" s="105">
        <f ca="1">IF(COUNTIFS(Data!$AR$2051:$AR$2550,14)=1,MATCH(14,Data!$AR$2051:$AR$2550,0),0)</f>
        <v>193</v>
      </c>
    </row>
    <row r="27" spans="1:14" ht="38" customHeight="1">
      <c r="A27" s="15">
        <f ca="1">IF($N27=0,"",15)</f>
        <v>15</v>
      </c>
      <c r="B27" s="23" t="str">
        <f ca="1">IF($N27=0,"",INDEX(Data!$B$2051:$B$2550,$N27))</f>
        <v>Thomas M. Peirce School</v>
      </c>
      <c r="C27" s="15" t="str">
        <f ca="1">IF($N27=0,"",INDEX(Data!$C$2051:$C$2550,$N27))</f>
        <v>District</v>
      </c>
      <c r="D27" s="24">
        <f ca="1">IF($N27=0,"",INDEX(Data!$G$2051:$G$2550,$N27))</f>
        <v>0.9375</v>
      </c>
      <c r="E27" s="17">
        <f ca="1">IF($N27=0,"",INDEX(Data!$F$2051:$F$2550,$N27))</f>
        <v>292</v>
      </c>
      <c r="F27" s="25">
        <f ca="1">IF($N27=0,"",INDEX(Data!$K$2051:$K$2550,$N27))</f>
        <v>0.26794264837210008</v>
      </c>
      <c r="G27" s="15">
        <f ca="1">IF($N27=0,"",INDEX(Data!$L$2051:$L$2550,$N27))</f>
        <v>12</v>
      </c>
      <c r="H27" s="26">
        <f ca="1">IF($N27=0,"",INDEX(Data!$T$2051:$T$2550,$N27))</f>
        <v>42</v>
      </c>
      <c r="I27" s="15" t="str">
        <f ca="1">IF($N27=0,"",INDEX(Data!$U$2051:$U$2550,$N27))</f>
        <v>Listed</v>
      </c>
      <c r="J27" s="21" t="str">
        <f ca="1">IF($N27=0,"",INDEX(Data!$AA$2051:$AA$2550,$N27))</f>
        <v>94% economic need; 0.27 mi fresh access; 12 nearby resources</v>
      </c>
      <c r="K27" s="22" t="str">
        <f ca="1">IF($N27=0,"",IF(INDEX(Data!$I$2051:$I$2550,$N27)=0,"Add ID","Row "&amp;(INDEX(Data!$I$2051:$I$2550,$N27)+7)))</f>
        <v>Row 303</v>
      </c>
      <c r="L27" s="131" t="str">
        <f ca="1">IF($N27=0,"",IF(INDEX(Data!$AN$2051:$AN$2550,$N27)=0,"",IF(INDEX(Data!$U$41:$U$540,INDEX(Data!$AN$2051:$AN$2550,$N27))="","",INDEX(Data!$U$41:$U$540,INDEX(Data!$AN$2051:$AN$2550,$N27)))))</f>
        <v>215-400-7020</v>
      </c>
      <c r="N27" s="105">
        <f ca="1">IF(COUNTIFS(Data!$AR$2051:$AR$2550,15)=1,MATCH(15,Data!$AR$2051:$AR$2550,0),0)</f>
        <v>170</v>
      </c>
    </row>
    <row r="28" spans="1:14" ht="40" customHeight="1">
      <c r="A28" s="15">
        <f ca="1">IF($N28=0,"",16)</f>
        <v>16</v>
      </c>
      <c r="B28" s="90" t="str">
        <f ca="1">IF($N28=0,"",INDEX(Data!$B$2051:$B$2550,$N28))</f>
        <v>Prince Hall School</v>
      </c>
      <c r="C28" s="92" t="str">
        <f ca="1">IF($N28=0,"",INDEX(Data!$C$2051:$C$2550,$N28))</f>
        <v>District</v>
      </c>
      <c r="D28" s="93">
        <f ca="1">IF($N28=0,"",INDEX(Data!$G$2051:$G$2550,$N28))</f>
        <v>0.91690000000000005</v>
      </c>
      <c r="E28" s="94">
        <f ca="1">IF($N28=0,"",INDEX(Data!$F$2051:$F$2550,$N28))</f>
        <v>317</v>
      </c>
      <c r="F28" s="95">
        <f ca="1">IF($N28=0,"",INDEX(Data!$K$2051:$K$2550,$N28))</f>
        <v>0.35373085831047146</v>
      </c>
      <c r="G28" s="92">
        <f ca="1">IF($N28=0,"",INDEX(Data!$L$2051:$L$2550,$N28))</f>
        <v>12</v>
      </c>
      <c r="H28" s="97">
        <f ca="1">IF($N28=0,"",INDEX(Data!$T$2051:$T$2550,$N28))</f>
        <v>42</v>
      </c>
      <c r="I28" s="92" t="str">
        <f ca="1">IF($N28=0,"",INDEX(Data!$U$2051:$U$2550,$N28))</f>
        <v>Listed</v>
      </c>
      <c r="J28" s="98" t="str">
        <f ca="1">IF($N28=0,"",INDEX(Data!$AA$2051:$AA$2550,$N28))</f>
        <v>92% economic need; 0.35 mi fresh access; 12 nearby resources</v>
      </c>
      <c r="K28" s="102" t="str">
        <f ca="1">IF($N28=0,"",IF(INDEX(Data!$I$2051:$I$2550,$N28)=0,"Add ID","Row "&amp;(INDEX(Data!$I$2051:$I$2550,$N28)+7)))</f>
        <v>Row 252</v>
      </c>
      <c r="L28" s="133" t="str">
        <f ca="1">IF($N28=0,"",IF(INDEX(Data!$AN$2051:$AN$2550,$N28)=0,"",IF(INDEX(Data!$U$41:$U$540,INDEX(Data!$AN$2051:$AN$2550,$N28))="","",INDEX(Data!$U$41:$U$540,INDEX(Data!$AN$2051:$AN$2550,$N28)))))</f>
        <v>215-400-3690</v>
      </c>
      <c r="N28" s="105">
        <f ca="1">IF(COUNTIFS(Data!$AR$2051:$AR$2550,16)=1,MATCH(16,Data!$AR$2051:$AR$2550,0),0)</f>
        <v>281</v>
      </c>
    </row>
    <row r="29" spans="1:14" ht="40" customHeight="1">
      <c r="A29" s="15">
        <f ca="1">IF($N29=0,"",17)</f>
        <v>17</v>
      </c>
      <c r="B29" s="23" t="str">
        <f ca="1">IF($N29=0,"",INDEX(Data!$B$2051:$B$2550,$N29))</f>
        <v>William Cramp School</v>
      </c>
      <c r="C29" s="15" t="str">
        <f ca="1">IF($N29=0,"",INDEX(Data!$C$2051:$C$2550,$N29))</f>
        <v>District</v>
      </c>
      <c r="D29" s="24">
        <f ca="1">IF($N29=0,"",INDEX(Data!$G$2051:$G$2550,$N29))</f>
        <v>0.90280000000000005</v>
      </c>
      <c r="E29" s="17">
        <f ca="1">IF($N29=0,"",INDEX(Data!$F$2051:$F$2550,$N29))</f>
        <v>317</v>
      </c>
      <c r="F29" s="25">
        <f ca="1">IF($N29=0,"",INDEX(Data!$K$2051:$K$2550,$N29))</f>
        <v>0.3393336462114892</v>
      </c>
      <c r="G29" s="15">
        <f ca="1">IF($N29=0,"",INDEX(Data!$L$2051:$L$2550,$N29))</f>
        <v>13</v>
      </c>
      <c r="H29" s="26">
        <f ca="1">IF($N29=0,"",INDEX(Data!$T$2051:$T$2550,$N29))</f>
        <v>42</v>
      </c>
      <c r="I29" s="15" t="str">
        <f ca="1">IF($N29=0,"",INDEX(Data!$U$2051:$U$2550,$N29))</f>
        <v>Listed</v>
      </c>
      <c r="J29" s="21" t="str">
        <f ca="1">IF($N29=0,"",INDEX(Data!$AA$2051:$AA$2550,$N29))</f>
        <v>90% economic need; 0.34 mi fresh access; 13 nearby resources</v>
      </c>
      <c r="K29" s="22" t="str">
        <f ca="1">IF($N29=0,"",IF(INDEX(Data!$I$2051:$I$2550,$N29)=0,"Add ID","Row "&amp;(INDEX(Data!$I$2051:$I$2550,$N29)+7)))</f>
        <v>Row 321</v>
      </c>
      <c r="L29" s="131" t="str">
        <f ca="1">IF($N29=0,"",IF(INDEX(Data!$AN$2051:$AN$2550,$N29)=0,"",IF(INDEX(Data!$U$41:$U$540,INDEX(Data!$AN$2051:$AN$2550,$N29))="","",INDEX(Data!$U$41:$U$540,INDEX(Data!$AN$2051:$AN$2550,$N29)))))</f>
        <v>215-400-3860</v>
      </c>
      <c r="N29" s="105">
        <f ca="1">IF(COUNTIFS(Data!$AR$2051:$AR$2550,17)=1,MATCH(17,Data!$AR$2051:$AR$2550,0),0)</f>
        <v>206</v>
      </c>
    </row>
    <row r="30" spans="1:14" ht="40" customHeight="1">
      <c r="A30" s="15">
        <f ca="1">IF($N30=0,"",18)</f>
        <v>18</v>
      </c>
      <c r="B30" s="90" t="str">
        <f ca="1">IF($N30=0,"",INDEX(Data!$B$2051:$B$2550,$N30))</f>
        <v>John B. Kelly School</v>
      </c>
      <c r="C30" s="92" t="str">
        <f ca="1">IF($N30=0,"",INDEX(Data!$C$2051:$C$2550,$N30))</f>
        <v>District</v>
      </c>
      <c r="D30" s="93">
        <f ca="1">IF($N30=0,"",INDEX(Data!$G$2051:$G$2550,$N30))</f>
        <v>0.86990000000000001</v>
      </c>
      <c r="E30" s="94">
        <f ca="1">IF($N30=0,"",INDEX(Data!$F$2051:$F$2550,$N30))</f>
        <v>346</v>
      </c>
      <c r="F30" s="95">
        <f ca="1">IF($N30=0,"",INDEX(Data!$K$2051:$K$2550,$N30))</f>
        <v>0.63546306847062006</v>
      </c>
      <c r="G30" s="92">
        <f ca="1">IF($N30=0,"",INDEX(Data!$L$2051:$L$2550,$N30))</f>
        <v>11</v>
      </c>
      <c r="H30" s="97">
        <f ca="1">IF($N30=0,"",INDEX(Data!$T$2051:$T$2550,$N30))</f>
        <v>42</v>
      </c>
      <c r="I30" s="92" t="str">
        <f ca="1">IF($N30=0,"",INDEX(Data!$U$2051:$U$2550,$N30))</f>
        <v>Listed</v>
      </c>
      <c r="J30" s="98" t="str">
        <f ca="1">IF($N30=0,"",INDEX(Data!$AA$2051:$AA$2550,$N30))</f>
        <v>87% economic need; 0.64 mi fresh access; 11 nearby resources</v>
      </c>
      <c r="K30" s="102" t="str">
        <f ca="1">IF($N30=0,"",IF(INDEX(Data!$I$2051:$I$2550,$N30)=0,"Add ID","Row "&amp;(INDEX(Data!$I$2051:$I$2550,$N30)+7)))</f>
        <v>Row 140</v>
      </c>
      <c r="L30" s="133" t="str">
        <f ca="1">IF($N30=0,"",IF(INDEX(Data!$AN$2051:$AN$2550,$N30)=0,"",IF(INDEX(Data!$U$41:$U$540,INDEX(Data!$AN$2051:$AN$2550,$N30))="","",INDEX(Data!$U$41:$U$540,INDEX(Data!$AN$2051:$AN$2550,$N30)))))</f>
        <v>215-400-3580</v>
      </c>
      <c r="N30" s="105">
        <f ca="1">IF(COUNTIFS(Data!$AR$2051:$AR$2550,18)=1,MATCH(18,Data!$AR$2051:$AR$2550,0),0)</f>
        <v>249</v>
      </c>
    </row>
    <row r="31" spans="1:14" ht="40" customHeight="1">
      <c r="A31" s="15">
        <f ca="1">IF($N31=0,"",19)</f>
        <v>19</v>
      </c>
      <c r="B31" s="23" t="str">
        <f ca="1">IF($N31=0,"",INDEX(Data!$B$2051:$B$2550,$N31))</f>
        <v>John Marshall School</v>
      </c>
      <c r="C31" s="15" t="str">
        <f ca="1">IF($N31=0,"",INDEX(Data!$C$2051:$C$2550,$N31))</f>
        <v>District</v>
      </c>
      <c r="D31" s="24">
        <f ca="1">IF($N31=0,"",INDEX(Data!$G$2051:$G$2550,$N31))</f>
        <v>0.86409999999999998</v>
      </c>
      <c r="E31" s="17">
        <f ca="1">IF($N31=0,"",INDEX(Data!$F$2051:$F$2550,$N31))</f>
        <v>243</v>
      </c>
      <c r="F31" s="25">
        <f ca="1">IF($N31=0,"",INDEX(Data!$K$2051:$K$2550,$N31))</f>
        <v>0.57437948377283043</v>
      </c>
      <c r="G31" s="15">
        <f ca="1">IF($N31=0,"",INDEX(Data!$L$2051:$L$2550,$N31))</f>
        <v>7</v>
      </c>
      <c r="H31" s="26">
        <f ca="1">IF($N31=0,"",INDEX(Data!$T$2051:$T$2550,$N31))</f>
        <v>42</v>
      </c>
      <c r="I31" s="15" t="str">
        <f ca="1">IF($N31=0,"",INDEX(Data!$U$2051:$U$2550,$N31))</f>
        <v>Listed</v>
      </c>
      <c r="J31" s="21" t="str">
        <f ca="1">IF($N31=0,"",INDEX(Data!$AA$2051:$AA$2550,$N31))</f>
        <v>86% economic need; 0.57 mi fresh access; 7 nearby resources</v>
      </c>
      <c r="K31" s="22" t="str">
        <f ca="1">IF($N31=0,"",IF(INDEX(Data!$I$2051:$I$2550,$N31)=0,"Add ID","Row "&amp;(INDEX(Data!$I$2051:$I$2550,$N31)+7)))</f>
        <v>Row 149</v>
      </c>
      <c r="L31" s="131" t="str">
        <f ca="1">IF($N31=0,"",IF(INDEX(Data!$AN$2051:$AN$2550,$N31)=0,"",IF(INDEX(Data!$U$41:$U$540,INDEX(Data!$AN$2051:$AN$2550,$N31))="","",INDEX(Data!$U$41:$U$540,INDEX(Data!$AN$2051:$AN$2550,$N31)))))</f>
        <v>215-400-3950</v>
      </c>
      <c r="N31" s="105">
        <f ca="1">IF(COUNTIFS(Data!$AR$2051:$AR$2550,19)=1,MATCH(19,Data!$AR$2051:$AR$2550,0),0)</f>
        <v>272</v>
      </c>
    </row>
    <row r="32" spans="1:14" ht="40" customHeight="1">
      <c r="A32" s="15">
        <f ca="1">IF($N32=0,"",20)</f>
        <v>20</v>
      </c>
      <c r="B32" s="90" t="str">
        <f ca="1">IF($N32=0,"",INDEX(Data!$B$2051:$B$2550,$N32))</f>
        <v>William Rowen School</v>
      </c>
      <c r="C32" s="92" t="str">
        <f ca="1">IF($N32=0,"",INDEX(Data!$C$2051:$C$2550,$N32))</f>
        <v>District</v>
      </c>
      <c r="D32" s="93">
        <f ca="1">IF($N32=0,"",INDEX(Data!$G$2051:$G$2550,$N32))</f>
        <v>0.8357</v>
      </c>
      <c r="E32" s="94">
        <f ca="1">IF($N32=0,"",INDEX(Data!$F$2051:$F$2550,$N32))</f>
        <v>272</v>
      </c>
      <c r="F32" s="95">
        <f ca="1">IF($N32=0,"",INDEX(Data!$K$2051:$K$2550,$N32))</f>
        <v>0.6957903531749603</v>
      </c>
      <c r="G32" s="92">
        <f ca="1">IF($N32=0,"",INDEX(Data!$L$2051:$L$2550,$N32))</f>
        <v>9</v>
      </c>
      <c r="H32" s="97">
        <f ca="1">IF($N32=0,"",INDEX(Data!$T$2051:$T$2550,$N32))</f>
        <v>42</v>
      </c>
      <c r="I32" s="92" t="str">
        <f ca="1">IF($N32=0,"",INDEX(Data!$U$2051:$U$2550,$N32))</f>
        <v>Listed</v>
      </c>
      <c r="J32" s="98" t="str">
        <f ca="1">IF($N32=0,"",INDEX(Data!$AA$2051:$AA$2550,$N32))</f>
        <v>84% economic need; 0.70 mi fresh access; 9 nearby resources</v>
      </c>
      <c r="K32" s="102" t="str">
        <f ca="1">IF($N32=0,"",IF(INDEX(Data!$I$2051:$I$2550,$N32)=0,"Add ID","Row "&amp;(INDEX(Data!$I$2051:$I$2550,$N32)+7)))</f>
        <v>Row 330</v>
      </c>
      <c r="L32" s="133" t="str">
        <f ca="1">IF($N32=0,"",IF(INDEX(Data!$AN$2051:$AN$2550,$N32)=0,"",IF(INDEX(Data!$U$41:$U$540,INDEX(Data!$AN$2051:$AN$2550,$N32))="","",INDEX(Data!$U$41:$U$540,INDEX(Data!$AN$2051:$AN$2550,$N32)))))</f>
        <v>215-400-3550</v>
      </c>
      <c r="N32" s="105">
        <f ca="1">IF(COUNTIFS(Data!$AR$2051:$AR$2550,20)=1,MATCH(20,Data!$AR$2051:$AR$2550,0),0)</f>
        <v>284</v>
      </c>
    </row>
    <row r="33" spans="1:14" ht="40" customHeight="1">
      <c r="A33" s="15">
        <f ca="1">IF($N33=0,"",21)</f>
        <v>21</v>
      </c>
      <c r="B33" s="23" t="str">
        <f ca="1">IF($N33=0,"",INDEX(Data!$B$2051:$B$2550,$N33))</f>
        <v>Richmond School</v>
      </c>
      <c r="C33" s="15" t="str">
        <f ca="1">IF($N33=0,"",INDEX(Data!$C$2051:$C$2550,$N33))</f>
        <v>District</v>
      </c>
      <c r="D33" s="24">
        <f ca="1">IF($N33=0,"",INDEX(Data!$G$2051:$G$2550,$N33))</f>
        <v>0.81920000000000004</v>
      </c>
      <c r="E33" s="17">
        <f ca="1">IF($N33=0,"",INDEX(Data!$F$2051:$F$2550,$N33))</f>
        <v>332</v>
      </c>
      <c r="F33" s="25">
        <f ca="1">IF($N33=0,"",INDEX(Data!$K$2051:$K$2550,$N33))</f>
        <v>0.57120741278241549</v>
      </c>
      <c r="G33" s="15">
        <f ca="1">IF($N33=0,"",INDEX(Data!$L$2051:$L$2550,$N33))</f>
        <v>6</v>
      </c>
      <c r="H33" s="26">
        <f ca="1">IF($N33=0,"",INDEX(Data!$T$2051:$T$2550,$N33))</f>
        <v>42</v>
      </c>
      <c r="I33" s="15" t="str">
        <f ca="1">IF($N33=0,"",INDEX(Data!$U$2051:$U$2550,$N33))</f>
        <v>Listed</v>
      </c>
      <c r="J33" s="21" t="str">
        <f ca="1">IF($N33=0,"",INDEX(Data!$AA$2051:$AA$2550,$N33))</f>
        <v>82% economic need; 0.57 mi fresh access; 6 nearby resources</v>
      </c>
      <c r="K33" s="22" t="str">
        <f ca="1">IF($N33=0,"",IF(INDEX(Data!$I$2051:$I$2550,$N33)=0,"Add ID","Row "&amp;(INDEX(Data!$I$2051:$I$2550,$N33)+7)))</f>
        <v>Row 257</v>
      </c>
      <c r="L33" s="131" t="str">
        <f ca="1">IF($N33=0,"",IF(INDEX(Data!$AN$2051:$AN$2550,$N33)=0,"",IF(INDEX(Data!$U$41:$U$540,INDEX(Data!$AN$2051:$AN$2550,$N33))="","",INDEX(Data!$U$41:$U$540,INDEX(Data!$AN$2051:$AN$2550,$N33)))))</f>
        <v>215-400-7150</v>
      </c>
      <c r="N33" s="105">
        <f ca="1">IF(COUNTIFS(Data!$AR$2051:$AR$2550,21)=1,MATCH(21,Data!$AR$2051:$AR$2550,0),0)</f>
        <v>201</v>
      </c>
    </row>
    <row r="34" spans="1:14" ht="40" customHeight="1">
      <c r="A34" s="15">
        <f ca="1">IF($N34=0,"",22)</f>
        <v>22</v>
      </c>
      <c r="B34" s="90" t="str">
        <f ca="1">IF($N34=0,"",INDEX(Data!$B$2051:$B$2550,$N34))</f>
        <v>Ellwood School</v>
      </c>
      <c r="C34" s="92" t="str">
        <f ca="1">IF($N34=0,"",INDEX(Data!$C$2051:$C$2550,$N34))</f>
        <v>District</v>
      </c>
      <c r="D34" s="93">
        <f ca="1">IF($N34=0,"",INDEX(Data!$G$2051:$G$2550,$N34))</f>
        <v>0.80069999999999997</v>
      </c>
      <c r="E34" s="94">
        <f ca="1">IF($N34=0,"",INDEX(Data!$F$2051:$F$2550,$N34))</f>
        <v>252</v>
      </c>
      <c r="F34" s="95">
        <f ca="1">IF($N34=0,"",INDEX(Data!$K$2051:$K$2550,$N34))</f>
        <v>0.5681186042219577</v>
      </c>
      <c r="G34" s="92">
        <f ca="1">IF($N34=0,"",INDEX(Data!$L$2051:$L$2550,$N34))</f>
        <v>7</v>
      </c>
      <c r="H34" s="97">
        <f ca="1">IF($N34=0,"",INDEX(Data!$T$2051:$T$2550,$N34))</f>
        <v>42</v>
      </c>
      <c r="I34" s="92" t="str">
        <f ca="1">IF($N34=0,"",INDEX(Data!$U$2051:$U$2550,$N34))</f>
        <v>Listed</v>
      </c>
      <c r="J34" s="98" t="str">
        <f ca="1">IF($N34=0,"",INDEX(Data!$AA$2051:$AA$2550,$N34))</f>
        <v>80% economic need; 0.57 mi fresh access; 7 nearby resources</v>
      </c>
      <c r="K34" s="102" t="str">
        <f ca="1">IF($N34=0,"",IF(INDEX(Data!$I$2051:$I$2550,$N34)=0,"Add ID","Row "&amp;(INDEX(Data!$I$2051:$I$2550,$N34)+7)))</f>
        <v>Row 70</v>
      </c>
      <c r="L34" s="133" t="str">
        <f ca="1">IF($N34=0,"",IF(INDEX(Data!$AN$2051:$AN$2550,$N34)=0,"",IF(INDEX(Data!$U$41:$U$540,INDEX(Data!$AN$2051:$AN$2550,$N34))="","",INDEX(Data!$U$41:$U$540,INDEX(Data!$AN$2051:$AN$2550,$N34)))))</f>
        <v>215-400-3540</v>
      </c>
      <c r="N34" s="105">
        <f ca="1">IF(COUNTIFS(Data!$AR$2051:$AR$2550,22)=1,MATCH(22,Data!$AR$2051:$AR$2550,0),0)</f>
        <v>263</v>
      </c>
    </row>
    <row r="35" spans="1:14" ht="40" customHeight="1">
      <c r="A35" s="15">
        <f ca="1">IF($N35=0,"",23)</f>
        <v>23</v>
      </c>
      <c r="B35" s="23" t="str">
        <f ca="1">IF($N35=0,"",INDEX(Data!$B$2051:$B$2550,$N35))</f>
        <v>William H. Loesche School</v>
      </c>
      <c r="C35" s="15" t="str">
        <f ca="1">IF($N35=0,"",INDEX(Data!$C$2051:$C$2550,$N35))</f>
        <v>District</v>
      </c>
      <c r="D35" s="24">
        <f ca="1">IF($N35=0,"",INDEX(Data!$G$2051:$G$2550,$N35))</f>
        <v>0.73460000000000003</v>
      </c>
      <c r="E35" s="17">
        <f ca="1">IF($N35=0,"",INDEX(Data!$F$2051:$F$2550,$N35))</f>
        <v>1276</v>
      </c>
      <c r="F35" s="25">
        <f ca="1">IF($N35=0,"",INDEX(Data!$K$2051:$K$2550,$N35))</f>
        <v>0.45647317626121353</v>
      </c>
      <c r="G35" s="15">
        <f ca="1">IF($N35=0,"",INDEX(Data!$L$2051:$L$2550,$N35))</f>
        <v>4</v>
      </c>
      <c r="H35" s="26">
        <f ca="1">IF($N35=0,"",INDEX(Data!$T$2051:$T$2550,$N35))</f>
        <v>40</v>
      </c>
      <c r="I35" s="15" t="str">
        <f ca="1">IF($N35=0,"",INDEX(Data!$U$2051:$U$2550,$N35))</f>
        <v>Listed</v>
      </c>
      <c r="J35" s="21" t="str">
        <f ca="1">IF($N35=0,"",INDEX(Data!$AA$2051:$AA$2550,$N35))</f>
        <v>73% economic need; 0.46 mi fresh access; 4 nearby resources</v>
      </c>
      <c r="K35" s="22" t="str">
        <f ca="1">IF($N35=0,"",IF(INDEX(Data!$I$2051:$I$2550,$N35)=0,"Add ID","Row "&amp;(INDEX(Data!$I$2051:$I$2550,$N35)+7)))</f>
        <v>Row 325</v>
      </c>
      <c r="L35" s="131" t="str">
        <f ca="1">IF($N35=0,"",IF(INDEX(Data!$AN$2051:$AN$2550,$N35)=0,"",IF(INDEX(Data!$U$41:$U$540,INDEX(Data!$AN$2051:$AN$2550,$N35))="","",INDEX(Data!$U$41:$U$540,INDEX(Data!$AN$2051:$AN$2550,$N35)))))</f>
        <v>215-400-3020</v>
      </c>
      <c r="N35" s="105">
        <f ca="1">IF(COUNTIFS(Data!$AR$2051:$AR$2550,23)=1,MATCH(23,Data!$AR$2051:$AR$2550,0),0)</f>
        <v>317</v>
      </c>
    </row>
    <row r="36" spans="1:14" ht="40" customHeight="1">
      <c r="A36" s="15">
        <f ca="1">IF($N36=0,"",24)</f>
        <v>24</v>
      </c>
      <c r="B36" s="90" t="str">
        <f ca="1">IF($N36=0,"",INDEX(Data!$B$2051:$B$2550,$N36))</f>
        <v>Laura H. Carnell School</v>
      </c>
      <c r="C36" s="92" t="str">
        <f ca="1">IF($N36=0,"",INDEX(Data!$C$2051:$C$2550,$N36))</f>
        <v>District</v>
      </c>
      <c r="D36" s="93">
        <f ca="1">IF($N36=0,"",INDEX(Data!$G$2051:$G$2550,$N36))</f>
        <v>0.76359999999999995</v>
      </c>
      <c r="E36" s="94">
        <f ca="1">IF($N36=0,"",INDEX(Data!$F$2051:$F$2550,$N36))</f>
        <v>652</v>
      </c>
      <c r="F36" s="95">
        <f ca="1">IF($N36=0,"",INDEX(Data!$K$2051:$K$2550,$N36))</f>
        <v>0.38637813621413586</v>
      </c>
      <c r="G36" s="92">
        <f ca="1">IF($N36=0,"",INDEX(Data!$L$2051:$L$2550,$N36))</f>
        <v>4</v>
      </c>
      <c r="H36" s="97">
        <f ca="1">IF($N36=0,"",INDEX(Data!$T$2051:$T$2550,$N36))</f>
        <v>39</v>
      </c>
      <c r="I36" s="92" t="str">
        <f ca="1">IF($N36=0,"",INDEX(Data!$U$2051:$U$2550,$N36))</f>
        <v>Listed</v>
      </c>
      <c r="J36" s="98" t="str">
        <f ca="1">IF($N36=0,"",INDEX(Data!$AA$2051:$AA$2550,$N36))</f>
        <v>76% economic need; 0.39 mi fresh access; 4 nearby resources</v>
      </c>
      <c r="K36" s="102" t="str">
        <f ca="1">IF($N36=0,"",IF(INDEX(Data!$I$2051:$I$2550,$N36)=0,"Add ID","Row "&amp;(INDEX(Data!$I$2051:$I$2550,$N36)+7)))</f>
        <v>Row 175</v>
      </c>
      <c r="L36" s="133" t="str">
        <f ca="1">IF($N36=0,"",IF(INDEX(Data!$AN$2051:$AN$2550,$N36)=0,"",IF(INDEX(Data!$U$41:$U$540,INDEX(Data!$AN$2051:$AN$2550,$N36))="","",INDEX(Data!$U$41:$U$540,INDEX(Data!$AN$2051:$AN$2550,$N36)))))</f>
        <v>215-400-3150</v>
      </c>
      <c r="N36" s="105">
        <f ca="1">IF(COUNTIFS(Data!$AR$2051:$AR$2550,24)=1,MATCH(24,Data!$AR$2051:$AR$2550,0),0)</f>
        <v>262</v>
      </c>
    </row>
    <row r="37" spans="1:14" ht="40" customHeight="1">
      <c r="A37" s="15">
        <f ca="1">IF($N37=0,"",25)</f>
        <v>25</v>
      </c>
      <c r="B37" s="23" t="str">
        <f ca="1">IF($N37=0,"",INDEX(Data!$B$2051:$B$2550,$N37))</f>
        <v>John H. Webster School</v>
      </c>
      <c r="C37" s="15" t="str">
        <f ca="1">IF($N37=0,"",INDEX(Data!$C$2051:$C$2550,$N37))</f>
        <v>District</v>
      </c>
      <c r="D37" s="24">
        <f ca="1">IF($N37=0,"",INDEX(Data!$G$2051:$G$2550,$N37))</f>
        <v>0.89970000000000006</v>
      </c>
      <c r="E37" s="17">
        <f ca="1">IF($N37=0,"",INDEX(Data!$F$2051:$F$2550,$N37))</f>
        <v>413</v>
      </c>
      <c r="F37" s="25">
        <f ca="1">IF($N37=0,"",INDEX(Data!$K$2051:$K$2550,$N37))</f>
        <v>0.37561574093849293</v>
      </c>
      <c r="G37" s="15">
        <f ca="1">IF($N37=0,"",INDEX(Data!$L$2051:$L$2550,$N37))</f>
        <v>7</v>
      </c>
      <c r="H37" s="26">
        <f ca="1">IF($N37=0,"",INDEX(Data!$T$2051:$T$2550,$N37))</f>
        <v>38</v>
      </c>
      <c r="I37" s="15" t="str">
        <f ca="1">IF($N37=0,"",INDEX(Data!$U$2051:$U$2550,$N37))</f>
        <v>Listed</v>
      </c>
      <c r="J37" s="21" t="str">
        <f ca="1">IF($N37=0,"",INDEX(Data!$AA$2051:$AA$2550,$N37))</f>
        <v>90% economic need; 0.38 mi fresh access; 7 nearby resources</v>
      </c>
      <c r="K37" s="22" t="str">
        <f ca="1">IF($N37=0,"",IF(INDEX(Data!$I$2051:$I$2550,$N37)=0,"Add ID","Row "&amp;(INDEX(Data!$I$2051:$I$2550,$N37)+7)))</f>
        <v>Row 147</v>
      </c>
      <c r="L37" s="131" t="str">
        <f ca="1">IF($N37=0,"",IF(INDEX(Data!$AN$2051:$AN$2550,$N37)=0,"",IF(INDEX(Data!$U$41:$U$540,INDEX(Data!$AN$2051:$AN$2550,$N37))="","",INDEX(Data!$U$41:$U$540,INDEX(Data!$AN$2051:$AN$2550,$N37)))))</f>
        <v>215-400-7170</v>
      </c>
      <c r="N37" s="105">
        <f ca="1">IF(COUNTIFS(Data!$AR$2051:$AR$2550,25)=1,MATCH(25,Data!$AR$2051:$AR$2550,0),0)</f>
        <v>216</v>
      </c>
    </row>
    <row r="38" spans="1:14" ht="2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4" ht="2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4" ht="22" customHeight="1">
      <c r="A40" s="27" t="s">
        <v>22</v>
      </c>
      <c r="B40" s="27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4" ht="22" customHeight="1">
      <c r="A41" s="27"/>
      <c r="B41" s="27" t="str">
        <f ca="1">COUNTIFS(Data!$H$2051:$H$2550,"Yes",Data!$V$2051:$V$2550,"Missing data")&amp;" schools have no complete score. Find them using School Search &gt; Missing data."</f>
        <v>12 schools have no complete score. Find them using School Search &gt; Missing data.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4" ht="2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4" ht="2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4" ht="34" customHeight="1">
      <c r="A44" s="20" t="s">
        <v>23</v>
      </c>
      <c r="B44" s="20" t="s">
        <v>24</v>
      </c>
      <c r="C44" s="20" t="s">
        <v>25</v>
      </c>
      <c r="D44" s="20" t="s">
        <v>26</v>
      </c>
      <c r="E44" s="20" t="s">
        <v>27</v>
      </c>
      <c r="F44" s="2"/>
      <c r="G44" s="2"/>
      <c r="H44" s="2"/>
      <c r="I44" s="2"/>
      <c r="J44" s="2"/>
      <c r="K44" s="2"/>
      <c r="L44" s="2"/>
    </row>
    <row r="45" spans="1:14" ht="22" customHeight="1">
      <c r="A45" s="28" t="s">
        <v>28</v>
      </c>
      <c r="B45" s="15">
        <f>IF($B$5="Baseline",B46,B47)</f>
        <v>30</v>
      </c>
      <c r="C45" s="15">
        <f>IF($B$5="Baseline",C46,C47)</f>
        <v>25</v>
      </c>
      <c r="D45" s="15">
        <f>IF($B$5="Baseline",D46,D47)</f>
        <v>25</v>
      </c>
      <c r="E45" s="15">
        <f>IF($B$5="Baseline",E46,E47)</f>
        <v>5</v>
      </c>
      <c r="F45" s="2"/>
      <c r="G45" s="2"/>
      <c r="H45" s="2"/>
      <c r="I45" s="2"/>
      <c r="J45" s="2"/>
      <c r="K45" s="2"/>
      <c r="L45" s="2"/>
    </row>
    <row r="46" spans="1:14" ht="22" customHeight="1">
      <c r="A46" s="28" t="s">
        <v>6</v>
      </c>
      <c r="B46" s="15">
        <v>30</v>
      </c>
      <c r="C46" s="15">
        <v>25</v>
      </c>
      <c r="D46" s="15">
        <v>25</v>
      </c>
      <c r="E46" s="15">
        <v>5</v>
      </c>
      <c r="F46" s="2"/>
      <c r="G46" s="2"/>
      <c r="H46" s="2"/>
      <c r="I46" s="2"/>
      <c r="J46" s="2"/>
      <c r="K46" s="2"/>
      <c r="L46" s="2"/>
    </row>
    <row r="47" spans="1:14" ht="22" customHeight="1">
      <c r="A47" s="28" t="s">
        <v>29</v>
      </c>
      <c r="B47" s="18">
        <v>30</v>
      </c>
      <c r="C47" s="18">
        <v>25</v>
      </c>
      <c r="D47" s="18">
        <v>25</v>
      </c>
      <c r="E47" s="18">
        <v>5</v>
      </c>
      <c r="F47" s="2"/>
      <c r="G47" s="2"/>
      <c r="H47" s="2"/>
      <c r="I47" s="2"/>
      <c r="J47" s="2"/>
      <c r="K47" s="2"/>
      <c r="L47" s="2"/>
    </row>
    <row r="48" spans="1:14" ht="2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22" customHeight="1">
      <c r="A49" s="27" t="s">
        <v>30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22" customHeight="1">
      <c r="A50" s="2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22" customHeight="1">
      <c r="A51" s="27" t="s">
        <v>31</v>
      </c>
      <c r="B51" s="27" t="s">
        <v>32</v>
      </c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22" customHeight="1">
      <c r="A53" s="2" t="s">
        <v>10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2" customHeight="1">
      <c r="A54" s="2" t="s">
        <v>4634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2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2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2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2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2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2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2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2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2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2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2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2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2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2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2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2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2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2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2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2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2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2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2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2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2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2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2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2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2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2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2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2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2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2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2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2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2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2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2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2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2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2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2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2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2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2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2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2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2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2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2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2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2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2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2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2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2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2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2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2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2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2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2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2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2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2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2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2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2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2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2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2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2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2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2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2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2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2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2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2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2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2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2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2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2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2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2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2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2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2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2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2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2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2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2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2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22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22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2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2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2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2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2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2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2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2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2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2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2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2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2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22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22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22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2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2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2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2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2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2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2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2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2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2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2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2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2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22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22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22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2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2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2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2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2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2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2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2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2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2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2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22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2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2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2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2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2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2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2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2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2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2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2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2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2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2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22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22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2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2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2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2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2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2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2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2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2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2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2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2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2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2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2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2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2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2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2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2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2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2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2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2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2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2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2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2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2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2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2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2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2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2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2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2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2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2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2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2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2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2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2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2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2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2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2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2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2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2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2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2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2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2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2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2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2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2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2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2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2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2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2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2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2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2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2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2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2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2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2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2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2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2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2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2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2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2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2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2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2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2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2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2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2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2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2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2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2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2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2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2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2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2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2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2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2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2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2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2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2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2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2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2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2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2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2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2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2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2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2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2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2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2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2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2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2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2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2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2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2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2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2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2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2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2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2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2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2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2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2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2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2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2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2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2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2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2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2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2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2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2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2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2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2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2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2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2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2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2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2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2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2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2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2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2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2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2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2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2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2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2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2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22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22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22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22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22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22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22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22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22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22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</sheetData>
  <mergeCells count="5">
    <mergeCell ref="A10:C10"/>
    <mergeCell ref="D10:F10"/>
    <mergeCell ref="G10:I10"/>
    <mergeCell ref="J10:K10"/>
    <mergeCell ref="A11:K11"/>
  </mergeCells>
  <conditionalFormatting sqref="A13:K27">
    <cfRule type="expression" dxfId="2" priority="1">
      <formula>MOD(ROW(),2)=0</formula>
    </cfRule>
  </conditionalFormatting>
  <dataValidations count="6">
    <dataValidation type="list" sqref="B5" xr:uid="{00000000-0002-0000-0000-000000000000}">
      <formula1>"Baseline,Custom"</formula1>
    </dataValidation>
    <dataValidation type="decimal" sqref="B47:E47" xr:uid="{00000000-0002-0000-0000-000001000000}">
      <formula1>0</formula1>
      <formula2>100</formula2>
    </dataValidation>
    <dataValidation type="list" sqref="A10" xr:uid="{00000000-0002-0000-0000-000002000000}">
      <formula1>"All,District,Charter"</formula1>
    </dataValidation>
    <dataValidation type="list" sqref="D10" xr:uid="{00000000-0002-0000-0000-000003000000}">
      <formula1>"All,Elementary,Middle,High,Elementary-Middle,Middle-High,Elementary-High,Elementary-Middle-High,Transition/Overage School"</formula1>
    </dataValidation>
    <dataValidation type="list" sqref="G10" xr:uid="{00000000-0002-0000-0000-000004000000}">
      <formula1>"Priority score,Economic need,Enrollment,Fresh miles,Nearby resources"</formula1>
    </dataValidation>
    <dataValidation type="list" sqref="J10" xr:uid="{00000000-0002-0000-0000-000005000000}">
      <formula1>"Descending,Ascending"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2515-C2E7-47A3-A845-275B5F0BD155}">
  <sheetPr>
    <tabColor rgb="FF223E5A"/>
  </sheetPr>
  <dimension ref="A1:M550"/>
  <sheetViews>
    <sheetView showGridLines="0" topLeftCell="A2" zoomScale="71" workbookViewId="0">
      <selection activeCell="B16" sqref="B16"/>
    </sheetView>
  </sheetViews>
  <sheetFormatPr defaultRowHeight="14"/>
  <cols>
    <col min="1" max="1" width="9" customWidth="1"/>
    <col min="2" max="2" width="39" customWidth="1"/>
    <col min="3" max="4" width="12" customWidth="1"/>
    <col min="5" max="6" width="11" customWidth="1"/>
    <col min="7" max="7" width="12" customWidth="1"/>
    <col min="8" max="9" width="20" customWidth="1"/>
    <col min="10" max="12" width="15" customWidth="1"/>
    <col min="13" max="13" width="0" hidden="1" customWidth="1"/>
  </cols>
  <sheetData>
    <row r="1" spans="1:13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22" customHeight="1">
      <c r="A2" s="3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ht="22" customHeight="1">
      <c r="A3" s="29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ht="22" customHeight="1" thickBot="1">
      <c r="A4" s="2" t="s">
        <v>35</v>
      </c>
      <c r="B4" s="2"/>
      <c r="C4" s="2"/>
      <c r="D4" s="2" t="s">
        <v>36</v>
      </c>
      <c r="E4" s="2"/>
      <c r="F4" s="2"/>
      <c r="G4" s="2" t="s">
        <v>37</v>
      </c>
      <c r="H4" s="2"/>
      <c r="I4" s="2"/>
      <c r="J4" s="2" t="s">
        <v>38</v>
      </c>
      <c r="K4" s="2"/>
      <c r="L4" s="2"/>
    </row>
    <row r="5" spans="1:13" ht="22" customHeight="1" thickBot="1">
      <c r="A5" s="2"/>
      <c r="B5" s="30"/>
      <c r="C5" s="16"/>
      <c r="D5" s="31" t="s">
        <v>39</v>
      </c>
      <c r="E5" s="16"/>
      <c r="F5" s="16"/>
      <c r="G5" s="112" t="s">
        <v>40</v>
      </c>
      <c r="H5" s="113"/>
      <c r="I5" s="16"/>
      <c r="J5" s="31">
        <v>1</v>
      </c>
      <c r="K5" s="2"/>
      <c r="L5" s="2"/>
    </row>
    <row r="6" spans="1:13" ht="2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3" ht="22" customHeight="1">
      <c r="A7" s="27" t="str">
        <f ca="1">SUM(Data!$Y$2051:$Y$2550)&amp;" matches. Page "&amp;J5&amp;" of "&amp;MAX(1,ROUNDUP(SUM(Data!$Y$2051:$Y$2550)/20,0))</f>
        <v>305 matches. Page 1 of 16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3" ht="22" customHeight="1">
      <c r="A8" s="27" t="s">
        <v>41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3" ht="22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3" ht="34" customHeight="1">
      <c r="A10" s="5" t="s">
        <v>42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18</v>
      </c>
      <c r="G10" s="5" t="s">
        <v>43</v>
      </c>
      <c r="H10" s="5" t="s">
        <v>19</v>
      </c>
      <c r="I10" s="5" t="s">
        <v>44</v>
      </c>
      <c r="J10" s="5" t="s">
        <v>45</v>
      </c>
      <c r="K10" s="5" t="s">
        <v>21</v>
      </c>
      <c r="L10" s="2"/>
    </row>
    <row r="11" spans="1:13" ht="34" customHeight="1">
      <c r="A11" s="2">
        <f ca="1">IF($M11=0,"",IF(ISNUMBER(INDEX(Data!$X$2051:$X$2550,$M11)),INDEX(Data!$X$2051:$X$2550,$M11),""))</f>
        <v>1</v>
      </c>
      <c r="B11" s="10" t="str">
        <f ca="1">IF($M11=0,"",INDEX(Data!$B$2051:$B$2550,$M11))</f>
        <v>Tacony Academy Charter School</v>
      </c>
      <c r="C11" s="2" t="str">
        <f ca="1">IF($M11=0,"",INDEX(Data!$C$2051:$C$2550,$M11))</f>
        <v>Charter</v>
      </c>
      <c r="D11" s="6">
        <f ca="1">IF($M11=0,"",IF(ISNUMBER(INDEX(Data!$G$2051:$G$2550,$M11)),INDEX(Data!$G$2051:$G$2550,$M11),""))</f>
        <v>0.72040000000000004</v>
      </c>
      <c r="E11" s="11">
        <f ca="1">IF($M11=0,"",IF(ISNUMBER(INDEX(Data!$F$2051:$F$2550,$M11)),INDEX(Data!$F$2051:$F$2550,$M11),""))</f>
        <v>1090</v>
      </c>
      <c r="F11" s="13">
        <f ca="1">IF($M11=0,"",IF(ISNUMBER(INDEX(Data!$T$2051:$T$2550,$M11)),INDEX(Data!$T$2051:$T$2550,$M11),""))</f>
        <v>70</v>
      </c>
      <c r="G11" s="2" t="str">
        <f ca="1">IF($M11=0,"",INDEX(Data!$J$2051:$J$2550,$M11))</f>
        <v>No</v>
      </c>
      <c r="H11" s="2" t="str">
        <f ca="1">IF($M11=0,"",INDEX(Data!$U$2051:$U$2550,$M11))</f>
        <v>Listed</v>
      </c>
      <c r="I11" s="2" t="str">
        <f ca="1">IF($M11=0,"",INDEX(Data!$V$2051:$V$2550,$M11))</f>
        <v>Candidate</v>
      </c>
      <c r="J11" s="2" t="str">
        <f ca="1">IF($M11=0,"",INDEX(Data!$A$2051:$A$2550,$M11))</f>
        <v>3404</v>
      </c>
      <c r="K11" s="14" t="str">
        <f ca="1">IF($M11=0,"",IF(INDEX(Data!$I$2051:$I$2550,$M11)=0,"Add ID","Row "&amp;(INDEX(Data!$I$2051:$I$2550,$M11)+7)))</f>
        <v>Row 287</v>
      </c>
      <c r="L11" s="2"/>
      <c r="M11">
        <f ca="1">IF(COUNTIFS(Data!$Z$2051:$Z$2550,($J$5-1)*20+1)=1,MATCH(($J$5-1)*20+1,Data!$Z$2051:$Z$2550,0),0)</f>
        <v>126</v>
      </c>
    </row>
    <row r="12" spans="1:13" ht="34" customHeight="1">
      <c r="A12" s="2">
        <f ca="1">IF($M12=0,"",IF(ISNUMBER(INDEX(Data!$X$2051:$X$2550,$M12)),INDEX(Data!$X$2051:$X$2550,$M12),""))</f>
        <v>2</v>
      </c>
      <c r="B12" s="10" t="str">
        <f ca="1">IF($M12=0,"",INDEX(Data!$B$2051:$B$2550,$M12))</f>
        <v>Joseph H. Brown School</v>
      </c>
      <c r="C12" s="2" t="str">
        <f ca="1">IF($M12=0,"",INDEX(Data!$C$2051:$C$2550,$M12))</f>
        <v>District</v>
      </c>
      <c r="D12" s="6">
        <f ca="1">IF($M12=0,"",IF(ISNUMBER(INDEX(Data!$G$2051:$G$2550,$M12)),INDEX(Data!$G$2051:$G$2550,$M12),""))</f>
        <v>0.80559999999999998</v>
      </c>
      <c r="E12" s="11">
        <f ca="1">IF($M12=0,"",IF(ISNUMBER(INDEX(Data!$F$2051:$F$2550,$M12)),INDEX(Data!$F$2051:$F$2550,$M12),""))</f>
        <v>427</v>
      </c>
      <c r="F12" s="13">
        <f ca="1">IF($M12=0,"",IF(ISNUMBER(INDEX(Data!$T$2051:$T$2550,$M12)),INDEX(Data!$T$2051:$T$2550,$M12),""))</f>
        <v>68</v>
      </c>
      <c r="G12" s="2" t="str">
        <f ca="1">IF($M12=0,"",INDEX(Data!$J$2051:$J$2550,$M12))</f>
        <v>No</v>
      </c>
      <c r="H12" s="2" t="str">
        <f ca="1">IF($M12=0,"",INDEX(Data!$U$2051:$U$2550,$M12))</f>
        <v>Listed</v>
      </c>
      <c r="I12" s="2" t="str">
        <f ca="1">IF($M12=0,"",INDEX(Data!$V$2051:$V$2550,$M12))</f>
        <v>Candidate</v>
      </c>
      <c r="J12" s="2" t="str">
        <f ca="1">IF($M12=0,"",INDEX(Data!$A$2051:$A$2550,$M12))</f>
        <v>8210</v>
      </c>
      <c r="K12" s="14" t="str">
        <f ca="1">IF($M12=0,"",IF(INDEX(Data!$I$2051:$I$2550,$M12)=0,"Add ID","Row "&amp;(INDEX(Data!$I$2051:$I$2550,$M12)+7)))</f>
        <v>Row 154</v>
      </c>
      <c r="L12" s="2"/>
      <c r="M12">
        <f ca="1">IF(COUNTIFS(Data!$Z$2051:$Z$2550,($J$5-1)*20+2)=1,MATCH(($J$5-1)*20+2,Data!$Z$2051:$Z$2550,0),0)</f>
        <v>299</v>
      </c>
    </row>
    <row r="13" spans="1:13" ht="34" customHeight="1">
      <c r="A13" s="2">
        <f ca="1">IF($M13=0,"",IF(ISNUMBER(INDEX(Data!$X$2051:$X$2550,$M13)),INDEX(Data!$X$2051:$X$2550,$M13),""))</f>
        <v>3</v>
      </c>
      <c r="B13" s="10" t="str">
        <f ca="1">IF($M13=0,"",INDEX(Data!$B$2051:$B$2550,$M13))</f>
        <v>New Foundations Charter School</v>
      </c>
      <c r="C13" s="2" t="str">
        <f ca="1">IF($M13=0,"",INDEX(Data!$C$2051:$C$2550,$M13))</f>
        <v>Charter</v>
      </c>
      <c r="D13" s="6">
        <f ca="1">IF($M13=0,"",IF(ISNUMBER(INDEX(Data!$G$2051:$G$2550,$M13)),INDEX(Data!$G$2051:$G$2550,$M13),""))</f>
        <v>0.70840000000000003</v>
      </c>
      <c r="E13" s="11">
        <f ca="1">IF($M13=0,"",IF(ISNUMBER(INDEX(Data!$F$2051:$F$2550,$M13)),INDEX(Data!$F$2051:$F$2550,$M13),""))</f>
        <v>1538</v>
      </c>
      <c r="F13" s="13">
        <f ca="1">IF($M13=0,"",IF(ISNUMBER(INDEX(Data!$T$2051:$T$2550,$M13)),INDEX(Data!$T$2051:$T$2550,$M13),""))</f>
        <v>65</v>
      </c>
      <c r="G13" s="2" t="str">
        <f ca="1">IF($M13=0,"",INDEX(Data!$J$2051:$J$2550,$M13))</f>
        <v>No</v>
      </c>
      <c r="H13" s="2" t="str">
        <f ca="1">IF($M13=0,"",INDEX(Data!$U$2051:$U$2550,$M13))</f>
        <v>Listed</v>
      </c>
      <c r="I13" s="2" t="str">
        <f ca="1">IF($M13=0,"",INDEX(Data!$V$2051:$V$2550,$M13))</f>
        <v>Candidate</v>
      </c>
      <c r="J13" s="2" t="str">
        <f ca="1">IF($M13=0,"",INDEX(Data!$A$2051:$A$2550,$M13))</f>
        <v>3334</v>
      </c>
      <c r="K13" s="14" t="str">
        <f ca="1">IF($M13=0,"",IF(INDEX(Data!$I$2051:$I$2550,$M13)=0,"Add ID","Row "&amp;(INDEX(Data!$I$2051:$I$2550,$M13)+7)))</f>
        <v>Row 211</v>
      </c>
      <c r="L13" s="2"/>
      <c r="M13">
        <f ca="1">IF(COUNTIFS(Data!$Z$2051:$Z$2550,($J$5-1)*20+3)=1,MATCH(($J$5-1)*20+3,Data!$Z$2051:$Z$2550,0),0)</f>
        <v>94</v>
      </c>
    </row>
    <row r="14" spans="1:13" ht="34" customHeight="1">
      <c r="A14" s="2">
        <f ca="1">IF($M14=0,"",IF(ISNUMBER(INDEX(Data!$X$2051:$X$2550,$M14)),INDEX(Data!$X$2051:$X$2550,$M14),""))</f>
        <v>4</v>
      </c>
      <c r="B14" s="10" t="str">
        <f ca="1">IF($M14=0,"",INDEX(Data!$B$2051:$B$2550,$M14))</f>
        <v>Southwest Leadership Academy Charter School</v>
      </c>
      <c r="C14" s="2" t="str">
        <f ca="1">IF($M14=0,"",INDEX(Data!$C$2051:$C$2550,$M14))</f>
        <v>Charter</v>
      </c>
      <c r="D14" s="6">
        <f ca="1">IF($M14=0,"",IF(ISNUMBER(INDEX(Data!$G$2051:$G$2550,$M14)),INDEX(Data!$G$2051:$G$2550,$M14),""))</f>
        <v>1</v>
      </c>
      <c r="E14" s="11">
        <f ca="1">IF($M14=0,"",IF(ISNUMBER(INDEX(Data!$F$2051:$F$2550,$M14)),INDEX(Data!$F$2051:$F$2550,$M14),""))</f>
        <v>690</v>
      </c>
      <c r="F14" s="13">
        <f ca="1">IF($M14=0,"",IF(ISNUMBER(INDEX(Data!$T$2051:$T$2550,$M14)),INDEX(Data!$T$2051:$T$2550,$M14),""))</f>
        <v>64</v>
      </c>
      <c r="G14" s="2" t="str">
        <f ca="1">IF($M14=0,"",INDEX(Data!$J$2051:$J$2550,$M14))</f>
        <v>No</v>
      </c>
      <c r="H14" s="2" t="str">
        <f ca="1">IF($M14=0,"",INDEX(Data!$U$2051:$U$2550,$M14))</f>
        <v>Listed</v>
      </c>
      <c r="I14" s="2" t="str">
        <f ca="1">IF($M14=0,"",INDEX(Data!$V$2051:$V$2550,$M14))</f>
        <v>Candidate</v>
      </c>
      <c r="J14" s="2" t="str">
        <f ca="1">IF($M14=0,"",INDEX(Data!$A$2051:$A$2550,$M14))</f>
        <v>3392</v>
      </c>
      <c r="K14" s="14" t="str">
        <f ca="1">IF($M14=0,"",IF(INDEX(Data!$I$2051:$I$2550,$M14)=0,"Add ID","Row "&amp;(INDEX(Data!$I$2051:$I$2550,$M14)+7)))</f>
        <v>Row 280</v>
      </c>
      <c r="L14" s="2"/>
      <c r="M14">
        <f ca="1">IF(COUNTIFS(Data!$Z$2051:$Z$2550,($J$5-1)*20+4)=1,MATCH(($J$5-1)*20+4,Data!$Z$2051:$Z$2550,0),0)</f>
        <v>120</v>
      </c>
    </row>
    <row r="15" spans="1:13" ht="34" customHeight="1">
      <c r="A15" s="2">
        <f ca="1">IF($M15=0,"",IF(ISNUMBER(INDEX(Data!$X$2051:$X$2550,$M15)),INDEX(Data!$X$2051:$X$2550,$M15),""))</f>
        <v>4</v>
      </c>
      <c r="B15" s="10" t="str">
        <f ca="1">IF($M15=0,"",INDEX(Data!$B$2051:$B$2550,$M15))</f>
        <v>Ad Prima Charter School</v>
      </c>
      <c r="C15" s="2" t="str">
        <f ca="1">IF($M15=0,"",INDEX(Data!$C$2051:$C$2550,$M15))</f>
        <v>Charter</v>
      </c>
      <c r="D15" s="6">
        <f ca="1">IF($M15=0,"",IF(ISNUMBER(INDEX(Data!$G$2051:$G$2550,$M15)),INDEX(Data!$G$2051:$G$2550,$M15),""))</f>
        <v>0.9274</v>
      </c>
      <c r="E15" s="11">
        <f ca="1">IF($M15=0,"",IF(ISNUMBER(INDEX(Data!$F$2051:$F$2550,$M15)),INDEX(Data!$F$2051:$F$2550,$M15),""))</f>
        <v>617</v>
      </c>
      <c r="F15" s="13">
        <f ca="1">IF($M15=0,"",IF(ISNUMBER(INDEX(Data!$T$2051:$T$2550,$M15)),INDEX(Data!$T$2051:$T$2550,$M15),""))</f>
        <v>64</v>
      </c>
      <c r="G15" s="2" t="str">
        <f ca="1">IF($M15=0,"",INDEX(Data!$J$2051:$J$2550,$M15))</f>
        <v>No</v>
      </c>
      <c r="H15" s="2" t="str">
        <f ca="1">IF($M15=0,"",INDEX(Data!$U$2051:$U$2550,$M15))</f>
        <v>Listed</v>
      </c>
      <c r="I15" s="2" t="str">
        <f ca="1">IF($M15=0,"",INDEX(Data!$V$2051:$V$2550,$M15))</f>
        <v>Candidate</v>
      </c>
      <c r="J15" s="2" t="str">
        <f ca="1">IF($M15=0,"",INDEX(Data!$A$2051:$A$2550,$M15))</f>
        <v>3379</v>
      </c>
      <c r="K15" s="14" t="str">
        <f ca="1">IF($M15=0,"",IF(INDEX(Data!$I$2051:$I$2550,$M15)=0,"Add ID","Row "&amp;(INDEX(Data!$I$2051:$I$2550,$M15)+7)))</f>
        <v>Row 15</v>
      </c>
      <c r="L15" s="2"/>
      <c r="M15">
        <f ca="1">IF(COUNTIFS(Data!$Z$2051:$Z$2550,($J$5-1)*20+5)=1,MATCH(($J$5-1)*20+5,Data!$Z$2051:$Z$2550,0),0)</f>
        <v>113</v>
      </c>
    </row>
    <row r="16" spans="1:13" ht="34" customHeight="1">
      <c r="A16" s="2">
        <f ca="1">IF($M16=0,"",IF(ISNUMBER(INDEX(Data!$X$2051:$X$2550,$M16)),INDEX(Data!$X$2051:$X$2550,$M16),""))</f>
        <v>4</v>
      </c>
      <c r="B16" s="10" t="str">
        <f ca="1">IF($M16=0,"",INDEX(Data!$B$2051:$B$2550,$M16))</f>
        <v>Rhawnhurst School</v>
      </c>
      <c r="C16" s="2" t="str">
        <f ca="1">IF($M16=0,"",INDEX(Data!$C$2051:$C$2550,$M16))</f>
        <v>District</v>
      </c>
      <c r="D16" s="6">
        <f ca="1">IF($M16=0,"",IF(ISNUMBER(INDEX(Data!$G$2051:$G$2550,$M16)),INDEX(Data!$G$2051:$G$2550,$M16),""))</f>
        <v>0.76370000000000005</v>
      </c>
      <c r="E16" s="11">
        <f ca="1">IF($M16=0,"",IF(ISNUMBER(INDEX(Data!$F$2051:$F$2550,$M16)),INDEX(Data!$F$2051:$F$2550,$M16),""))</f>
        <v>584</v>
      </c>
      <c r="F16" s="13">
        <f ca="1">IF($M16=0,"",IF(ISNUMBER(INDEX(Data!$T$2051:$T$2550,$M16)),INDEX(Data!$T$2051:$T$2550,$M16),""))</f>
        <v>64</v>
      </c>
      <c r="G16" s="2" t="str">
        <f ca="1">IF($M16=0,"",INDEX(Data!$J$2051:$J$2550,$M16))</f>
        <v>No</v>
      </c>
      <c r="H16" s="2" t="str">
        <f ca="1">IF($M16=0,"",INDEX(Data!$U$2051:$U$2550,$M16))</f>
        <v>Listed</v>
      </c>
      <c r="I16" s="2" t="str">
        <f ca="1">IF($M16=0,"",INDEX(Data!$V$2051:$V$2550,$M16))</f>
        <v>Candidate</v>
      </c>
      <c r="J16" s="2" t="str">
        <f ca="1">IF($M16=0,"",INDEX(Data!$A$2051:$A$2550,$M16))</f>
        <v>8360</v>
      </c>
      <c r="K16" s="14" t="str">
        <f ca="1">IF($M16=0,"",IF(INDEX(Data!$I$2051:$I$2550,$M16)=0,"Add ID","Row "&amp;(INDEX(Data!$I$2051:$I$2550,$M16)+7)))</f>
        <v>Row 254</v>
      </c>
      <c r="L16" s="2"/>
      <c r="M16">
        <f ca="1">IF(COUNTIFS(Data!$Z$2051:$Z$2550,($J$5-1)*20+6)=1,MATCH(($J$5-1)*20+6,Data!$Z$2051:$Z$2550,0),0)</f>
        <v>309</v>
      </c>
    </row>
    <row r="17" spans="1:13" ht="34" customHeight="1">
      <c r="A17" s="2">
        <f ca="1">IF($M17=0,"",IF(ISNUMBER(INDEX(Data!$X$2051:$X$2550,$M17)),INDEX(Data!$X$2051:$X$2550,$M17),""))</f>
        <v>7</v>
      </c>
      <c r="B17" s="10" t="str">
        <f ca="1">IF($M17=0,"",INDEX(Data!$B$2051:$B$2550,$M17))</f>
        <v>Penrose School</v>
      </c>
      <c r="C17" s="2" t="str">
        <f ca="1">IF($M17=0,"",INDEX(Data!$C$2051:$C$2550,$M17))</f>
        <v>District</v>
      </c>
      <c r="D17" s="6">
        <f ca="1">IF($M17=0,"",IF(ISNUMBER(INDEX(Data!$G$2051:$G$2550,$M17)),INDEX(Data!$G$2051:$G$2550,$M17),""))</f>
        <v>0.83720000000000006</v>
      </c>
      <c r="E17" s="11">
        <f ca="1">IF($M17=0,"",IF(ISNUMBER(INDEX(Data!$F$2051:$F$2550,$M17)),INDEX(Data!$F$2051:$F$2550,$M17),""))</f>
        <v>429</v>
      </c>
      <c r="F17" s="13">
        <f ca="1">IF($M17=0,"",IF(ISNUMBER(INDEX(Data!$T$2051:$T$2550,$M17)),INDEX(Data!$T$2051:$T$2550,$M17),""))</f>
        <v>63</v>
      </c>
      <c r="G17" s="2" t="str">
        <f ca="1">IF($M17=0,"",INDEX(Data!$J$2051:$J$2550,$M17))</f>
        <v>No</v>
      </c>
      <c r="H17" s="2" t="str">
        <f ca="1">IF($M17=0,"",INDEX(Data!$U$2051:$U$2550,$M17))</f>
        <v>Listed</v>
      </c>
      <c r="I17" s="2" t="str">
        <f ca="1">IF($M17=0,"",INDEX(Data!$V$2051:$V$2550,$M17))</f>
        <v>Candidate</v>
      </c>
      <c r="J17" s="2" t="str">
        <f ca="1">IF($M17=0,"",INDEX(Data!$A$2051:$A$2550,$M17))</f>
        <v>1440</v>
      </c>
      <c r="K17" s="14" t="str">
        <f ca="1">IF($M17=0,"",IF(INDEX(Data!$I$2051:$I$2550,$M17)=0,"Add ID","Row "&amp;(INDEX(Data!$I$2051:$I$2550,$M17)+7)))</f>
        <v>Row 236</v>
      </c>
      <c r="L17" s="2"/>
      <c r="M17">
        <f ca="1">IF(COUNTIFS(Data!$Z$2051:$Z$2550,($J$5-1)*20+7)=1,MATCH(($J$5-1)*20+7,Data!$Z$2051:$Z$2550,0),0)</f>
        <v>24</v>
      </c>
    </row>
    <row r="18" spans="1:13" ht="34" customHeight="1">
      <c r="A18" s="2">
        <f ca="1">IF($M18=0,"",IF(ISNUMBER(INDEX(Data!$X$2051:$X$2550,$M18)),INDEX(Data!$X$2051:$X$2550,$M18),""))</f>
        <v>7</v>
      </c>
      <c r="B18" s="10" t="str">
        <f ca="1">IF($M18=0,"",INDEX(Data!$B$2051:$B$2550,$M18))</f>
        <v>Robert E. Lamberton School</v>
      </c>
      <c r="C18" s="2" t="str">
        <f ca="1">IF($M18=0,"",INDEX(Data!$C$2051:$C$2550,$M18))</f>
        <v>District</v>
      </c>
      <c r="D18" s="6">
        <f ca="1">IF($M18=0,"",IF(ISNUMBER(INDEX(Data!$G$2051:$G$2550,$M18)),INDEX(Data!$G$2051:$G$2550,$M18),""))</f>
        <v>0.83550000000000002</v>
      </c>
      <c r="E18" s="11">
        <f ca="1">IF($M18=0,"",IF(ISNUMBER(INDEX(Data!$F$2051:$F$2550,$M18)),INDEX(Data!$F$2051:$F$2550,$M18),""))</f>
        <v>362</v>
      </c>
      <c r="F18" s="13">
        <f ca="1">IF($M18=0,"",IF(ISNUMBER(INDEX(Data!$T$2051:$T$2550,$M18)),INDEX(Data!$T$2051:$T$2550,$M18),""))</f>
        <v>63</v>
      </c>
      <c r="G18" s="2" t="str">
        <f ca="1">IF($M18=0,"",INDEX(Data!$J$2051:$J$2550,$M18))</f>
        <v>No</v>
      </c>
      <c r="H18" s="2" t="str">
        <f ca="1">IF($M18=0,"",INDEX(Data!$U$2051:$U$2550,$M18))</f>
        <v>Listed</v>
      </c>
      <c r="I18" s="2" t="str">
        <f ca="1">IF($M18=0,"",INDEX(Data!$V$2051:$V$2550,$M18))</f>
        <v>Candidate</v>
      </c>
      <c r="J18" s="2" t="str">
        <f ca="1">IF($M18=0,"",INDEX(Data!$A$2051:$A$2550,$M18))</f>
        <v>4320</v>
      </c>
      <c r="K18" s="14" t="str">
        <f ca="1">IF($M18=0,"",IF(INDEX(Data!$I$2051:$I$2550,$M18)=0,"Add ID","Row "&amp;(INDEX(Data!$I$2051:$I$2550,$M18)+7)))</f>
        <v>Row 259</v>
      </c>
      <c r="L18" s="2"/>
      <c r="M18">
        <f ca="1">IF(COUNTIFS(Data!$Z$2051:$Z$2550,($J$5-1)*20+8)=1,MATCH(($J$5-1)*20+8,Data!$Z$2051:$Z$2550,0),0)</f>
        <v>166</v>
      </c>
    </row>
    <row r="19" spans="1:13" ht="34" customHeight="1">
      <c r="A19" s="2">
        <f ca="1">IF($M19=0,"",IF(ISNUMBER(INDEX(Data!$X$2051:$X$2550,$M19)),INDEX(Data!$X$2051:$X$2550,$M19),""))</f>
        <v>9</v>
      </c>
      <c r="B19" s="10" t="str">
        <f ca="1">IF($M19=0,"",INDEX(Data!$B$2051:$B$2550,$M19))</f>
        <v>Lankenau High School</v>
      </c>
      <c r="C19" s="2" t="str">
        <f ca="1">IF($M19=0,"",INDEX(Data!$C$2051:$C$2550,$M19))</f>
        <v>District</v>
      </c>
      <c r="D19" s="6">
        <f ca="1">IF($M19=0,"",IF(ISNUMBER(INDEX(Data!$G$2051:$G$2550,$M19)),INDEX(Data!$G$2051:$G$2550,$M19),""))</f>
        <v>0.64</v>
      </c>
      <c r="E19" s="11">
        <f ca="1">IF($M19=0,"",IF(ISNUMBER(INDEX(Data!$F$2051:$F$2550,$M19)),INDEX(Data!$F$2051:$F$2550,$M19),""))</f>
        <v>225</v>
      </c>
      <c r="F19" s="13">
        <f ca="1">IF($M19=0,"",IF(ISNUMBER(INDEX(Data!$T$2051:$T$2550,$M19)),INDEX(Data!$T$2051:$T$2550,$M19),""))</f>
        <v>62</v>
      </c>
      <c r="G19" s="2" t="str">
        <f ca="1">IF($M19=0,"",INDEX(Data!$J$2051:$J$2550,$M19))</f>
        <v>No</v>
      </c>
      <c r="H19" s="2" t="str">
        <f ca="1">IF($M19=0,"",INDEX(Data!$U$2051:$U$2550,$M19))</f>
        <v>Listed</v>
      </c>
      <c r="I19" s="2" t="str">
        <f ca="1">IF($M19=0,"",INDEX(Data!$V$2051:$V$2550,$M19))</f>
        <v>Candidate</v>
      </c>
      <c r="J19" s="2" t="str">
        <f ca="1">IF($M19=0,"",INDEX(Data!$A$2051:$A$2550,$M19))</f>
        <v>6540</v>
      </c>
      <c r="K19" s="14" t="str">
        <f ca="1">IF($M19=0,"",IF(INDEX(Data!$I$2051:$I$2550,$M19)=0,"Add ID","Row "&amp;(INDEX(Data!$I$2051:$I$2550,$M19)+7)))</f>
        <v>Row 174</v>
      </c>
      <c r="L19" s="2"/>
      <c r="M19">
        <f ca="1">IF(COUNTIFS(Data!$Z$2051:$Z$2550,($J$5-1)*20+9)=1,MATCH(($J$5-1)*20+9,Data!$Z$2051:$Z$2550,0),0)</f>
        <v>251</v>
      </c>
    </row>
    <row r="20" spans="1:13" ht="34" customHeight="1">
      <c r="A20" s="2">
        <f ca="1">IF($M20=0,"",IF(ISNUMBER(INDEX(Data!$X$2051:$X$2550,$M20)),INDEX(Data!$X$2051:$X$2550,$M20),""))</f>
        <v>10</v>
      </c>
      <c r="B20" s="10" t="str">
        <f ca="1">IF($M20=0,"",INDEX(Data!$B$2051:$B$2550,$M20))</f>
        <v>Robert B. Pollock School</v>
      </c>
      <c r="C20" s="2" t="str">
        <f ca="1">IF($M20=0,"",INDEX(Data!$C$2051:$C$2550,$M20))</f>
        <v>District</v>
      </c>
      <c r="D20" s="6">
        <f ca="1">IF($M20=0,"",IF(ISNUMBER(INDEX(Data!$G$2051:$G$2550,$M20)),INDEX(Data!$G$2051:$G$2550,$M20),""))</f>
        <v>0.73409999999999997</v>
      </c>
      <c r="E20" s="11">
        <f ca="1">IF($M20=0,"",IF(ISNUMBER(INDEX(Data!$F$2051:$F$2550,$M20)),INDEX(Data!$F$2051:$F$2550,$M20),""))</f>
        <v>900</v>
      </c>
      <c r="F20" s="13">
        <f ca="1">IF($M20=0,"",IF(ISNUMBER(INDEX(Data!$T$2051:$T$2550,$M20)),INDEX(Data!$T$2051:$T$2550,$M20),""))</f>
        <v>60</v>
      </c>
      <c r="G20" s="2" t="str">
        <f ca="1">IF($M20=0,"",INDEX(Data!$J$2051:$J$2550,$M20))</f>
        <v>No</v>
      </c>
      <c r="H20" s="2" t="str">
        <f ca="1">IF($M20=0,"",INDEX(Data!$U$2051:$U$2550,$M20))</f>
        <v>Listed</v>
      </c>
      <c r="I20" s="2" t="str">
        <f ca="1">IF($M20=0,"",INDEX(Data!$V$2051:$V$2550,$M20))</f>
        <v>Candidate</v>
      </c>
      <c r="J20" s="2" t="str">
        <f ca="1">IF($M20=0,"",INDEX(Data!$A$2051:$A$2550,$M20))</f>
        <v>8410</v>
      </c>
      <c r="K20" s="14" t="str">
        <f ca="1">IF($M20=0,"",IF(INDEX(Data!$I$2051:$I$2550,$M20)=0,"Add ID","Row "&amp;(INDEX(Data!$I$2051:$I$2550,$M20)+7)))</f>
        <v>Row 258</v>
      </c>
      <c r="L20" s="2"/>
      <c r="M20">
        <f ca="1">IF(COUNTIFS(Data!$Z$2051:$Z$2550,($J$5-1)*20+10)=1,MATCH(($J$5-1)*20+10,Data!$Z$2051:$Z$2550,0),0)</f>
        <v>314</v>
      </c>
    </row>
    <row r="21" spans="1:13" ht="34" customHeight="1">
      <c r="A21" s="2">
        <f ca="1">IF($M21=0,"",IF(ISNUMBER(INDEX(Data!$X$2051:$X$2550,$M21)),INDEX(Data!$X$2051:$X$2550,$M21),""))</f>
        <v>10</v>
      </c>
      <c r="B21" s="10" t="str">
        <f ca="1">IF($M21=0,"",INDEX(Data!$B$2051:$B$2550,$M21))</f>
        <v>Northeast High School</v>
      </c>
      <c r="C21" s="2" t="str">
        <f ca="1">IF($M21=0,"",INDEX(Data!$C$2051:$C$2550,$M21))</f>
        <v>District</v>
      </c>
      <c r="D21" s="6">
        <f ca="1">IF($M21=0,"",IF(ISNUMBER(INDEX(Data!$G$2051:$G$2550,$M21)),INDEX(Data!$G$2051:$G$2550,$M21),""))</f>
        <v>0.71919999999999995</v>
      </c>
      <c r="E21" s="11">
        <f ca="1">IF($M21=0,"",IF(ISNUMBER(INDEX(Data!$F$2051:$F$2550,$M21)),INDEX(Data!$F$2051:$F$2550,$M21),""))</f>
        <v>3541</v>
      </c>
      <c r="F21" s="13">
        <f ca="1">IF($M21=0,"",IF(ISNUMBER(INDEX(Data!$T$2051:$T$2550,$M21)),INDEX(Data!$T$2051:$T$2550,$M21),""))</f>
        <v>60</v>
      </c>
      <c r="G21" s="2" t="str">
        <f ca="1">IF($M21=0,"",INDEX(Data!$J$2051:$J$2550,$M21))</f>
        <v>No</v>
      </c>
      <c r="H21" s="2" t="str">
        <f ca="1">IF($M21=0,"",INDEX(Data!$U$2051:$U$2550,$M21))</f>
        <v>Listed</v>
      </c>
      <c r="I21" s="2" t="str">
        <f ca="1">IF($M21=0,"",INDEX(Data!$V$2051:$V$2550,$M21))</f>
        <v>Candidate</v>
      </c>
      <c r="J21" s="2" t="str">
        <f ca="1">IF($M21=0,"",INDEX(Data!$A$2051:$A$2550,$M21))</f>
        <v>8020</v>
      </c>
      <c r="K21" s="14" t="str">
        <f ca="1">IF($M21=0,"",IF(INDEX(Data!$I$2051:$I$2550,$M21)=0,"Add ID","Row "&amp;(INDEX(Data!$I$2051:$I$2550,$M21)+7)))</f>
        <v>Row 213</v>
      </c>
      <c r="L21" s="2"/>
      <c r="M21">
        <f ca="1">IF(COUNTIFS(Data!$Z$2051:$Z$2550,($J$5-1)*20+11)=1,MATCH(($J$5-1)*20+11,Data!$Z$2051:$Z$2550,0),0)</f>
        <v>287</v>
      </c>
    </row>
    <row r="22" spans="1:13" ht="34" customHeight="1">
      <c r="A22" s="2">
        <f ca="1">IF($M22=0,"",IF(ISNUMBER(INDEX(Data!$X$2051:$X$2550,$M22)),INDEX(Data!$X$2051:$X$2550,$M22),""))</f>
        <v>10</v>
      </c>
      <c r="B22" s="10" t="str">
        <f ca="1">IF($M22=0,"",INDEX(Data!$B$2051:$B$2550,$M22))</f>
        <v>Aloysius L. Fitzpatrick School</v>
      </c>
      <c r="C22" s="2" t="str">
        <f ca="1">IF($M22=0,"",INDEX(Data!$C$2051:$C$2550,$M22))</f>
        <v>District</v>
      </c>
      <c r="D22" s="6">
        <f ca="1">IF($M22=0,"",IF(ISNUMBER(INDEX(Data!$G$2051:$G$2550,$M22)),INDEX(Data!$G$2051:$G$2550,$M22),""))</f>
        <v>0.71760000000000002</v>
      </c>
      <c r="E22" s="11">
        <f ca="1">IF($M22=0,"",IF(ISNUMBER(INDEX(Data!$F$2051:$F$2550,$M22)),INDEX(Data!$F$2051:$F$2550,$M22),""))</f>
        <v>868</v>
      </c>
      <c r="F22" s="13">
        <f ca="1">IF($M22=0,"",IF(ISNUMBER(INDEX(Data!$T$2051:$T$2550,$M22)),INDEX(Data!$T$2051:$T$2550,$M22),""))</f>
        <v>60</v>
      </c>
      <c r="G22" s="2" t="str">
        <f ca="1">IF($M22=0,"",INDEX(Data!$J$2051:$J$2550,$M22))</f>
        <v>No</v>
      </c>
      <c r="H22" s="2" t="str">
        <f ca="1">IF($M22=0,"",INDEX(Data!$U$2051:$U$2550,$M22))</f>
        <v>Listed</v>
      </c>
      <c r="I22" s="2" t="str">
        <f ca="1">IF($M22=0,"",INDEX(Data!$V$2051:$V$2550,$M22))</f>
        <v>Candidate</v>
      </c>
      <c r="J22" s="2" t="str">
        <f ca="1">IF($M22=0,"",INDEX(Data!$A$2051:$A$2550,$M22))</f>
        <v>8390</v>
      </c>
      <c r="K22" s="14" t="str">
        <f ca="1">IF($M22=0,"",IF(INDEX(Data!$I$2051:$I$2550,$M22)=0,"Add ID","Row "&amp;(INDEX(Data!$I$2051:$I$2550,$M22)+7)))</f>
        <v>Row 23</v>
      </c>
      <c r="L22" s="2"/>
      <c r="M22">
        <f ca="1">IF(COUNTIFS(Data!$Z$2051:$Z$2550,($J$5-1)*20+12)=1,MATCH(($J$5-1)*20+12,Data!$Z$2051:$Z$2550,0),0)</f>
        <v>312</v>
      </c>
    </row>
    <row r="23" spans="1:13" ht="34" customHeight="1">
      <c r="A23" s="2">
        <f ca="1">IF($M23=0,"",IF(ISNUMBER(INDEX(Data!$X$2051:$X$2550,$M23)),INDEX(Data!$X$2051:$X$2550,$M23),""))</f>
        <v>10</v>
      </c>
      <c r="B23" s="10" t="str">
        <f ca="1">IF($M23=0,"",INDEX(Data!$B$2051:$B$2550,$M23))</f>
        <v>Franklin Towne Charter Elementary School</v>
      </c>
      <c r="C23" s="2" t="str">
        <f ca="1">IF($M23=0,"",INDEX(Data!$C$2051:$C$2550,$M23))</f>
        <v>Charter</v>
      </c>
      <c r="D23" s="6">
        <f ca="1">IF($M23=0,"",IF(ISNUMBER(INDEX(Data!$G$2051:$G$2550,$M23)),INDEX(Data!$G$2051:$G$2550,$M23),""))</f>
        <v>0.67669999999999997</v>
      </c>
      <c r="E23" s="11">
        <f ca="1">IF($M23=0,"",IF(ISNUMBER(INDEX(Data!$F$2051:$F$2550,$M23)),INDEX(Data!$F$2051:$F$2550,$M23),""))</f>
        <v>958</v>
      </c>
      <c r="F23" s="13">
        <f ca="1">IF($M23=0,"",IF(ISNUMBER(INDEX(Data!$T$2051:$T$2550,$M23)),INDEX(Data!$T$2051:$T$2550,$M23),""))</f>
        <v>60</v>
      </c>
      <c r="G23" s="2" t="str">
        <f ca="1">IF($M23=0,"",INDEX(Data!$J$2051:$J$2550,$M23))</f>
        <v>No</v>
      </c>
      <c r="H23" s="2" t="str">
        <f ca="1">IF($M23=0,"",INDEX(Data!$U$2051:$U$2550,$M23))</f>
        <v>Listed</v>
      </c>
      <c r="I23" s="2" t="str">
        <f ca="1">IF($M23=0,"",INDEX(Data!$V$2051:$V$2550,$M23))</f>
        <v>Candidate</v>
      </c>
      <c r="J23" s="2" t="str">
        <f ca="1">IF($M23=0,"",INDEX(Data!$A$2051:$A$2550,$M23))</f>
        <v>3403</v>
      </c>
      <c r="K23" s="14" t="str">
        <f ca="1">IF($M23=0,"",IF(INDEX(Data!$I$2051:$I$2550,$M23)=0,"Add ID","Row "&amp;(INDEX(Data!$I$2051:$I$2550,$M23)+7)))</f>
        <v>Row 92</v>
      </c>
      <c r="L23" s="2"/>
      <c r="M23">
        <f ca="1">IF(COUNTIFS(Data!$Z$2051:$Z$2550,($J$5-1)*20+13)=1,MATCH(($J$5-1)*20+13,Data!$Z$2051:$Z$2550,0),0)</f>
        <v>125</v>
      </c>
    </row>
    <row r="24" spans="1:13" ht="34" customHeight="1">
      <c r="A24" s="2">
        <f ca="1">IF($M24=0,"",IF(ISNUMBER(INDEX(Data!$X$2051:$X$2550,$M24)),INDEX(Data!$X$2051:$X$2550,$M24),""))</f>
        <v>10</v>
      </c>
      <c r="B24" s="10" t="str">
        <f ca="1">IF($M24=0,"",INDEX(Data!$B$2051:$B$2550,$M24))</f>
        <v>Charles C.A. Baldi Middle School</v>
      </c>
      <c r="C24" s="2" t="str">
        <f ca="1">IF($M24=0,"",INDEX(Data!$C$2051:$C$2550,$M24))</f>
        <v>District</v>
      </c>
      <c r="D24" s="6">
        <f ca="1">IF($M24=0,"",IF(ISNUMBER(INDEX(Data!$G$2051:$G$2550,$M24)),INDEX(Data!$G$2051:$G$2550,$M24),""))</f>
        <v>0.66830000000000001</v>
      </c>
      <c r="E24" s="11">
        <f ca="1">IF($M24=0,"",IF(ISNUMBER(INDEX(Data!$F$2051:$F$2550,$M24)),INDEX(Data!$F$2051:$F$2550,$M24),""))</f>
        <v>1424</v>
      </c>
      <c r="F24" s="13">
        <f ca="1">IF($M24=0,"",IF(ISNUMBER(INDEX(Data!$T$2051:$T$2550,$M24)),INDEX(Data!$T$2051:$T$2550,$M24),""))</f>
        <v>60</v>
      </c>
      <c r="G24" s="2" t="str">
        <f ca="1">IF($M24=0,"",INDEX(Data!$J$2051:$J$2550,$M24))</f>
        <v>No</v>
      </c>
      <c r="H24" s="2" t="str">
        <f ca="1">IF($M24=0,"",INDEX(Data!$U$2051:$U$2550,$M24))</f>
        <v>Listed</v>
      </c>
      <c r="I24" s="2" t="str">
        <f ca="1">IF($M24=0,"",INDEX(Data!$V$2051:$V$2550,$M24))</f>
        <v>Candidate</v>
      </c>
      <c r="J24" s="2" t="str">
        <f ca="1">IF($M24=0,"",INDEX(Data!$A$2051:$A$2550,$M24))</f>
        <v>8160</v>
      </c>
      <c r="K24" s="14" t="str">
        <f ca="1">IF($M24=0,"",IF(INDEX(Data!$I$2051:$I$2550,$M24)=0,"Add ID","Row "&amp;(INDEX(Data!$I$2051:$I$2550,$M24)+7)))</f>
        <v>Row 47</v>
      </c>
      <c r="L24" s="2"/>
      <c r="M24">
        <f ca="1">IF(COUNTIFS(Data!$Z$2051:$Z$2550,($J$5-1)*20+14)=1,MATCH(($J$5-1)*20+14,Data!$Z$2051:$Z$2550,0),0)</f>
        <v>296</v>
      </c>
    </row>
    <row r="25" spans="1:13" ht="34" customHeight="1">
      <c r="A25" s="2">
        <f ca="1">IF($M25=0,"",IF(ISNUMBER(INDEX(Data!$X$2051:$X$2550,$M25)),INDEX(Data!$X$2051:$X$2550,$M25),""))</f>
        <v>10</v>
      </c>
      <c r="B25" s="10" t="str">
        <f ca="1">IF($M25=0,"",INDEX(Data!$B$2051:$B$2550,$M25))</f>
        <v>Joseph Greenberg School</v>
      </c>
      <c r="C25" s="2" t="str">
        <f ca="1">IF($M25=0,"",INDEX(Data!$C$2051:$C$2550,$M25))</f>
        <v>District</v>
      </c>
      <c r="D25" s="6">
        <f ca="1">IF($M25=0,"",IF(ISNUMBER(INDEX(Data!$G$2051:$G$2550,$M25)),INDEX(Data!$G$2051:$G$2550,$M25),""))</f>
        <v>0.52339999999999998</v>
      </c>
      <c r="E25" s="11">
        <f ca="1">IF($M25=0,"",IF(ISNUMBER(INDEX(Data!$F$2051:$F$2550,$M25)),INDEX(Data!$F$2051:$F$2550,$M25),""))</f>
        <v>1048</v>
      </c>
      <c r="F25" s="13">
        <f ca="1">IF($M25=0,"",IF(ISNUMBER(INDEX(Data!$T$2051:$T$2550,$M25)),INDEX(Data!$T$2051:$T$2550,$M25),""))</f>
        <v>60</v>
      </c>
      <c r="G25" s="2" t="str">
        <f ca="1">IF($M25=0,"",INDEX(Data!$J$2051:$J$2550,$M25))</f>
        <v>No</v>
      </c>
      <c r="H25" s="2" t="str">
        <f ca="1">IF($M25=0,"",INDEX(Data!$U$2051:$U$2550,$M25))</f>
        <v>Listed</v>
      </c>
      <c r="I25" s="2" t="str">
        <f ca="1">IF($M25=0,"",INDEX(Data!$V$2051:$V$2550,$M25))</f>
        <v>Candidate</v>
      </c>
      <c r="J25" s="2" t="str">
        <f ca="1">IF($M25=0,"",INDEX(Data!$A$2051:$A$2550,$M25))</f>
        <v>8430</v>
      </c>
      <c r="K25" s="14" t="str">
        <f ca="1">IF($M25=0,"",IF(INDEX(Data!$I$2051:$I$2550,$M25)=0,"Add ID","Row "&amp;(INDEX(Data!$I$2051:$I$2550,$M25)+7)))</f>
        <v>Row 153</v>
      </c>
      <c r="L25" s="2"/>
      <c r="M25">
        <f ca="1">IF(COUNTIFS(Data!$Z$2051:$Z$2550,($J$5-1)*20+15)=1,MATCH(($J$5-1)*20+15,Data!$Z$2051:$Z$2550,0),0)</f>
        <v>316</v>
      </c>
    </row>
    <row r="26" spans="1:13" ht="34" customHeight="1">
      <c r="A26" s="2">
        <f ca="1">IF($M26=0,"",IF(ISNUMBER(INDEX(Data!$X$2051:$X$2550,$M26)),INDEX(Data!$X$2051:$X$2550,$M26),""))</f>
        <v>16</v>
      </c>
      <c r="B26" s="10" t="str">
        <f ca="1">IF($M26=0,"",INDEX(Data!$B$2051:$B$2550,$M26))</f>
        <v>Bridesburg School</v>
      </c>
      <c r="C26" s="2" t="str">
        <f ca="1">IF($M26=0,"",INDEX(Data!$C$2051:$C$2550,$M26))</f>
        <v>District</v>
      </c>
      <c r="D26" s="6">
        <f ca="1">IF($M26=0,"",IF(ISNUMBER(INDEX(Data!$G$2051:$G$2550,$M26)),INDEX(Data!$G$2051:$G$2550,$M26),""))</f>
        <v>0.69340000000000002</v>
      </c>
      <c r="E26" s="11">
        <f ca="1">IF($M26=0,"",IF(ISNUMBER(INDEX(Data!$F$2051:$F$2550,$M26)),INDEX(Data!$F$2051:$F$2550,$M26),""))</f>
        <v>522</v>
      </c>
      <c r="F26" s="13">
        <f ca="1">IF($M26=0,"",IF(ISNUMBER(INDEX(Data!$T$2051:$T$2550,$M26)),INDEX(Data!$T$2051:$T$2550,$M26),""))</f>
        <v>59</v>
      </c>
      <c r="G26" s="2" t="str">
        <f ca="1">IF($M26=0,"",INDEX(Data!$J$2051:$J$2550,$M26))</f>
        <v>No</v>
      </c>
      <c r="H26" s="2" t="str">
        <f ca="1">IF($M26=0,"",INDEX(Data!$U$2051:$U$2550,$M26))</f>
        <v>Listed</v>
      </c>
      <c r="I26" s="2" t="str">
        <f ca="1">IF($M26=0,"",INDEX(Data!$V$2051:$V$2550,$M26))</f>
        <v>Candidate</v>
      </c>
      <c r="J26" s="2" t="str">
        <f ca="1">IF($M26=0,"",INDEX(Data!$A$2051:$A$2550,$M26))</f>
        <v>7470</v>
      </c>
      <c r="K26" s="14" t="str">
        <f ca="1">IF($M26=0,"",IF(INDEX(Data!$I$2051:$I$2550,$M26)=0,"Add ID","Row "&amp;(INDEX(Data!$I$2051:$I$2550,$M26)+7)))</f>
        <v>Row 41</v>
      </c>
      <c r="L26" s="2"/>
      <c r="M26">
        <f ca="1">IF(COUNTIFS(Data!$Z$2051:$Z$2550,($J$5-1)*20+16)=1,MATCH(($J$5-1)*20+16,Data!$Z$2051:$Z$2550,0),0)</f>
        <v>280</v>
      </c>
    </row>
    <row r="27" spans="1:13" ht="34" customHeight="1">
      <c r="A27" s="2">
        <f ca="1">IF($M27=0,"",IF(ISNUMBER(INDEX(Data!$X$2051:$X$2550,$M27)),INDEX(Data!$X$2051:$X$2550,$M27),""))</f>
        <v>17</v>
      </c>
      <c r="B27" s="10" t="str">
        <f ca="1">IF($M27=0,"",INDEX(Data!$B$2051:$B$2550,$M27))</f>
        <v>Kensington High School</v>
      </c>
      <c r="C27" s="2" t="str">
        <f ca="1">IF($M27=0,"",INDEX(Data!$C$2051:$C$2550,$M27))</f>
        <v>District</v>
      </c>
      <c r="D27" s="6">
        <f ca="1">IF($M27=0,"",IF(ISNUMBER(INDEX(Data!$G$2051:$G$2550,$M27)),INDEX(Data!$G$2051:$G$2550,$M27),""))</f>
        <v>0.85189999999999999</v>
      </c>
      <c r="E27" s="11">
        <f ca="1">IF($M27=0,"",IF(ISNUMBER(INDEX(Data!$F$2051:$F$2550,$M27)),INDEX(Data!$F$2051:$F$2550,$M27),""))</f>
        <v>447</v>
      </c>
      <c r="F27" s="13">
        <f ca="1">IF($M27=0,"",IF(ISNUMBER(INDEX(Data!$T$2051:$T$2550,$M27)),INDEX(Data!$T$2051:$T$2550,$M27),""))</f>
        <v>58</v>
      </c>
      <c r="G27" s="2" t="str">
        <f ca="1">IF($M27=0,"",INDEX(Data!$J$2051:$J$2550,$M27))</f>
        <v>No</v>
      </c>
      <c r="H27" s="2" t="str">
        <f ca="1">IF($M27=0,"",INDEX(Data!$U$2051:$U$2550,$M27))</f>
        <v>Listed</v>
      </c>
      <c r="I27" s="2" t="str">
        <f ca="1">IF($M27=0,"",INDEX(Data!$V$2051:$V$2550,$M27))</f>
        <v>Candidate</v>
      </c>
      <c r="J27" s="2" t="str">
        <f ca="1">IF($M27=0,"",INDEX(Data!$A$2051:$A$2550,$M27))</f>
        <v>5700</v>
      </c>
      <c r="K27" s="14" t="str">
        <f ca="1">IF($M27=0,"",IF(INDEX(Data!$I$2051:$I$2550,$M27)=0,"Add ID","Row "&amp;(INDEX(Data!$I$2051:$I$2550,$M27)+7)))</f>
        <v>Row 165</v>
      </c>
      <c r="L27" s="2"/>
      <c r="M27">
        <f ca="1">IF(COUNTIFS(Data!$Z$2051:$Z$2550,($J$5-1)*20+17)=1,MATCH(($J$5-1)*20+17,Data!$Z$2051:$Z$2550,0),0)</f>
        <v>221</v>
      </c>
    </row>
    <row r="28" spans="1:13" ht="34" customHeight="1">
      <c r="A28" s="2">
        <f ca="1">IF($M28=0,"",IF(ISNUMBER(INDEX(Data!$X$2051:$X$2550,$M28)),INDEX(Data!$X$2051:$X$2550,$M28),""))</f>
        <v>17</v>
      </c>
      <c r="B28" s="10" t="str">
        <f ca="1">IF($M28=0,"",INDEX(Data!$B$2051:$B$2550,$M28))</f>
        <v>Walter B. Saul High School</v>
      </c>
      <c r="C28" s="2" t="str">
        <f ca="1">IF($M28=0,"",INDEX(Data!$C$2051:$C$2550,$M28))</f>
        <v>District</v>
      </c>
      <c r="D28" s="6">
        <f ca="1">IF($M28=0,"",IF(ISNUMBER(INDEX(Data!$G$2051:$G$2550,$M28)),INDEX(Data!$G$2051:$G$2550,$M28),""))</f>
        <v>0.67400000000000004</v>
      </c>
      <c r="E28" s="11">
        <f ca="1">IF($M28=0,"",IF(ISNUMBER(INDEX(Data!$F$2051:$F$2550,$M28)),INDEX(Data!$F$2051:$F$2550,$M28),""))</f>
        <v>406</v>
      </c>
      <c r="F28" s="13">
        <f ca="1">IF($M28=0,"",IF(ISNUMBER(INDEX(Data!$T$2051:$T$2550,$M28)),INDEX(Data!$T$2051:$T$2550,$M28),""))</f>
        <v>58</v>
      </c>
      <c r="G28" s="2" t="str">
        <f ca="1">IF($M28=0,"",INDEX(Data!$J$2051:$J$2550,$M28))</f>
        <v>No</v>
      </c>
      <c r="H28" s="2" t="str">
        <f ca="1">IF($M28=0,"",INDEX(Data!$U$2051:$U$2550,$M28))</f>
        <v>Listed</v>
      </c>
      <c r="I28" s="2" t="str">
        <f ca="1">IF($M28=0,"",INDEX(Data!$V$2051:$V$2550,$M28))</f>
        <v>Candidate</v>
      </c>
      <c r="J28" s="2" t="str">
        <f ca="1">IF($M28=0,"",INDEX(Data!$A$2051:$A$2550,$M28))</f>
        <v>6040</v>
      </c>
      <c r="K28" s="14" t="str">
        <f ca="1">IF($M28=0,"",IF(INDEX(Data!$I$2051:$I$2550,$M28)=0,"Add ID","Row "&amp;(INDEX(Data!$I$2051:$I$2550,$M28)+7)))</f>
        <v>Row 312</v>
      </c>
      <c r="L28" s="2"/>
      <c r="M28">
        <f ca="1">IF(COUNTIFS(Data!$Z$2051:$Z$2550,($J$5-1)*20+18)=1,MATCH(($J$5-1)*20+18,Data!$Z$2051:$Z$2550,0),0)</f>
        <v>225</v>
      </c>
    </row>
    <row r="29" spans="1:13" ht="34" customHeight="1">
      <c r="A29" s="2">
        <f ca="1">IF($M29=0,"",IF(ISNUMBER(INDEX(Data!$X$2051:$X$2550,$M29)),INDEX(Data!$X$2051:$X$2550,$M29),""))</f>
        <v>17</v>
      </c>
      <c r="B29" s="10" t="str">
        <f ca="1">IF($M29=0,"",INDEX(Data!$B$2051:$B$2550,$M29))</f>
        <v>Shawmont School</v>
      </c>
      <c r="C29" s="2" t="str">
        <f ca="1">IF($M29=0,"",INDEX(Data!$C$2051:$C$2550,$M29))</f>
        <v>District</v>
      </c>
      <c r="D29" s="6">
        <f ca="1">IF($M29=0,"",IF(ISNUMBER(INDEX(Data!$G$2051:$G$2550,$M29)),INDEX(Data!$G$2051:$G$2550,$M29),""))</f>
        <v>0.62839999999999996</v>
      </c>
      <c r="E29" s="11">
        <f ca="1">IF($M29=0,"",IF(ISNUMBER(INDEX(Data!$F$2051:$F$2550,$M29)),INDEX(Data!$F$2051:$F$2550,$M29),""))</f>
        <v>457</v>
      </c>
      <c r="F29" s="13">
        <f ca="1">IF($M29=0,"",IF(ISNUMBER(INDEX(Data!$T$2051:$T$2550,$M29)),INDEX(Data!$T$2051:$T$2550,$M29),""))</f>
        <v>58</v>
      </c>
      <c r="G29" s="2" t="str">
        <f ca="1">IF($M29=0,"",INDEX(Data!$J$2051:$J$2550,$M29))</f>
        <v>No</v>
      </c>
      <c r="H29" s="2" t="str">
        <f ca="1">IF($M29=0,"",INDEX(Data!$U$2051:$U$2550,$M29))</f>
        <v>Listed</v>
      </c>
      <c r="I29" s="2" t="str">
        <f ca="1">IF($M29=0,"",INDEX(Data!$V$2051:$V$2550,$M29))</f>
        <v>Candidate</v>
      </c>
      <c r="J29" s="2" t="str">
        <f ca="1">IF($M29=0,"",INDEX(Data!$A$2051:$A$2550,$M29))</f>
        <v>6380</v>
      </c>
      <c r="K29" s="14" t="str">
        <f ca="1">IF($M29=0,"",IF(INDEX(Data!$I$2051:$I$2550,$M29)=0,"Add ID","Row "&amp;(INDEX(Data!$I$2051:$I$2550,$M29)+7)))</f>
        <v>Row 275</v>
      </c>
      <c r="L29" s="2"/>
      <c r="M29">
        <f ca="1">IF(COUNTIFS(Data!$Z$2051:$Z$2550,($J$5-1)*20+19)=1,MATCH(($J$5-1)*20+19,Data!$Z$2051:$Z$2550,0),0)</f>
        <v>242</v>
      </c>
    </row>
    <row r="30" spans="1:13" ht="34" customHeight="1">
      <c r="A30" s="2">
        <f ca="1">IF($M30=0,"",IF(ISNUMBER(INDEX(Data!$X$2051:$X$2550,$M30)),INDEX(Data!$X$2051:$X$2550,$M30),""))</f>
        <v>20</v>
      </c>
      <c r="B30" s="10" t="str">
        <f ca="1">IF($M30=0,"",INDEX(Data!$B$2051:$B$2550,$M30))</f>
        <v>John F. McCloskey School</v>
      </c>
      <c r="C30" s="2" t="str">
        <f ca="1">IF($M30=0,"",INDEX(Data!$C$2051:$C$2550,$M30))</f>
        <v>District</v>
      </c>
      <c r="D30" s="6">
        <f ca="1">IF($M30=0,"",IF(ISNUMBER(INDEX(Data!$G$2051:$G$2550,$M30)),INDEX(Data!$G$2051:$G$2550,$M30),""))</f>
        <v>0.75570000000000004</v>
      </c>
      <c r="E30" s="11">
        <f ca="1">IF($M30=0,"",IF(ISNUMBER(INDEX(Data!$F$2051:$F$2550,$M30)),INDEX(Data!$F$2051:$F$2550,$M30),""))</f>
        <v>217</v>
      </c>
      <c r="F30" s="13">
        <f ca="1">IF($M30=0,"",IF(ISNUMBER(INDEX(Data!$T$2051:$T$2550,$M30)),INDEX(Data!$T$2051:$T$2550,$M30),""))</f>
        <v>57</v>
      </c>
      <c r="G30" s="2" t="str">
        <f ca="1">IF($M30=0,"",INDEX(Data!$J$2051:$J$2550,$M30))</f>
        <v>No</v>
      </c>
      <c r="H30" s="2" t="str">
        <f ca="1">IF($M30=0,"",INDEX(Data!$U$2051:$U$2550,$M30))</f>
        <v>Listed</v>
      </c>
      <c r="I30" s="2" t="str">
        <f ca="1">IF($M30=0,"",INDEX(Data!$V$2051:$V$2550,$M30))</f>
        <v>Candidate</v>
      </c>
      <c r="J30" s="2" t="str">
        <f ca="1">IF($M30=0,"",INDEX(Data!$A$2051:$A$2550,$M30))</f>
        <v>6310</v>
      </c>
      <c r="K30" s="14" t="str">
        <f ca="1">IF($M30=0,"",IF(INDEX(Data!$I$2051:$I$2550,$M30)=0,"Add ID","Row "&amp;(INDEX(Data!$I$2051:$I$2550,$M30)+7)))</f>
        <v>Row 145</v>
      </c>
      <c r="L30" s="2"/>
      <c r="M30">
        <f ca="1">IF(COUNTIFS(Data!$Z$2051:$Z$2550,($J$5-1)*20+20)=1,MATCH(($J$5-1)*20+20,Data!$Z$2051:$Z$2550,0),0)</f>
        <v>237</v>
      </c>
    </row>
    <row r="31" spans="1:13" ht="2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3" ht="22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2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2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2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2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2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2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2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2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2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2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2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2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2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2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2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2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2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2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2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2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2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2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2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2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2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2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2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2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2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2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2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2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2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2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2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2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2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2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2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2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2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2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2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2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2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2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2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2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2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2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2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2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2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2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2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2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2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2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2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2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2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2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2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2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2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2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2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2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2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2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2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2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2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2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2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2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2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2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2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2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2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2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2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2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2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2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2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2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2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2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2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2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2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2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2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2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2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2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2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2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2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2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2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2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2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2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2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2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22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22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2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2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2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2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2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2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2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2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2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2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2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2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2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22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22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22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2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2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2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2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2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2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2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2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2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2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2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2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2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22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22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22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2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2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2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2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2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2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2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2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2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2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2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22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2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2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2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2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2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2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2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2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2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2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2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2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2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2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22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22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2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2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2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2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2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2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2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2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2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2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2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2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2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2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2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2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2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2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2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2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2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2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2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2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2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2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2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2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2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2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2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2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2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2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2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2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2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2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2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2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2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2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2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2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2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2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2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2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2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2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2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2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2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2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2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2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2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2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2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2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2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2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2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2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2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2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2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2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2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2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2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2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2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2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2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2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2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2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2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2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2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2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2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2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2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2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2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2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2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2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2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2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2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2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2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2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2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2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2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2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2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2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2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2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2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2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2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2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2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2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2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2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2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2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2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2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2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2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2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2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2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2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2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2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2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2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2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2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2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2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2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2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2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2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2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2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2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2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2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2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2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2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2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2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2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2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2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2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2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2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2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2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2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2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2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2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2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2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2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2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2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2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2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</sheetData>
  <mergeCells count="1">
    <mergeCell ref="G5:H5"/>
  </mergeCells>
  <conditionalFormatting sqref="A11:K30">
    <cfRule type="expression" dxfId="1" priority="1">
      <formula>MOD(ROW(),2)=0</formula>
    </cfRule>
  </conditionalFormatting>
  <dataValidations count="3">
    <dataValidation type="list" sqref="D5" xr:uid="{00000000-0002-0000-0100-000000000000}">
      <formula1>"All,District,Charter"</formula1>
    </dataValidation>
    <dataValidation type="list" sqref="G5" xr:uid="{00000000-0002-0000-0100-000001000000}">
      <formula1>"Not marked served,All eligible,Missing data,Marked served"</formula1>
    </dataValidation>
    <dataValidation type="whole" sqref="J5" xr:uid="{00000000-0002-0000-0100-000002000000}">
      <formula1>1</formula1>
      <formula2>25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F666-20B1-4B92-8FCA-A6AAEB16FCA1}">
  <sheetPr>
    <tabColor rgb="FF223E5A"/>
  </sheetPr>
  <dimension ref="A1:L550"/>
  <sheetViews>
    <sheetView showGridLines="0" zoomScale="63" workbookViewId="0">
      <selection activeCell="B5" sqref="B5"/>
    </sheetView>
  </sheetViews>
  <sheetFormatPr defaultRowHeight="14"/>
  <cols>
    <col min="1" max="1" width="26" customWidth="1"/>
    <col min="2" max="2" width="43" customWidth="1"/>
    <col min="3" max="3" width="16" customWidth="1"/>
    <col min="4" max="4" width="17" customWidth="1"/>
    <col min="5" max="5" width="18" customWidth="1"/>
    <col min="6" max="6" width="20" customWidth="1"/>
    <col min="7" max="7" width="22" customWidth="1"/>
    <col min="8" max="8" width="20" customWidth="1"/>
    <col min="9" max="12" width="15" customWidth="1"/>
  </cols>
  <sheetData>
    <row r="1" spans="1:12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" customHeight="1">
      <c r="A2" s="32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2" customHeight="1">
      <c r="A3" s="47" t="s">
        <v>47</v>
      </c>
      <c r="B3" s="2"/>
      <c r="C3" s="2"/>
      <c r="D3" s="2"/>
      <c r="E3" s="2"/>
      <c r="F3" s="2"/>
      <c r="G3" s="2"/>
      <c r="H3" s="2"/>
      <c r="I3" s="2"/>
      <c r="J3" s="2"/>
      <c r="K3" s="2">
        <f>IF(COUNTIFS(Data!$B$2051:$B$2550,B5)=1,MATCH(B5,Data!$B$2051:$B$2550,0),0)</f>
        <v>1</v>
      </c>
      <c r="L3" s="2"/>
    </row>
    <row r="4" spans="1:12" ht="22" customHeight="1" thickBot="1">
      <c r="A4" s="40" t="s">
        <v>12</v>
      </c>
      <c r="B4" s="2"/>
      <c r="C4" s="2"/>
      <c r="D4" s="2"/>
      <c r="E4" s="2"/>
      <c r="F4" s="2"/>
      <c r="G4" s="2"/>
      <c r="H4" s="2"/>
      <c r="I4" s="2"/>
      <c r="J4" s="2"/>
      <c r="K4" s="2">
        <f>IF($K$3=0,"",INDEX(Data!$AF$2051:$AF$2550,$K$3))</f>
        <v>39.921497369999997</v>
      </c>
      <c r="L4" s="2"/>
    </row>
    <row r="5" spans="1:12" ht="22" customHeight="1" thickBot="1">
      <c r="A5" s="2"/>
      <c r="B5" s="57" t="s">
        <v>434</v>
      </c>
      <c r="C5" s="2"/>
      <c r="D5" s="2"/>
      <c r="E5" s="2"/>
      <c r="F5" s="2"/>
      <c r="G5" s="2"/>
      <c r="H5" s="2"/>
      <c r="I5" s="2"/>
      <c r="J5" s="2"/>
      <c r="K5" s="2">
        <f>IF($K$3=0,"",INDEX(Data!$AG$2051:$AG$2550,$K$3))</f>
        <v>-75.234055620000007</v>
      </c>
      <c r="L5" s="2"/>
    </row>
    <row r="6" spans="1:12" ht="2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2" customHeight="1" thickBot="1">
      <c r="A7" s="2"/>
      <c r="B7" s="2"/>
      <c r="C7" s="2"/>
      <c r="D7" s="2"/>
      <c r="E7" s="2"/>
      <c r="F7" s="2"/>
      <c r="G7" s="2"/>
      <c r="H7" s="2"/>
      <c r="I7" s="2"/>
      <c r="J7" s="2"/>
      <c r="K7" s="2">
        <f>IF($K$3=0,0,INDEX(Data!$AN$2051:$AN$2550,$K$3))</f>
        <v>1</v>
      </c>
      <c r="L7" s="2"/>
    </row>
    <row r="8" spans="1:12" ht="22" customHeight="1" thickBot="1">
      <c r="A8" s="43" t="s">
        <v>45</v>
      </c>
      <c r="B8" s="44" t="str">
        <f>IF($K$3=0,"",INDEX(Data!$A$2051:$A$2550,$K$3))</f>
        <v>1010</v>
      </c>
      <c r="C8" s="2"/>
      <c r="D8" s="56" t="s">
        <v>49</v>
      </c>
      <c r="E8" s="56" t="s">
        <v>50</v>
      </c>
      <c r="F8" s="2"/>
      <c r="G8" s="2"/>
      <c r="H8" s="2"/>
      <c r="I8" s="2"/>
      <c r="J8" s="2"/>
      <c r="K8" s="2"/>
      <c r="L8" s="2"/>
    </row>
    <row r="9" spans="1:12" ht="22" customHeight="1">
      <c r="A9" s="33" t="s">
        <v>36</v>
      </c>
      <c r="B9" s="35" t="str">
        <f>IF($K$3=0,"",INDEX(Data!$C$2051:$C$2550,$K$3))</f>
        <v>District</v>
      </c>
      <c r="C9" s="2"/>
      <c r="D9" s="55" t="s">
        <v>24</v>
      </c>
      <c r="E9" s="55">
        <f>IF($K$3=0,"",IF(ISNUMBER(INDEX(Data!$O$2051:$O$2550,$K$3)),INDEX(Data!$O$2051:$O$2550,$K$3),""))</f>
        <v>25</v>
      </c>
      <c r="F9" s="2"/>
      <c r="G9" s="2"/>
      <c r="H9" s="2"/>
      <c r="I9" s="2"/>
      <c r="J9" s="2"/>
      <c r="K9" s="2"/>
      <c r="L9" s="2"/>
    </row>
    <row r="10" spans="1:12" ht="22" customHeight="1">
      <c r="A10" s="43" t="s">
        <v>51</v>
      </c>
      <c r="B10" s="44" t="str">
        <f>IF($K$3=0,"",INDEX(Data!$AE$2051:$AE$2550,$K$3))</f>
        <v>2401 S 67TH ST</v>
      </c>
      <c r="C10" s="2"/>
      <c r="D10" s="42" t="s">
        <v>25</v>
      </c>
      <c r="E10" s="42">
        <f ca="1">IF($K$3=0,"",IF(ISNUMBER(INDEX(Data!$P$2051:$P$2550,$K$3)),INDEX(Data!$P$2051:$P$2550,$K$3),""))</f>
        <v>10</v>
      </c>
      <c r="F10" s="2"/>
      <c r="G10" s="2"/>
      <c r="H10" s="2"/>
      <c r="I10" s="2"/>
      <c r="J10" s="2"/>
      <c r="K10" s="2"/>
      <c r="L10" s="2"/>
    </row>
    <row r="11" spans="1:12" ht="22" customHeight="1">
      <c r="A11" s="33" t="s">
        <v>52</v>
      </c>
      <c r="B11" s="36">
        <f>IF($K$3=0,"",IF(ISNUMBER(INDEX(Data!$G$2051:$G$2550,$K$3)),INDEX(Data!$G$2051:$G$2550,$K$3),""))</f>
        <v>0.80530000000000002</v>
      </c>
      <c r="C11" s="2"/>
      <c r="D11" s="41" t="s">
        <v>26</v>
      </c>
      <c r="E11" s="41">
        <f>IF($K$3=0,"",IF(ISNUMBER(INDEX(Data!$Q$2051:$Q$2550,$K$3)),INDEX(Data!$Q$2051:$Q$2550,$K$3),""))</f>
        <v>5</v>
      </c>
      <c r="F11" s="2"/>
      <c r="G11" s="2"/>
      <c r="H11" s="2"/>
      <c r="I11" s="2"/>
      <c r="J11" s="2"/>
      <c r="K11" s="2"/>
      <c r="L11" s="2"/>
    </row>
    <row r="12" spans="1:12" ht="22" customHeight="1">
      <c r="A12" s="43" t="s">
        <v>15</v>
      </c>
      <c r="B12" s="45">
        <f>IF($K$3=0,"",IF(ISNUMBER(INDEX(Data!$F$2051:$F$2550,$K$3)),INDEX(Data!$F$2051:$F$2550,$K$3),""))</f>
        <v>594</v>
      </c>
      <c r="C12" s="2"/>
      <c r="D12" s="42" t="s">
        <v>27</v>
      </c>
      <c r="E12" s="42">
        <f>IF($K$3=0,"",IF(ISNUMBER(INDEX(Data!$R$2051:$R$2550,$K$3)),INDEX(Data!$R$2051:$R$2550,$K$3),""))</f>
        <v>4</v>
      </c>
      <c r="F12" s="2"/>
      <c r="G12" s="2"/>
      <c r="H12" s="2"/>
      <c r="I12" s="2"/>
      <c r="J12" s="2"/>
      <c r="K12" s="2"/>
      <c r="L12" s="2"/>
    </row>
    <row r="13" spans="1:12" ht="22" customHeight="1">
      <c r="A13" s="33" t="s">
        <v>53</v>
      </c>
      <c r="B13" s="37">
        <f ca="1">IF($K$3=0,"",IF(ISNUMBER(INDEX(Data!$T$2051:$T$2550,$K$3)),INDEX(Data!$T$2051:$T$2550,$K$3),""))</f>
        <v>44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22" customHeight="1">
      <c r="A14" s="43" t="s">
        <v>54</v>
      </c>
      <c r="B14" s="46">
        <f ca="1">IF($K$3=0,"",IF(ISNUMBER(INDEX(Data!$S$2051:$S$2550,$K$3)),INDEX(Data!$S$2051:$S$2550,$K$3),""))</f>
        <v>44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22" customHeight="1">
      <c r="A15" s="33" t="s">
        <v>19</v>
      </c>
      <c r="B15" s="35" t="str">
        <f ca="1">IF($K$3=0,"",INDEX(Data!$U$2051:$U$2550,$K$3))</f>
        <v>Listed</v>
      </c>
      <c r="C15" s="2"/>
      <c r="D15" s="27" t="str">
        <f>IF($K$3=0,"",IF(INDEX(Data!$I$2051:$I$2550,$K$3)=0,"Add the school ID to Staff Review","Update Staff Review row "&amp;(INDEX(Data!$I$2051:$I$2550,$K$3)+7)))</f>
        <v>Update Staff Review row 143</v>
      </c>
      <c r="E15" s="2"/>
      <c r="F15" s="2"/>
      <c r="G15" s="2"/>
      <c r="H15" s="2"/>
      <c r="I15" s="2"/>
      <c r="J15" s="2"/>
      <c r="K15" s="2"/>
      <c r="L15" s="2"/>
    </row>
    <row r="16" spans="1:12" ht="22" customHeight="1">
      <c r="A16" s="43" t="s">
        <v>55</v>
      </c>
      <c r="B16" s="44" t="str">
        <f>IF($K$3=0,"",INDEX(Data!$J$2051:$J$2550,$K$3))</f>
        <v>No</v>
      </c>
      <c r="C16" s="2"/>
      <c r="D16" s="27"/>
      <c r="E16" s="2"/>
      <c r="F16" s="2"/>
      <c r="G16" s="2"/>
      <c r="H16" s="2"/>
      <c r="I16" s="2"/>
      <c r="J16" s="2"/>
      <c r="K16" s="2"/>
      <c r="L16" s="2"/>
    </row>
    <row r="17" spans="1:12" ht="22" customHeight="1">
      <c r="A17" s="33" t="s">
        <v>56</v>
      </c>
      <c r="B17" s="35" t="str">
        <f>IF($K$3=0,"",INDEX(Data!$AH$2051:$AH$2550,$K$3))</f>
        <v>Not contacted</v>
      </c>
      <c r="C17" s="2"/>
      <c r="D17" s="27" t="str">
        <f>IF($K$3=0,"",IF(INDEX(Data!$C$2051:$C$2550,$K$3)="Charter","Confirm current Title I eligibility. Published status used: 2025–26.","District-operated public school."))</f>
        <v>District-operated public school.</v>
      </c>
      <c r="E17" s="2"/>
      <c r="F17" s="2"/>
      <c r="G17" s="2"/>
      <c r="H17" s="2"/>
      <c r="I17" s="2"/>
      <c r="J17" s="2"/>
      <c r="K17" s="2"/>
      <c r="L17" s="2"/>
    </row>
    <row r="18" spans="1:12" ht="22" customHeight="1">
      <c r="A18" s="33" t="s">
        <v>57</v>
      </c>
      <c r="B18" s="35" t="str">
        <f ca="1">IF($K$3=0,"",INDEX(Data!$V$2051:$V$2550,$K$3))</f>
        <v>Candidate</v>
      </c>
      <c r="C18" s="2"/>
      <c r="D18" s="27"/>
      <c r="E18" s="2"/>
      <c r="F18" s="2"/>
      <c r="G18" s="2"/>
      <c r="H18" s="2"/>
      <c r="I18" s="2"/>
      <c r="J18" s="2"/>
      <c r="K18" s="2"/>
      <c r="L18" s="2"/>
    </row>
    <row r="19" spans="1:12" ht="22" customHeight="1">
      <c r="A19" s="34"/>
      <c r="B19" s="38"/>
      <c r="C19" s="2"/>
      <c r="D19" s="27"/>
      <c r="E19" s="2"/>
      <c r="F19" s="2"/>
      <c r="G19" s="2"/>
      <c r="H19" s="2"/>
      <c r="I19" s="2"/>
      <c r="J19" s="2"/>
      <c r="K19" s="2"/>
      <c r="L19" s="2"/>
    </row>
    <row r="20" spans="1:12" ht="22" customHeight="1">
      <c r="A20" s="33" t="s">
        <v>58</v>
      </c>
      <c r="B20" s="39">
        <f ca="1">IF($K$3=0,"",IF(ISNUMBER(INDEX(Data!$K$2051:$K$2550,$K$3)),INDEX(Data!$K$2051:$K$2550,$K$3),""))</f>
        <v>0.3397819435174283</v>
      </c>
      <c r="C20" s="2"/>
      <c r="D20" s="27" t="s">
        <v>59</v>
      </c>
      <c r="E20" s="2"/>
      <c r="F20" s="2"/>
      <c r="G20" s="2"/>
      <c r="H20" s="2"/>
      <c r="I20" s="2"/>
      <c r="J20" s="2"/>
      <c r="K20" s="2"/>
      <c r="L20" s="2"/>
    </row>
    <row r="21" spans="1:12" ht="22" customHeight="1">
      <c r="A21" s="43" t="s">
        <v>60</v>
      </c>
      <c r="B21" s="44" t="str">
        <f ca="1">IF($K$3=0,"",INDEX(Data!$M$2051:$M$2550,$K$3))</f>
        <v>Listed</v>
      </c>
      <c r="C21" s="2"/>
      <c r="D21" s="27"/>
      <c r="E21" s="2"/>
      <c r="F21" s="2"/>
      <c r="G21" s="2"/>
      <c r="H21" s="2"/>
      <c r="I21" s="2"/>
      <c r="J21" s="2"/>
      <c r="K21" s="2"/>
      <c r="L21" s="2"/>
    </row>
    <row r="22" spans="1:12" ht="22" customHeight="1">
      <c r="A22" s="33" t="s">
        <v>61</v>
      </c>
      <c r="B22" s="35">
        <f>IF($K$3=0,"",IF(ISNUMBER(INDEX(Data!$L$2051:$L$2550,$K$3)),INDEX(Data!$L$2051:$L$2550,$K$3),""))</f>
        <v>4</v>
      </c>
      <c r="C22" s="2"/>
      <c r="D22" s="27" t="s">
        <v>62</v>
      </c>
      <c r="E22" s="2"/>
      <c r="F22" s="2"/>
      <c r="G22" s="2"/>
      <c r="H22" s="2"/>
      <c r="I22" s="2"/>
      <c r="J22" s="2"/>
      <c r="K22" s="2"/>
      <c r="L22" s="2"/>
    </row>
    <row r="23" spans="1:12" ht="22" customHeight="1">
      <c r="A23" s="43" t="s">
        <v>63</v>
      </c>
      <c r="B23" s="44" t="str">
        <f>IF($K$3=0,"",INDEX(Data!$N$2051:$N$2550,$K$3))</f>
        <v>Listed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22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2" customHeight="1" thickBo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2" customHeight="1" thickBot="1">
      <c r="A26" s="50" t="s">
        <v>64</v>
      </c>
      <c r="B26" s="48" t="str">
        <f>IF($K$3=0,"",INDEX(Data!$AC$2051:$AC$2550,$K$3))</f>
        <v>Cousin's Fresh Market Inc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2" customHeight="1">
      <c r="A27" s="49" t="s">
        <v>65</v>
      </c>
      <c r="B27" s="115" t="str">
        <f>IF($K$3=0,"",INDEX(Data!$AD$2051:$AD$2550,$K$3))</f>
        <v>6411 Woodland Ave, Philadelphia, PA, 19142</v>
      </c>
      <c r="C27" s="116"/>
      <c r="D27" s="116"/>
      <c r="E27" s="116"/>
      <c r="F27" s="116"/>
      <c r="G27" s="116"/>
      <c r="H27" s="117"/>
      <c r="I27" s="2"/>
      <c r="J27" s="2"/>
      <c r="K27" s="2"/>
      <c r="L27" s="2"/>
    </row>
    <row r="28" spans="1:12" ht="22" customHeight="1" thickBot="1">
      <c r="A28" s="2"/>
      <c r="B28" s="118"/>
      <c r="C28" s="119"/>
      <c r="D28" s="119"/>
      <c r="E28" s="119"/>
      <c r="F28" s="119"/>
      <c r="G28" s="119"/>
      <c r="H28" s="120"/>
      <c r="I28" s="2"/>
      <c r="J28" s="2"/>
      <c r="K28" s="2"/>
      <c r="L28" s="2"/>
    </row>
    <row r="29" spans="1:12" ht="2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22" customHeight="1">
      <c r="A30" s="27" t="s">
        <v>66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22" customHeight="1">
      <c r="A31" s="27" t="s">
        <v>67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2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34" customHeight="1">
      <c r="A33" s="5" t="s">
        <v>68</v>
      </c>
      <c r="B33" s="5" t="s">
        <v>69</v>
      </c>
      <c r="C33" s="121" t="s">
        <v>70</v>
      </c>
      <c r="D33" s="121"/>
      <c r="E33" s="121" t="s">
        <v>71</v>
      </c>
      <c r="F33" s="121"/>
      <c r="G33" s="121"/>
      <c r="H33" s="121"/>
      <c r="I33" s="2"/>
      <c r="J33" s="2"/>
      <c r="K33" s="2"/>
      <c r="L33" s="2"/>
    </row>
    <row r="34" spans="1:12" ht="42" customHeight="1">
      <c r="A34" s="12">
        <f>IF($K34=0,"",INDEX(Data!$M$511:$M$1010,$K34))</f>
        <v>0.19201505426076063</v>
      </c>
      <c r="B34" s="10" t="str">
        <f>IF($K$3=0,"",IF($K34=0,"No listed candidate within 1 mile",INDEX(Data!$B$511:$B$1010,$K34)))</f>
        <v>Revelation Philadelphia Ministry Inc</v>
      </c>
      <c r="C34" s="114" t="str">
        <f>IF($K34=0,"",INDEX(Data!$C$511:$C$1010,$K34))</f>
        <v>2561 South 67th St</v>
      </c>
      <c r="D34" s="114"/>
      <c r="E34" s="114" t="str">
        <f>IF($K34=0,"",INDEX(Data!$L$511:$L$1010,$K34))</f>
        <v>https://www.sharefoodprogram.org/</v>
      </c>
      <c r="F34" s="114"/>
      <c r="G34" s="114"/>
      <c r="H34" s="114"/>
      <c r="I34" s="2"/>
      <c r="J34" s="2"/>
      <c r="K34" s="2">
        <f>IF(COUNTIFS(Data!$N$511:$N$1010,1)=1,MATCH(1,Data!$N$511:$N$1010,0),0)</f>
        <v>190</v>
      </c>
      <c r="L34" s="2"/>
    </row>
    <row r="35" spans="1:12" ht="42" customHeight="1">
      <c r="A35" s="12">
        <f>IF($K35=0,"",INDEX(Data!$M$511:$M$1010,$K35))</f>
        <v>0.4216979004909554</v>
      </c>
      <c r="B35" s="10" t="str">
        <f>IF($K35=0,"",INDEX(Data!$B$511:$B$1010,$K35))</f>
        <v>Catholic Social Services Southwest Family Service Center</v>
      </c>
      <c r="C35" s="114" t="str">
        <f>IF($K35=0,"",INDEX(Data!$C$511:$C$1010,$K35))</f>
        <v>6214 Grays Ave</v>
      </c>
      <c r="D35" s="114"/>
      <c r="E35" s="114" t="str">
        <f>IF($K35=0,"",INDEX(Data!$L$511:$L$1010,$K35))</f>
        <v>https://nutritionaldevelopmentservices.org/</v>
      </c>
      <c r="F35" s="114"/>
      <c r="G35" s="114"/>
      <c r="H35" s="114"/>
      <c r="I35" s="2"/>
      <c r="J35" s="2"/>
      <c r="K35" s="2">
        <f>IF(COUNTIFS(Data!$N$511:$N$1010,2)=1,MATCH(2,Data!$N$511:$N$1010,0),0)</f>
        <v>245</v>
      </c>
      <c r="L35" s="2"/>
    </row>
    <row r="36" spans="1:12" ht="42" customHeight="1">
      <c r="A36" s="12">
        <f>IF($K36=0,"",INDEX(Data!$M$511:$M$1010,$K36))</f>
        <v>0.53959790189621015</v>
      </c>
      <c r="B36" s="10" t="str">
        <f>IF($K36=0,"",INDEX(Data!$B$511:$B$1010,$K36))</f>
        <v>Resurrection Community Church</v>
      </c>
      <c r="C36" s="114" t="str">
        <f>IF($K36=0,"",INDEX(Data!$C$511:$C$1010,$K36))</f>
        <v>6200 Dicks Ave</v>
      </c>
      <c r="D36" s="114"/>
      <c r="E36" s="114" t="str">
        <f>IF($K36=0,"",INDEX(Data!$L$511:$L$1010,$K36))</f>
        <v>https://www.sharefoodprogram.org/</v>
      </c>
      <c r="F36" s="114"/>
      <c r="G36" s="114"/>
      <c r="H36" s="114"/>
      <c r="I36" s="2"/>
      <c r="J36" s="2"/>
      <c r="K36" s="2">
        <f>IF(COUNTIFS(Data!$N$511:$N$1010,3)=1,MATCH(3,Data!$N$511:$N$1010,0),0)</f>
        <v>244</v>
      </c>
      <c r="L36" s="2"/>
    </row>
    <row r="37" spans="1:12" ht="42" customHeight="1">
      <c r="A37" s="12">
        <f>IF($K37=0,"",INDEX(Data!$M$511:$M$1010,$K37))</f>
        <v>0.92788675930907405</v>
      </c>
      <c r="B37" s="10" t="str">
        <f>IF($K37=0,"",INDEX(Data!$B$511:$B$1010,$K37))</f>
        <v>Ezekiel Baptist Church</v>
      </c>
      <c r="C37" s="114" t="str">
        <f>IF($K37=0,"",INDEX(Data!$C$511:$C$1010,$K37))</f>
        <v>5701 Grays Ave</v>
      </c>
      <c r="D37" s="114"/>
      <c r="E37" s="114" t="str">
        <f>IF($K37=0,"",INDEX(Data!$L$511:$L$1010,$K37))</f>
        <v>https://www.philabundance.org/</v>
      </c>
      <c r="F37" s="114"/>
      <c r="G37" s="114"/>
      <c r="H37" s="114"/>
      <c r="I37" s="2"/>
      <c r="J37" s="2"/>
      <c r="K37" s="2">
        <f>IF(COUNTIFS(Data!$N$511:$N$1010,4)=1,MATCH(4,Data!$N$511:$N$1010,0),0)</f>
        <v>217</v>
      </c>
      <c r="L37" s="2"/>
    </row>
    <row r="38" spans="1:12" ht="42" customHeight="1">
      <c r="A38" s="12" t="str">
        <f>IF($K38=0,"",INDEX(Data!$M$511:$M$1010,$K38))</f>
        <v/>
      </c>
      <c r="B38" s="10" t="str">
        <f>IF($K38=0,"",INDEX(Data!$B$511:$B$1010,$K38))</f>
        <v/>
      </c>
      <c r="C38" s="114" t="str">
        <f>IF($K38=0,"",INDEX(Data!$C$511:$C$1010,$K38))</f>
        <v/>
      </c>
      <c r="D38" s="114"/>
      <c r="E38" s="114" t="str">
        <f>IF($K38=0,"",INDEX(Data!$L$511:$L$1010,$K38))</f>
        <v/>
      </c>
      <c r="F38" s="114"/>
      <c r="G38" s="114"/>
      <c r="H38" s="114"/>
      <c r="I38" s="2"/>
      <c r="J38" s="2"/>
      <c r="K38" s="2">
        <f>IF(COUNTIFS(Data!$N$511:$N$1010,5)=1,MATCH(5,Data!$N$511:$N$1010,0),0)</f>
        <v>0</v>
      </c>
      <c r="L38" s="2"/>
    </row>
    <row r="39" spans="1:12" ht="22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2" customHeight="1" thickBot="1">
      <c r="A40" s="51" t="s">
        <v>72</v>
      </c>
      <c r="B40" s="53" t="str">
        <f>IF($K$7=0,"",IF(LEN(INDEX(Data!$U$41:$U$540,$K$7))=0,"Not published",INDEX(Data!$U$41:$U$540,$K$7)))</f>
        <v>215-400-8100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2" customHeight="1" thickBot="1">
      <c r="A41" s="52" t="s">
        <v>73</v>
      </c>
      <c r="B41" s="54" t="str">
        <f>IF($K$7=0,"",INDEX(Data!$V$41:$V$540,$K$7))</f>
        <v>https://bartram.philasd.org/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2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2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2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2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2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2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2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2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2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2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2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22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22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22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22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22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22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22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22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22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22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22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22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22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22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22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22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22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22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22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22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22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22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22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22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22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22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22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22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22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22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22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22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22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2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2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22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2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22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22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2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22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22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22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22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22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2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22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22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22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22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2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2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2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22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2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2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2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2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2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2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2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2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2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2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2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2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2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2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2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2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2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2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2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2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2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2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2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2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2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2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2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2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2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2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2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2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2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2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2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2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2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2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2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2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2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2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2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2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2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2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2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2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2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2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2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2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2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2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2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2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2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2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2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2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2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2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2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2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2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2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2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2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22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2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22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22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2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22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22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22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2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2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2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2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2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22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22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22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22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22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2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22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22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22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2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2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2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2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2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22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22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22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22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22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22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2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22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22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22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2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2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2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2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2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22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22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22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2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2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2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2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22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22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22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2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2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2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2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2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2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2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2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22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22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22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2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2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22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22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22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2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2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2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2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2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2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2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2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2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2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2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2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22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22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22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2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2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2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2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2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2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2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2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2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2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2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2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2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22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22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22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2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2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2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2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2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2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2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2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2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2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2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2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2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22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22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22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2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2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2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2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2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2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2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2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2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2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2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2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2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22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2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2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2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2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2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2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2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2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2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2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2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2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2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2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22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22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2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2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2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2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2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2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2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2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2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2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2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2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2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2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2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2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2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2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2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2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2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2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2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2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2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2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2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2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2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2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2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2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2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2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2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2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2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2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2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2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2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2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2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2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2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2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2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2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2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2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2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2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2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2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2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2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2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2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2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2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2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2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2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2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2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2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2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2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2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2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2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2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2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2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2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2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2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2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2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2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2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2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2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2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2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2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2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2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2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2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2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2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2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2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2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2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2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2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2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2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2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2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2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2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2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2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2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2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2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2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2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2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2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2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2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2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2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2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2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2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2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2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2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2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2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2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2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2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2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2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2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2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2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2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2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2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2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2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2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2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2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2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2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2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2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2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2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2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2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2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2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2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2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2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2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2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2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2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2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2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2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2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2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</sheetData>
  <mergeCells count="13">
    <mergeCell ref="B27:H28"/>
    <mergeCell ref="C33:D33"/>
    <mergeCell ref="E33:H33"/>
    <mergeCell ref="C34:D34"/>
    <mergeCell ref="E34:H34"/>
    <mergeCell ref="C38:D38"/>
    <mergeCell ref="E38:H38"/>
    <mergeCell ref="C35:D35"/>
    <mergeCell ref="E35:H35"/>
    <mergeCell ref="C36:D36"/>
    <mergeCell ref="E36:H36"/>
    <mergeCell ref="C37:D37"/>
    <mergeCell ref="E37:H37"/>
  </mergeCells>
  <dataValidations count="1">
    <dataValidation type="list" sqref="B5" xr:uid="{00000000-0002-0000-0200-000000000000}">
      <formula1>INDIRECT("Data!$B$2:$B$501")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8A1E-51C4-495B-A433-1E34551A424B}">
  <sheetPr>
    <tabColor rgb="FFB38635"/>
  </sheetPr>
  <dimension ref="A1:L550"/>
  <sheetViews>
    <sheetView showGridLines="0" zoomScale="65" workbookViewId="0">
      <pane ySplit="7" topLeftCell="A8" activePane="bottomLeft" state="frozen"/>
      <selection pane="bottomLeft"/>
    </sheetView>
  </sheetViews>
  <sheetFormatPr defaultRowHeight="14"/>
  <cols>
    <col min="1" max="1" width="11" customWidth="1"/>
    <col min="2" max="2" width="43" customWidth="1"/>
    <col min="3" max="3" width="14" customWidth="1"/>
    <col min="4" max="4" width="17" customWidth="1"/>
    <col min="5" max="5" width="13" customWidth="1"/>
    <col min="6" max="6" width="18" customWidth="1"/>
    <col min="7" max="7" width="14" customWidth="1"/>
    <col min="8" max="8" width="60" customWidth="1"/>
    <col min="9" max="9" width="20" customWidth="1"/>
    <col min="10" max="11" width="18" customWidth="1"/>
    <col min="12" max="12" width="21" customWidth="1"/>
  </cols>
  <sheetData>
    <row r="1" spans="1:12" ht="2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" customHeight="1">
      <c r="A2" s="3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2" customHeight="1">
      <c r="A3" s="4" t="s">
        <v>75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2" customHeight="1">
      <c r="A5" s="2" t="s">
        <v>76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34" customHeight="1">
      <c r="A7" s="5" t="s">
        <v>45</v>
      </c>
      <c r="B7" s="5" t="s">
        <v>77</v>
      </c>
      <c r="C7" s="5" t="s">
        <v>43</v>
      </c>
      <c r="D7" s="5" t="s">
        <v>78</v>
      </c>
      <c r="E7" s="5" t="s">
        <v>79</v>
      </c>
      <c r="F7" s="5" t="s">
        <v>80</v>
      </c>
      <c r="G7" s="5" t="s">
        <v>81</v>
      </c>
      <c r="H7" s="5" t="s">
        <v>82</v>
      </c>
      <c r="I7" s="5" t="s">
        <v>83</v>
      </c>
      <c r="J7" s="5" t="s">
        <v>84</v>
      </c>
      <c r="K7" s="5" t="s">
        <v>85</v>
      </c>
      <c r="L7" s="5" t="s">
        <v>86</v>
      </c>
    </row>
    <row r="8" spans="1:12" ht="32" customHeight="1">
      <c r="A8" s="2" t="s">
        <v>87</v>
      </c>
      <c r="B8" s="10" t="str">
        <f>IF(A8="","",IF(COUNTIFS(Data!$A$2:$A$501,A8)=1,INDEX(Data!$B$2:$B$501,MATCH(A8,Data!$A$2:$A$501,0)),"Not in current directory"))</f>
        <v>A. Philip Randolph Career and Technical High School</v>
      </c>
      <c r="C8" s="8" t="s">
        <v>88</v>
      </c>
      <c r="D8" s="8"/>
      <c r="E8" s="9"/>
      <c r="F8" s="8"/>
      <c r="G8" s="9"/>
      <c r="H8" s="8"/>
      <c r="I8" s="8"/>
      <c r="J8" s="8" t="s">
        <v>89</v>
      </c>
      <c r="K8" s="8" t="s">
        <v>90</v>
      </c>
      <c r="L8" s="2" t="str">
        <f>IF(A8="","",IF(COUNTIFS($A$8:$A$507,A8)&lt;&gt;1,"Duplicate ID",IF(COUNTIFS(Data!$A$2:$A$501,A8)&lt;&gt;1,"Not current","Current")))</f>
        <v>Current</v>
      </c>
    </row>
    <row r="9" spans="1:12" ht="32" customHeight="1">
      <c r="A9" s="2" t="s">
        <v>91</v>
      </c>
      <c r="B9" s="10" t="str">
        <f>IF(A9="","",IF(COUNTIFS(Data!$A$2:$A$501,A9)=1,INDEX(Data!$B$2:$B$501,MATCH(A9,Data!$A$2:$A$501,0)),"Not in current directory"))</f>
        <v>Abraham Lincoln High School</v>
      </c>
      <c r="C9" s="8" t="s">
        <v>88</v>
      </c>
      <c r="D9" s="8"/>
      <c r="E9" s="9"/>
      <c r="F9" s="8"/>
      <c r="G9" s="9"/>
      <c r="H9" s="8"/>
      <c r="I9" s="8"/>
      <c r="J9" s="8" t="s">
        <v>89</v>
      </c>
      <c r="K9" s="8" t="s">
        <v>90</v>
      </c>
      <c r="L9" s="2" t="str">
        <f>IF(A9="","",IF(COUNTIFS($A$8:$A$507,A9)&lt;&gt;1,"Duplicate ID",IF(COUNTIFS(Data!$A$2:$A$501,A9)&lt;&gt;1,"Not current","Current")))</f>
        <v>Current</v>
      </c>
    </row>
    <row r="10" spans="1:12" ht="32" customHeight="1">
      <c r="A10" s="2" t="s">
        <v>92</v>
      </c>
      <c r="B10" s="10" t="str">
        <f>IF(A10="","",IF(COUNTIFS(Data!$A$2:$A$501,A10)=1,INDEX(Data!$B$2:$B$501,MATCH(A10,Data!$A$2:$A$501,0)),"Not in current directory"))</f>
        <v>Abram S. Jenks School</v>
      </c>
      <c r="C10" s="8" t="s">
        <v>88</v>
      </c>
      <c r="D10" s="8"/>
      <c r="E10" s="9"/>
      <c r="F10" s="8"/>
      <c r="G10" s="9"/>
      <c r="H10" s="8"/>
      <c r="I10" s="8"/>
      <c r="J10" s="8" t="s">
        <v>89</v>
      </c>
      <c r="K10" s="8" t="s">
        <v>90</v>
      </c>
      <c r="L10" s="2" t="str">
        <f>IF(A10="","",IF(COUNTIFS($A$8:$A$507,A10)&lt;&gt;1,"Duplicate ID",IF(COUNTIFS(Data!$A$2:$A$501,A10)&lt;&gt;1,"Not current","Current")))</f>
        <v>Current</v>
      </c>
    </row>
    <row r="11" spans="1:12" ht="32" customHeight="1">
      <c r="A11" s="2" t="s">
        <v>93</v>
      </c>
      <c r="B11" s="10" t="str">
        <f>IF(A11="","",IF(COUNTIFS(Data!$A$2:$A$501,A11)=1,INDEX(Data!$B$2:$B$501,MATCH(A11,Data!$A$2:$A$501,0)),"Not in current directory"))</f>
        <v>Academy at Palumbo</v>
      </c>
      <c r="C11" s="8" t="s">
        <v>88</v>
      </c>
      <c r="D11" s="8"/>
      <c r="E11" s="9"/>
      <c r="F11" s="8"/>
      <c r="G11" s="9"/>
      <c r="H11" s="8"/>
      <c r="I11" s="8"/>
      <c r="J11" s="8" t="s">
        <v>89</v>
      </c>
      <c r="K11" s="8" t="s">
        <v>90</v>
      </c>
      <c r="L11" s="2" t="str">
        <f>IF(A11="","",IF(COUNTIFS($A$8:$A$507,A11)&lt;&gt;1,"Duplicate ID",IF(COUNTIFS(Data!$A$2:$A$501,A11)&lt;&gt;1,"Not current","Current")))</f>
        <v>Current</v>
      </c>
    </row>
    <row r="12" spans="1:12" ht="32" customHeight="1">
      <c r="A12" s="2" t="s">
        <v>94</v>
      </c>
      <c r="B12" s="10" t="str">
        <f>IF(A12="","",IF(COUNTIFS(Data!$A$2:$A$501,A12)=1,INDEX(Data!$B$2:$B$501,MATCH(A12,Data!$A$2:$A$501,0)),"Not in current directory"))</f>
        <v>Academy for the Middle Years at Northwest</v>
      </c>
      <c r="C12" s="8" t="s">
        <v>88</v>
      </c>
      <c r="D12" s="8"/>
      <c r="E12" s="9"/>
      <c r="F12" s="8"/>
      <c r="G12" s="9"/>
      <c r="H12" s="8"/>
      <c r="I12" s="8"/>
      <c r="J12" s="8" t="s">
        <v>89</v>
      </c>
      <c r="K12" s="8" t="s">
        <v>90</v>
      </c>
      <c r="L12" s="2" t="str">
        <f>IF(A12="","",IF(COUNTIFS($A$8:$A$507,A12)&lt;&gt;1,"Duplicate ID",IF(COUNTIFS(Data!$A$2:$A$501,A12)&lt;&gt;1,"Not current","Current")))</f>
        <v>Current</v>
      </c>
    </row>
    <row r="13" spans="1:12" ht="32" customHeight="1">
      <c r="A13" s="2" t="s">
        <v>95</v>
      </c>
      <c r="B13" s="10" t="str">
        <f>IF(A13="","",IF(COUNTIFS(Data!$A$2:$A$501,A13)=1,INDEX(Data!$B$2:$B$501,MATCH(A13,Data!$A$2:$A$501,0)),"Not in current directory"))</f>
        <v>Achieve Academy of Philadelphia</v>
      </c>
      <c r="C13" s="8" t="s">
        <v>88</v>
      </c>
      <c r="D13" s="8"/>
      <c r="E13" s="9"/>
      <c r="F13" s="8"/>
      <c r="G13" s="9"/>
      <c r="H13" s="8"/>
      <c r="I13" s="8"/>
      <c r="J13" s="8" t="s">
        <v>89</v>
      </c>
      <c r="K13" s="8" t="s">
        <v>90</v>
      </c>
      <c r="L13" s="2" t="str">
        <f>IF(A13="","",IF(COUNTIFS($A$8:$A$507,A13)&lt;&gt;1,"Duplicate ID",IF(COUNTIFS(Data!$A$2:$A$501,A13)&lt;&gt;1,"Not current","Current")))</f>
        <v>Current</v>
      </c>
    </row>
    <row r="14" spans="1:12" ht="32" customHeight="1">
      <c r="A14" s="2" t="s">
        <v>96</v>
      </c>
      <c r="B14" s="10" t="str">
        <f>IF(A14="","",IF(COUNTIFS(Data!$A$2:$A$501,A14)=1,INDEX(Data!$B$2:$B$501,MATCH(A14,Data!$A$2:$A$501,0)),"Not in current directory"))</f>
        <v>Achieve Academy of Philadelphia - East Campus</v>
      </c>
      <c r="C14" s="8" t="s">
        <v>88</v>
      </c>
      <c r="D14" s="8"/>
      <c r="E14" s="9"/>
      <c r="F14" s="8"/>
      <c r="G14" s="9"/>
      <c r="H14" s="8"/>
      <c r="I14" s="8"/>
      <c r="J14" s="8" t="s">
        <v>89</v>
      </c>
      <c r="K14" s="8" t="s">
        <v>90</v>
      </c>
      <c r="L14" s="2" t="str">
        <f>IF(A14="","",IF(COUNTIFS($A$8:$A$507,A14)&lt;&gt;1,"Duplicate ID",IF(COUNTIFS(Data!$A$2:$A$501,A14)&lt;&gt;1,"Not current","Current")))</f>
        <v>Current</v>
      </c>
    </row>
    <row r="15" spans="1:12" ht="32" customHeight="1">
      <c r="A15" s="2" t="s">
        <v>97</v>
      </c>
      <c r="B15" s="10" t="str">
        <f>IF(A15="","",IF(COUNTIFS(Data!$A$2:$A$501,A15)=1,INDEX(Data!$B$2:$B$501,MATCH(A15,Data!$A$2:$A$501,0)),"Not in current directory"))</f>
        <v>Ad Prima Charter School</v>
      </c>
      <c r="C15" s="8" t="s">
        <v>88</v>
      </c>
      <c r="D15" s="8"/>
      <c r="E15" s="9"/>
      <c r="F15" s="8"/>
      <c r="G15" s="9"/>
      <c r="H15" s="8"/>
      <c r="I15" s="8"/>
      <c r="J15" s="8" t="s">
        <v>89</v>
      </c>
      <c r="K15" s="8" t="s">
        <v>90</v>
      </c>
      <c r="L15" s="2" t="str">
        <f>IF(A15="","",IF(COUNTIFS($A$8:$A$507,A15)&lt;&gt;1,"Duplicate ID",IF(COUNTIFS(Data!$A$2:$A$501,A15)&lt;&gt;1,"Not current","Current")))</f>
        <v>Current</v>
      </c>
    </row>
    <row r="16" spans="1:12" ht="32" customHeight="1">
      <c r="A16" s="2" t="s">
        <v>98</v>
      </c>
      <c r="B16" s="10" t="str">
        <f>IF(A16="","",IF(COUNTIFS(Data!$A$2:$A$501,A16)=1,INDEX(Data!$B$2:$B$501,MATCH(A16,Data!$A$2:$A$501,0)),"Not in current directory"))</f>
        <v>Add B. Anderson School</v>
      </c>
      <c r="C16" s="8" t="s">
        <v>88</v>
      </c>
      <c r="D16" s="8"/>
      <c r="E16" s="9"/>
      <c r="F16" s="8"/>
      <c r="G16" s="9"/>
      <c r="H16" s="8"/>
      <c r="I16" s="8"/>
      <c r="J16" s="8" t="s">
        <v>89</v>
      </c>
      <c r="K16" s="8" t="s">
        <v>90</v>
      </c>
      <c r="L16" s="2" t="str">
        <f>IF(A16="","",IF(COUNTIFS($A$8:$A$507,A16)&lt;&gt;1,"Duplicate ID",IF(COUNTIFS(Data!$A$2:$A$501,A16)&lt;&gt;1,"Not current","Current")))</f>
        <v>Current</v>
      </c>
    </row>
    <row r="17" spans="1:12" ht="32" customHeight="1">
      <c r="A17" s="2" t="s">
        <v>99</v>
      </c>
      <c r="B17" s="10" t="str">
        <f>IF(A17="","",IF(COUNTIFS(Data!$A$2:$A$501,A17)=1,INDEX(Data!$B$2:$B$501,MATCH(A17,Data!$A$2:$A$501,0)),"Not in current directory"))</f>
        <v>Alain Locke School</v>
      </c>
      <c r="C17" s="8" t="s">
        <v>88</v>
      </c>
      <c r="D17" s="8"/>
      <c r="E17" s="9"/>
      <c r="F17" s="8"/>
      <c r="G17" s="9"/>
      <c r="H17" s="8"/>
      <c r="I17" s="8"/>
      <c r="J17" s="8" t="s">
        <v>89</v>
      </c>
      <c r="K17" s="8" t="s">
        <v>90</v>
      </c>
      <c r="L17" s="2" t="str">
        <f>IF(A17="","",IF(COUNTIFS($A$8:$A$507,A17)&lt;&gt;1,"Duplicate ID",IF(COUNTIFS(Data!$A$2:$A$501,A17)&lt;&gt;1,"Not current","Current")))</f>
        <v>Current</v>
      </c>
    </row>
    <row r="18" spans="1:12" ht="32" customHeight="1">
      <c r="A18" s="2" t="s">
        <v>100</v>
      </c>
      <c r="B18" s="10" t="str">
        <f>IF(A18="","",IF(COUNTIFS(Data!$A$2:$A$501,A18)=1,INDEX(Data!$B$2:$B$501,MATCH(A18,Data!$A$2:$A$501,0)),"Not in current directory"))</f>
        <v>Albert M. Greenfield School</v>
      </c>
      <c r="C18" s="8" t="s">
        <v>88</v>
      </c>
      <c r="D18" s="8"/>
      <c r="E18" s="9"/>
      <c r="F18" s="8"/>
      <c r="G18" s="9"/>
      <c r="H18" s="8"/>
      <c r="I18" s="8"/>
      <c r="J18" s="8" t="s">
        <v>89</v>
      </c>
      <c r="K18" s="8" t="s">
        <v>90</v>
      </c>
      <c r="L18" s="2" t="str">
        <f>IF(A18="","",IF(COUNTIFS($A$8:$A$507,A18)&lt;&gt;1,"Duplicate ID",IF(COUNTIFS(Data!$A$2:$A$501,A18)&lt;&gt;1,"Not current","Current")))</f>
        <v>Current</v>
      </c>
    </row>
    <row r="19" spans="1:12" ht="32" customHeight="1">
      <c r="A19" s="2" t="s">
        <v>101</v>
      </c>
      <c r="B19" s="10" t="str">
        <f>IF(A19="","",IF(COUNTIFS(Data!$A$2:$A$501,A19)=1,INDEX(Data!$B$2:$B$501,MATCH(A19,Data!$A$2:$A$501,0)),"Not in current directory"))</f>
        <v>Alexander Adaire School</v>
      </c>
      <c r="C19" s="8" t="s">
        <v>88</v>
      </c>
      <c r="D19" s="8"/>
      <c r="E19" s="9"/>
      <c r="F19" s="8"/>
      <c r="G19" s="9"/>
      <c r="H19" s="8"/>
      <c r="I19" s="8"/>
      <c r="J19" s="8" t="s">
        <v>89</v>
      </c>
      <c r="K19" s="8" t="s">
        <v>90</v>
      </c>
      <c r="L19" s="2" t="str">
        <f>IF(A19="","",IF(COUNTIFS($A$8:$A$507,A19)&lt;&gt;1,"Duplicate ID",IF(COUNTIFS(Data!$A$2:$A$501,A19)&lt;&gt;1,"Not current","Current")))</f>
        <v>Current</v>
      </c>
    </row>
    <row r="20" spans="1:12" ht="32" customHeight="1">
      <c r="A20" s="2" t="s">
        <v>102</v>
      </c>
      <c r="B20" s="10" t="str">
        <f>IF(A20="","",IF(COUNTIFS(Data!$A$2:$A$501,A20)=1,INDEX(Data!$B$2:$B$501,MATCH(A20,Data!$A$2:$A$501,0)),"Not in current directory"))</f>
        <v>Alexander K. McClure School</v>
      </c>
      <c r="C20" s="8" t="s">
        <v>88</v>
      </c>
      <c r="D20" s="8"/>
      <c r="E20" s="9"/>
      <c r="F20" s="8"/>
      <c r="G20" s="9"/>
      <c r="H20" s="8"/>
      <c r="I20" s="8"/>
      <c r="J20" s="8" t="s">
        <v>89</v>
      </c>
      <c r="K20" s="8" t="s">
        <v>90</v>
      </c>
      <c r="L20" s="2" t="str">
        <f>IF(A20="","",IF(COUNTIFS($A$8:$A$507,A20)&lt;&gt;1,"Duplicate ID",IF(COUNTIFS(Data!$A$2:$A$501,A20)&lt;&gt;1,"Not current","Current")))</f>
        <v>Current</v>
      </c>
    </row>
    <row r="21" spans="1:12" ht="32" customHeight="1">
      <c r="A21" s="2" t="s">
        <v>103</v>
      </c>
      <c r="B21" s="10" t="str">
        <f>IF(A21="","",IF(COUNTIFS(Data!$A$2:$A$501,A21)=1,INDEX(Data!$B$2:$B$501,MATCH(A21,Data!$A$2:$A$501,0)),"Not in current directory"))</f>
        <v>Allen M. Stearne School</v>
      </c>
      <c r="C21" s="8" t="s">
        <v>88</v>
      </c>
      <c r="D21" s="8"/>
      <c r="E21" s="9"/>
      <c r="F21" s="8"/>
      <c r="G21" s="9"/>
      <c r="H21" s="8"/>
      <c r="I21" s="8"/>
      <c r="J21" s="8" t="s">
        <v>89</v>
      </c>
      <c r="K21" s="8" t="s">
        <v>90</v>
      </c>
      <c r="L21" s="2" t="str">
        <f>IF(A21="","",IF(COUNTIFS($A$8:$A$507,A21)&lt;&gt;1,"Duplicate ID",IF(COUNTIFS(Data!$A$2:$A$501,A21)&lt;&gt;1,"Not current","Current")))</f>
        <v>Current</v>
      </c>
    </row>
    <row r="22" spans="1:12" ht="32" customHeight="1">
      <c r="A22" s="2" t="s">
        <v>104</v>
      </c>
      <c r="B22" s="10" t="str">
        <f>IF(A22="","",IF(COUNTIFS(Data!$A$2:$A$501,A22)=1,INDEX(Data!$B$2:$B$501,MATCH(A22,Data!$A$2:$A$501,0)),"Not in current directory"))</f>
        <v>Alliance For Progress Charter School</v>
      </c>
      <c r="C22" s="8" t="s">
        <v>88</v>
      </c>
      <c r="D22" s="8"/>
      <c r="E22" s="9"/>
      <c r="F22" s="8"/>
      <c r="G22" s="9"/>
      <c r="H22" s="8"/>
      <c r="I22" s="8"/>
      <c r="J22" s="8" t="s">
        <v>89</v>
      </c>
      <c r="K22" s="8" t="s">
        <v>90</v>
      </c>
      <c r="L22" s="2" t="str">
        <f>IF(A22="","",IF(COUNTIFS($A$8:$A$507,A22)&lt;&gt;1,"Duplicate ID",IF(COUNTIFS(Data!$A$2:$A$501,A22)&lt;&gt;1,"Not current","Current")))</f>
        <v>Current</v>
      </c>
    </row>
    <row r="23" spans="1:12" ht="32" customHeight="1">
      <c r="A23" s="2" t="s">
        <v>105</v>
      </c>
      <c r="B23" s="10" t="str">
        <f>IF(A23="","",IF(COUNTIFS(Data!$A$2:$A$501,A23)=1,INDEX(Data!$B$2:$B$501,MATCH(A23,Data!$A$2:$A$501,0)),"Not in current directory"))</f>
        <v>Aloysius L. Fitzpatrick School</v>
      </c>
      <c r="C23" s="8" t="s">
        <v>88</v>
      </c>
      <c r="D23" s="8"/>
      <c r="E23" s="9"/>
      <c r="F23" s="8"/>
      <c r="G23" s="9"/>
      <c r="H23" s="8"/>
      <c r="I23" s="8"/>
      <c r="J23" s="8" t="s">
        <v>89</v>
      </c>
      <c r="K23" s="8" t="s">
        <v>90</v>
      </c>
      <c r="L23" s="2" t="str">
        <f>IF(A23="","",IF(COUNTIFS($A$8:$A$507,A23)&lt;&gt;1,"Duplicate ID",IF(COUNTIFS(Data!$A$2:$A$501,A23)&lt;&gt;1,"Not current","Current")))</f>
        <v>Current</v>
      </c>
    </row>
    <row r="24" spans="1:12" ht="32" customHeight="1">
      <c r="A24" s="2" t="s">
        <v>106</v>
      </c>
      <c r="B24" s="10" t="str">
        <f>IF(A24="","",IF(COUNTIFS(Data!$A$2:$A$501,A24)=1,INDEX(Data!$B$2:$B$501,MATCH(A24,Data!$A$2:$A$501,0)),"Not in current directory"))</f>
        <v>Alternative Middle Years at James Martin</v>
      </c>
      <c r="C24" s="8" t="s">
        <v>88</v>
      </c>
      <c r="D24" s="8"/>
      <c r="E24" s="9"/>
      <c r="F24" s="8"/>
      <c r="G24" s="9"/>
      <c r="H24" s="8"/>
      <c r="I24" s="8"/>
      <c r="J24" s="8" t="s">
        <v>89</v>
      </c>
      <c r="K24" s="8" t="s">
        <v>90</v>
      </c>
      <c r="L24" s="2" t="str">
        <f>IF(A24="","",IF(COUNTIFS($A$8:$A$507,A24)&lt;&gt;1,"Duplicate ID",IF(COUNTIFS(Data!$A$2:$A$501,A24)&lt;&gt;1,"Not current","Current")))</f>
        <v>Current</v>
      </c>
    </row>
    <row r="25" spans="1:12" ht="32" customHeight="1">
      <c r="A25" s="2" t="s">
        <v>107</v>
      </c>
      <c r="B25" s="10" t="str">
        <f>IF(A25="","",IF(COUNTIFS(Data!$A$2:$A$501,A25)=1,INDEX(Data!$B$2:$B$501,MATCH(A25,Data!$A$2:$A$501,0)),"Not in current directory"))</f>
        <v>Andrew Hamilton School</v>
      </c>
      <c r="C25" s="8" t="s">
        <v>88</v>
      </c>
      <c r="D25" s="8"/>
      <c r="E25" s="9"/>
      <c r="F25" s="8"/>
      <c r="G25" s="9"/>
      <c r="H25" s="8"/>
      <c r="I25" s="8"/>
      <c r="J25" s="8" t="s">
        <v>89</v>
      </c>
      <c r="K25" s="8" t="s">
        <v>90</v>
      </c>
      <c r="L25" s="2" t="str">
        <f>IF(A25="","",IF(COUNTIFS($A$8:$A$507,A25)&lt;&gt;1,"Duplicate ID",IF(COUNTIFS(Data!$A$2:$A$501,A25)&lt;&gt;1,"Not current","Current")))</f>
        <v>Current</v>
      </c>
    </row>
    <row r="26" spans="1:12" ht="32" customHeight="1">
      <c r="A26" s="2" t="s">
        <v>108</v>
      </c>
      <c r="B26" s="10" t="str">
        <f>IF(A26="","",IF(COUNTIFS(Data!$A$2:$A$501,A26)=1,INDEX(Data!$B$2:$B$501,MATCH(A26,Data!$A$2:$A$501,0)),"Not in current directory"))</f>
        <v>Andrew J. Morrison School</v>
      </c>
      <c r="C26" s="8" t="s">
        <v>88</v>
      </c>
      <c r="D26" s="8"/>
      <c r="E26" s="9"/>
      <c r="F26" s="8"/>
      <c r="G26" s="9"/>
      <c r="H26" s="8"/>
      <c r="I26" s="8"/>
      <c r="J26" s="8" t="s">
        <v>89</v>
      </c>
      <c r="K26" s="8" t="s">
        <v>90</v>
      </c>
      <c r="L26" s="2" t="str">
        <f>IF(A26="","",IF(COUNTIFS($A$8:$A$507,A26)&lt;&gt;1,"Duplicate ID",IF(COUNTIFS(Data!$A$2:$A$501,A26)&lt;&gt;1,"Not current","Current")))</f>
        <v>Current</v>
      </c>
    </row>
    <row r="27" spans="1:12" ht="32" customHeight="1">
      <c r="A27" s="2" t="s">
        <v>109</v>
      </c>
      <c r="B27" s="10" t="str">
        <f>IF(A27="","",IF(COUNTIFS(Data!$A$2:$A$501,A27)=1,INDEX(Data!$B$2:$B$501,MATCH(A27,Data!$A$2:$A$501,0)),"Not in current directory"))</f>
        <v>Anna B. Day School</v>
      </c>
      <c r="C27" s="8" t="s">
        <v>88</v>
      </c>
      <c r="D27" s="8"/>
      <c r="E27" s="9"/>
      <c r="F27" s="8"/>
      <c r="G27" s="9"/>
      <c r="H27" s="8"/>
      <c r="I27" s="8"/>
      <c r="J27" s="8" t="s">
        <v>89</v>
      </c>
      <c r="K27" s="8" t="s">
        <v>90</v>
      </c>
      <c r="L27" s="2" t="str">
        <f>IF(A27="","",IF(COUNTIFS($A$8:$A$507,A27)&lt;&gt;1,"Duplicate ID",IF(COUNTIFS(Data!$A$2:$A$501,A27)&lt;&gt;1,"Not current","Current")))</f>
        <v>Current</v>
      </c>
    </row>
    <row r="28" spans="1:12" ht="32" customHeight="1">
      <c r="A28" s="2" t="s">
        <v>110</v>
      </c>
      <c r="B28" s="10" t="str">
        <f>IF(A28="","",IF(COUNTIFS(Data!$A$2:$A$501,A28)=1,INDEX(Data!$B$2:$B$501,MATCH(A28,Data!$A$2:$A$501,0)),"Not in current directory"))</f>
        <v>Anna L. Lingelbach School</v>
      </c>
      <c r="C28" s="8" t="s">
        <v>88</v>
      </c>
      <c r="D28" s="8"/>
      <c r="E28" s="9"/>
      <c r="F28" s="8"/>
      <c r="G28" s="9"/>
      <c r="H28" s="8"/>
      <c r="I28" s="8"/>
      <c r="J28" s="8" t="s">
        <v>89</v>
      </c>
      <c r="K28" s="8" t="s">
        <v>90</v>
      </c>
      <c r="L28" s="2" t="str">
        <f>IF(A28="","",IF(COUNTIFS($A$8:$A$507,A28)&lt;&gt;1,"Duplicate ID",IF(COUNTIFS(Data!$A$2:$A$501,A28)&lt;&gt;1,"Not current","Current")))</f>
        <v>Current</v>
      </c>
    </row>
    <row r="29" spans="1:12" ht="32" customHeight="1">
      <c r="A29" s="2" t="s">
        <v>111</v>
      </c>
      <c r="B29" s="10" t="str">
        <f>IF(A29="","",IF(COUNTIFS(Data!$A$2:$A$501,A29)=1,INDEX(Data!$B$2:$B$501,MATCH(A29,Data!$A$2:$A$501,0)),"Not in current directory"))</f>
        <v>Anne Frank School</v>
      </c>
      <c r="C29" s="8" t="s">
        <v>88</v>
      </c>
      <c r="D29" s="8"/>
      <c r="E29" s="9"/>
      <c r="F29" s="8"/>
      <c r="G29" s="9"/>
      <c r="H29" s="8"/>
      <c r="I29" s="8"/>
      <c r="J29" s="8" t="s">
        <v>89</v>
      </c>
      <c r="K29" s="8" t="s">
        <v>90</v>
      </c>
      <c r="L29" s="2" t="str">
        <f>IF(A29="","",IF(COUNTIFS($A$8:$A$507,A29)&lt;&gt;1,"Duplicate ID",IF(COUNTIFS(Data!$A$2:$A$501,A29)&lt;&gt;1,"Not current","Current")))</f>
        <v>Current</v>
      </c>
    </row>
    <row r="30" spans="1:12" ht="32" customHeight="1">
      <c r="A30" s="2" t="s">
        <v>112</v>
      </c>
      <c r="B30" s="10" t="str">
        <f>IF(A30="","",IF(COUNTIFS(Data!$A$2:$A$501,A30)=1,INDEX(Data!$B$2:$B$501,MATCH(A30,Data!$A$2:$A$501,0)),"Not in current directory"))</f>
        <v>Antonia Pantoja Charter School</v>
      </c>
      <c r="C30" s="8" t="s">
        <v>88</v>
      </c>
      <c r="D30" s="8"/>
      <c r="E30" s="9"/>
      <c r="F30" s="8"/>
      <c r="G30" s="9"/>
      <c r="H30" s="8"/>
      <c r="I30" s="8"/>
      <c r="J30" s="8" t="s">
        <v>89</v>
      </c>
      <c r="K30" s="8" t="s">
        <v>90</v>
      </c>
      <c r="L30" s="2" t="str">
        <f>IF(A30="","",IF(COUNTIFS($A$8:$A$507,A30)&lt;&gt;1,"Duplicate ID",IF(COUNTIFS(Data!$A$2:$A$501,A30)&lt;&gt;1,"Not current","Current")))</f>
        <v>Current</v>
      </c>
    </row>
    <row r="31" spans="1:12" ht="32" customHeight="1">
      <c r="A31" s="2" t="s">
        <v>113</v>
      </c>
      <c r="B31" s="10" t="str">
        <f>IF(A31="","",IF(COUNTIFS(Data!$A$2:$A$501,A31)=1,INDEX(Data!$B$2:$B$501,MATCH(A31,Data!$A$2:$A$501,0)),"Not in current directory"))</f>
        <v>Arts Academy at Benjamin Rush</v>
      </c>
      <c r="C31" s="8" t="s">
        <v>88</v>
      </c>
      <c r="D31" s="8"/>
      <c r="E31" s="9"/>
      <c r="F31" s="8"/>
      <c r="G31" s="9"/>
      <c r="H31" s="8"/>
      <c r="I31" s="8"/>
      <c r="J31" s="8" t="s">
        <v>89</v>
      </c>
      <c r="K31" s="8" t="s">
        <v>90</v>
      </c>
      <c r="L31" s="2" t="str">
        <f>IF(A31="","",IF(COUNTIFS($A$8:$A$507,A31)&lt;&gt;1,"Duplicate ID",IF(COUNTIFS(Data!$A$2:$A$501,A31)&lt;&gt;1,"Not current","Current")))</f>
        <v>Current</v>
      </c>
    </row>
    <row r="32" spans="1:12" ht="32" customHeight="1">
      <c r="A32" s="2" t="s">
        <v>114</v>
      </c>
      <c r="B32" s="10" t="str">
        <f>IF(A32="","",IF(COUNTIFS(Data!$A$2:$A$501,A32)=1,INDEX(Data!$B$2:$B$501,MATCH(A32,Data!$A$2:$A$501,0)),"Not in current directory"))</f>
        <v>Avery D. Harrington School</v>
      </c>
      <c r="C32" s="8" t="s">
        <v>88</v>
      </c>
      <c r="D32" s="8"/>
      <c r="E32" s="9"/>
      <c r="F32" s="8"/>
      <c r="G32" s="9"/>
      <c r="H32" s="8"/>
      <c r="I32" s="8"/>
      <c r="J32" s="8" t="s">
        <v>89</v>
      </c>
      <c r="K32" s="8" t="s">
        <v>90</v>
      </c>
      <c r="L32" s="2" t="str">
        <f>IF(A32="","",IF(COUNTIFS($A$8:$A$507,A32)&lt;&gt;1,"Duplicate ID",IF(COUNTIFS(Data!$A$2:$A$501,A32)&lt;&gt;1,"Not current","Current")))</f>
        <v>Current</v>
      </c>
    </row>
    <row r="33" spans="1:12" ht="32" customHeight="1">
      <c r="A33" s="2" t="s">
        <v>115</v>
      </c>
      <c r="B33" s="10" t="str">
        <f>IF(A33="","",IF(COUNTIFS(Data!$A$2:$A$501,A33)=1,INDEX(Data!$B$2:$B$501,MATCH(A33,Data!$A$2:$A$501,0)),"Not in current directory"))</f>
        <v>Bache-Martin School</v>
      </c>
      <c r="C33" s="8" t="s">
        <v>88</v>
      </c>
      <c r="D33" s="8"/>
      <c r="E33" s="9"/>
      <c r="F33" s="8"/>
      <c r="G33" s="9"/>
      <c r="H33" s="8"/>
      <c r="I33" s="8"/>
      <c r="J33" s="8" t="s">
        <v>89</v>
      </c>
      <c r="K33" s="8" t="s">
        <v>90</v>
      </c>
      <c r="L33" s="2" t="str">
        <f>IF(A33="","",IF(COUNTIFS($A$8:$A$507,A33)&lt;&gt;1,"Duplicate ID",IF(COUNTIFS(Data!$A$2:$A$501,A33)&lt;&gt;1,"Not current","Current")))</f>
        <v>Current</v>
      </c>
    </row>
    <row r="34" spans="1:12" ht="32" customHeight="1">
      <c r="A34" s="2" t="s">
        <v>116</v>
      </c>
      <c r="B34" s="10" t="str">
        <f>IF(A34="","",IF(COUNTIFS(Data!$A$2:$A$501,A34)=1,INDEX(Data!$B$2:$B$501,MATCH(A34,Data!$A$2:$A$501,0)),"Not in current directory"))</f>
        <v>Bayard Taylor School</v>
      </c>
      <c r="C34" s="8" t="s">
        <v>88</v>
      </c>
      <c r="D34" s="8"/>
      <c r="E34" s="9"/>
      <c r="F34" s="8"/>
      <c r="G34" s="9"/>
      <c r="H34" s="8"/>
      <c r="I34" s="8"/>
      <c r="J34" s="8" t="s">
        <v>89</v>
      </c>
      <c r="K34" s="8" t="s">
        <v>90</v>
      </c>
      <c r="L34" s="2" t="str">
        <f>IF(A34="","",IF(COUNTIFS($A$8:$A$507,A34)&lt;&gt;1,"Duplicate ID",IF(COUNTIFS(Data!$A$2:$A$501,A34)&lt;&gt;1,"Not current","Current")))</f>
        <v>Current</v>
      </c>
    </row>
    <row r="35" spans="1:12" ht="32" customHeight="1">
      <c r="A35" s="2" t="s">
        <v>117</v>
      </c>
      <c r="B35" s="10" t="str">
        <f>IF(A35="","",IF(COUNTIFS(Data!$A$2:$A$501,A35)=1,INDEX(Data!$B$2:$B$501,MATCH(A35,Data!$A$2:$A$501,0)),"Not in current directory"))</f>
        <v>Belmont Elementary Charter School</v>
      </c>
      <c r="C35" s="8" t="s">
        <v>88</v>
      </c>
      <c r="D35" s="8"/>
      <c r="E35" s="9"/>
      <c r="F35" s="8"/>
      <c r="G35" s="9"/>
      <c r="H35" s="8"/>
      <c r="I35" s="8"/>
      <c r="J35" s="8" t="s">
        <v>89</v>
      </c>
      <c r="K35" s="8" t="s">
        <v>90</v>
      </c>
      <c r="L35" s="2" t="str">
        <f>IF(A35="","",IF(COUNTIFS($A$8:$A$507,A35)&lt;&gt;1,"Duplicate ID",IF(COUNTIFS(Data!$A$2:$A$501,A35)&lt;&gt;1,"Not current","Current")))</f>
        <v>Current</v>
      </c>
    </row>
    <row r="36" spans="1:12" ht="32" customHeight="1">
      <c r="A36" s="2" t="s">
        <v>118</v>
      </c>
      <c r="B36" s="10" t="str">
        <f>IF(A36="","",IF(COUNTIFS(Data!$A$2:$A$501,A36)=1,INDEX(Data!$B$2:$B$501,MATCH(A36,Data!$A$2:$A$501,0)),"Not in current directory"))</f>
        <v>Ben Franklin High School EOP</v>
      </c>
      <c r="C36" s="8" t="s">
        <v>88</v>
      </c>
      <c r="D36" s="8"/>
      <c r="E36" s="9"/>
      <c r="F36" s="8"/>
      <c r="G36" s="9"/>
      <c r="H36" s="8"/>
      <c r="I36" s="8"/>
      <c r="J36" s="8" t="s">
        <v>89</v>
      </c>
      <c r="K36" s="8" t="s">
        <v>90</v>
      </c>
      <c r="L36" s="2" t="str">
        <f>IF(A36="","",IF(COUNTIFS($A$8:$A$507,A36)&lt;&gt;1,"Duplicate ID",IF(COUNTIFS(Data!$A$2:$A$501,A36)&lt;&gt;1,"Not current","Current")))</f>
        <v>Current</v>
      </c>
    </row>
    <row r="37" spans="1:12" ht="32" customHeight="1">
      <c r="A37" s="2" t="s">
        <v>119</v>
      </c>
      <c r="B37" s="10" t="str">
        <f>IF(A37="","",IF(COUNTIFS(Data!$A$2:$A$501,A37)=1,INDEX(Data!$B$2:$B$501,MATCH(A37,Data!$A$2:$A$501,0)),"Not in current directory"))</f>
        <v>Benjamin B. Comegys School</v>
      </c>
      <c r="C37" s="8" t="s">
        <v>88</v>
      </c>
      <c r="D37" s="8"/>
      <c r="E37" s="9"/>
      <c r="F37" s="8"/>
      <c r="G37" s="9"/>
      <c r="H37" s="8"/>
      <c r="I37" s="8"/>
      <c r="J37" s="8" t="s">
        <v>89</v>
      </c>
      <c r="K37" s="8" t="s">
        <v>90</v>
      </c>
      <c r="L37" s="2" t="str">
        <f>IF(A37="","",IF(COUNTIFS($A$8:$A$507,A37)&lt;&gt;1,"Duplicate ID",IF(COUNTIFS(Data!$A$2:$A$501,A37)&lt;&gt;1,"Not current","Current")))</f>
        <v>Current</v>
      </c>
    </row>
    <row r="38" spans="1:12" ht="32" customHeight="1">
      <c r="A38" s="2" t="s">
        <v>120</v>
      </c>
      <c r="B38" s="10" t="str">
        <f>IF(A38="","",IF(COUNTIFS(Data!$A$2:$A$501,A38)=1,INDEX(Data!$B$2:$B$501,MATCH(A38,Data!$A$2:$A$501,0)),"Not in current directory"))</f>
        <v>Benjamin Franklin Elementary School</v>
      </c>
      <c r="C38" s="8" t="s">
        <v>88</v>
      </c>
      <c r="D38" s="8"/>
      <c r="E38" s="9"/>
      <c r="F38" s="8"/>
      <c r="G38" s="9"/>
      <c r="H38" s="8"/>
      <c r="I38" s="8"/>
      <c r="J38" s="8" t="s">
        <v>89</v>
      </c>
      <c r="K38" s="8" t="s">
        <v>90</v>
      </c>
      <c r="L38" s="2" t="str">
        <f>IF(A38="","",IF(COUNTIFS($A$8:$A$507,A38)&lt;&gt;1,"Duplicate ID",IF(COUNTIFS(Data!$A$2:$A$501,A38)&lt;&gt;1,"Not current","Current")))</f>
        <v>Current</v>
      </c>
    </row>
    <row r="39" spans="1:12" ht="32" customHeight="1">
      <c r="A39" s="2" t="s">
        <v>121</v>
      </c>
      <c r="B39" s="10" t="str">
        <f>IF(A39="","",IF(COUNTIFS(Data!$A$2:$A$501,A39)=1,INDEX(Data!$B$2:$B$501,MATCH(A39,Data!$A$2:$A$501,0)),"Not in current directory"))</f>
        <v>Benjamin Franklin High School</v>
      </c>
      <c r="C39" s="8" t="s">
        <v>88</v>
      </c>
      <c r="D39" s="8"/>
      <c r="E39" s="9"/>
      <c r="F39" s="8"/>
      <c r="G39" s="9"/>
      <c r="H39" s="8"/>
      <c r="I39" s="8"/>
      <c r="J39" s="8" t="s">
        <v>89</v>
      </c>
      <c r="K39" s="8" t="s">
        <v>90</v>
      </c>
      <c r="L39" s="2" t="str">
        <f>IF(A39="","",IF(COUNTIFS($A$8:$A$507,A39)&lt;&gt;1,"Duplicate ID",IF(COUNTIFS(Data!$A$2:$A$501,A39)&lt;&gt;1,"Not current","Current")))</f>
        <v>Current</v>
      </c>
    </row>
    <row r="40" spans="1:12" ht="32" customHeight="1">
      <c r="A40" s="2" t="s">
        <v>122</v>
      </c>
      <c r="B40" s="10" t="str">
        <f>IF(A40="","",IF(COUNTIFS(Data!$A$2:$A$501,A40)=1,INDEX(Data!$B$2:$B$501,MATCH(A40,Data!$A$2:$A$501,0)),"Not in current directory"))</f>
        <v>Boys' Latin of Philadelphia Charter School</v>
      </c>
      <c r="C40" s="8" t="s">
        <v>88</v>
      </c>
      <c r="D40" s="8"/>
      <c r="E40" s="9"/>
      <c r="F40" s="8"/>
      <c r="G40" s="9"/>
      <c r="H40" s="8"/>
      <c r="I40" s="8"/>
      <c r="J40" s="8" t="s">
        <v>89</v>
      </c>
      <c r="K40" s="8" t="s">
        <v>90</v>
      </c>
      <c r="L40" s="2" t="str">
        <f>IF(A40="","",IF(COUNTIFS($A$8:$A$507,A40)&lt;&gt;1,"Duplicate ID",IF(COUNTIFS(Data!$A$2:$A$501,A40)&lt;&gt;1,"Not current","Current")))</f>
        <v>Current</v>
      </c>
    </row>
    <row r="41" spans="1:12" ht="32" customHeight="1">
      <c r="A41" s="2" t="s">
        <v>123</v>
      </c>
      <c r="B41" s="10" t="str">
        <f>IF(A41="","",IF(COUNTIFS(Data!$A$2:$A$501,A41)=1,INDEX(Data!$B$2:$B$501,MATCH(A41,Data!$A$2:$A$501,0)),"Not in current directory"))</f>
        <v>Bridesburg School</v>
      </c>
      <c r="C41" s="8" t="s">
        <v>88</v>
      </c>
      <c r="D41" s="8"/>
      <c r="E41" s="9"/>
      <c r="F41" s="8"/>
      <c r="G41" s="9"/>
      <c r="H41" s="8"/>
      <c r="I41" s="8"/>
      <c r="J41" s="8" t="s">
        <v>89</v>
      </c>
      <c r="K41" s="8" t="s">
        <v>90</v>
      </c>
      <c r="L41" s="2" t="str">
        <f>IF(A41="","",IF(COUNTIFS($A$8:$A$507,A41)&lt;&gt;1,"Duplicate ID",IF(COUNTIFS(Data!$A$2:$A$501,A41)&lt;&gt;1,"Not current","Current")))</f>
        <v>Current</v>
      </c>
    </row>
    <row r="42" spans="1:12" ht="32" customHeight="1">
      <c r="A42" s="2" t="s">
        <v>124</v>
      </c>
      <c r="B42" s="10" t="str">
        <f>IF(A42="","",IF(COUNTIFS(Data!$A$2:$A$501,A42)=1,INDEX(Data!$B$2:$B$501,MATCH(A42,Data!$A$2:$A$501,0)),"Not in current directory"))</f>
        <v>Building 21</v>
      </c>
      <c r="C42" s="8" t="s">
        <v>88</v>
      </c>
      <c r="D42" s="8"/>
      <c r="E42" s="9"/>
      <c r="F42" s="8"/>
      <c r="G42" s="9"/>
      <c r="H42" s="8"/>
      <c r="I42" s="8"/>
      <c r="J42" s="8" t="s">
        <v>89</v>
      </c>
      <c r="K42" s="8" t="s">
        <v>90</v>
      </c>
      <c r="L42" s="2" t="str">
        <f>IF(A42="","",IF(COUNTIFS($A$8:$A$507,A42)&lt;&gt;1,"Duplicate ID",IF(COUNTIFS(Data!$A$2:$A$501,A42)&lt;&gt;1,"Not current","Current")))</f>
        <v>Current</v>
      </c>
    </row>
    <row r="43" spans="1:12" ht="32" customHeight="1">
      <c r="A43" s="2" t="s">
        <v>125</v>
      </c>
      <c r="B43" s="10" t="str">
        <f>IF(A43="","",IF(COUNTIFS(Data!$A$2:$A$501,A43)=1,INDEX(Data!$B$2:$B$501,MATCH(A43,Data!$A$2:$A$501,0)),"Not in current directory"))</f>
        <v>Carver High School of Engineering and Science</v>
      </c>
      <c r="C43" s="8" t="s">
        <v>88</v>
      </c>
      <c r="D43" s="8"/>
      <c r="E43" s="9"/>
      <c r="F43" s="8"/>
      <c r="G43" s="9"/>
      <c r="H43" s="8"/>
      <c r="I43" s="8"/>
      <c r="J43" s="8" t="s">
        <v>89</v>
      </c>
      <c r="K43" s="8" t="s">
        <v>90</v>
      </c>
      <c r="L43" s="2" t="str">
        <f>IF(A43="","",IF(COUNTIFS($A$8:$A$507,A43)&lt;&gt;1,"Duplicate ID",IF(COUNTIFS(Data!$A$2:$A$501,A43)&lt;&gt;1,"Not current","Current")))</f>
        <v>Current</v>
      </c>
    </row>
    <row r="44" spans="1:12" ht="32" customHeight="1">
      <c r="A44" s="2" t="s">
        <v>126</v>
      </c>
      <c r="B44" s="10" t="str">
        <f>IF(A44="","",IF(COUNTIFS(Data!$A$2:$A$501,A44)=1,INDEX(Data!$B$2:$B$501,MATCH(A44,Data!$A$2:$A$501,0)),"Not in current directory"))</f>
        <v>Castor Gardens Middle School</v>
      </c>
      <c r="C44" s="8" t="s">
        <v>88</v>
      </c>
      <c r="D44" s="8"/>
      <c r="E44" s="9"/>
      <c r="F44" s="8"/>
      <c r="G44" s="9"/>
      <c r="H44" s="8"/>
      <c r="I44" s="8"/>
      <c r="J44" s="8" t="s">
        <v>89</v>
      </c>
      <c r="K44" s="8" t="s">
        <v>90</v>
      </c>
      <c r="L44" s="2" t="str">
        <f>IF(A44="","",IF(COUNTIFS($A$8:$A$507,A44)&lt;&gt;1,"Duplicate ID",IF(COUNTIFS(Data!$A$2:$A$501,A44)&lt;&gt;1,"Not current","Current")))</f>
        <v>Current</v>
      </c>
    </row>
    <row r="45" spans="1:12" ht="32" customHeight="1">
      <c r="A45" s="2" t="s">
        <v>127</v>
      </c>
      <c r="B45" s="10" t="str">
        <f>IF(A45="","",IF(COUNTIFS(Data!$A$2:$A$501,A45)=1,INDEX(Data!$B$2:$B$501,MATCH(A45,Data!$A$2:$A$501,0)),"Not in current directory"))</f>
        <v>Cayuga School</v>
      </c>
      <c r="C45" s="8" t="s">
        <v>88</v>
      </c>
      <c r="D45" s="8"/>
      <c r="E45" s="9"/>
      <c r="F45" s="8"/>
      <c r="G45" s="9"/>
      <c r="H45" s="8"/>
      <c r="I45" s="8"/>
      <c r="J45" s="8" t="s">
        <v>89</v>
      </c>
      <c r="K45" s="8" t="s">
        <v>90</v>
      </c>
      <c r="L45" s="2" t="str">
        <f>IF(A45="","",IF(COUNTIFS($A$8:$A$507,A45)&lt;&gt;1,"Duplicate ID",IF(COUNTIFS(Data!$A$2:$A$501,A45)&lt;&gt;1,"Not current","Current")))</f>
        <v>Current</v>
      </c>
    </row>
    <row r="46" spans="1:12" ht="32" customHeight="1">
      <c r="A46" s="2" t="s">
        <v>128</v>
      </c>
      <c r="B46" s="10" t="str">
        <f>IF(A46="","",IF(COUNTIFS(Data!$A$2:$A$501,A46)=1,INDEX(Data!$B$2:$B$501,MATCH(A46,Data!$A$2:$A$501,0)),"Not in current directory"))</f>
        <v>Central High School</v>
      </c>
      <c r="C46" s="8" t="s">
        <v>88</v>
      </c>
      <c r="D46" s="8"/>
      <c r="E46" s="9"/>
      <c r="F46" s="8"/>
      <c r="G46" s="9"/>
      <c r="H46" s="8"/>
      <c r="I46" s="8"/>
      <c r="J46" s="8" t="s">
        <v>89</v>
      </c>
      <c r="K46" s="8" t="s">
        <v>90</v>
      </c>
      <c r="L46" s="2" t="str">
        <f>IF(A46="","",IF(COUNTIFS($A$8:$A$507,A46)&lt;&gt;1,"Duplicate ID",IF(COUNTIFS(Data!$A$2:$A$501,A46)&lt;&gt;1,"Not current","Current")))</f>
        <v>Current</v>
      </c>
    </row>
    <row r="47" spans="1:12" ht="32" customHeight="1">
      <c r="A47" s="2" t="s">
        <v>129</v>
      </c>
      <c r="B47" s="10" t="str">
        <f>IF(A47="","",IF(COUNTIFS(Data!$A$2:$A$501,A47)=1,INDEX(Data!$B$2:$B$501,MATCH(A47,Data!$A$2:$A$501,0)),"Not in current directory"))</f>
        <v>Charles C.A. Baldi Middle School</v>
      </c>
      <c r="C47" s="8" t="s">
        <v>88</v>
      </c>
      <c r="D47" s="8"/>
      <c r="E47" s="9"/>
      <c r="F47" s="8"/>
      <c r="G47" s="9"/>
      <c r="H47" s="8"/>
      <c r="I47" s="8"/>
      <c r="J47" s="8" t="s">
        <v>89</v>
      </c>
      <c r="K47" s="8" t="s">
        <v>90</v>
      </c>
      <c r="L47" s="2" t="str">
        <f>IF(A47="","",IF(COUNTIFS($A$8:$A$507,A47)&lt;&gt;1,"Duplicate ID",IF(COUNTIFS(Data!$A$2:$A$501,A47)&lt;&gt;1,"Not current","Current")))</f>
        <v>Current</v>
      </c>
    </row>
    <row r="48" spans="1:12" ht="32" customHeight="1">
      <c r="A48" s="2" t="s">
        <v>130</v>
      </c>
      <c r="B48" s="10" t="str">
        <f>IF(A48="","",IF(COUNTIFS(Data!$A$2:$A$501,A48)=1,INDEX(Data!$B$2:$B$501,MATCH(A48,Data!$A$2:$A$501,0)),"Not in current directory"))</f>
        <v>Charles W. Henry School</v>
      </c>
      <c r="C48" s="8" t="s">
        <v>88</v>
      </c>
      <c r="D48" s="8"/>
      <c r="E48" s="9"/>
      <c r="F48" s="8"/>
      <c r="G48" s="9"/>
      <c r="H48" s="8"/>
      <c r="I48" s="8"/>
      <c r="J48" s="8" t="s">
        <v>89</v>
      </c>
      <c r="K48" s="8" t="s">
        <v>90</v>
      </c>
      <c r="L48" s="2" t="str">
        <f>IF(A48="","",IF(COUNTIFS($A$8:$A$507,A48)&lt;&gt;1,"Duplicate ID",IF(COUNTIFS(Data!$A$2:$A$501,A48)&lt;&gt;1,"Not current","Current")))</f>
        <v>Current</v>
      </c>
    </row>
    <row r="49" spans="1:12" ht="32" customHeight="1">
      <c r="A49" s="2" t="s">
        <v>131</v>
      </c>
      <c r="B49" s="10" t="str">
        <f>IF(A49="","",IF(COUNTIFS(Data!$A$2:$A$501,A49)=1,INDEX(Data!$B$2:$B$501,MATCH(A49,Data!$A$2:$A$501,0)),"Not in current directory"))</f>
        <v>Christopher Columbus Charter School</v>
      </c>
      <c r="C49" s="8" t="s">
        <v>88</v>
      </c>
      <c r="D49" s="8"/>
      <c r="E49" s="9"/>
      <c r="F49" s="8"/>
      <c r="G49" s="9"/>
      <c r="H49" s="8"/>
      <c r="I49" s="8"/>
      <c r="J49" s="8" t="s">
        <v>89</v>
      </c>
      <c r="K49" s="8" t="s">
        <v>90</v>
      </c>
      <c r="L49" s="2" t="str">
        <f>IF(A49="","",IF(COUNTIFS($A$8:$A$507,A49)&lt;&gt;1,"Duplicate ID",IF(COUNTIFS(Data!$A$2:$A$501,A49)&lt;&gt;1,"Not current","Current")))</f>
        <v>Current</v>
      </c>
    </row>
    <row r="50" spans="1:12" ht="32" customHeight="1">
      <c r="A50" s="2" t="s">
        <v>132</v>
      </c>
      <c r="B50" s="10" t="str">
        <f>IF(A50="","",IF(COUNTIFS(Data!$A$2:$A$501,A50)=1,INDEX(Data!$B$2:$B$501,MATCH(A50,Data!$A$2:$A$501,0)),"Not in current directory"))</f>
        <v>Clara Barton School</v>
      </c>
      <c r="C50" s="8" t="s">
        <v>88</v>
      </c>
      <c r="D50" s="8"/>
      <c r="E50" s="9"/>
      <c r="F50" s="8"/>
      <c r="G50" s="9"/>
      <c r="H50" s="8"/>
      <c r="I50" s="8"/>
      <c r="J50" s="8" t="s">
        <v>89</v>
      </c>
      <c r="K50" s="8" t="s">
        <v>90</v>
      </c>
      <c r="L50" s="2" t="str">
        <f>IF(A50="","",IF(COUNTIFS($A$8:$A$507,A50)&lt;&gt;1,"Duplicate ID",IF(COUNTIFS(Data!$A$2:$A$501,A50)&lt;&gt;1,"Not current","Current")))</f>
        <v>Current</v>
      </c>
    </row>
    <row r="51" spans="1:12" ht="32" customHeight="1">
      <c r="A51" s="2" t="s">
        <v>133</v>
      </c>
      <c r="B51" s="10" t="str">
        <f>IF(A51="","",IF(COUNTIFS(Data!$A$2:$A$501,A51)=1,INDEX(Data!$B$2:$B$501,MATCH(A51,Data!$A$2:$A$501,0)),"Not in current directory"))</f>
        <v>Community Academy of Philadelphia Charter School</v>
      </c>
      <c r="C51" s="8" t="s">
        <v>88</v>
      </c>
      <c r="D51" s="8"/>
      <c r="E51" s="9"/>
      <c r="F51" s="8"/>
      <c r="G51" s="9"/>
      <c r="H51" s="8"/>
      <c r="I51" s="8"/>
      <c r="J51" s="8" t="s">
        <v>89</v>
      </c>
      <c r="K51" s="8" t="s">
        <v>90</v>
      </c>
      <c r="L51" s="2" t="str">
        <f>IF(A51="","",IF(COUNTIFS($A$8:$A$507,A51)&lt;&gt;1,"Duplicate ID",IF(COUNTIFS(Data!$A$2:$A$501,A51)&lt;&gt;1,"Not current","Current")))</f>
        <v>Current</v>
      </c>
    </row>
    <row r="52" spans="1:12" ht="32" customHeight="1">
      <c r="A52" s="2" t="s">
        <v>134</v>
      </c>
      <c r="B52" s="10" t="str">
        <f>IF(A52="","",IF(COUNTIFS(Data!$A$2:$A$501,A52)=1,INDEX(Data!$B$2:$B$501,MATCH(A52,Data!$A$2:$A$501,0)),"Not in current directory"))</f>
        <v>Constitution High School</v>
      </c>
      <c r="C52" s="8" t="s">
        <v>88</v>
      </c>
      <c r="D52" s="8"/>
      <c r="E52" s="9"/>
      <c r="F52" s="8"/>
      <c r="G52" s="9"/>
      <c r="H52" s="8"/>
      <c r="I52" s="8"/>
      <c r="J52" s="8" t="s">
        <v>89</v>
      </c>
      <c r="K52" s="8" t="s">
        <v>90</v>
      </c>
      <c r="L52" s="2" t="str">
        <f>IF(A52="","",IF(COUNTIFS($A$8:$A$507,A52)&lt;&gt;1,"Duplicate ID",IF(COUNTIFS(Data!$A$2:$A$501,A52)&lt;&gt;1,"Not current","Current")))</f>
        <v>Current</v>
      </c>
    </row>
    <row r="53" spans="1:12" ht="32" customHeight="1">
      <c r="A53" s="2" t="s">
        <v>135</v>
      </c>
      <c r="B53" s="10" t="str">
        <f>IF(A53="","",IF(COUNTIFS(Data!$A$2:$A$501,A53)=1,INDEX(Data!$B$2:$B$501,MATCH(A53,Data!$A$2:$A$501,0)),"Not in current directory"))</f>
        <v>Cook-Wissahickon School</v>
      </c>
      <c r="C53" s="8" t="s">
        <v>88</v>
      </c>
      <c r="D53" s="8"/>
      <c r="E53" s="9"/>
      <c r="F53" s="8"/>
      <c r="G53" s="9"/>
      <c r="H53" s="8"/>
      <c r="I53" s="8"/>
      <c r="J53" s="8" t="s">
        <v>89</v>
      </c>
      <c r="K53" s="8" t="s">
        <v>90</v>
      </c>
      <c r="L53" s="2" t="str">
        <f>IF(A53="","",IF(COUNTIFS($A$8:$A$507,A53)&lt;&gt;1,"Duplicate ID",IF(COUNTIFS(Data!$A$2:$A$501,A53)&lt;&gt;1,"Not current","Current")))</f>
        <v>Current</v>
      </c>
    </row>
    <row r="54" spans="1:12" ht="32" customHeight="1">
      <c r="A54" s="2" t="s">
        <v>136</v>
      </c>
      <c r="B54" s="10" t="str">
        <f>IF(A54="","",IF(COUNTIFS(Data!$A$2:$A$501,A54)=1,INDEX(Data!$B$2:$B$501,MATCH(A54,Data!$A$2:$A$501,0)),"Not in current directory"))</f>
        <v>Crossroads Accelerated Academy</v>
      </c>
      <c r="C54" s="8" t="s">
        <v>88</v>
      </c>
      <c r="D54" s="8"/>
      <c r="E54" s="9"/>
      <c r="F54" s="8"/>
      <c r="G54" s="9"/>
      <c r="H54" s="8"/>
      <c r="I54" s="8"/>
      <c r="J54" s="8" t="s">
        <v>89</v>
      </c>
      <c r="K54" s="8" t="s">
        <v>90</v>
      </c>
      <c r="L54" s="2" t="str">
        <f>IF(A54="","",IF(COUNTIFS($A$8:$A$507,A54)&lt;&gt;1,"Duplicate ID",IF(COUNTIFS(Data!$A$2:$A$501,A54)&lt;&gt;1,"Not current","Current")))</f>
        <v>Current</v>
      </c>
    </row>
    <row r="55" spans="1:12" ht="32" customHeight="1">
      <c r="A55" s="2" t="s">
        <v>137</v>
      </c>
      <c r="B55" s="10" t="str">
        <f>IF(A55="","",IF(COUNTIFS(Data!$A$2:$A$501,A55)=1,INDEX(Data!$B$2:$B$501,MATCH(A55,Data!$A$2:$A$501,0)),"Not in current directory"))</f>
        <v>Crossroads at Hunting Park</v>
      </c>
      <c r="C55" s="8" t="s">
        <v>88</v>
      </c>
      <c r="D55" s="8"/>
      <c r="E55" s="9"/>
      <c r="F55" s="8"/>
      <c r="G55" s="9"/>
      <c r="H55" s="8"/>
      <c r="I55" s="8"/>
      <c r="J55" s="8" t="s">
        <v>89</v>
      </c>
      <c r="K55" s="8" t="s">
        <v>90</v>
      </c>
      <c r="L55" s="2" t="str">
        <f>IF(A55="","",IF(COUNTIFS($A$8:$A$507,A55)&lt;&gt;1,"Duplicate ID",IF(COUNTIFS(Data!$A$2:$A$501,A55)&lt;&gt;1,"Not current","Current")))</f>
        <v>Current</v>
      </c>
    </row>
    <row r="56" spans="1:12" ht="32" customHeight="1">
      <c r="A56" s="2" t="s">
        <v>138</v>
      </c>
      <c r="B56" s="10" t="str">
        <f>IF(A56="","",IF(COUNTIFS(Data!$A$2:$A$501,A56)=1,INDEX(Data!$B$2:$B$501,MATCH(A56,Data!$A$2:$A$501,0)),"Not in current directory"))</f>
        <v>D. Newlin Fell School</v>
      </c>
      <c r="C56" s="8" t="s">
        <v>88</v>
      </c>
      <c r="D56" s="8"/>
      <c r="E56" s="9"/>
      <c r="F56" s="8"/>
      <c r="G56" s="9"/>
      <c r="H56" s="8"/>
      <c r="I56" s="8"/>
      <c r="J56" s="8" t="s">
        <v>89</v>
      </c>
      <c r="K56" s="8" t="s">
        <v>90</v>
      </c>
      <c r="L56" s="2" t="str">
        <f>IF(A56="","",IF(COUNTIFS($A$8:$A$507,A56)&lt;&gt;1,"Duplicate ID",IF(COUNTIFS(Data!$A$2:$A$501,A56)&lt;&gt;1,"Not current","Current")))</f>
        <v>Current</v>
      </c>
    </row>
    <row r="57" spans="1:12" ht="32" customHeight="1">
      <c r="A57" s="2" t="s">
        <v>139</v>
      </c>
      <c r="B57" s="10" t="str">
        <f>IF(A57="","",IF(COUNTIFS(Data!$A$2:$A$501,A57)=1,INDEX(Data!$B$2:$B$501,MATCH(A57,Data!$A$2:$A$501,0)),"Not in current directory"))</f>
        <v>Deep Roots Charter School</v>
      </c>
      <c r="C57" s="8" t="s">
        <v>88</v>
      </c>
      <c r="D57" s="8"/>
      <c r="E57" s="9"/>
      <c r="F57" s="8"/>
      <c r="G57" s="9"/>
      <c r="H57" s="8"/>
      <c r="I57" s="8"/>
      <c r="J57" s="8" t="s">
        <v>89</v>
      </c>
      <c r="K57" s="8" t="s">
        <v>90</v>
      </c>
      <c r="L57" s="2" t="str">
        <f>IF(A57="","",IF(COUNTIFS($A$8:$A$507,A57)&lt;&gt;1,"Duplicate ID",IF(COUNTIFS(Data!$A$2:$A$501,A57)&lt;&gt;1,"Not current","Current")))</f>
        <v>Current</v>
      </c>
    </row>
    <row r="58" spans="1:12" ht="32" customHeight="1">
      <c r="A58" s="2" t="s">
        <v>140</v>
      </c>
      <c r="B58" s="10" t="str">
        <f>IF(A58="","",IF(COUNTIFS(Data!$A$2:$A$501,A58)=1,INDEX(Data!$B$2:$B$501,MATCH(A58,Data!$A$2:$A$501,0)),"Not in current directory"))</f>
        <v>Delaplaine McDaniel School</v>
      </c>
      <c r="C58" s="8" t="s">
        <v>88</v>
      </c>
      <c r="D58" s="8"/>
      <c r="E58" s="9"/>
      <c r="F58" s="8"/>
      <c r="G58" s="9"/>
      <c r="H58" s="8"/>
      <c r="I58" s="8"/>
      <c r="J58" s="8" t="s">
        <v>89</v>
      </c>
      <c r="K58" s="8" t="s">
        <v>90</v>
      </c>
      <c r="L58" s="2" t="str">
        <f>IF(A58="","",IF(COUNTIFS($A$8:$A$507,A58)&lt;&gt;1,"Duplicate ID",IF(COUNTIFS(Data!$A$2:$A$501,A58)&lt;&gt;1,"Not current","Current")))</f>
        <v>Current</v>
      </c>
    </row>
    <row r="59" spans="1:12" ht="32" customHeight="1">
      <c r="A59" s="2" t="s">
        <v>141</v>
      </c>
      <c r="B59" s="10" t="str">
        <f>IF(A59="","",IF(COUNTIFS(Data!$A$2:$A$501,A59)=1,INDEX(Data!$B$2:$B$501,MATCH(A59,Data!$A$2:$A$501,0)),"Not in current directory"))</f>
        <v>Dr. Ethel Allen School</v>
      </c>
      <c r="C59" s="8" t="s">
        <v>88</v>
      </c>
      <c r="D59" s="8"/>
      <c r="E59" s="9"/>
      <c r="F59" s="8"/>
      <c r="G59" s="9"/>
      <c r="H59" s="8"/>
      <c r="I59" s="8"/>
      <c r="J59" s="8" t="s">
        <v>89</v>
      </c>
      <c r="K59" s="8" t="s">
        <v>90</v>
      </c>
      <c r="L59" s="2" t="str">
        <f>IF(A59="","",IF(COUNTIFS($A$8:$A$507,A59)&lt;&gt;1,"Duplicate ID",IF(COUNTIFS(Data!$A$2:$A$501,A59)&lt;&gt;1,"Not current","Current")))</f>
        <v>Current</v>
      </c>
    </row>
    <row r="60" spans="1:12" ht="32" customHeight="1">
      <c r="A60" s="2" t="s">
        <v>142</v>
      </c>
      <c r="B60" s="10" t="str">
        <f>IF(A60="","",IF(COUNTIFS(Data!$A$2:$A$501,A60)=1,INDEX(Data!$B$2:$B$501,MATCH(A60,Data!$A$2:$A$501,0)),"Not in current directory"))</f>
        <v>E. Washington Rhodes School</v>
      </c>
      <c r="C60" s="8" t="s">
        <v>88</v>
      </c>
      <c r="D60" s="8"/>
      <c r="E60" s="9"/>
      <c r="F60" s="8"/>
      <c r="G60" s="9"/>
      <c r="H60" s="8"/>
      <c r="I60" s="8"/>
      <c r="J60" s="8" t="s">
        <v>89</v>
      </c>
      <c r="K60" s="8" t="s">
        <v>90</v>
      </c>
      <c r="L60" s="2" t="str">
        <f>IF(A60="","",IF(COUNTIFS($A$8:$A$507,A60)&lt;&gt;1,"Duplicate ID",IF(COUNTIFS(Data!$A$2:$A$501,A60)&lt;&gt;1,"Not current","Current")))</f>
        <v>Current</v>
      </c>
    </row>
    <row r="61" spans="1:12" ht="32" customHeight="1">
      <c r="A61" s="2" t="s">
        <v>143</v>
      </c>
      <c r="B61" s="10" t="str">
        <f>IF(A61="","",IF(COUNTIFS(Data!$A$2:$A$501,A61)=1,INDEX(Data!$B$2:$B$501,MATCH(A61,Data!$A$2:$A$501,0)),"Not in current directory"))</f>
        <v>Early College Charter School of Philadelphia</v>
      </c>
      <c r="C61" s="8" t="s">
        <v>88</v>
      </c>
      <c r="D61" s="8"/>
      <c r="E61" s="9"/>
      <c r="F61" s="8"/>
      <c r="G61" s="9"/>
      <c r="H61" s="8"/>
      <c r="I61" s="8"/>
      <c r="J61" s="8" t="s">
        <v>89</v>
      </c>
      <c r="K61" s="8" t="s">
        <v>90</v>
      </c>
      <c r="L61" s="2" t="str">
        <f>IF(A61="","",IF(COUNTIFS($A$8:$A$507,A61)&lt;&gt;1,"Duplicate ID",IF(COUNTIFS(Data!$A$2:$A$501,A61)&lt;&gt;1,"Not current","Current")))</f>
        <v>Current</v>
      </c>
    </row>
    <row r="62" spans="1:12" ht="32" customHeight="1">
      <c r="A62" s="2" t="s">
        <v>144</v>
      </c>
      <c r="B62" s="10" t="str">
        <f>IF(A62="","",IF(COUNTIFS(Data!$A$2:$A$501,A62)=1,INDEX(Data!$B$2:$B$501,MATCH(A62,Data!$A$2:$A$501,0)),"Not in current directory"))</f>
        <v>Edward Gideon School</v>
      </c>
      <c r="C62" s="8" t="s">
        <v>88</v>
      </c>
      <c r="D62" s="8"/>
      <c r="E62" s="9"/>
      <c r="F62" s="8"/>
      <c r="G62" s="9"/>
      <c r="H62" s="8"/>
      <c r="I62" s="8"/>
      <c r="J62" s="8" t="s">
        <v>89</v>
      </c>
      <c r="K62" s="8" t="s">
        <v>90</v>
      </c>
      <c r="L62" s="2" t="str">
        <f>IF(A62="","",IF(COUNTIFS($A$8:$A$507,A62)&lt;&gt;1,"Duplicate ID",IF(COUNTIFS(Data!$A$2:$A$501,A62)&lt;&gt;1,"Not current","Current")))</f>
        <v>Current</v>
      </c>
    </row>
    <row r="63" spans="1:12" ht="32" customHeight="1">
      <c r="A63" s="2" t="s">
        <v>145</v>
      </c>
      <c r="B63" s="10" t="str">
        <f>IF(A63="","",IF(COUNTIFS(Data!$A$2:$A$501,A63)=1,INDEX(Data!$B$2:$B$501,MATCH(A63,Data!$A$2:$A$501,0)),"Not in current directory"))</f>
        <v>Edward Heston School</v>
      </c>
      <c r="C63" s="8" t="s">
        <v>88</v>
      </c>
      <c r="D63" s="8"/>
      <c r="E63" s="9"/>
      <c r="F63" s="8"/>
      <c r="G63" s="9"/>
      <c r="H63" s="8"/>
      <c r="I63" s="8"/>
      <c r="J63" s="8" t="s">
        <v>89</v>
      </c>
      <c r="K63" s="8" t="s">
        <v>90</v>
      </c>
      <c r="L63" s="2" t="str">
        <f>IF(A63="","",IF(COUNTIFS($A$8:$A$507,A63)&lt;&gt;1,"Duplicate ID",IF(COUNTIFS(Data!$A$2:$A$501,A63)&lt;&gt;1,"Not current","Current")))</f>
        <v>Current</v>
      </c>
    </row>
    <row r="64" spans="1:12" ht="32" customHeight="1">
      <c r="A64" s="2" t="s">
        <v>146</v>
      </c>
      <c r="B64" s="10" t="str">
        <f>IF(A64="","",IF(COUNTIFS(Data!$A$2:$A$501,A64)=1,INDEX(Data!$B$2:$B$501,MATCH(A64,Data!$A$2:$A$501,0)),"Not in current directory"))</f>
        <v>Edward T. Steel School</v>
      </c>
      <c r="C64" s="8" t="s">
        <v>88</v>
      </c>
      <c r="D64" s="8"/>
      <c r="E64" s="9"/>
      <c r="F64" s="8"/>
      <c r="G64" s="9"/>
      <c r="H64" s="8"/>
      <c r="I64" s="8"/>
      <c r="J64" s="8" t="s">
        <v>89</v>
      </c>
      <c r="K64" s="8" t="s">
        <v>90</v>
      </c>
      <c r="L64" s="2" t="str">
        <f>IF(A64="","",IF(COUNTIFS($A$8:$A$507,A64)&lt;&gt;1,"Duplicate ID",IF(COUNTIFS(Data!$A$2:$A$501,A64)&lt;&gt;1,"Not current","Current")))</f>
        <v>Current</v>
      </c>
    </row>
    <row r="65" spans="1:12" ht="32" customHeight="1">
      <c r="A65" s="2" t="s">
        <v>147</v>
      </c>
      <c r="B65" s="10" t="str">
        <f>IF(A65="","",IF(COUNTIFS(Data!$A$2:$A$501,A65)=1,INDEX(Data!$B$2:$B$501,MATCH(A65,Data!$A$2:$A$501,0)),"Not in current directory"))</f>
        <v>Edwin Forrest School</v>
      </c>
      <c r="C65" s="8" t="s">
        <v>88</v>
      </c>
      <c r="D65" s="8"/>
      <c r="E65" s="9"/>
      <c r="F65" s="8"/>
      <c r="G65" s="9"/>
      <c r="H65" s="8"/>
      <c r="I65" s="8"/>
      <c r="J65" s="8" t="s">
        <v>89</v>
      </c>
      <c r="K65" s="8" t="s">
        <v>90</v>
      </c>
      <c r="L65" s="2" t="str">
        <f>IF(A65="","",IF(COUNTIFS($A$8:$A$507,A65)&lt;&gt;1,"Duplicate ID",IF(COUNTIFS(Data!$A$2:$A$501,A65)&lt;&gt;1,"Not current","Current")))</f>
        <v>Current</v>
      </c>
    </row>
    <row r="66" spans="1:12" ht="32" customHeight="1">
      <c r="A66" s="2" t="s">
        <v>148</v>
      </c>
      <c r="B66" s="10" t="str">
        <f>IF(A66="","",IF(COUNTIFS(Data!$A$2:$A$501,A66)=1,INDEX(Data!$B$2:$B$501,MATCH(A66,Data!$A$2:$A$501,0)),"Not in current directory"))</f>
        <v>Edwin M. Stanton School</v>
      </c>
      <c r="C66" s="8" t="s">
        <v>88</v>
      </c>
      <c r="D66" s="8"/>
      <c r="E66" s="9"/>
      <c r="F66" s="8"/>
      <c r="G66" s="9"/>
      <c r="H66" s="8"/>
      <c r="I66" s="8"/>
      <c r="J66" s="8" t="s">
        <v>89</v>
      </c>
      <c r="K66" s="8" t="s">
        <v>90</v>
      </c>
      <c r="L66" s="2" t="str">
        <f>IF(A66="","",IF(COUNTIFS($A$8:$A$507,A66)&lt;&gt;1,"Duplicate ID",IF(COUNTIFS(Data!$A$2:$A$501,A66)&lt;&gt;1,"Not current","Current")))</f>
        <v>Current</v>
      </c>
    </row>
    <row r="67" spans="1:12" ht="32" customHeight="1">
      <c r="A67" s="2" t="s">
        <v>149</v>
      </c>
      <c r="B67" s="10" t="str">
        <f>IF(A67="","",IF(COUNTIFS(Data!$A$2:$A$501,A67)=1,INDEX(Data!$B$2:$B$501,MATCH(A67,Data!$A$2:$A$501,0)),"Not in current directory"))</f>
        <v>El Centro de Estudiantes</v>
      </c>
      <c r="C67" s="8" t="s">
        <v>88</v>
      </c>
      <c r="D67" s="8"/>
      <c r="E67" s="9"/>
      <c r="F67" s="8"/>
      <c r="G67" s="9"/>
      <c r="H67" s="8"/>
      <c r="I67" s="8"/>
      <c r="J67" s="8" t="s">
        <v>89</v>
      </c>
      <c r="K67" s="8" t="s">
        <v>90</v>
      </c>
      <c r="L67" s="2" t="str">
        <f>IF(A67="","",IF(COUNTIFS($A$8:$A$507,A67)&lt;&gt;1,"Duplicate ID",IF(COUNTIFS(Data!$A$2:$A$501,A67)&lt;&gt;1,"Not current","Current")))</f>
        <v>Current</v>
      </c>
    </row>
    <row r="68" spans="1:12" ht="32" customHeight="1">
      <c r="A68" s="2" t="s">
        <v>150</v>
      </c>
      <c r="B68" s="10" t="str">
        <f>IF(A68="","",IF(COUNTIFS(Data!$A$2:$A$501,A68)=1,INDEX(Data!$B$2:$B$501,MATCH(A68,Data!$A$2:$A$501,0)),"Not in current directory"))</f>
        <v>Eleanor C. Emlen School</v>
      </c>
      <c r="C68" s="8" t="s">
        <v>88</v>
      </c>
      <c r="D68" s="8"/>
      <c r="E68" s="9"/>
      <c r="F68" s="8"/>
      <c r="G68" s="9"/>
      <c r="H68" s="8"/>
      <c r="I68" s="8"/>
      <c r="J68" s="8" t="s">
        <v>89</v>
      </c>
      <c r="K68" s="8" t="s">
        <v>90</v>
      </c>
      <c r="L68" s="2" t="str">
        <f>IF(A68="","",IF(COUNTIFS($A$8:$A$507,A68)&lt;&gt;1,"Duplicate ID",IF(COUNTIFS(Data!$A$2:$A$501,A68)&lt;&gt;1,"Not current","Current")))</f>
        <v>Current</v>
      </c>
    </row>
    <row r="69" spans="1:12" ht="32" customHeight="1">
      <c r="A69" s="2" t="s">
        <v>151</v>
      </c>
      <c r="B69" s="10" t="str">
        <f>IF(A69="","",IF(COUNTIFS(Data!$A$2:$A$501,A69)=1,INDEX(Data!$B$2:$B$501,MATCH(A69,Data!$A$2:$A$501,0)),"Not in current directory"))</f>
        <v>Eliza B. Kirkbride School</v>
      </c>
      <c r="C69" s="8" t="s">
        <v>88</v>
      </c>
      <c r="D69" s="8"/>
      <c r="E69" s="9"/>
      <c r="F69" s="8"/>
      <c r="G69" s="9"/>
      <c r="H69" s="8"/>
      <c r="I69" s="8"/>
      <c r="J69" s="8" t="s">
        <v>89</v>
      </c>
      <c r="K69" s="8" t="s">
        <v>90</v>
      </c>
      <c r="L69" s="2" t="str">
        <f>IF(A69="","",IF(COUNTIFS($A$8:$A$507,A69)&lt;&gt;1,"Duplicate ID",IF(COUNTIFS(Data!$A$2:$A$501,A69)&lt;&gt;1,"Not current","Current")))</f>
        <v>Current</v>
      </c>
    </row>
    <row r="70" spans="1:12" ht="32" customHeight="1">
      <c r="A70" s="2" t="s">
        <v>152</v>
      </c>
      <c r="B70" s="10" t="str">
        <f>IF(A70="","",IF(COUNTIFS(Data!$A$2:$A$501,A70)=1,INDEX(Data!$B$2:$B$501,MATCH(A70,Data!$A$2:$A$501,0)),"Not in current directory"))</f>
        <v>Ellwood School</v>
      </c>
      <c r="C70" s="8" t="s">
        <v>88</v>
      </c>
      <c r="D70" s="8"/>
      <c r="E70" s="9"/>
      <c r="F70" s="8"/>
      <c r="G70" s="9"/>
      <c r="H70" s="8"/>
      <c r="I70" s="8"/>
      <c r="J70" s="8" t="s">
        <v>89</v>
      </c>
      <c r="K70" s="8" t="s">
        <v>90</v>
      </c>
      <c r="L70" s="2" t="str">
        <f>IF(A70="","",IF(COUNTIFS($A$8:$A$507,A70)&lt;&gt;1,"Duplicate ID",IF(COUNTIFS(Data!$A$2:$A$501,A70)&lt;&gt;1,"Not current","Current")))</f>
        <v>Current</v>
      </c>
    </row>
    <row r="71" spans="1:12" ht="32" customHeight="1">
      <c r="A71" s="2" t="s">
        <v>153</v>
      </c>
      <c r="B71" s="10" t="str">
        <f>IF(A71="","",IF(COUNTIFS(Data!$A$2:$A$501,A71)=1,INDEX(Data!$B$2:$B$501,MATCH(A71,Data!$A$2:$A$501,0)),"Not in current directory"))</f>
        <v>Esperanza Academy Charter School</v>
      </c>
      <c r="C71" s="8" t="s">
        <v>88</v>
      </c>
      <c r="D71" s="8"/>
      <c r="E71" s="9"/>
      <c r="F71" s="8"/>
      <c r="G71" s="9"/>
      <c r="H71" s="8"/>
      <c r="I71" s="8"/>
      <c r="J71" s="8" t="s">
        <v>89</v>
      </c>
      <c r="K71" s="8" t="s">
        <v>90</v>
      </c>
      <c r="L71" s="2" t="str">
        <f>IF(A71="","",IF(COUNTIFS($A$8:$A$507,A71)&lt;&gt;1,"Duplicate ID",IF(COUNTIFS(Data!$A$2:$A$501,A71)&lt;&gt;1,"Not current","Current")))</f>
        <v>Current</v>
      </c>
    </row>
    <row r="72" spans="1:12" ht="32" customHeight="1">
      <c r="A72" s="2" t="s">
        <v>154</v>
      </c>
      <c r="B72" s="10" t="str">
        <f>IF(A72="","",IF(COUNTIFS(Data!$A$2:$A$501,A72)=1,INDEX(Data!$B$2:$B$501,MATCH(A72,Data!$A$2:$A$501,0)),"Not in current directory"))</f>
        <v>Ethan Allen School</v>
      </c>
      <c r="C72" s="8" t="s">
        <v>88</v>
      </c>
      <c r="D72" s="8"/>
      <c r="E72" s="9"/>
      <c r="F72" s="8"/>
      <c r="G72" s="9"/>
      <c r="H72" s="8"/>
      <c r="I72" s="8"/>
      <c r="J72" s="8" t="s">
        <v>89</v>
      </c>
      <c r="K72" s="8" t="s">
        <v>90</v>
      </c>
      <c r="L72" s="2" t="str">
        <f>IF(A72="","",IF(COUNTIFS($A$8:$A$507,A72)&lt;&gt;1,"Duplicate ID",IF(COUNTIFS(Data!$A$2:$A$501,A72)&lt;&gt;1,"Not current","Current")))</f>
        <v>Current</v>
      </c>
    </row>
    <row r="73" spans="1:12" ht="32" customHeight="1">
      <c r="A73" s="2" t="s">
        <v>155</v>
      </c>
      <c r="B73" s="10" t="str">
        <f>IF(A73="","",IF(COUNTIFS(Data!$A$2:$A$501,A73)=1,INDEX(Data!$B$2:$B$501,MATCH(A73,Data!$A$2:$A$501,0)),"Not in current directory"))</f>
        <v>Eugenio Maria De Hostos Charter School</v>
      </c>
      <c r="C73" s="8" t="s">
        <v>88</v>
      </c>
      <c r="D73" s="8"/>
      <c r="E73" s="9"/>
      <c r="F73" s="8"/>
      <c r="G73" s="9"/>
      <c r="H73" s="8"/>
      <c r="I73" s="8"/>
      <c r="J73" s="8" t="s">
        <v>89</v>
      </c>
      <c r="K73" s="8" t="s">
        <v>90</v>
      </c>
      <c r="L73" s="2" t="str">
        <f>IF(A73="","",IF(COUNTIFS($A$8:$A$507,A73)&lt;&gt;1,"Duplicate ID",IF(COUNTIFS(Data!$A$2:$A$501,A73)&lt;&gt;1,"Not current","Current")))</f>
        <v>Current</v>
      </c>
    </row>
    <row r="74" spans="1:12" ht="32" customHeight="1">
      <c r="A74" s="2" t="s">
        <v>156</v>
      </c>
      <c r="B74" s="10" t="str">
        <f>IF(A74="","",IF(COUNTIFS(Data!$A$2:$A$501,A74)=1,INDEX(Data!$B$2:$B$501,MATCH(A74,Data!$A$2:$A$501,0)),"Not in current directory"))</f>
        <v>Excel Academy Central</v>
      </c>
      <c r="C74" s="8" t="s">
        <v>88</v>
      </c>
      <c r="D74" s="8"/>
      <c r="E74" s="9"/>
      <c r="F74" s="8"/>
      <c r="G74" s="9"/>
      <c r="H74" s="8"/>
      <c r="I74" s="8"/>
      <c r="J74" s="8" t="s">
        <v>89</v>
      </c>
      <c r="K74" s="8" t="s">
        <v>90</v>
      </c>
      <c r="L74" s="2" t="str">
        <f>IF(A74="","",IF(COUNTIFS($A$8:$A$507,A74)&lt;&gt;1,"Duplicate ID",IF(COUNTIFS(Data!$A$2:$A$501,A74)&lt;&gt;1,"Not current","Current")))</f>
        <v>Current</v>
      </c>
    </row>
    <row r="75" spans="1:12" ht="32" customHeight="1">
      <c r="A75" s="2" t="s">
        <v>157</v>
      </c>
      <c r="B75" s="10" t="str">
        <f>IF(A75="","",IF(COUNTIFS(Data!$A$2:$A$501,A75)=1,INDEX(Data!$B$2:$B$501,MATCH(A75,Data!$A$2:$A$501,0)),"Not in current directory"))</f>
        <v>Excel Academy North</v>
      </c>
      <c r="C75" s="8" t="s">
        <v>88</v>
      </c>
      <c r="D75" s="8"/>
      <c r="E75" s="9"/>
      <c r="F75" s="8"/>
      <c r="G75" s="9"/>
      <c r="H75" s="8"/>
      <c r="I75" s="8"/>
      <c r="J75" s="8" t="s">
        <v>89</v>
      </c>
      <c r="K75" s="8" t="s">
        <v>90</v>
      </c>
      <c r="L75" s="2" t="str">
        <f>IF(A75="","",IF(COUNTIFS($A$8:$A$507,A75)&lt;&gt;1,"Duplicate ID",IF(COUNTIFS(Data!$A$2:$A$501,A75)&lt;&gt;1,"Not current","Current")))</f>
        <v>Current</v>
      </c>
    </row>
    <row r="76" spans="1:12" ht="32" customHeight="1">
      <c r="A76" s="2" t="s">
        <v>158</v>
      </c>
      <c r="B76" s="10" t="str">
        <f>IF(A76="","",IF(COUNTIFS(Data!$A$2:$A$501,A76)=1,INDEX(Data!$B$2:$B$501,MATCH(A76,Data!$A$2:$A$501,0)),"Not in current directory"))</f>
        <v>Excel Academy South</v>
      </c>
      <c r="C76" s="8" t="s">
        <v>88</v>
      </c>
      <c r="D76" s="8"/>
      <c r="E76" s="9"/>
      <c r="F76" s="8"/>
      <c r="G76" s="9"/>
      <c r="H76" s="8"/>
      <c r="I76" s="8"/>
      <c r="J76" s="8" t="s">
        <v>89</v>
      </c>
      <c r="K76" s="8" t="s">
        <v>90</v>
      </c>
      <c r="L76" s="2" t="str">
        <f>IF(A76="","",IF(COUNTIFS($A$8:$A$507,A76)&lt;&gt;1,"Duplicate ID",IF(COUNTIFS(Data!$A$2:$A$501,A76)&lt;&gt;1,"Not current","Current")))</f>
        <v>Current</v>
      </c>
    </row>
    <row r="77" spans="1:12" ht="32" customHeight="1">
      <c r="A77" s="2" t="s">
        <v>159</v>
      </c>
      <c r="B77" s="10" t="str">
        <f>IF(A77="","",IF(COUNTIFS(Data!$A$2:$A$501,A77)=1,INDEX(Data!$B$2:$B$501,MATCH(A77,Data!$A$2:$A$501,0)),"Not in current directory"))</f>
        <v>Excel Middle Years Academy</v>
      </c>
      <c r="C77" s="8" t="s">
        <v>88</v>
      </c>
      <c r="D77" s="8"/>
      <c r="E77" s="9"/>
      <c r="F77" s="8"/>
      <c r="G77" s="9"/>
      <c r="H77" s="8"/>
      <c r="I77" s="8"/>
      <c r="J77" s="8" t="s">
        <v>89</v>
      </c>
      <c r="K77" s="8" t="s">
        <v>90</v>
      </c>
      <c r="L77" s="2" t="str">
        <f>IF(A77="","",IF(COUNTIFS($A$8:$A$507,A77)&lt;&gt;1,"Duplicate ID",IF(COUNTIFS(Data!$A$2:$A$501,A77)&lt;&gt;1,"Not current","Current")))</f>
        <v>Current</v>
      </c>
    </row>
    <row r="78" spans="1:12" ht="32" customHeight="1">
      <c r="A78" s="2" t="s">
        <v>160</v>
      </c>
      <c r="B78" s="10" t="str">
        <f>IF(A78="","",IF(COUNTIFS(Data!$A$2:$A$501,A78)=1,INDEX(Data!$B$2:$B$501,MATCH(A78,Data!$A$2:$A$501,0)),"Not in current directory"))</f>
        <v>F. Amedee Bregy School</v>
      </c>
      <c r="C78" s="8" t="s">
        <v>88</v>
      </c>
      <c r="D78" s="8"/>
      <c r="E78" s="9"/>
      <c r="F78" s="8"/>
      <c r="G78" s="9"/>
      <c r="H78" s="8"/>
      <c r="I78" s="8"/>
      <c r="J78" s="8" t="s">
        <v>89</v>
      </c>
      <c r="K78" s="8" t="s">
        <v>90</v>
      </c>
      <c r="L78" s="2" t="str">
        <f>IF(A78="","",IF(COUNTIFS($A$8:$A$507,A78)&lt;&gt;1,"Duplicate ID",IF(COUNTIFS(Data!$A$2:$A$501,A78)&lt;&gt;1,"Not current","Current")))</f>
        <v>Current</v>
      </c>
    </row>
    <row r="79" spans="1:12" ht="32" customHeight="1">
      <c r="A79" s="2" t="s">
        <v>161</v>
      </c>
      <c r="B79" s="10" t="str">
        <f>IF(A79="","",IF(COUNTIFS(Data!$A$2:$A$501,A79)=1,INDEX(Data!$B$2:$B$501,MATCH(A79,Data!$A$2:$A$501,0)),"Not in current directory"))</f>
        <v>Fanny Jackson Coppin School</v>
      </c>
      <c r="C79" s="8" t="s">
        <v>88</v>
      </c>
      <c r="D79" s="8"/>
      <c r="E79" s="9"/>
      <c r="F79" s="8"/>
      <c r="G79" s="9"/>
      <c r="H79" s="8"/>
      <c r="I79" s="8"/>
      <c r="J79" s="8" t="s">
        <v>89</v>
      </c>
      <c r="K79" s="8" t="s">
        <v>90</v>
      </c>
      <c r="L79" s="2" t="str">
        <f>IF(A79="","",IF(COUNTIFS($A$8:$A$507,A79)&lt;&gt;1,"Duplicate ID",IF(COUNTIFS(Data!$A$2:$A$501,A79)&lt;&gt;1,"Not current","Current")))</f>
        <v>Current</v>
      </c>
    </row>
    <row r="80" spans="1:12" ht="32" customHeight="1">
      <c r="A80" s="2" t="s">
        <v>162</v>
      </c>
      <c r="B80" s="10" t="str">
        <f>IF(A80="","",IF(COUNTIFS(Data!$A$2:$A$501,A80)=1,INDEX(Data!$B$2:$B$501,MATCH(A80,Data!$A$2:$A$501,0)),"Not in current directory"))</f>
        <v>Feltonville Intermediate School</v>
      </c>
      <c r="C80" s="8" t="s">
        <v>88</v>
      </c>
      <c r="D80" s="8"/>
      <c r="E80" s="9"/>
      <c r="F80" s="8"/>
      <c r="G80" s="9"/>
      <c r="H80" s="8"/>
      <c r="I80" s="8"/>
      <c r="J80" s="8" t="s">
        <v>89</v>
      </c>
      <c r="K80" s="8" t="s">
        <v>90</v>
      </c>
      <c r="L80" s="2" t="str">
        <f>IF(A80="","",IF(COUNTIFS($A$8:$A$507,A80)&lt;&gt;1,"Duplicate ID",IF(COUNTIFS(Data!$A$2:$A$501,A80)&lt;&gt;1,"Not current","Current")))</f>
        <v>Current</v>
      </c>
    </row>
    <row r="81" spans="1:12" ht="32" customHeight="1">
      <c r="A81" s="2" t="s">
        <v>163</v>
      </c>
      <c r="B81" s="10" t="str">
        <f>IF(A81="","",IF(COUNTIFS(Data!$A$2:$A$501,A81)=1,INDEX(Data!$B$2:$B$501,MATCH(A81,Data!$A$2:$A$501,0)),"Not in current directory"))</f>
        <v>Feltonville School of Arts and Sciences</v>
      </c>
      <c r="C81" s="8" t="s">
        <v>88</v>
      </c>
      <c r="D81" s="8"/>
      <c r="E81" s="9"/>
      <c r="F81" s="8"/>
      <c r="G81" s="9"/>
      <c r="H81" s="8"/>
      <c r="I81" s="8"/>
      <c r="J81" s="8" t="s">
        <v>89</v>
      </c>
      <c r="K81" s="8" t="s">
        <v>90</v>
      </c>
      <c r="L81" s="2" t="str">
        <f>IF(A81="","",IF(COUNTIFS($A$8:$A$507,A81)&lt;&gt;1,"Duplicate ID",IF(COUNTIFS(Data!$A$2:$A$501,A81)&lt;&gt;1,"Not current","Current")))</f>
        <v>Current</v>
      </c>
    </row>
    <row r="82" spans="1:12" ht="32" customHeight="1">
      <c r="A82" s="2" t="s">
        <v>164</v>
      </c>
      <c r="B82" s="10" t="str">
        <f>IF(A82="","",IF(COUNTIFS(Data!$A$2:$A$501,A82)=1,INDEX(Data!$B$2:$B$501,MATCH(A82,Data!$A$2:$A$501,0)),"Not in current directory"))</f>
        <v>First Philadelphia Preparatory Charter School</v>
      </c>
      <c r="C82" s="8" t="s">
        <v>88</v>
      </c>
      <c r="D82" s="8"/>
      <c r="E82" s="9"/>
      <c r="F82" s="8"/>
      <c r="G82" s="9"/>
      <c r="H82" s="8"/>
      <c r="I82" s="8"/>
      <c r="J82" s="8" t="s">
        <v>89</v>
      </c>
      <c r="K82" s="8" t="s">
        <v>90</v>
      </c>
      <c r="L82" s="2" t="str">
        <f>IF(A82="","",IF(COUNTIFS($A$8:$A$507,A82)&lt;&gt;1,"Duplicate ID",IF(COUNTIFS(Data!$A$2:$A$501,A82)&lt;&gt;1,"Not current","Current")))</f>
        <v>Current</v>
      </c>
    </row>
    <row r="83" spans="1:12" ht="32" customHeight="1">
      <c r="A83" s="2" t="s">
        <v>165</v>
      </c>
      <c r="B83" s="10" t="str">
        <f>IF(A83="","",IF(COUNTIFS(Data!$A$2:$A$501,A83)=1,INDEX(Data!$B$2:$B$501,MATCH(A83,Data!$A$2:$A$501,0)),"Not in current directory"))</f>
        <v>Fitler Academics Plus School</v>
      </c>
      <c r="C83" s="8" t="s">
        <v>88</v>
      </c>
      <c r="D83" s="8"/>
      <c r="E83" s="9"/>
      <c r="F83" s="8"/>
      <c r="G83" s="9"/>
      <c r="H83" s="8"/>
      <c r="I83" s="8"/>
      <c r="J83" s="8" t="s">
        <v>89</v>
      </c>
      <c r="K83" s="8" t="s">
        <v>90</v>
      </c>
      <c r="L83" s="2" t="str">
        <f>IF(A83="","",IF(COUNTIFS($A$8:$A$507,A83)&lt;&gt;1,"Duplicate ID",IF(COUNTIFS(Data!$A$2:$A$501,A83)&lt;&gt;1,"Not current","Current")))</f>
        <v>Current</v>
      </c>
    </row>
    <row r="84" spans="1:12" ht="32" customHeight="1">
      <c r="A84" s="2" t="s">
        <v>166</v>
      </c>
      <c r="B84" s="10" t="str">
        <f>IF(A84="","",IF(COUNTIFS(Data!$A$2:$A$501,A84)=1,INDEX(Data!$B$2:$B$501,MATCH(A84,Data!$A$2:$A$501,0)),"Not in current directory"))</f>
        <v>Folk Arts-Cultural Treasures Charter School</v>
      </c>
      <c r="C84" s="8" t="s">
        <v>88</v>
      </c>
      <c r="D84" s="8"/>
      <c r="E84" s="9"/>
      <c r="F84" s="8"/>
      <c r="G84" s="9"/>
      <c r="H84" s="8"/>
      <c r="I84" s="8"/>
      <c r="J84" s="8" t="s">
        <v>89</v>
      </c>
      <c r="K84" s="8" t="s">
        <v>90</v>
      </c>
      <c r="L84" s="2" t="str">
        <f>IF(A84="","",IF(COUNTIFS($A$8:$A$507,A84)&lt;&gt;1,"Duplicate ID",IF(COUNTIFS(Data!$A$2:$A$501,A84)&lt;&gt;1,"Not current","Current")))</f>
        <v>Current</v>
      </c>
    </row>
    <row r="85" spans="1:12" ht="32" customHeight="1">
      <c r="A85" s="2" t="s">
        <v>167</v>
      </c>
      <c r="B85" s="10" t="str">
        <f>IF(A85="","",IF(COUNTIFS(Data!$A$2:$A$501,A85)=1,INDEX(Data!$B$2:$B$501,MATCH(A85,Data!$A$2:$A$501,0)),"Not in current directory"))</f>
        <v>Fox Chase School</v>
      </c>
      <c r="C85" s="8" t="s">
        <v>88</v>
      </c>
      <c r="D85" s="8"/>
      <c r="E85" s="9"/>
      <c r="F85" s="8"/>
      <c r="G85" s="9"/>
      <c r="H85" s="8"/>
      <c r="I85" s="8"/>
      <c r="J85" s="8" t="s">
        <v>89</v>
      </c>
      <c r="K85" s="8" t="s">
        <v>90</v>
      </c>
      <c r="L85" s="2" t="str">
        <f>IF(A85="","",IF(COUNTIFS($A$8:$A$507,A85)&lt;&gt;1,"Duplicate ID",IF(COUNTIFS(Data!$A$2:$A$501,A85)&lt;&gt;1,"Not current","Current")))</f>
        <v>Current</v>
      </c>
    </row>
    <row r="86" spans="1:12" ht="32" customHeight="1">
      <c r="A86" s="2" t="s">
        <v>168</v>
      </c>
      <c r="B86" s="10" t="str">
        <f>IF(A86="","",IF(COUNTIFS(Data!$A$2:$A$501,A86)=1,INDEX(Data!$B$2:$B$501,MATCH(A86,Data!$A$2:$A$501,0)),"Not in current directory"))</f>
        <v>Frances E. Willard School</v>
      </c>
      <c r="C86" s="8" t="s">
        <v>88</v>
      </c>
      <c r="D86" s="8"/>
      <c r="E86" s="9"/>
      <c r="F86" s="8"/>
      <c r="G86" s="9"/>
      <c r="H86" s="8"/>
      <c r="I86" s="8"/>
      <c r="J86" s="8" t="s">
        <v>89</v>
      </c>
      <c r="K86" s="8" t="s">
        <v>90</v>
      </c>
      <c r="L86" s="2" t="str">
        <f>IF(A86="","",IF(COUNTIFS($A$8:$A$507,A86)&lt;&gt;1,"Duplicate ID",IF(COUNTIFS(Data!$A$2:$A$501,A86)&lt;&gt;1,"Not current","Current")))</f>
        <v>Current</v>
      </c>
    </row>
    <row r="87" spans="1:12" ht="32" customHeight="1">
      <c r="A87" s="2" t="s">
        <v>169</v>
      </c>
      <c r="B87" s="10" t="str">
        <f>IF(A87="","",IF(COUNTIFS(Data!$A$2:$A$501,A87)=1,INDEX(Data!$B$2:$B$501,MATCH(A87,Data!$A$2:$A$501,0)),"Not in current directory"))</f>
        <v>Francis Hopkinson School</v>
      </c>
      <c r="C87" s="8" t="s">
        <v>88</v>
      </c>
      <c r="D87" s="8"/>
      <c r="E87" s="9"/>
      <c r="F87" s="8"/>
      <c r="G87" s="9"/>
      <c r="H87" s="8"/>
      <c r="I87" s="8"/>
      <c r="J87" s="8" t="s">
        <v>89</v>
      </c>
      <c r="K87" s="8" t="s">
        <v>90</v>
      </c>
      <c r="L87" s="2" t="str">
        <f>IF(A87="","",IF(COUNTIFS($A$8:$A$507,A87)&lt;&gt;1,"Duplicate ID",IF(COUNTIFS(Data!$A$2:$A$501,A87)&lt;&gt;1,"Not current","Current")))</f>
        <v>Current</v>
      </c>
    </row>
    <row r="88" spans="1:12" ht="32" customHeight="1">
      <c r="A88" s="2" t="s">
        <v>170</v>
      </c>
      <c r="B88" s="10" t="str">
        <f>IF(A88="","",IF(COUNTIFS(Data!$A$2:$A$501,A88)=1,INDEX(Data!$B$2:$B$501,MATCH(A88,Data!$A$2:$A$501,0)),"Not in current directory"))</f>
        <v>Francis S. Key School</v>
      </c>
      <c r="C88" s="8" t="s">
        <v>88</v>
      </c>
      <c r="D88" s="8"/>
      <c r="E88" s="9"/>
      <c r="F88" s="8"/>
      <c r="G88" s="9"/>
      <c r="H88" s="8"/>
      <c r="I88" s="8"/>
      <c r="J88" s="8" t="s">
        <v>89</v>
      </c>
      <c r="K88" s="8" t="s">
        <v>90</v>
      </c>
      <c r="L88" s="2" t="str">
        <f>IF(A88="","",IF(COUNTIFS($A$8:$A$507,A88)&lt;&gt;1,"Duplicate ID",IF(COUNTIFS(Data!$A$2:$A$501,A88)&lt;&gt;1,"Not current","Current")))</f>
        <v>Current</v>
      </c>
    </row>
    <row r="89" spans="1:12" ht="32" customHeight="1">
      <c r="A89" s="2" t="s">
        <v>171</v>
      </c>
      <c r="B89" s="10" t="str">
        <f>IF(A89="","",IF(COUNTIFS(Data!$A$2:$A$501,A89)=1,INDEX(Data!$B$2:$B$501,MATCH(A89,Data!$A$2:$A$501,0)),"Not in current directory"))</f>
        <v>Frankford High School</v>
      </c>
      <c r="C89" s="8" t="s">
        <v>88</v>
      </c>
      <c r="D89" s="8"/>
      <c r="E89" s="9"/>
      <c r="F89" s="8"/>
      <c r="G89" s="9"/>
      <c r="H89" s="8"/>
      <c r="I89" s="8"/>
      <c r="J89" s="8" t="s">
        <v>89</v>
      </c>
      <c r="K89" s="8" t="s">
        <v>90</v>
      </c>
      <c r="L89" s="2" t="str">
        <f>IF(A89="","",IF(COUNTIFS($A$8:$A$507,A89)&lt;&gt;1,"Duplicate ID",IF(COUNTIFS(Data!$A$2:$A$501,A89)&lt;&gt;1,"Not current","Current")))</f>
        <v>Current</v>
      </c>
    </row>
    <row r="90" spans="1:12" ht="32" customHeight="1">
      <c r="A90" s="2" t="s">
        <v>172</v>
      </c>
      <c r="B90" s="10" t="str">
        <f>IF(A90="","",IF(COUNTIFS(Data!$A$2:$A$501,A90)=1,INDEX(Data!$B$2:$B$501,MATCH(A90,Data!$A$2:$A$501,0)),"Not in current directory"))</f>
        <v>Franklin Learning Center</v>
      </c>
      <c r="C90" s="8" t="s">
        <v>88</v>
      </c>
      <c r="D90" s="8"/>
      <c r="E90" s="9"/>
      <c r="F90" s="8"/>
      <c r="G90" s="9"/>
      <c r="H90" s="8"/>
      <c r="I90" s="8"/>
      <c r="J90" s="8" t="s">
        <v>89</v>
      </c>
      <c r="K90" s="8" t="s">
        <v>90</v>
      </c>
      <c r="L90" s="2" t="str">
        <f>IF(A90="","",IF(COUNTIFS($A$8:$A$507,A90)&lt;&gt;1,"Duplicate ID",IF(COUNTIFS(Data!$A$2:$A$501,A90)&lt;&gt;1,"Not current","Current")))</f>
        <v>Current</v>
      </c>
    </row>
    <row r="91" spans="1:12" ht="32" customHeight="1">
      <c r="A91" s="2" t="s">
        <v>173</v>
      </c>
      <c r="B91" s="10" t="str">
        <f>IF(A91="","",IF(COUNTIFS(Data!$A$2:$A$501,A91)=1,INDEX(Data!$B$2:$B$501,MATCH(A91,Data!$A$2:$A$501,0)),"Not in current directory"))</f>
        <v>Franklin S. Edmonds School</v>
      </c>
      <c r="C91" s="8" t="s">
        <v>88</v>
      </c>
      <c r="D91" s="8"/>
      <c r="E91" s="9"/>
      <c r="F91" s="8"/>
      <c r="G91" s="9"/>
      <c r="H91" s="8"/>
      <c r="I91" s="8"/>
      <c r="J91" s="8" t="s">
        <v>89</v>
      </c>
      <c r="K91" s="8" t="s">
        <v>90</v>
      </c>
      <c r="L91" s="2" t="str">
        <f>IF(A91="","",IF(COUNTIFS($A$8:$A$507,A91)&lt;&gt;1,"Duplicate ID",IF(COUNTIFS(Data!$A$2:$A$501,A91)&lt;&gt;1,"Not current","Current")))</f>
        <v>Current</v>
      </c>
    </row>
    <row r="92" spans="1:12" ht="32" customHeight="1">
      <c r="A92" s="2" t="s">
        <v>174</v>
      </c>
      <c r="B92" s="10" t="str">
        <f>IF(A92="","",IF(COUNTIFS(Data!$A$2:$A$501,A92)=1,INDEX(Data!$B$2:$B$501,MATCH(A92,Data!$A$2:$A$501,0)),"Not in current directory"))</f>
        <v>Franklin Towne Charter Elementary School</v>
      </c>
      <c r="C92" s="8" t="s">
        <v>88</v>
      </c>
      <c r="D92" s="8"/>
      <c r="E92" s="9"/>
      <c r="F92" s="8"/>
      <c r="G92" s="9"/>
      <c r="H92" s="8"/>
      <c r="I92" s="8"/>
      <c r="J92" s="8" t="s">
        <v>89</v>
      </c>
      <c r="K92" s="8" t="s">
        <v>90</v>
      </c>
      <c r="L92" s="2" t="str">
        <f>IF(A92="","",IF(COUNTIFS($A$8:$A$507,A92)&lt;&gt;1,"Duplicate ID",IF(COUNTIFS(Data!$A$2:$A$501,A92)&lt;&gt;1,"Not current","Current")))</f>
        <v>Current</v>
      </c>
    </row>
    <row r="93" spans="1:12" ht="32" customHeight="1">
      <c r="A93" s="2" t="s">
        <v>175</v>
      </c>
      <c r="B93" s="10" t="str">
        <f>IF(A93="","",IF(COUNTIFS(Data!$A$2:$A$501,A93)=1,INDEX(Data!$B$2:$B$501,MATCH(A93,Data!$A$2:$A$501,0)),"Not in current directory"))</f>
        <v>Franklin Towne Charter High School</v>
      </c>
      <c r="C93" s="8" t="s">
        <v>88</v>
      </c>
      <c r="D93" s="8"/>
      <c r="E93" s="9"/>
      <c r="F93" s="8"/>
      <c r="G93" s="9"/>
      <c r="H93" s="8"/>
      <c r="I93" s="8"/>
      <c r="J93" s="8" t="s">
        <v>89</v>
      </c>
      <c r="K93" s="8" t="s">
        <v>90</v>
      </c>
      <c r="L93" s="2" t="str">
        <f>IF(A93="","",IF(COUNTIFS($A$8:$A$507,A93)&lt;&gt;1,"Duplicate ID",IF(COUNTIFS(Data!$A$2:$A$501,A93)&lt;&gt;1,"Not current","Current")))</f>
        <v>Current</v>
      </c>
    </row>
    <row r="94" spans="1:12" ht="32" customHeight="1">
      <c r="A94" s="2" t="s">
        <v>176</v>
      </c>
      <c r="B94" s="10" t="str">
        <f>IF(A94="","",IF(COUNTIFS(Data!$A$2:$A$501,A94)=1,INDEX(Data!$B$2:$B$501,MATCH(A94,Data!$A$2:$A$501,0)),"Not in current directory"))</f>
        <v>Freire Charter School</v>
      </c>
      <c r="C94" s="8" t="s">
        <v>88</v>
      </c>
      <c r="D94" s="8"/>
      <c r="E94" s="9"/>
      <c r="F94" s="8"/>
      <c r="G94" s="9"/>
      <c r="H94" s="8"/>
      <c r="I94" s="8"/>
      <c r="J94" s="8" t="s">
        <v>89</v>
      </c>
      <c r="K94" s="8" t="s">
        <v>90</v>
      </c>
      <c r="L94" s="2" t="str">
        <f>IF(A94="","",IF(COUNTIFS($A$8:$A$507,A94)&lt;&gt;1,"Duplicate ID",IF(COUNTIFS(Data!$A$2:$A$501,A94)&lt;&gt;1,"Not current","Current")))</f>
        <v>Current</v>
      </c>
    </row>
    <row r="95" spans="1:12" ht="32" customHeight="1">
      <c r="A95" s="2" t="s">
        <v>177</v>
      </c>
      <c r="B95" s="10" t="str">
        <f>IF(A95="","",IF(COUNTIFS(Data!$A$2:$A$501,A95)=1,INDEX(Data!$B$2:$B$501,MATCH(A95,Data!$A$2:$A$501,0)),"Not in current directory"))</f>
        <v>Gateway to College - Community College of Philadelphia</v>
      </c>
      <c r="C95" s="8" t="s">
        <v>88</v>
      </c>
      <c r="D95" s="8"/>
      <c r="E95" s="9"/>
      <c r="F95" s="8"/>
      <c r="G95" s="9"/>
      <c r="H95" s="8"/>
      <c r="I95" s="8"/>
      <c r="J95" s="8" t="s">
        <v>89</v>
      </c>
      <c r="K95" s="8" t="s">
        <v>90</v>
      </c>
      <c r="L95" s="2" t="str">
        <f>IF(A95="","",IF(COUNTIFS($A$8:$A$507,A95)&lt;&gt;1,"Duplicate ID",IF(COUNTIFS(Data!$A$2:$A$501,A95)&lt;&gt;1,"Not current","Current")))</f>
        <v>Current</v>
      </c>
    </row>
    <row r="96" spans="1:12" ht="32" customHeight="1">
      <c r="A96" s="2" t="s">
        <v>178</v>
      </c>
      <c r="B96" s="10" t="str">
        <f>IF(A96="","",IF(COUNTIFS(Data!$A$2:$A$501,A96)=1,INDEX(Data!$B$2:$B$501,MATCH(A96,Data!$A$2:$A$501,0)),"Not in current directory"))</f>
        <v>General David B. Birney Charter School</v>
      </c>
      <c r="C96" s="8" t="s">
        <v>88</v>
      </c>
      <c r="D96" s="8"/>
      <c r="E96" s="9"/>
      <c r="F96" s="8"/>
      <c r="G96" s="9"/>
      <c r="H96" s="8"/>
      <c r="I96" s="8"/>
      <c r="J96" s="8" t="s">
        <v>89</v>
      </c>
      <c r="K96" s="8" t="s">
        <v>90</v>
      </c>
      <c r="L96" s="2" t="str">
        <f>IF(A96="","",IF(COUNTIFS($A$8:$A$507,A96)&lt;&gt;1,"Duplicate ID",IF(COUNTIFS(Data!$A$2:$A$501,A96)&lt;&gt;1,"Not current","Current")))</f>
        <v>Current</v>
      </c>
    </row>
    <row r="97" spans="1:12" ht="32" customHeight="1">
      <c r="A97" s="2" t="s">
        <v>179</v>
      </c>
      <c r="B97" s="10" t="str">
        <f>IF(A97="","",IF(COUNTIFS(Data!$A$2:$A$501,A97)=1,INDEX(Data!$B$2:$B$501,MATCH(A97,Data!$A$2:$A$501,0)),"Not in current directory"))</f>
        <v>General George A. McCall School</v>
      </c>
      <c r="C97" s="8" t="s">
        <v>88</v>
      </c>
      <c r="D97" s="8"/>
      <c r="E97" s="9"/>
      <c r="F97" s="8"/>
      <c r="G97" s="9"/>
      <c r="H97" s="8"/>
      <c r="I97" s="8"/>
      <c r="J97" s="8" t="s">
        <v>89</v>
      </c>
      <c r="K97" s="8" t="s">
        <v>90</v>
      </c>
      <c r="L97" s="2" t="str">
        <f>IF(A97="","",IF(COUNTIFS($A$8:$A$507,A97)&lt;&gt;1,"Duplicate ID",IF(COUNTIFS(Data!$A$2:$A$501,A97)&lt;&gt;1,"Not current","Current")))</f>
        <v>Current</v>
      </c>
    </row>
    <row r="98" spans="1:12" ht="32" customHeight="1">
      <c r="A98" s="2" t="s">
        <v>180</v>
      </c>
      <c r="B98" s="10" t="str">
        <f>IF(A98="","",IF(COUNTIFS(Data!$A$2:$A$501,A98)=1,INDEX(Data!$B$2:$B$501,MATCH(A98,Data!$A$2:$A$501,0)),"Not in current directory"))</f>
        <v>General George G. Meade School</v>
      </c>
      <c r="C98" s="8" t="s">
        <v>88</v>
      </c>
      <c r="D98" s="8"/>
      <c r="E98" s="9"/>
      <c r="F98" s="8"/>
      <c r="G98" s="9"/>
      <c r="H98" s="8"/>
      <c r="I98" s="8"/>
      <c r="J98" s="8" t="s">
        <v>89</v>
      </c>
      <c r="K98" s="8" t="s">
        <v>90</v>
      </c>
      <c r="L98" s="2" t="str">
        <f>IF(A98="","",IF(COUNTIFS($A$8:$A$507,A98)&lt;&gt;1,"Duplicate ID",IF(COUNTIFS(Data!$A$2:$A$501,A98)&lt;&gt;1,"Not current","Current")))</f>
        <v>Current</v>
      </c>
    </row>
    <row r="99" spans="1:12" ht="32" customHeight="1">
      <c r="A99" s="2" t="s">
        <v>181</v>
      </c>
      <c r="B99" s="10" t="str">
        <f>IF(A99="","",IF(COUNTIFS(Data!$A$2:$A$501,A99)=1,INDEX(Data!$B$2:$B$501,MATCH(A99,Data!$A$2:$A$501,0)),"Not in current directory"))</f>
        <v>General Louis Wagner School</v>
      </c>
      <c r="C99" s="8" t="s">
        <v>88</v>
      </c>
      <c r="D99" s="8"/>
      <c r="E99" s="9"/>
      <c r="F99" s="8"/>
      <c r="G99" s="9"/>
      <c r="H99" s="8"/>
      <c r="I99" s="8"/>
      <c r="J99" s="8" t="s">
        <v>89</v>
      </c>
      <c r="K99" s="8" t="s">
        <v>90</v>
      </c>
      <c r="L99" s="2" t="str">
        <f>IF(A99="","",IF(COUNTIFS($A$8:$A$507,A99)&lt;&gt;1,"Duplicate ID",IF(COUNTIFS(Data!$A$2:$A$501,A99)&lt;&gt;1,"Not current","Current")))</f>
        <v>Current</v>
      </c>
    </row>
    <row r="100" spans="1:12" ht="32" customHeight="1">
      <c r="A100" s="2" t="s">
        <v>182</v>
      </c>
      <c r="B100" s="10" t="str">
        <f>IF(A100="","",IF(COUNTIFS(Data!$A$2:$A$501,A100)=1,INDEX(Data!$B$2:$B$501,MATCH(A100,Data!$A$2:$A$501,0)),"Not in current directory"))</f>
        <v>General Philip Kearny School</v>
      </c>
      <c r="C100" s="8" t="s">
        <v>88</v>
      </c>
      <c r="D100" s="8"/>
      <c r="E100" s="9"/>
      <c r="F100" s="8"/>
      <c r="G100" s="9"/>
      <c r="H100" s="8"/>
      <c r="I100" s="8"/>
      <c r="J100" s="8" t="s">
        <v>89</v>
      </c>
      <c r="K100" s="8" t="s">
        <v>90</v>
      </c>
      <c r="L100" s="2" t="str">
        <f>IF(A100="","",IF(COUNTIFS($A$8:$A$507,A100)&lt;&gt;1,"Duplicate ID",IF(COUNTIFS(Data!$A$2:$A$501,A100)&lt;&gt;1,"Not current","Current")))</f>
        <v>Current</v>
      </c>
    </row>
    <row r="101" spans="1:12" ht="32" customHeight="1">
      <c r="A101" s="2" t="s">
        <v>183</v>
      </c>
      <c r="B101" s="10" t="str">
        <f>IF(A101="","",IF(COUNTIFS(Data!$A$2:$A$501,A101)=1,INDEX(Data!$B$2:$B$501,MATCH(A101,Data!$A$2:$A$501,0)),"Not in current directory"))</f>
        <v>George W. Childs School</v>
      </c>
      <c r="C101" s="8" t="s">
        <v>88</v>
      </c>
      <c r="D101" s="8"/>
      <c r="E101" s="9"/>
      <c r="F101" s="8"/>
      <c r="G101" s="9"/>
      <c r="H101" s="8"/>
      <c r="I101" s="8"/>
      <c r="J101" s="8" t="s">
        <v>89</v>
      </c>
      <c r="K101" s="8" t="s">
        <v>90</v>
      </c>
      <c r="L101" s="2" t="str">
        <f>IF(A101="","",IF(COUNTIFS($A$8:$A$507,A101)&lt;&gt;1,"Duplicate ID",IF(COUNTIFS(Data!$A$2:$A$501,A101)&lt;&gt;1,"Not current","Current")))</f>
        <v>Current</v>
      </c>
    </row>
    <row r="102" spans="1:12" ht="32" customHeight="1">
      <c r="A102" s="2" t="s">
        <v>184</v>
      </c>
      <c r="B102" s="10" t="str">
        <f>IF(A102="","",IF(COUNTIFS(Data!$A$2:$A$501,A102)=1,INDEX(Data!$B$2:$B$501,MATCH(A102,Data!$A$2:$A$501,0)),"Not in current directory"))</f>
        <v>George W. Nebinger School</v>
      </c>
      <c r="C102" s="8" t="s">
        <v>88</v>
      </c>
      <c r="D102" s="8"/>
      <c r="E102" s="9"/>
      <c r="F102" s="8"/>
      <c r="G102" s="9"/>
      <c r="H102" s="8"/>
      <c r="I102" s="8"/>
      <c r="J102" s="8" t="s">
        <v>89</v>
      </c>
      <c r="K102" s="8" t="s">
        <v>90</v>
      </c>
      <c r="L102" s="2" t="str">
        <f>IF(A102="","",IF(COUNTIFS($A$8:$A$507,A102)&lt;&gt;1,"Duplicate ID",IF(COUNTIFS(Data!$A$2:$A$501,A102)&lt;&gt;1,"Not current","Current")))</f>
        <v>Current</v>
      </c>
    </row>
    <row r="103" spans="1:12" ht="32" customHeight="1">
      <c r="A103" s="2" t="s">
        <v>185</v>
      </c>
      <c r="B103" s="10" t="str">
        <f>IF(A103="","",IF(COUNTIFS(Data!$A$2:$A$501,A103)=1,INDEX(Data!$B$2:$B$501,MATCH(A103,Data!$A$2:$A$501,0)),"Not in current directory"))</f>
        <v>George W. Sharswood School</v>
      </c>
      <c r="C103" s="8" t="s">
        <v>88</v>
      </c>
      <c r="D103" s="8"/>
      <c r="E103" s="9"/>
      <c r="F103" s="8"/>
      <c r="G103" s="9"/>
      <c r="H103" s="8"/>
      <c r="I103" s="8"/>
      <c r="J103" s="8" t="s">
        <v>89</v>
      </c>
      <c r="K103" s="8" t="s">
        <v>90</v>
      </c>
      <c r="L103" s="2" t="str">
        <f>IF(A103="","",IF(COUNTIFS($A$8:$A$507,A103)&lt;&gt;1,"Duplicate ID",IF(COUNTIFS(Data!$A$2:$A$501,A103)&lt;&gt;1,"Not current","Current")))</f>
        <v>Current</v>
      </c>
    </row>
    <row r="104" spans="1:12" ht="32" customHeight="1">
      <c r="A104" s="2" t="s">
        <v>186</v>
      </c>
      <c r="B104" s="10" t="str">
        <f>IF(A104="","",IF(COUNTIFS(Data!$A$2:$A$501,A104)=1,INDEX(Data!$B$2:$B$501,MATCH(A104,Data!$A$2:$A$501,0)),"Not in current directory"))</f>
        <v>George Washington High School</v>
      </c>
      <c r="C104" s="8" t="s">
        <v>88</v>
      </c>
      <c r="D104" s="8"/>
      <c r="E104" s="9"/>
      <c r="F104" s="8"/>
      <c r="G104" s="9"/>
      <c r="H104" s="8"/>
      <c r="I104" s="8"/>
      <c r="J104" s="8" t="s">
        <v>89</v>
      </c>
      <c r="K104" s="8" t="s">
        <v>90</v>
      </c>
      <c r="L104" s="2" t="str">
        <f>IF(A104="","",IF(COUNTIFS($A$8:$A$507,A104)&lt;&gt;1,"Duplicate ID",IF(COUNTIFS(Data!$A$2:$A$501,A104)&lt;&gt;1,"Not current","Current")))</f>
        <v>Current</v>
      </c>
    </row>
    <row r="105" spans="1:12" ht="32" customHeight="1">
      <c r="A105" s="2" t="s">
        <v>187</v>
      </c>
      <c r="B105" s="10" t="str">
        <f>IF(A105="","",IF(COUNTIFS(Data!$A$2:$A$501,A105)=1,INDEX(Data!$B$2:$B$501,MATCH(A105,Data!$A$2:$A$501,0)),"Not in current directory"))</f>
        <v>Gilbert Spruance School</v>
      </c>
      <c r="C105" s="8" t="s">
        <v>88</v>
      </c>
      <c r="D105" s="8"/>
      <c r="E105" s="9"/>
      <c r="F105" s="8"/>
      <c r="G105" s="9"/>
      <c r="H105" s="8"/>
      <c r="I105" s="8"/>
      <c r="J105" s="8" t="s">
        <v>89</v>
      </c>
      <c r="K105" s="8" t="s">
        <v>90</v>
      </c>
      <c r="L105" s="2" t="str">
        <f>IF(A105="","",IF(COUNTIFS($A$8:$A$507,A105)&lt;&gt;1,"Duplicate ID",IF(COUNTIFS(Data!$A$2:$A$501,A105)&lt;&gt;1,"Not current","Current")))</f>
        <v>Current</v>
      </c>
    </row>
    <row r="106" spans="1:12" ht="32" customHeight="1">
      <c r="A106" s="2" t="s">
        <v>188</v>
      </c>
      <c r="B106" s="10" t="str">
        <f>IF(A106="","",IF(COUNTIFS(Data!$A$2:$A$501,A106)=1,INDEX(Data!$B$2:$B$501,MATCH(A106,Data!$A$2:$A$501,0)),"Not in current directory"))</f>
        <v>Girard Academic Music Program High School</v>
      </c>
      <c r="C106" s="8" t="s">
        <v>88</v>
      </c>
      <c r="D106" s="8"/>
      <c r="E106" s="9"/>
      <c r="F106" s="8"/>
      <c r="G106" s="9"/>
      <c r="H106" s="8"/>
      <c r="I106" s="8"/>
      <c r="J106" s="8" t="s">
        <v>89</v>
      </c>
      <c r="K106" s="8" t="s">
        <v>90</v>
      </c>
      <c r="L106" s="2" t="str">
        <f>IF(A106="","",IF(COUNTIFS($A$8:$A$507,A106)&lt;&gt;1,"Duplicate ID",IF(COUNTIFS(Data!$A$2:$A$501,A106)&lt;&gt;1,"Not current","Current")))</f>
        <v>Current</v>
      </c>
    </row>
    <row r="107" spans="1:12" ht="32" customHeight="1">
      <c r="A107" s="2" t="s">
        <v>189</v>
      </c>
      <c r="B107" s="10" t="str">
        <f>IF(A107="","",IF(COUNTIFS(Data!$A$2:$A$501,A107)=1,INDEX(Data!$B$2:$B$501,MATCH(A107,Data!$A$2:$A$501,0)),"Not in current directory"))</f>
        <v>Global Leadership Academy Charter School</v>
      </c>
      <c r="C107" s="8" t="s">
        <v>88</v>
      </c>
      <c r="D107" s="8"/>
      <c r="E107" s="9"/>
      <c r="F107" s="8"/>
      <c r="G107" s="9"/>
      <c r="H107" s="8"/>
      <c r="I107" s="8"/>
      <c r="J107" s="8" t="s">
        <v>89</v>
      </c>
      <c r="K107" s="8" t="s">
        <v>90</v>
      </c>
      <c r="L107" s="2" t="str">
        <f>IF(A107="","",IF(COUNTIFS($A$8:$A$507,A107)&lt;&gt;1,"Duplicate ID",IF(COUNTIFS(Data!$A$2:$A$501,A107)&lt;&gt;1,"Not current","Current")))</f>
        <v>Current</v>
      </c>
    </row>
    <row r="108" spans="1:12" ht="32" customHeight="1">
      <c r="A108" s="2" t="s">
        <v>190</v>
      </c>
      <c r="B108" s="10" t="str">
        <f>IF(A108="","",IF(COUNTIFS(Data!$A$2:$A$501,A108)=1,INDEX(Data!$B$2:$B$501,MATCH(A108,Data!$A$2:$A$501,0)),"Not in current directory"))</f>
        <v>Global Leadership Academy Charter School Southwest at Huey</v>
      </c>
      <c r="C108" s="8" t="s">
        <v>88</v>
      </c>
      <c r="D108" s="8"/>
      <c r="E108" s="9"/>
      <c r="F108" s="8"/>
      <c r="G108" s="9"/>
      <c r="H108" s="8"/>
      <c r="I108" s="8"/>
      <c r="J108" s="8" t="s">
        <v>89</v>
      </c>
      <c r="K108" s="8" t="s">
        <v>90</v>
      </c>
      <c r="L108" s="2" t="str">
        <f>IF(A108="","",IF(COUNTIFS($A$8:$A$507,A108)&lt;&gt;1,"Duplicate ID",IF(COUNTIFS(Data!$A$2:$A$501,A108)&lt;&gt;1,"Not current","Current")))</f>
        <v>Current</v>
      </c>
    </row>
    <row r="109" spans="1:12" ht="32" customHeight="1">
      <c r="A109" s="2" t="s">
        <v>191</v>
      </c>
      <c r="B109" s="10" t="str">
        <f>IF(A109="","",IF(COUNTIFS(Data!$A$2:$A$501,A109)=1,INDEX(Data!$B$2:$B$501,MATCH(A109,Data!$A$2:$A$501,0)),"Not in current directory"))</f>
        <v>Gloria Casarez School</v>
      </c>
      <c r="C109" s="8" t="s">
        <v>88</v>
      </c>
      <c r="D109" s="8"/>
      <c r="E109" s="9"/>
      <c r="F109" s="8"/>
      <c r="G109" s="9"/>
      <c r="H109" s="8"/>
      <c r="I109" s="8"/>
      <c r="J109" s="8" t="s">
        <v>89</v>
      </c>
      <c r="K109" s="8" t="s">
        <v>90</v>
      </c>
      <c r="L109" s="2" t="str">
        <f>IF(A109="","",IF(COUNTIFS($A$8:$A$507,A109)&lt;&gt;1,"Duplicate ID",IF(COUNTIFS(Data!$A$2:$A$501,A109)&lt;&gt;1,"Not current","Current")))</f>
        <v>Current</v>
      </c>
    </row>
    <row r="110" spans="1:12" ht="32" customHeight="1">
      <c r="A110" s="2" t="s">
        <v>192</v>
      </c>
      <c r="B110" s="10" t="str">
        <f>IF(A110="","",IF(COUNTIFS(Data!$A$2:$A$501,A110)=1,INDEX(Data!$B$2:$B$501,MATCH(A110,Data!$A$2:$A$501,0)),"Not in current directory"))</f>
        <v>Green Woods Charter School</v>
      </c>
      <c r="C110" s="8" t="s">
        <v>88</v>
      </c>
      <c r="D110" s="8"/>
      <c r="E110" s="9"/>
      <c r="F110" s="8"/>
      <c r="G110" s="9"/>
      <c r="H110" s="8"/>
      <c r="I110" s="8"/>
      <c r="J110" s="8" t="s">
        <v>89</v>
      </c>
      <c r="K110" s="8" t="s">
        <v>90</v>
      </c>
      <c r="L110" s="2" t="str">
        <f>IF(A110="","",IF(COUNTIFS($A$8:$A$507,A110)&lt;&gt;1,"Duplicate ID",IF(COUNTIFS(Data!$A$2:$A$501,A110)&lt;&gt;1,"Not current","Current")))</f>
        <v>Current</v>
      </c>
    </row>
    <row r="111" spans="1:12" ht="32" customHeight="1">
      <c r="A111" s="2" t="s">
        <v>193</v>
      </c>
      <c r="B111" s="10" t="str">
        <f>IF(A111="","",IF(COUNTIFS(Data!$A$2:$A$501,A111)=1,INDEX(Data!$B$2:$B$501,MATCH(A111,Data!$A$2:$A$501,0)),"Not in current directory"))</f>
        <v>Grover Washington, Jr. Middle School</v>
      </c>
      <c r="C111" s="8" t="s">
        <v>88</v>
      </c>
      <c r="D111" s="8"/>
      <c r="E111" s="9"/>
      <c r="F111" s="8"/>
      <c r="G111" s="9"/>
      <c r="H111" s="8"/>
      <c r="I111" s="8"/>
      <c r="J111" s="8" t="s">
        <v>89</v>
      </c>
      <c r="K111" s="8" t="s">
        <v>90</v>
      </c>
      <c r="L111" s="2" t="str">
        <f>IF(A111="","",IF(COUNTIFS($A$8:$A$507,A111)&lt;&gt;1,"Duplicate ID",IF(COUNTIFS(Data!$A$2:$A$501,A111)&lt;&gt;1,"Not current","Current")))</f>
        <v>Current</v>
      </c>
    </row>
    <row r="112" spans="1:12" ht="32" customHeight="1">
      <c r="A112" s="2" t="s">
        <v>194</v>
      </c>
      <c r="B112" s="10" t="str">
        <f>IF(A112="","",IF(COUNTIFS(Data!$A$2:$A$501,A112)=1,INDEX(Data!$B$2:$B$501,MATCH(A112,Data!$A$2:$A$501,0)),"Not in current directory"))</f>
        <v>Guion S. Bluford School</v>
      </c>
      <c r="C112" s="8" t="s">
        <v>88</v>
      </c>
      <c r="D112" s="8"/>
      <c r="E112" s="9"/>
      <c r="F112" s="8"/>
      <c r="G112" s="9"/>
      <c r="H112" s="8"/>
      <c r="I112" s="8"/>
      <c r="J112" s="8" t="s">
        <v>89</v>
      </c>
      <c r="K112" s="8" t="s">
        <v>90</v>
      </c>
      <c r="L112" s="2" t="str">
        <f>IF(A112="","",IF(COUNTIFS($A$8:$A$507,A112)&lt;&gt;1,"Duplicate ID",IF(COUNTIFS(Data!$A$2:$A$501,A112)&lt;&gt;1,"Not current","Current")))</f>
        <v>Current</v>
      </c>
    </row>
    <row r="113" spans="1:12" ht="32" customHeight="1">
      <c r="A113" s="2" t="s">
        <v>195</v>
      </c>
      <c r="B113" s="10" t="str">
        <f>IF(A113="","",IF(COUNTIFS(Data!$A$2:$A$501,A113)=1,INDEX(Data!$B$2:$B$501,MATCH(A113,Data!$A$2:$A$501,0)),"Not in current directory"))</f>
        <v>Hamilton Disston School</v>
      </c>
      <c r="C113" s="8" t="s">
        <v>88</v>
      </c>
      <c r="D113" s="8"/>
      <c r="E113" s="9"/>
      <c r="F113" s="8"/>
      <c r="G113" s="9"/>
      <c r="H113" s="8"/>
      <c r="I113" s="8"/>
      <c r="J113" s="8" t="s">
        <v>89</v>
      </c>
      <c r="K113" s="8" t="s">
        <v>90</v>
      </c>
      <c r="L113" s="2" t="str">
        <f>IF(A113="","",IF(COUNTIFS($A$8:$A$507,A113)&lt;&gt;1,"Duplicate ID",IF(COUNTIFS(Data!$A$2:$A$501,A113)&lt;&gt;1,"Not current","Current")))</f>
        <v>Current</v>
      </c>
    </row>
    <row r="114" spans="1:12" ht="32" customHeight="1">
      <c r="A114" s="2" t="s">
        <v>196</v>
      </c>
      <c r="B114" s="10" t="str">
        <f>IF(A114="","",IF(COUNTIFS(Data!$A$2:$A$501,A114)=1,INDEX(Data!$B$2:$B$501,MATCH(A114,Data!$A$2:$A$501,0)),"Not in current directory"))</f>
        <v>Hancock, John Demonstration School</v>
      </c>
      <c r="C114" s="8" t="s">
        <v>88</v>
      </c>
      <c r="D114" s="8"/>
      <c r="E114" s="9"/>
      <c r="F114" s="8"/>
      <c r="G114" s="9"/>
      <c r="H114" s="8"/>
      <c r="I114" s="8"/>
      <c r="J114" s="8" t="s">
        <v>89</v>
      </c>
      <c r="K114" s="8" t="s">
        <v>90</v>
      </c>
      <c r="L114" s="2" t="str">
        <f>IF(A114="","",IF(COUNTIFS($A$8:$A$507,A114)&lt;&gt;1,"Duplicate ID",IF(COUNTIFS(Data!$A$2:$A$501,A114)&lt;&gt;1,"Not current","Current")))</f>
        <v>Current</v>
      </c>
    </row>
    <row r="115" spans="1:12" ht="32" customHeight="1">
      <c r="A115" s="2" t="s">
        <v>197</v>
      </c>
      <c r="B115" s="10" t="str">
        <f>IF(A115="","",IF(COUNTIFS(Data!$A$2:$A$501,A115)=1,INDEX(Data!$B$2:$B$501,MATCH(A115,Data!$A$2:$A$501,0)),"Not in current directory"))</f>
        <v>Harambee Institute of Science and Technology Charter School</v>
      </c>
      <c r="C115" s="8" t="s">
        <v>88</v>
      </c>
      <c r="D115" s="8"/>
      <c r="E115" s="9"/>
      <c r="F115" s="8"/>
      <c r="G115" s="9"/>
      <c r="H115" s="8"/>
      <c r="I115" s="8"/>
      <c r="J115" s="8" t="s">
        <v>89</v>
      </c>
      <c r="K115" s="8" t="s">
        <v>90</v>
      </c>
      <c r="L115" s="2" t="str">
        <f>IF(A115="","",IF(COUNTIFS($A$8:$A$507,A115)&lt;&gt;1,"Duplicate ID",IF(COUNTIFS(Data!$A$2:$A$501,A115)&lt;&gt;1,"Not current","Current")))</f>
        <v>Current</v>
      </c>
    </row>
    <row r="116" spans="1:12" ht="32" customHeight="1">
      <c r="A116" s="2" t="s">
        <v>198</v>
      </c>
      <c r="B116" s="10" t="str">
        <f>IF(A116="","",IF(COUNTIFS(Data!$A$2:$A$501,A116)=1,INDEX(Data!$B$2:$B$501,MATCH(A116,Data!$A$2:$A$501,0)),"Not in current directory"))</f>
        <v>Henry A. Brown School</v>
      </c>
      <c r="C116" s="8" t="s">
        <v>88</v>
      </c>
      <c r="D116" s="8"/>
      <c r="E116" s="9"/>
      <c r="F116" s="8"/>
      <c r="G116" s="9"/>
      <c r="H116" s="8"/>
      <c r="I116" s="8"/>
      <c r="J116" s="8" t="s">
        <v>89</v>
      </c>
      <c r="K116" s="8" t="s">
        <v>90</v>
      </c>
      <c r="L116" s="2" t="str">
        <f>IF(A116="","",IF(COUNTIFS($A$8:$A$507,A116)&lt;&gt;1,"Duplicate ID",IF(COUNTIFS(Data!$A$2:$A$501,A116)&lt;&gt;1,"Not current","Current")))</f>
        <v>Current</v>
      </c>
    </row>
    <row r="117" spans="1:12" ht="32" customHeight="1">
      <c r="A117" s="2" t="s">
        <v>199</v>
      </c>
      <c r="B117" s="10" t="str">
        <f>IF(A117="","",IF(COUNTIFS(Data!$A$2:$A$501,A117)=1,INDEX(Data!$B$2:$B$501,MATCH(A117,Data!$A$2:$A$501,0)),"Not in current directory"))</f>
        <v>Henry C. Lea School</v>
      </c>
      <c r="C117" s="8" t="s">
        <v>88</v>
      </c>
      <c r="D117" s="8"/>
      <c r="E117" s="9"/>
      <c r="F117" s="8"/>
      <c r="G117" s="9"/>
      <c r="H117" s="8"/>
      <c r="I117" s="8"/>
      <c r="J117" s="8" t="s">
        <v>89</v>
      </c>
      <c r="K117" s="8" t="s">
        <v>90</v>
      </c>
      <c r="L117" s="2" t="str">
        <f>IF(A117="","",IF(COUNTIFS($A$8:$A$507,A117)&lt;&gt;1,"Duplicate ID",IF(COUNTIFS(Data!$A$2:$A$501,A117)&lt;&gt;1,"Not current","Current")))</f>
        <v>Current</v>
      </c>
    </row>
    <row r="118" spans="1:12" ht="32" customHeight="1">
      <c r="A118" s="2" t="s">
        <v>200</v>
      </c>
      <c r="B118" s="10" t="str">
        <f>IF(A118="","",IF(COUNTIFS(Data!$A$2:$A$501,A118)=1,INDEX(Data!$B$2:$B$501,MATCH(A118,Data!$A$2:$A$501,0)),"Not in current directory"))</f>
        <v>Henry H. Houston School</v>
      </c>
      <c r="C118" s="8" t="s">
        <v>88</v>
      </c>
      <c r="D118" s="8"/>
      <c r="E118" s="9"/>
      <c r="F118" s="8"/>
      <c r="G118" s="9"/>
      <c r="H118" s="8"/>
      <c r="I118" s="8"/>
      <c r="J118" s="8" t="s">
        <v>89</v>
      </c>
      <c r="K118" s="8" t="s">
        <v>90</v>
      </c>
      <c r="L118" s="2" t="str">
        <f>IF(A118="","",IF(COUNTIFS($A$8:$A$507,A118)&lt;&gt;1,"Duplicate ID",IF(COUNTIFS(Data!$A$2:$A$501,A118)&lt;&gt;1,"Not current","Current")))</f>
        <v>Current</v>
      </c>
    </row>
    <row r="119" spans="1:12" ht="32" customHeight="1">
      <c r="A119" s="2" t="s">
        <v>201</v>
      </c>
      <c r="B119" s="10" t="str">
        <f>IF(A119="","",IF(COUNTIFS(Data!$A$2:$A$501,A119)=1,INDEX(Data!$B$2:$B$501,MATCH(A119,Data!$A$2:$A$501,0)),"Not in current directory"))</f>
        <v>Henry W. Lawton School</v>
      </c>
      <c r="C119" s="8" t="s">
        <v>88</v>
      </c>
      <c r="D119" s="8"/>
      <c r="E119" s="9"/>
      <c r="F119" s="8"/>
      <c r="G119" s="9"/>
      <c r="H119" s="8"/>
      <c r="I119" s="8"/>
      <c r="J119" s="8" t="s">
        <v>89</v>
      </c>
      <c r="K119" s="8" t="s">
        <v>90</v>
      </c>
      <c r="L119" s="2" t="str">
        <f>IF(A119="","",IF(COUNTIFS($A$8:$A$507,A119)&lt;&gt;1,"Duplicate ID",IF(COUNTIFS(Data!$A$2:$A$501,A119)&lt;&gt;1,"Not current","Current")))</f>
        <v>Current</v>
      </c>
    </row>
    <row r="120" spans="1:12" ht="32" customHeight="1">
      <c r="A120" s="2" t="s">
        <v>202</v>
      </c>
      <c r="B120" s="10" t="str">
        <f>IF(A120="","",IF(COUNTIFS(Data!$A$2:$A$501,A120)=1,INDEX(Data!$B$2:$B$501,MATCH(A120,Data!$A$2:$A$501,0)),"Not in current directory"))</f>
        <v>High School for Creative and Performing Arts</v>
      </c>
      <c r="C120" s="8" t="s">
        <v>88</v>
      </c>
      <c r="D120" s="8"/>
      <c r="E120" s="9"/>
      <c r="F120" s="8"/>
      <c r="G120" s="9"/>
      <c r="H120" s="8"/>
      <c r="I120" s="8"/>
      <c r="J120" s="8" t="s">
        <v>89</v>
      </c>
      <c r="K120" s="8" t="s">
        <v>90</v>
      </c>
      <c r="L120" s="2" t="str">
        <f>IF(A120="","",IF(COUNTIFS($A$8:$A$507,A120)&lt;&gt;1,"Duplicate ID",IF(COUNTIFS(Data!$A$2:$A$501,A120)&lt;&gt;1,"Not current","Current")))</f>
        <v>Current</v>
      </c>
    </row>
    <row r="121" spans="1:12" ht="32" customHeight="1">
      <c r="A121" s="2" t="s">
        <v>203</v>
      </c>
      <c r="B121" s="10" t="str">
        <f>IF(A121="","",IF(COUNTIFS(Data!$A$2:$A$501,A121)=1,INDEX(Data!$B$2:$B$501,MATCH(A121,Data!$A$2:$A$501,0)),"Not in current directory"))</f>
        <v>High School of the Future</v>
      </c>
      <c r="C121" s="8" t="s">
        <v>88</v>
      </c>
      <c r="D121" s="8"/>
      <c r="E121" s="9"/>
      <c r="F121" s="8"/>
      <c r="G121" s="9"/>
      <c r="H121" s="8"/>
      <c r="I121" s="8"/>
      <c r="J121" s="8" t="s">
        <v>89</v>
      </c>
      <c r="K121" s="8" t="s">
        <v>90</v>
      </c>
      <c r="L121" s="2" t="str">
        <f>IF(A121="","",IF(COUNTIFS($A$8:$A$507,A121)&lt;&gt;1,"Duplicate ID",IF(COUNTIFS(Data!$A$2:$A$501,A121)&lt;&gt;1,"Not current","Current")))</f>
        <v>Current</v>
      </c>
    </row>
    <row r="122" spans="1:12" ht="32" customHeight="1">
      <c r="A122" s="2" t="s">
        <v>204</v>
      </c>
      <c r="B122" s="10" t="str">
        <f>IF(A122="","",IF(COUNTIFS(Data!$A$2:$A$501,A122)=1,INDEX(Data!$B$2:$B$501,MATCH(A122,Data!$A$2:$A$501,0)),"Not in current directory"))</f>
        <v>Hill-Freedman World Academy</v>
      </c>
      <c r="C122" s="8" t="s">
        <v>88</v>
      </c>
      <c r="D122" s="8"/>
      <c r="E122" s="9"/>
      <c r="F122" s="8"/>
      <c r="G122" s="9"/>
      <c r="H122" s="8"/>
      <c r="I122" s="8"/>
      <c r="J122" s="8" t="s">
        <v>89</v>
      </c>
      <c r="K122" s="8" t="s">
        <v>90</v>
      </c>
      <c r="L122" s="2" t="str">
        <f>IF(A122="","",IF(COUNTIFS($A$8:$A$507,A122)&lt;&gt;1,"Duplicate ID",IF(COUNTIFS(Data!$A$2:$A$501,A122)&lt;&gt;1,"Not current","Current")))</f>
        <v>Current</v>
      </c>
    </row>
    <row r="123" spans="1:12" ht="32" customHeight="1">
      <c r="A123" s="2" t="s">
        <v>205</v>
      </c>
      <c r="B123" s="10" t="str">
        <f>IF(A123="","",IF(COUNTIFS(Data!$A$2:$A$501,A123)=1,INDEX(Data!$B$2:$B$501,MATCH(A123,Data!$A$2:$A$501,0)),"Not in current directory"))</f>
        <v>Honorable Luis Munoz-Marin School</v>
      </c>
      <c r="C123" s="8" t="s">
        <v>88</v>
      </c>
      <c r="D123" s="8"/>
      <c r="E123" s="9"/>
      <c r="F123" s="8"/>
      <c r="G123" s="9"/>
      <c r="H123" s="8"/>
      <c r="I123" s="8"/>
      <c r="J123" s="8" t="s">
        <v>89</v>
      </c>
      <c r="K123" s="8" t="s">
        <v>90</v>
      </c>
      <c r="L123" s="2" t="str">
        <f>IF(A123="","",IF(COUNTIFS($A$8:$A$507,A123)&lt;&gt;1,"Duplicate ID",IF(COUNTIFS(Data!$A$2:$A$501,A123)&lt;&gt;1,"Not current","Current")))</f>
        <v>Current</v>
      </c>
    </row>
    <row r="124" spans="1:12" ht="32" customHeight="1">
      <c r="A124" s="2" t="s">
        <v>206</v>
      </c>
      <c r="B124" s="10" t="str">
        <f>IF(A124="","",IF(COUNTIFS(Data!$A$2:$A$501,A124)=1,INDEX(Data!$B$2:$B$501,MATCH(A124,Data!$A$2:$A$501,0)),"Not in current directory"))</f>
        <v>Horace Furness High School</v>
      </c>
      <c r="C124" s="8" t="s">
        <v>88</v>
      </c>
      <c r="D124" s="8"/>
      <c r="E124" s="9"/>
      <c r="F124" s="8"/>
      <c r="G124" s="9"/>
      <c r="H124" s="8"/>
      <c r="I124" s="8"/>
      <c r="J124" s="8" t="s">
        <v>89</v>
      </c>
      <c r="K124" s="8" t="s">
        <v>90</v>
      </c>
      <c r="L124" s="2" t="str">
        <f>IF(A124="","",IF(COUNTIFS($A$8:$A$507,A124)&lt;&gt;1,"Duplicate ID",IF(COUNTIFS(Data!$A$2:$A$501,A124)&lt;&gt;1,"Not current","Current")))</f>
        <v>Current</v>
      </c>
    </row>
    <row r="125" spans="1:12" ht="32" customHeight="1">
      <c r="A125" s="2" t="s">
        <v>207</v>
      </c>
      <c r="B125" s="10" t="str">
        <f>IF(A125="","",IF(COUNTIFS(Data!$A$2:$A$501,A125)=1,INDEX(Data!$B$2:$B$501,MATCH(A125,Data!$A$2:$A$501,0)),"Not in current directory"))</f>
        <v>Horatio B. Hackett School</v>
      </c>
      <c r="C125" s="8" t="s">
        <v>88</v>
      </c>
      <c r="D125" s="8"/>
      <c r="E125" s="9"/>
      <c r="F125" s="8"/>
      <c r="G125" s="9"/>
      <c r="H125" s="8"/>
      <c r="I125" s="8"/>
      <c r="J125" s="8" t="s">
        <v>89</v>
      </c>
      <c r="K125" s="8" t="s">
        <v>90</v>
      </c>
      <c r="L125" s="2" t="str">
        <f>IF(A125="","",IF(COUNTIFS($A$8:$A$507,A125)&lt;&gt;1,"Duplicate ID",IF(COUNTIFS(Data!$A$2:$A$501,A125)&lt;&gt;1,"Not current","Current")))</f>
        <v>Current</v>
      </c>
    </row>
    <row r="126" spans="1:12" ht="32" customHeight="1">
      <c r="A126" s="2" t="s">
        <v>208</v>
      </c>
      <c r="B126" s="10" t="str">
        <f>IF(A126="","",IF(COUNTIFS(Data!$A$2:$A$501,A126)=1,INDEX(Data!$B$2:$B$501,MATCH(A126,Data!$A$2:$A$501,0)),"Not in current directory"))</f>
        <v>Imhotep Institute Charter High School</v>
      </c>
      <c r="C126" s="8" t="s">
        <v>88</v>
      </c>
      <c r="D126" s="8"/>
      <c r="E126" s="9"/>
      <c r="F126" s="8"/>
      <c r="G126" s="9"/>
      <c r="H126" s="8"/>
      <c r="I126" s="8"/>
      <c r="J126" s="8" t="s">
        <v>89</v>
      </c>
      <c r="K126" s="8" t="s">
        <v>90</v>
      </c>
      <c r="L126" s="2" t="str">
        <f>IF(A126="","",IF(COUNTIFS($A$8:$A$507,A126)&lt;&gt;1,"Duplicate ID",IF(COUNTIFS(Data!$A$2:$A$501,A126)&lt;&gt;1,"Not current","Current")))</f>
        <v>Current</v>
      </c>
    </row>
    <row r="127" spans="1:12" ht="32" customHeight="1">
      <c r="A127" s="2" t="s">
        <v>209</v>
      </c>
      <c r="B127" s="10" t="str">
        <f>IF(A127="","",IF(COUNTIFS(Data!$A$2:$A$501,A127)=1,INDEX(Data!$B$2:$B$501,MATCH(A127,Data!$A$2:$A$501,0)),"Not in current directory"))</f>
        <v>Impact Charter School West</v>
      </c>
      <c r="C127" s="8" t="s">
        <v>88</v>
      </c>
      <c r="D127" s="8"/>
      <c r="E127" s="9"/>
      <c r="F127" s="8"/>
      <c r="G127" s="9"/>
      <c r="H127" s="8"/>
      <c r="I127" s="8"/>
      <c r="J127" s="8" t="s">
        <v>89</v>
      </c>
      <c r="K127" s="8" t="s">
        <v>90</v>
      </c>
      <c r="L127" s="2" t="str">
        <f>IF(A127="","",IF(COUNTIFS($A$8:$A$507,A127)&lt;&gt;1,"Duplicate ID",IF(COUNTIFS(Data!$A$2:$A$501,A127)&lt;&gt;1,"Not current","Current")))</f>
        <v>Current</v>
      </c>
    </row>
    <row r="128" spans="1:12" ht="32" customHeight="1">
      <c r="A128" s="2" t="s">
        <v>210</v>
      </c>
      <c r="B128" s="10" t="str">
        <f>IF(A128="","",IF(COUNTIFS(Data!$A$2:$A$501,A128)=1,INDEX(Data!$B$2:$B$501,MATCH(A128,Data!$A$2:$A$501,0)),"Not in current directory"))</f>
        <v>Independence Charter School</v>
      </c>
      <c r="C128" s="8" t="s">
        <v>88</v>
      </c>
      <c r="D128" s="8"/>
      <c r="E128" s="9"/>
      <c r="F128" s="8"/>
      <c r="G128" s="9"/>
      <c r="H128" s="8"/>
      <c r="I128" s="8"/>
      <c r="J128" s="8" t="s">
        <v>89</v>
      </c>
      <c r="K128" s="8" t="s">
        <v>90</v>
      </c>
      <c r="L128" s="2" t="str">
        <f>IF(A128="","",IF(COUNTIFS($A$8:$A$507,A128)&lt;&gt;1,"Duplicate ID",IF(COUNTIFS(Data!$A$2:$A$501,A128)&lt;&gt;1,"Not current","Current")))</f>
        <v>Current</v>
      </c>
    </row>
    <row r="129" spans="1:12" ht="32" customHeight="1">
      <c r="A129" s="2" t="s">
        <v>211</v>
      </c>
      <c r="B129" s="10" t="str">
        <f>IF(A129="","",IF(COUNTIFS(Data!$A$2:$A$501,A129)=1,INDEX(Data!$B$2:$B$501,MATCH(A129,Data!$A$2:$A$501,0)),"Not in current directory"))</f>
        <v>Inquiry Charter School</v>
      </c>
      <c r="C129" s="8" t="s">
        <v>88</v>
      </c>
      <c r="D129" s="8"/>
      <c r="E129" s="9"/>
      <c r="F129" s="8"/>
      <c r="G129" s="9"/>
      <c r="H129" s="8"/>
      <c r="I129" s="8"/>
      <c r="J129" s="8" t="s">
        <v>89</v>
      </c>
      <c r="K129" s="8" t="s">
        <v>90</v>
      </c>
      <c r="L129" s="2" t="str">
        <f>IF(A129="","",IF(COUNTIFS($A$8:$A$507,A129)&lt;&gt;1,"Duplicate ID",IF(COUNTIFS(Data!$A$2:$A$501,A129)&lt;&gt;1,"Not current","Current")))</f>
        <v>Current</v>
      </c>
    </row>
    <row r="130" spans="1:12" ht="32" customHeight="1">
      <c r="A130" s="2" t="s">
        <v>212</v>
      </c>
      <c r="B130" s="10" t="str">
        <f>IF(A130="","",IF(COUNTIFS(Data!$A$2:$A$501,A130)=1,INDEX(Data!$B$2:$B$501,MATCH(A130,Data!$A$2:$A$501,0)),"Not in current directory"))</f>
        <v>Isaac A. Sheppard School</v>
      </c>
      <c r="C130" s="8" t="s">
        <v>88</v>
      </c>
      <c r="D130" s="8"/>
      <c r="E130" s="9"/>
      <c r="F130" s="8"/>
      <c r="G130" s="9"/>
      <c r="H130" s="8"/>
      <c r="I130" s="8"/>
      <c r="J130" s="8" t="s">
        <v>89</v>
      </c>
      <c r="K130" s="8" t="s">
        <v>90</v>
      </c>
      <c r="L130" s="2" t="str">
        <f>IF(A130="","",IF(COUNTIFS($A$8:$A$507,A130)&lt;&gt;1,"Duplicate ID",IF(COUNTIFS(Data!$A$2:$A$501,A130)&lt;&gt;1,"Not current","Current")))</f>
        <v>Current</v>
      </c>
    </row>
    <row r="131" spans="1:12" ht="32" customHeight="1">
      <c r="A131" s="2" t="s">
        <v>213</v>
      </c>
      <c r="B131" s="10" t="str">
        <f>IF(A131="","",IF(COUNTIFS(Data!$A$2:$A$501,A131)=1,INDEX(Data!$B$2:$B$501,MATCH(A131,Data!$A$2:$A$501,0)),"Not in current directory"))</f>
        <v>J. Hampton Moore School</v>
      </c>
      <c r="C131" s="8" t="s">
        <v>88</v>
      </c>
      <c r="D131" s="8"/>
      <c r="E131" s="9"/>
      <c r="F131" s="8"/>
      <c r="G131" s="9"/>
      <c r="H131" s="8"/>
      <c r="I131" s="8"/>
      <c r="J131" s="8" t="s">
        <v>89</v>
      </c>
      <c r="K131" s="8" t="s">
        <v>90</v>
      </c>
      <c r="L131" s="2" t="str">
        <f>IF(A131="","",IF(COUNTIFS($A$8:$A$507,A131)&lt;&gt;1,"Duplicate ID",IF(COUNTIFS(Data!$A$2:$A$501,A131)&lt;&gt;1,"Not current","Current")))</f>
        <v>Current</v>
      </c>
    </row>
    <row r="132" spans="1:12" ht="32" customHeight="1">
      <c r="A132" s="2" t="s">
        <v>214</v>
      </c>
      <c r="B132" s="10" t="str">
        <f>IF(A132="","",IF(COUNTIFS(Data!$A$2:$A$501,A132)=1,INDEX(Data!$B$2:$B$501,MATCH(A132,Data!$A$2:$A$501,0)),"Not in current directory"))</f>
        <v>James Dobson School</v>
      </c>
      <c r="C132" s="8" t="s">
        <v>88</v>
      </c>
      <c r="D132" s="8"/>
      <c r="E132" s="9"/>
      <c r="F132" s="8"/>
      <c r="G132" s="9"/>
      <c r="H132" s="8"/>
      <c r="I132" s="8"/>
      <c r="J132" s="8" t="s">
        <v>89</v>
      </c>
      <c r="K132" s="8" t="s">
        <v>90</v>
      </c>
      <c r="L132" s="2" t="str">
        <f>IF(A132="","",IF(COUNTIFS($A$8:$A$507,A132)&lt;&gt;1,"Duplicate ID",IF(COUNTIFS(Data!$A$2:$A$501,A132)&lt;&gt;1,"Not current","Current")))</f>
        <v>Current</v>
      </c>
    </row>
    <row r="133" spans="1:12" ht="32" customHeight="1">
      <c r="A133" s="2" t="s">
        <v>215</v>
      </c>
      <c r="B133" s="10" t="str">
        <f>IF(A133="","",IF(COUNTIFS(Data!$A$2:$A$501,A133)=1,INDEX(Data!$B$2:$B$501,MATCH(A133,Data!$A$2:$A$501,0)),"Not in current directory"))</f>
        <v>James G. Blaine School</v>
      </c>
      <c r="C133" s="8" t="s">
        <v>88</v>
      </c>
      <c r="D133" s="8"/>
      <c r="E133" s="9"/>
      <c r="F133" s="8"/>
      <c r="G133" s="9"/>
      <c r="H133" s="8"/>
      <c r="I133" s="8"/>
      <c r="J133" s="8" t="s">
        <v>89</v>
      </c>
      <c r="K133" s="8" t="s">
        <v>90</v>
      </c>
      <c r="L133" s="2" t="str">
        <f>IF(A133="","",IF(COUNTIFS($A$8:$A$507,A133)&lt;&gt;1,"Duplicate ID",IF(COUNTIFS(Data!$A$2:$A$501,A133)&lt;&gt;1,"Not current","Current")))</f>
        <v>Current</v>
      </c>
    </row>
    <row r="134" spans="1:12" ht="32" customHeight="1">
      <c r="A134" s="2" t="s">
        <v>216</v>
      </c>
      <c r="B134" s="10" t="str">
        <f>IF(A134="","",IF(COUNTIFS(Data!$A$2:$A$501,A134)=1,INDEX(Data!$B$2:$B$501,MATCH(A134,Data!$A$2:$A$501,0)),"Not in current directory"))</f>
        <v>James J. Sullivan School</v>
      </c>
      <c r="C134" s="8" t="s">
        <v>88</v>
      </c>
      <c r="D134" s="8"/>
      <c r="E134" s="9"/>
      <c r="F134" s="8"/>
      <c r="G134" s="9"/>
      <c r="H134" s="8"/>
      <c r="I134" s="8"/>
      <c r="J134" s="8" t="s">
        <v>89</v>
      </c>
      <c r="K134" s="8" t="s">
        <v>90</v>
      </c>
      <c r="L134" s="2" t="str">
        <f>IF(A134="","",IF(COUNTIFS($A$8:$A$507,A134)&lt;&gt;1,"Duplicate ID",IF(COUNTIFS(Data!$A$2:$A$501,A134)&lt;&gt;1,"Not current","Current")))</f>
        <v>Current</v>
      </c>
    </row>
    <row r="135" spans="1:12" ht="32" customHeight="1">
      <c r="A135" s="2" t="s">
        <v>217</v>
      </c>
      <c r="B135" s="10" t="str">
        <f>IF(A135="","",IF(COUNTIFS(Data!$A$2:$A$501,A135)=1,INDEX(Data!$B$2:$B$501,MATCH(A135,Data!$A$2:$A$501,0)),"Not in current directory"))</f>
        <v>James Logan School</v>
      </c>
      <c r="C135" s="8" t="s">
        <v>88</v>
      </c>
      <c r="D135" s="8"/>
      <c r="E135" s="9"/>
      <c r="F135" s="8"/>
      <c r="G135" s="9"/>
      <c r="H135" s="8"/>
      <c r="I135" s="8"/>
      <c r="J135" s="8" t="s">
        <v>89</v>
      </c>
      <c r="K135" s="8" t="s">
        <v>90</v>
      </c>
      <c r="L135" s="2" t="str">
        <f>IF(A135="","",IF(COUNTIFS($A$8:$A$507,A135)&lt;&gt;1,"Duplicate ID",IF(COUNTIFS(Data!$A$2:$A$501,A135)&lt;&gt;1,"Not current","Current")))</f>
        <v>Current</v>
      </c>
    </row>
    <row r="136" spans="1:12" ht="32" customHeight="1">
      <c r="A136" s="2" t="s">
        <v>218</v>
      </c>
      <c r="B136" s="10" t="str">
        <f>IF(A136="","",IF(COUNTIFS(Data!$A$2:$A$501,A136)=1,INDEX(Data!$B$2:$B$501,MATCH(A136,Data!$A$2:$A$501,0)),"Not in current directory"))</f>
        <v>James R. Lowell School</v>
      </c>
      <c r="C136" s="8" t="s">
        <v>88</v>
      </c>
      <c r="D136" s="8"/>
      <c r="E136" s="9"/>
      <c r="F136" s="8"/>
      <c r="G136" s="9"/>
      <c r="H136" s="8"/>
      <c r="I136" s="8"/>
      <c r="J136" s="8" t="s">
        <v>89</v>
      </c>
      <c r="K136" s="8" t="s">
        <v>90</v>
      </c>
      <c r="L136" s="2" t="str">
        <f>IF(A136="","",IF(COUNTIFS($A$8:$A$507,A136)&lt;&gt;1,"Duplicate ID",IF(COUNTIFS(Data!$A$2:$A$501,A136)&lt;&gt;1,"Not current","Current")))</f>
        <v>Current</v>
      </c>
    </row>
    <row r="137" spans="1:12" ht="32" customHeight="1">
      <c r="A137" s="2" t="s">
        <v>219</v>
      </c>
      <c r="B137" s="10" t="str">
        <f>IF(A137="","",IF(COUNTIFS(Data!$A$2:$A$501,A137)=1,INDEX(Data!$B$2:$B$501,MATCH(A137,Data!$A$2:$A$501,0)),"Not in current directory"))</f>
        <v>James R. Ludlow School</v>
      </c>
      <c r="C137" s="8" t="s">
        <v>88</v>
      </c>
      <c r="D137" s="8"/>
      <c r="E137" s="9"/>
      <c r="F137" s="8"/>
      <c r="G137" s="9"/>
      <c r="H137" s="8"/>
      <c r="I137" s="8"/>
      <c r="J137" s="8" t="s">
        <v>89</v>
      </c>
      <c r="K137" s="8" t="s">
        <v>90</v>
      </c>
      <c r="L137" s="2" t="str">
        <f>IF(A137="","",IF(COUNTIFS($A$8:$A$507,A137)&lt;&gt;1,"Duplicate ID",IF(COUNTIFS(Data!$A$2:$A$501,A137)&lt;&gt;1,"Not current","Current")))</f>
        <v>Current</v>
      </c>
    </row>
    <row r="138" spans="1:12" ht="32" customHeight="1">
      <c r="A138" s="2" t="s">
        <v>220</v>
      </c>
      <c r="B138" s="10" t="str">
        <f>IF(A138="","",IF(COUNTIFS(Data!$A$2:$A$501,A138)=1,INDEX(Data!$B$2:$B$501,MATCH(A138,Data!$A$2:$A$501,0)),"Not in current directory"))</f>
        <v>James Rhoads School</v>
      </c>
      <c r="C138" s="8" t="s">
        <v>88</v>
      </c>
      <c r="D138" s="8"/>
      <c r="E138" s="9"/>
      <c r="F138" s="8"/>
      <c r="G138" s="9"/>
      <c r="H138" s="8"/>
      <c r="I138" s="8"/>
      <c r="J138" s="8" t="s">
        <v>89</v>
      </c>
      <c r="K138" s="8" t="s">
        <v>90</v>
      </c>
      <c r="L138" s="2" t="str">
        <f>IF(A138="","",IF(COUNTIFS($A$8:$A$507,A138)&lt;&gt;1,"Duplicate ID",IF(COUNTIFS(Data!$A$2:$A$501,A138)&lt;&gt;1,"Not current","Current")))</f>
        <v>Current</v>
      </c>
    </row>
    <row r="139" spans="1:12" ht="32" customHeight="1">
      <c r="A139" s="2" t="s">
        <v>221</v>
      </c>
      <c r="B139" s="10" t="str">
        <f>IF(A139="","",IF(COUNTIFS(Data!$A$2:$A$501,A139)=1,INDEX(Data!$B$2:$B$501,MATCH(A139,Data!$A$2:$A$501,0)),"Not in current directory"))</f>
        <v>Jay Cooke School</v>
      </c>
      <c r="C139" s="8" t="s">
        <v>88</v>
      </c>
      <c r="D139" s="8"/>
      <c r="E139" s="9"/>
      <c r="F139" s="8"/>
      <c r="G139" s="9"/>
      <c r="H139" s="8"/>
      <c r="I139" s="8"/>
      <c r="J139" s="8" t="s">
        <v>89</v>
      </c>
      <c r="K139" s="8" t="s">
        <v>90</v>
      </c>
      <c r="L139" s="2" t="str">
        <f>IF(A139="","",IF(COUNTIFS($A$8:$A$507,A139)&lt;&gt;1,"Duplicate ID",IF(COUNTIFS(Data!$A$2:$A$501,A139)&lt;&gt;1,"Not current","Current")))</f>
        <v>Current</v>
      </c>
    </row>
    <row r="140" spans="1:12" ht="32" customHeight="1">
      <c r="A140" s="2" t="s">
        <v>222</v>
      </c>
      <c r="B140" s="10" t="str">
        <f>IF(A140="","",IF(COUNTIFS(Data!$A$2:$A$501,A140)=1,INDEX(Data!$B$2:$B$501,MATCH(A140,Data!$A$2:$A$501,0)),"Not in current directory"))</f>
        <v>John B. Kelly School</v>
      </c>
      <c r="C140" s="8" t="s">
        <v>88</v>
      </c>
      <c r="D140" s="8"/>
      <c r="E140" s="9"/>
      <c r="F140" s="8"/>
      <c r="G140" s="9"/>
      <c r="H140" s="8"/>
      <c r="I140" s="8"/>
      <c r="J140" s="8" t="s">
        <v>89</v>
      </c>
      <c r="K140" s="8" t="s">
        <v>90</v>
      </c>
      <c r="L140" s="2" t="str">
        <f>IF(A140="","",IF(COUNTIFS($A$8:$A$507,A140)&lt;&gt;1,"Duplicate ID",IF(COUNTIFS(Data!$A$2:$A$501,A140)&lt;&gt;1,"Not current","Current")))</f>
        <v>Current</v>
      </c>
    </row>
    <row r="141" spans="1:12" ht="32" customHeight="1">
      <c r="A141" s="2" t="s">
        <v>223</v>
      </c>
      <c r="B141" s="10" t="str">
        <f>IF(A141="","",IF(COUNTIFS(Data!$A$2:$A$501,A141)=1,INDEX(Data!$B$2:$B$501,MATCH(A141,Data!$A$2:$A$501,0)),"Not in current directory"))</f>
        <v>John B. Stetson Middle School</v>
      </c>
      <c r="C141" s="8" t="s">
        <v>88</v>
      </c>
      <c r="D141" s="8"/>
      <c r="E141" s="9"/>
      <c r="F141" s="8"/>
      <c r="G141" s="9"/>
      <c r="H141" s="8"/>
      <c r="I141" s="8"/>
      <c r="J141" s="8" t="s">
        <v>89</v>
      </c>
      <c r="K141" s="8" t="s">
        <v>90</v>
      </c>
      <c r="L141" s="2" t="str">
        <f>IF(A141="","",IF(COUNTIFS($A$8:$A$507,A141)&lt;&gt;1,"Duplicate ID",IF(COUNTIFS(Data!$A$2:$A$501,A141)&lt;&gt;1,"Not current","Current")))</f>
        <v>Current</v>
      </c>
    </row>
    <row r="142" spans="1:12" ht="32" customHeight="1">
      <c r="A142" s="2" t="s">
        <v>224</v>
      </c>
      <c r="B142" s="10" t="str">
        <f>IF(A142="","",IF(COUNTIFS(Data!$A$2:$A$501,A142)=1,INDEX(Data!$B$2:$B$501,MATCH(A142,Data!$A$2:$A$501,0)),"Not in current directory"))</f>
        <v>John Barry School</v>
      </c>
      <c r="C142" s="8" t="s">
        <v>88</v>
      </c>
      <c r="D142" s="8"/>
      <c r="E142" s="9"/>
      <c r="F142" s="8"/>
      <c r="G142" s="9"/>
      <c r="H142" s="8"/>
      <c r="I142" s="8"/>
      <c r="J142" s="8" t="s">
        <v>89</v>
      </c>
      <c r="K142" s="8" t="s">
        <v>90</v>
      </c>
      <c r="L142" s="2" t="str">
        <f>IF(A142="","",IF(COUNTIFS($A$8:$A$507,A142)&lt;&gt;1,"Duplicate ID",IF(COUNTIFS(Data!$A$2:$A$501,A142)&lt;&gt;1,"Not current","Current")))</f>
        <v>Current</v>
      </c>
    </row>
    <row r="143" spans="1:12" ht="32" customHeight="1">
      <c r="A143" s="2" t="s">
        <v>225</v>
      </c>
      <c r="B143" s="10" t="str">
        <f>IF(A143="","",IF(COUNTIFS(Data!$A$2:$A$501,A143)=1,INDEX(Data!$B$2:$B$501,MATCH(A143,Data!$A$2:$A$501,0)),"Not in current directory"))</f>
        <v>John Bartram High School</v>
      </c>
      <c r="C143" s="8" t="s">
        <v>88</v>
      </c>
      <c r="D143" s="8"/>
      <c r="E143" s="9"/>
      <c r="F143" s="8"/>
      <c r="G143" s="9"/>
      <c r="H143" s="8"/>
      <c r="I143" s="8"/>
      <c r="J143" s="8" t="s">
        <v>89</v>
      </c>
      <c r="K143" s="8" t="s">
        <v>90</v>
      </c>
      <c r="L143" s="2" t="str">
        <f>IF(A143="","",IF(COUNTIFS($A$8:$A$507,A143)&lt;&gt;1,"Duplicate ID",IF(COUNTIFS(Data!$A$2:$A$501,A143)&lt;&gt;1,"Not current","Current")))</f>
        <v>Current</v>
      </c>
    </row>
    <row r="144" spans="1:12" ht="32" customHeight="1">
      <c r="A144" s="2" t="s">
        <v>226</v>
      </c>
      <c r="B144" s="10" t="str">
        <f>IF(A144="","",IF(COUNTIFS(Data!$A$2:$A$501,A144)=1,INDEX(Data!$B$2:$B$501,MATCH(A144,Data!$A$2:$A$501,0)),"Not in current directory"))</f>
        <v>John F. Hartranft School</v>
      </c>
      <c r="C144" s="8" t="s">
        <v>88</v>
      </c>
      <c r="D144" s="8"/>
      <c r="E144" s="9"/>
      <c r="F144" s="8"/>
      <c r="G144" s="9"/>
      <c r="H144" s="8"/>
      <c r="I144" s="8"/>
      <c r="J144" s="8" t="s">
        <v>89</v>
      </c>
      <c r="K144" s="8" t="s">
        <v>90</v>
      </c>
      <c r="L144" s="2" t="str">
        <f>IF(A144="","",IF(COUNTIFS($A$8:$A$507,A144)&lt;&gt;1,"Duplicate ID",IF(COUNTIFS(Data!$A$2:$A$501,A144)&lt;&gt;1,"Not current","Current")))</f>
        <v>Current</v>
      </c>
    </row>
    <row r="145" spans="1:12" ht="32" customHeight="1">
      <c r="A145" s="2" t="s">
        <v>227</v>
      </c>
      <c r="B145" s="10" t="str">
        <f>IF(A145="","",IF(COUNTIFS(Data!$A$2:$A$501,A145)=1,INDEX(Data!$B$2:$B$501,MATCH(A145,Data!$A$2:$A$501,0)),"Not in current directory"))</f>
        <v>John F. McCloskey School</v>
      </c>
      <c r="C145" s="8" t="s">
        <v>88</v>
      </c>
      <c r="D145" s="8"/>
      <c r="E145" s="9"/>
      <c r="F145" s="8"/>
      <c r="G145" s="9"/>
      <c r="H145" s="8"/>
      <c r="I145" s="8"/>
      <c r="J145" s="8" t="s">
        <v>89</v>
      </c>
      <c r="K145" s="8" t="s">
        <v>90</v>
      </c>
      <c r="L145" s="2" t="str">
        <f>IF(A145="","",IF(COUNTIFS($A$8:$A$507,A145)&lt;&gt;1,"Duplicate ID",IF(COUNTIFS(Data!$A$2:$A$501,A145)&lt;&gt;1,"Not current","Current")))</f>
        <v>Current</v>
      </c>
    </row>
    <row r="146" spans="1:12" ht="32" customHeight="1">
      <c r="A146" s="2" t="s">
        <v>228</v>
      </c>
      <c r="B146" s="10" t="str">
        <f>IF(A146="","",IF(COUNTIFS(Data!$A$2:$A$501,A146)=1,INDEX(Data!$B$2:$B$501,MATCH(A146,Data!$A$2:$A$501,0)),"Not in current directory"))</f>
        <v>John H. Taggart School</v>
      </c>
      <c r="C146" s="8" t="s">
        <v>88</v>
      </c>
      <c r="D146" s="8"/>
      <c r="E146" s="9"/>
      <c r="F146" s="8"/>
      <c r="G146" s="9"/>
      <c r="H146" s="8"/>
      <c r="I146" s="8"/>
      <c r="J146" s="8" t="s">
        <v>89</v>
      </c>
      <c r="K146" s="8" t="s">
        <v>90</v>
      </c>
      <c r="L146" s="2" t="str">
        <f>IF(A146="","",IF(COUNTIFS($A$8:$A$507,A146)&lt;&gt;1,"Duplicate ID",IF(COUNTIFS(Data!$A$2:$A$501,A146)&lt;&gt;1,"Not current","Current")))</f>
        <v>Current</v>
      </c>
    </row>
    <row r="147" spans="1:12" ht="32" customHeight="1">
      <c r="A147" s="2" t="s">
        <v>229</v>
      </c>
      <c r="B147" s="10" t="str">
        <f>IF(A147="","",IF(COUNTIFS(Data!$A$2:$A$501,A147)=1,INDEX(Data!$B$2:$B$501,MATCH(A147,Data!$A$2:$A$501,0)),"Not in current directory"))</f>
        <v>John H. Webster School</v>
      </c>
      <c r="C147" s="8" t="s">
        <v>88</v>
      </c>
      <c r="D147" s="8"/>
      <c r="E147" s="9"/>
      <c r="F147" s="8"/>
      <c r="G147" s="9"/>
      <c r="H147" s="8"/>
      <c r="I147" s="8"/>
      <c r="J147" s="8" t="s">
        <v>89</v>
      </c>
      <c r="K147" s="8" t="s">
        <v>90</v>
      </c>
      <c r="L147" s="2" t="str">
        <f>IF(A147="","",IF(COUNTIFS($A$8:$A$507,A147)&lt;&gt;1,"Duplicate ID",IF(COUNTIFS(Data!$A$2:$A$501,A147)&lt;&gt;1,"Not current","Current")))</f>
        <v>Current</v>
      </c>
    </row>
    <row r="148" spans="1:12" ht="32" customHeight="1">
      <c r="A148" s="2" t="s">
        <v>230</v>
      </c>
      <c r="B148" s="10" t="str">
        <f>IF(A148="","",IF(COUNTIFS(Data!$A$2:$A$501,A148)=1,INDEX(Data!$B$2:$B$501,MATCH(A148,Data!$A$2:$A$501,0)),"Not in current directory"))</f>
        <v>John M. Patterson School</v>
      </c>
      <c r="C148" s="8" t="s">
        <v>88</v>
      </c>
      <c r="D148" s="8"/>
      <c r="E148" s="9"/>
      <c r="F148" s="8"/>
      <c r="G148" s="9"/>
      <c r="H148" s="8"/>
      <c r="I148" s="8"/>
      <c r="J148" s="8" t="s">
        <v>89</v>
      </c>
      <c r="K148" s="8" t="s">
        <v>90</v>
      </c>
      <c r="L148" s="2" t="str">
        <f>IF(A148="","",IF(COUNTIFS($A$8:$A$507,A148)&lt;&gt;1,"Duplicate ID",IF(COUNTIFS(Data!$A$2:$A$501,A148)&lt;&gt;1,"Not current","Current")))</f>
        <v>Current</v>
      </c>
    </row>
    <row r="149" spans="1:12" ht="32" customHeight="1">
      <c r="A149" s="2" t="s">
        <v>231</v>
      </c>
      <c r="B149" s="10" t="str">
        <f>IF(A149="","",IF(COUNTIFS(Data!$A$2:$A$501,A149)=1,INDEX(Data!$B$2:$B$501,MATCH(A149,Data!$A$2:$A$501,0)),"Not in current directory"))</f>
        <v>John Marshall School</v>
      </c>
      <c r="C149" s="8" t="s">
        <v>88</v>
      </c>
      <c r="D149" s="8"/>
      <c r="E149" s="9"/>
      <c r="F149" s="8"/>
      <c r="G149" s="9"/>
      <c r="H149" s="8"/>
      <c r="I149" s="8"/>
      <c r="J149" s="8" t="s">
        <v>89</v>
      </c>
      <c r="K149" s="8" t="s">
        <v>90</v>
      </c>
      <c r="L149" s="2" t="str">
        <f>IF(A149="","",IF(COUNTIFS($A$8:$A$507,A149)&lt;&gt;1,"Duplicate ID",IF(COUNTIFS(Data!$A$2:$A$501,A149)&lt;&gt;1,"Not current","Current")))</f>
        <v>Current</v>
      </c>
    </row>
    <row r="150" spans="1:12" ht="32" customHeight="1">
      <c r="A150" s="2" t="s">
        <v>232</v>
      </c>
      <c r="B150" s="10" t="str">
        <f>IF(A150="","",IF(COUNTIFS(Data!$A$2:$A$501,A150)=1,INDEX(Data!$B$2:$B$501,MATCH(A150,Data!$A$2:$A$501,0)),"Not in current directory"))</f>
        <v>John Moffet School</v>
      </c>
      <c r="C150" s="8" t="s">
        <v>88</v>
      </c>
      <c r="D150" s="8"/>
      <c r="E150" s="9"/>
      <c r="F150" s="8"/>
      <c r="G150" s="9"/>
      <c r="H150" s="8"/>
      <c r="I150" s="8"/>
      <c r="J150" s="8" t="s">
        <v>89</v>
      </c>
      <c r="K150" s="8" t="s">
        <v>90</v>
      </c>
      <c r="L150" s="2" t="str">
        <f>IF(A150="","",IF(COUNTIFS($A$8:$A$507,A150)&lt;&gt;1,"Duplicate ID",IF(COUNTIFS(Data!$A$2:$A$501,A150)&lt;&gt;1,"Not current","Current")))</f>
        <v>Current</v>
      </c>
    </row>
    <row r="151" spans="1:12" ht="32" customHeight="1">
      <c r="A151" s="2" t="s">
        <v>233</v>
      </c>
      <c r="B151" s="10" t="str">
        <f>IF(A151="","",IF(COUNTIFS(Data!$A$2:$A$501,A151)=1,INDEX(Data!$B$2:$B$501,MATCH(A151,Data!$A$2:$A$501,0)),"Not in current directory"))</f>
        <v>John S. Jenks Academy for the Arts and Sciences</v>
      </c>
      <c r="C151" s="8" t="s">
        <v>88</v>
      </c>
      <c r="D151" s="8"/>
      <c r="E151" s="9"/>
      <c r="F151" s="8"/>
      <c r="G151" s="9"/>
      <c r="H151" s="8"/>
      <c r="I151" s="8"/>
      <c r="J151" s="8" t="s">
        <v>89</v>
      </c>
      <c r="K151" s="8" t="s">
        <v>90</v>
      </c>
      <c r="L151" s="2" t="str">
        <f>IF(A151="","",IF(COUNTIFS($A$8:$A$507,A151)&lt;&gt;1,"Duplicate ID",IF(COUNTIFS(Data!$A$2:$A$501,A151)&lt;&gt;1,"Not current","Current")))</f>
        <v>Current</v>
      </c>
    </row>
    <row r="152" spans="1:12" ht="32" customHeight="1">
      <c r="A152" s="2" t="s">
        <v>234</v>
      </c>
      <c r="B152" s="10" t="str">
        <f>IF(A152="","",IF(COUNTIFS(Data!$A$2:$A$501,A152)=1,INDEX(Data!$B$2:$B$501,MATCH(A152,Data!$A$2:$A$501,0)),"Not in current directory"))</f>
        <v>John Welsh School</v>
      </c>
      <c r="C152" s="8" t="s">
        <v>88</v>
      </c>
      <c r="D152" s="8"/>
      <c r="E152" s="9"/>
      <c r="F152" s="8"/>
      <c r="G152" s="9"/>
      <c r="H152" s="8"/>
      <c r="I152" s="8"/>
      <c r="J152" s="8" t="s">
        <v>89</v>
      </c>
      <c r="K152" s="8" t="s">
        <v>90</v>
      </c>
      <c r="L152" s="2" t="str">
        <f>IF(A152="","",IF(COUNTIFS($A$8:$A$507,A152)&lt;&gt;1,"Duplicate ID",IF(COUNTIFS(Data!$A$2:$A$501,A152)&lt;&gt;1,"Not current","Current")))</f>
        <v>Current</v>
      </c>
    </row>
    <row r="153" spans="1:12" ht="32" customHeight="1">
      <c r="A153" s="2" t="s">
        <v>235</v>
      </c>
      <c r="B153" s="10" t="str">
        <f>IF(A153="","",IF(COUNTIFS(Data!$A$2:$A$501,A153)=1,INDEX(Data!$B$2:$B$501,MATCH(A153,Data!$A$2:$A$501,0)),"Not in current directory"))</f>
        <v>Joseph Greenberg School</v>
      </c>
      <c r="C153" s="8" t="s">
        <v>88</v>
      </c>
      <c r="D153" s="8"/>
      <c r="E153" s="9"/>
      <c r="F153" s="8"/>
      <c r="G153" s="9"/>
      <c r="H153" s="8"/>
      <c r="I153" s="8"/>
      <c r="J153" s="8" t="s">
        <v>89</v>
      </c>
      <c r="K153" s="8" t="s">
        <v>90</v>
      </c>
      <c r="L153" s="2" t="str">
        <f>IF(A153="","",IF(COUNTIFS($A$8:$A$507,A153)&lt;&gt;1,"Duplicate ID",IF(COUNTIFS(Data!$A$2:$A$501,A153)&lt;&gt;1,"Not current","Current")))</f>
        <v>Current</v>
      </c>
    </row>
    <row r="154" spans="1:12" ht="32" customHeight="1">
      <c r="A154" s="2" t="s">
        <v>236</v>
      </c>
      <c r="B154" s="10" t="str">
        <f>IF(A154="","",IF(COUNTIFS(Data!$A$2:$A$501,A154)=1,INDEX(Data!$B$2:$B$501,MATCH(A154,Data!$A$2:$A$501,0)),"Not in current directory"))</f>
        <v>Joseph H. Brown School</v>
      </c>
      <c r="C154" s="8" t="s">
        <v>88</v>
      </c>
      <c r="D154" s="8"/>
      <c r="E154" s="9"/>
      <c r="F154" s="8"/>
      <c r="G154" s="9"/>
      <c r="H154" s="8"/>
      <c r="I154" s="8"/>
      <c r="J154" s="8" t="s">
        <v>89</v>
      </c>
      <c r="K154" s="8" t="s">
        <v>90</v>
      </c>
      <c r="L154" s="2" t="str">
        <f>IF(A154="","",IF(COUNTIFS($A$8:$A$507,A154)&lt;&gt;1,"Duplicate ID",IF(COUNTIFS(Data!$A$2:$A$501,A154)&lt;&gt;1,"Not current","Current")))</f>
        <v>Current</v>
      </c>
    </row>
    <row r="155" spans="1:12" ht="32" customHeight="1">
      <c r="A155" s="2" t="s">
        <v>237</v>
      </c>
      <c r="B155" s="10" t="str">
        <f>IF(A155="","",IF(COUNTIFS(Data!$A$2:$A$501,A155)=1,INDEX(Data!$B$2:$B$501,MATCH(A155,Data!$A$2:$A$501,0)),"Not in current directory"))</f>
        <v>Joseph Pennell School</v>
      </c>
      <c r="C155" s="8" t="s">
        <v>88</v>
      </c>
      <c r="D155" s="8"/>
      <c r="E155" s="9"/>
      <c r="F155" s="8"/>
      <c r="G155" s="9"/>
      <c r="H155" s="8"/>
      <c r="I155" s="8"/>
      <c r="J155" s="8" t="s">
        <v>89</v>
      </c>
      <c r="K155" s="8" t="s">
        <v>90</v>
      </c>
      <c r="L155" s="2" t="str">
        <f>IF(A155="","",IF(COUNTIFS($A$8:$A$507,A155)&lt;&gt;1,"Duplicate ID",IF(COUNTIFS(Data!$A$2:$A$501,A155)&lt;&gt;1,"Not current","Current")))</f>
        <v>Current</v>
      </c>
    </row>
    <row r="156" spans="1:12" ht="32" customHeight="1">
      <c r="A156" s="2" t="s">
        <v>238</v>
      </c>
      <c r="B156" s="10" t="str">
        <f>IF(A156="","",IF(COUNTIFS(Data!$A$2:$A$501,A156)=1,INDEX(Data!$B$2:$B$501,MATCH(A156,Data!$A$2:$A$501,0)),"Not in current directory"))</f>
        <v>Joseph W. Catharine School</v>
      </c>
      <c r="C156" s="8" t="s">
        <v>88</v>
      </c>
      <c r="D156" s="8"/>
      <c r="E156" s="9"/>
      <c r="F156" s="8"/>
      <c r="G156" s="9"/>
      <c r="H156" s="8"/>
      <c r="I156" s="8"/>
      <c r="J156" s="8" t="s">
        <v>89</v>
      </c>
      <c r="K156" s="8" t="s">
        <v>90</v>
      </c>
      <c r="L156" s="2" t="str">
        <f>IF(A156="","",IF(COUNTIFS($A$8:$A$507,A156)&lt;&gt;1,"Duplicate ID",IF(COUNTIFS(Data!$A$2:$A$501,A156)&lt;&gt;1,"Not current","Current")))</f>
        <v>Current</v>
      </c>
    </row>
    <row r="157" spans="1:12" ht="32" customHeight="1">
      <c r="A157" s="2" t="s">
        <v>239</v>
      </c>
      <c r="B157" s="10" t="str">
        <f>IF(A157="","",IF(COUNTIFS(Data!$A$2:$A$501,A157)=1,INDEX(Data!$B$2:$B$501,MATCH(A157,Data!$A$2:$A$501,0)),"Not in current directory"))</f>
        <v>Jules E. Mastbaum Area Vocational Technical High School</v>
      </c>
      <c r="C157" s="8" t="s">
        <v>88</v>
      </c>
      <c r="D157" s="8"/>
      <c r="E157" s="9"/>
      <c r="F157" s="8"/>
      <c r="G157" s="9"/>
      <c r="H157" s="8"/>
      <c r="I157" s="8"/>
      <c r="J157" s="8" t="s">
        <v>89</v>
      </c>
      <c r="K157" s="8" t="s">
        <v>90</v>
      </c>
      <c r="L157" s="2" t="str">
        <f>IF(A157="","",IF(COUNTIFS($A$8:$A$507,A157)&lt;&gt;1,"Duplicate ID",IF(COUNTIFS(Data!$A$2:$A$501,A157)&lt;&gt;1,"Not current","Current")))</f>
        <v>Current</v>
      </c>
    </row>
    <row r="158" spans="1:12" ht="32" customHeight="1">
      <c r="A158" s="2" t="s">
        <v>240</v>
      </c>
      <c r="B158" s="10" t="str">
        <f>IF(A158="","",IF(COUNTIFS(Data!$A$2:$A$501,A158)=1,INDEX(Data!$B$2:$B$501,MATCH(A158,Data!$A$2:$A$501,0)),"Not in current directory"))</f>
        <v>Julia de Burgos School</v>
      </c>
      <c r="C158" s="8" t="s">
        <v>88</v>
      </c>
      <c r="D158" s="8"/>
      <c r="E158" s="9"/>
      <c r="F158" s="8"/>
      <c r="G158" s="9"/>
      <c r="H158" s="8"/>
      <c r="I158" s="8"/>
      <c r="J158" s="8" t="s">
        <v>89</v>
      </c>
      <c r="K158" s="8" t="s">
        <v>90</v>
      </c>
      <c r="L158" s="2" t="str">
        <f>IF(A158="","",IF(COUNTIFS($A$8:$A$507,A158)&lt;&gt;1,"Duplicate ID",IF(COUNTIFS(Data!$A$2:$A$501,A158)&lt;&gt;1,"Not current","Current")))</f>
        <v>Current</v>
      </c>
    </row>
    <row r="159" spans="1:12" ht="32" customHeight="1">
      <c r="A159" s="2" t="s">
        <v>241</v>
      </c>
      <c r="B159" s="10" t="str">
        <f>IF(A159="","",IF(COUNTIFS(Data!$A$2:$A$501,A159)=1,INDEX(Data!$B$2:$B$501,MATCH(A159,Data!$A$2:$A$501,0)),"Not in current directory"))</f>
        <v>Julia R. Masterman High School</v>
      </c>
      <c r="C159" s="8" t="s">
        <v>88</v>
      </c>
      <c r="D159" s="8"/>
      <c r="E159" s="9"/>
      <c r="F159" s="8"/>
      <c r="G159" s="9"/>
      <c r="H159" s="8"/>
      <c r="I159" s="8"/>
      <c r="J159" s="8" t="s">
        <v>89</v>
      </c>
      <c r="K159" s="8" t="s">
        <v>90</v>
      </c>
      <c r="L159" s="2" t="str">
        <f>IF(A159="","",IF(COUNTIFS($A$8:$A$507,A159)&lt;&gt;1,"Duplicate ID",IF(COUNTIFS(Data!$A$2:$A$501,A159)&lt;&gt;1,"Not current","Current")))</f>
        <v>Current</v>
      </c>
    </row>
    <row r="160" spans="1:12" ht="32" customHeight="1">
      <c r="A160" s="2" t="s">
        <v>242</v>
      </c>
      <c r="B160" s="10" t="str">
        <f>IF(A160="","",IF(COUNTIFS(Data!$A$2:$A$501,A160)=1,INDEX(Data!$B$2:$B$501,MATCH(A160,Data!$A$2:$A$501,0)),"Not in current directory"))</f>
        <v>Julia W. Howe School</v>
      </c>
      <c r="C160" s="8" t="s">
        <v>88</v>
      </c>
      <c r="D160" s="8"/>
      <c r="E160" s="9"/>
      <c r="F160" s="8"/>
      <c r="G160" s="9"/>
      <c r="H160" s="8"/>
      <c r="I160" s="8"/>
      <c r="J160" s="8" t="s">
        <v>89</v>
      </c>
      <c r="K160" s="8" t="s">
        <v>90</v>
      </c>
      <c r="L160" s="2" t="str">
        <f>IF(A160="","",IF(COUNTIFS($A$8:$A$507,A160)&lt;&gt;1,"Duplicate ID",IF(COUNTIFS(Data!$A$2:$A$501,A160)&lt;&gt;1,"Not current","Current")))</f>
        <v>Current</v>
      </c>
    </row>
    <row r="161" spans="1:12" ht="32" customHeight="1">
      <c r="A161" s="2" t="s">
        <v>243</v>
      </c>
      <c r="B161" s="10" t="str">
        <f>IF(A161="","",IF(COUNTIFS(Data!$A$2:$A$501,A161)=1,INDEX(Data!$B$2:$B$501,MATCH(A161,Data!$A$2:$A$501,0)),"Not in current directory"))</f>
        <v>Juniata Park Academy</v>
      </c>
      <c r="C161" s="8" t="s">
        <v>88</v>
      </c>
      <c r="D161" s="8"/>
      <c r="E161" s="9"/>
      <c r="F161" s="8"/>
      <c r="G161" s="9"/>
      <c r="H161" s="8"/>
      <c r="I161" s="8"/>
      <c r="J161" s="8" t="s">
        <v>89</v>
      </c>
      <c r="K161" s="8" t="s">
        <v>90</v>
      </c>
      <c r="L161" s="2" t="str">
        <f>IF(A161="","",IF(COUNTIFS($A$8:$A$507,A161)&lt;&gt;1,"Duplicate ID",IF(COUNTIFS(Data!$A$2:$A$501,A161)&lt;&gt;1,"Not current","Current")))</f>
        <v>Current</v>
      </c>
    </row>
    <row r="162" spans="1:12" ht="32" customHeight="1">
      <c r="A162" s="2" t="s">
        <v>244</v>
      </c>
      <c r="B162" s="10" t="str">
        <f>IF(A162="","",IF(COUNTIFS(Data!$A$2:$A$501,A162)=1,INDEX(Data!$B$2:$B$501,MATCH(A162,Data!$A$2:$A$501,0)),"Not in current directory"))</f>
        <v>Kenderton School</v>
      </c>
      <c r="C162" s="8" t="s">
        <v>88</v>
      </c>
      <c r="D162" s="8"/>
      <c r="E162" s="9"/>
      <c r="F162" s="8"/>
      <c r="G162" s="9"/>
      <c r="H162" s="8"/>
      <c r="I162" s="8"/>
      <c r="J162" s="8" t="s">
        <v>89</v>
      </c>
      <c r="K162" s="8" t="s">
        <v>90</v>
      </c>
      <c r="L162" s="2" t="str">
        <f>IF(A162="","",IF(COUNTIFS($A$8:$A$507,A162)&lt;&gt;1,"Duplicate ID",IF(COUNTIFS(Data!$A$2:$A$501,A162)&lt;&gt;1,"Not current","Current")))</f>
        <v>Current</v>
      </c>
    </row>
    <row r="163" spans="1:12" ht="32" customHeight="1">
      <c r="A163" s="2" t="s">
        <v>245</v>
      </c>
      <c r="B163" s="10" t="str">
        <f>IF(A163="","",IF(COUNTIFS(Data!$A$2:$A$501,A163)=1,INDEX(Data!$B$2:$B$501,MATCH(A163,Data!$A$2:$A$501,0)),"Not in current directory"))</f>
        <v>Kennedy C. Crossan School</v>
      </c>
      <c r="C163" s="8" t="s">
        <v>88</v>
      </c>
      <c r="D163" s="8"/>
      <c r="E163" s="9"/>
      <c r="F163" s="8"/>
      <c r="G163" s="9"/>
      <c r="H163" s="8"/>
      <c r="I163" s="8"/>
      <c r="J163" s="8" t="s">
        <v>89</v>
      </c>
      <c r="K163" s="8" t="s">
        <v>90</v>
      </c>
      <c r="L163" s="2" t="str">
        <f>IF(A163="","",IF(COUNTIFS($A$8:$A$507,A163)&lt;&gt;1,"Duplicate ID",IF(COUNTIFS(Data!$A$2:$A$501,A163)&lt;&gt;1,"Not current","Current")))</f>
        <v>Current</v>
      </c>
    </row>
    <row r="164" spans="1:12" ht="32" customHeight="1">
      <c r="A164" s="2" t="s">
        <v>246</v>
      </c>
      <c r="B164" s="10" t="str">
        <f>IF(A164="","",IF(COUNTIFS(Data!$A$2:$A$501,A164)=1,INDEX(Data!$B$2:$B$501,MATCH(A164,Data!$A$2:$A$501,0)),"Not in current directory"))</f>
        <v>Kensington Health Sciences Academy</v>
      </c>
      <c r="C164" s="8" t="s">
        <v>88</v>
      </c>
      <c r="D164" s="8"/>
      <c r="E164" s="9"/>
      <c r="F164" s="8"/>
      <c r="G164" s="9"/>
      <c r="H164" s="8"/>
      <c r="I164" s="8"/>
      <c r="J164" s="8" t="s">
        <v>89</v>
      </c>
      <c r="K164" s="8" t="s">
        <v>90</v>
      </c>
      <c r="L164" s="2" t="str">
        <f>IF(A164="","",IF(COUNTIFS($A$8:$A$507,A164)&lt;&gt;1,"Duplicate ID",IF(COUNTIFS(Data!$A$2:$A$501,A164)&lt;&gt;1,"Not current","Current")))</f>
        <v>Current</v>
      </c>
    </row>
    <row r="165" spans="1:12" ht="32" customHeight="1">
      <c r="A165" s="2" t="s">
        <v>247</v>
      </c>
      <c r="B165" s="10" t="str">
        <f>IF(A165="","",IF(COUNTIFS(Data!$A$2:$A$501,A165)=1,INDEX(Data!$B$2:$B$501,MATCH(A165,Data!$A$2:$A$501,0)),"Not in current directory"))</f>
        <v>Kensington High School</v>
      </c>
      <c r="C165" s="8" t="s">
        <v>88</v>
      </c>
      <c r="D165" s="8"/>
      <c r="E165" s="9"/>
      <c r="F165" s="8"/>
      <c r="G165" s="9"/>
      <c r="H165" s="8"/>
      <c r="I165" s="8"/>
      <c r="J165" s="8" t="s">
        <v>89</v>
      </c>
      <c r="K165" s="8" t="s">
        <v>90</v>
      </c>
      <c r="L165" s="2" t="str">
        <f>IF(A165="","",IF(COUNTIFS($A$8:$A$507,A165)&lt;&gt;1,"Duplicate ID",IF(COUNTIFS(Data!$A$2:$A$501,A165)&lt;&gt;1,"Not current","Current")))</f>
        <v>Current</v>
      </c>
    </row>
    <row r="166" spans="1:12" ht="32" customHeight="1">
      <c r="A166" s="2" t="s">
        <v>248</v>
      </c>
      <c r="B166" s="10" t="str">
        <f>IF(A166="","",IF(COUNTIFS(Data!$A$2:$A$501,A166)=1,INDEX(Data!$B$2:$B$501,MATCH(A166,Data!$A$2:$A$501,0)),"Not in current directory"))</f>
        <v>Kensington High School for Creative and Performing Arts</v>
      </c>
      <c r="C166" s="8" t="s">
        <v>88</v>
      </c>
      <c r="D166" s="8"/>
      <c r="E166" s="9"/>
      <c r="F166" s="8"/>
      <c r="G166" s="9"/>
      <c r="H166" s="8"/>
      <c r="I166" s="8"/>
      <c r="J166" s="8" t="s">
        <v>89</v>
      </c>
      <c r="K166" s="8" t="s">
        <v>90</v>
      </c>
      <c r="L166" s="2" t="str">
        <f>IF(A166="","",IF(COUNTIFS($A$8:$A$507,A166)&lt;&gt;1,"Duplicate ID",IF(COUNTIFS(Data!$A$2:$A$501,A166)&lt;&gt;1,"Not current","Current")))</f>
        <v>Current</v>
      </c>
    </row>
    <row r="167" spans="1:12" ht="32" customHeight="1">
      <c r="A167" s="2" t="s">
        <v>249</v>
      </c>
      <c r="B167" s="10" t="str">
        <f>IF(A167="","",IF(COUNTIFS(Data!$A$2:$A$501,A167)=1,INDEX(Data!$B$2:$B$501,MATCH(A167,Data!$A$2:$A$501,0)),"Not in current directory"))</f>
        <v>Keystone Academy Charter School</v>
      </c>
      <c r="C167" s="8" t="s">
        <v>88</v>
      </c>
      <c r="D167" s="8"/>
      <c r="E167" s="9"/>
      <c r="F167" s="8"/>
      <c r="G167" s="9"/>
      <c r="H167" s="8"/>
      <c r="I167" s="8"/>
      <c r="J167" s="8" t="s">
        <v>89</v>
      </c>
      <c r="K167" s="8" t="s">
        <v>90</v>
      </c>
      <c r="L167" s="2" t="str">
        <f>IF(A167="","",IF(COUNTIFS($A$8:$A$507,A167)&lt;&gt;1,"Duplicate ID",IF(COUNTIFS(Data!$A$2:$A$501,A167)&lt;&gt;1,"Not current","Current")))</f>
        <v>Current</v>
      </c>
    </row>
    <row r="168" spans="1:12" ht="32" customHeight="1">
      <c r="A168" s="2" t="s">
        <v>250</v>
      </c>
      <c r="B168" s="10" t="str">
        <f>IF(A168="","",IF(COUNTIFS(Data!$A$2:$A$501,A168)=1,INDEX(Data!$B$2:$B$501,MATCH(A168,Data!$A$2:$A$501,0)),"Not in current directory"))</f>
        <v>KIPP DuBois Charter School</v>
      </c>
      <c r="C168" s="8" t="s">
        <v>88</v>
      </c>
      <c r="D168" s="8"/>
      <c r="E168" s="9"/>
      <c r="F168" s="8"/>
      <c r="G168" s="9"/>
      <c r="H168" s="8"/>
      <c r="I168" s="8"/>
      <c r="J168" s="8" t="s">
        <v>89</v>
      </c>
      <c r="K168" s="8" t="s">
        <v>90</v>
      </c>
      <c r="L168" s="2" t="str">
        <f>IF(A168="","",IF(COUNTIFS($A$8:$A$507,A168)&lt;&gt;1,"Duplicate ID",IF(COUNTIFS(Data!$A$2:$A$501,A168)&lt;&gt;1,"Not current","Current")))</f>
        <v>Current</v>
      </c>
    </row>
    <row r="169" spans="1:12" ht="32" customHeight="1">
      <c r="A169" s="2" t="s">
        <v>251</v>
      </c>
      <c r="B169" s="10" t="str">
        <f>IF(A169="","",IF(COUNTIFS(Data!$A$2:$A$501,A169)=1,INDEX(Data!$B$2:$B$501,MATCH(A169,Data!$A$2:$A$501,0)),"Not in current directory"))</f>
        <v>KIPP North Philadelphia Charter School</v>
      </c>
      <c r="C169" s="8" t="s">
        <v>88</v>
      </c>
      <c r="D169" s="8"/>
      <c r="E169" s="9"/>
      <c r="F169" s="8"/>
      <c r="G169" s="9"/>
      <c r="H169" s="8"/>
      <c r="I169" s="8"/>
      <c r="J169" s="8" t="s">
        <v>89</v>
      </c>
      <c r="K169" s="8" t="s">
        <v>90</v>
      </c>
      <c r="L169" s="2" t="str">
        <f>IF(A169="","",IF(COUNTIFS($A$8:$A$507,A169)&lt;&gt;1,"Duplicate ID",IF(COUNTIFS(Data!$A$2:$A$501,A169)&lt;&gt;1,"Not current","Current")))</f>
        <v>Current</v>
      </c>
    </row>
    <row r="170" spans="1:12" ht="32" customHeight="1">
      <c r="A170" s="2" t="s">
        <v>252</v>
      </c>
      <c r="B170" s="10" t="str">
        <f>IF(A170="","",IF(COUNTIFS(Data!$A$2:$A$501,A170)=1,INDEX(Data!$B$2:$B$501,MATCH(A170,Data!$A$2:$A$501,0)),"Not in current directory"))</f>
        <v>KIPP Octavius Catto Charter School</v>
      </c>
      <c r="C170" s="8" t="s">
        <v>88</v>
      </c>
      <c r="D170" s="8"/>
      <c r="E170" s="9"/>
      <c r="F170" s="8"/>
      <c r="G170" s="9"/>
      <c r="H170" s="8"/>
      <c r="I170" s="8"/>
      <c r="J170" s="8" t="s">
        <v>89</v>
      </c>
      <c r="K170" s="8" t="s">
        <v>90</v>
      </c>
      <c r="L170" s="2" t="str">
        <f>IF(A170="","",IF(COUNTIFS($A$8:$A$507,A170)&lt;&gt;1,"Duplicate ID",IF(COUNTIFS(Data!$A$2:$A$501,A170)&lt;&gt;1,"Not current","Current")))</f>
        <v>Current</v>
      </c>
    </row>
    <row r="171" spans="1:12" ht="32" customHeight="1">
      <c r="A171" s="2" t="s">
        <v>253</v>
      </c>
      <c r="B171" s="10" t="str">
        <f>IF(A171="","",IF(COUNTIFS(Data!$A$2:$A$501,A171)=1,INDEX(Data!$B$2:$B$501,MATCH(A171,Data!$A$2:$A$501,0)),"Not in current directory"))</f>
        <v>KIPP Philadelphia Charter School</v>
      </c>
      <c r="C171" s="8" t="s">
        <v>88</v>
      </c>
      <c r="D171" s="8"/>
      <c r="E171" s="9"/>
      <c r="F171" s="8"/>
      <c r="G171" s="9"/>
      <c r="H171" s="8"/>
      <c r="I171" s="8"/>
      <c r="J171" s="8" t="s">
        <v>89</v>
      </c>
      <c r="K171" s="8" t="s">
        <v>90</v>
      </c>
      <c r="L171" s="2" t="str">
        <f>IF(A171="","",IF(COUNTIFS($A$8:$A$507,A171)&lt;&gt;1,"Duplicate ID",IF(COUNTIFS(Data!$A$2:$A$501,A171)&lt;&gt;1,"Not current","Current")))</f>
        <v>Current</v>
      </c>
    </row>
    <row r="172" spans="1:12" ht="32" customHeight="1">
      <c r="A172" s="2" t="s">
        <v>254</v>
      </c>
      <c r="B172" s="10" t="str">
        <f>IF(A172="","",IF(COUNTIFS(Data!$A$2:$A$501,A172)=1,INDEX(Data!$B$2:$B$501,MATCH(A172,Data!$A$2:$A$501,0)),"Not in current directory"))</f>
        <v>KIPP West Philadelphia Charter School</v>
      </c>
      <c r="C172" s="8" t="s">
        <v>88</v>
      </c>
      <c r="D172" s="8"/>
      <c r="E172" s="9"/>
      <c r="F172" s="8"/>
      <c r="G172" s="9"/>
      <c r="H172" s="8"/>
      <c r="I172" s="8"/>
      <c r="J172" s="8" t="s">
        <v>89</v>
      </c>
      <c r="K172" s="8" t="s">
        <v>90</v>
      </c>
      <c r="L172" s="2" t="str">
        <f>IF(A172="","",IF(COUNTIFS($A$8:$A$507,A172)&lt;&gt;1,"Duplicate ID",IF(COUNTIFS(Data!$A$2:$A$501,A172)&lt;&gt;1,"Not current","Current")))</f>
        <v>Current</v>
      </c>
    </row>
    <row r="173" spans="1:12" ht="32" customHeight="1">
      <c r="A173" s="2" t="s">
        <v>255</v>
      </c>
      <c r="B173" s="10" t="str">
        <f>IF(A173="","",IF(COUNTIFS(Data!$A$2:$A$501,A173)=1,INDEX(Data!$B$2:$B$501,MATCH(A173,Data!$A$2:$A$501,0)),"Not in current directory"))</f>
        <v>Laboratory Charter School of Communication and Languages</v>
      </c>
      <c r="C173" s="8" t="s">
        <v>88</v>
      </c>
      <c r="D173" s="8"/>
      <c r="E173" s="9"/>
      <c r="F173" s="8"/>
      <c r="G173" s="9"/>
      <c r="H173" s="8"/>
      <c r="I173" s="8"/>
      <c r="J173" s="8" t="s">
        <v>89</v>
      </c>
      <c r="K173" s="8" t="s">
        <v>90</v>
      </c>
      <c r="L173" s="2" t="str">
        <f>IF(A173="","",IF(COUNTIFS($A$8:$A$507,A173)&lt;&gt;1,"Duplicate ID",IF(COUNTIFS(Data!$A$2:$A$501,A173)&lt;&gt;1,"Not current","Current")))</f>
        <v>Current</v>
      </c>
    </row>
    <row r="174" spans="1:12" ht="32" customHeight="1">
      <c r="A174" s="2" t="s">
        <v>256</v>
      </c>
      <c r="B174" s="10" t="str">
        <f>IF(A174="","",IF(COUNTIFS(Data!$A$2:$A$501,A174)=1,INDEX(Data!$B$2:$B$501,MATCH(A174,Data!$A$2:$A$501,0)),"Not in current directory"))</f>
        <v>Lankenau High School</v>
      </c>
      <c r="C174" s="8" t="s">
        <v>88</v>
      </c>
      <c r="D174" s="8"/>
      <c r="E174" s="9"/>
      <c r="F174" s="8"/>
      <c r="G174" s="9"/>
      <c r="H174" s="8"/>
      <c r="I174" s="8"/>
      <c r="J174" s="8" t="s">
        <v>89</v>
      </c>
      <c r="K174" s="8" t="s">
        <v>90</v>
      </c>
      <c r="L174" s="2" t="str">
        <f>IF(A174="","",IF(COUNTIFS($A$8:$A$507,A174)&lt;&gt;1,"Duplicate ID",IF(COUNTIFS(Data!$A$2:$A$501,A174)&lt;&gt;1,"Not current","Current")))</f>
        <v>Current</v>
      </c>
    </row>
    <row r="175" spans="1:12" ht="32" customHeight="1">
      <c r="A175" s="2" t="s">
        <v>257</v>
      </c>
      <c r="B175" s="10" t="str">
        <f>IF(A175="","",IF(COUNTIFS(Data!$A$2:$A$501,A175)=1,INDEX(Data!$B$2:$B$501,MATCH(A175,Data!$A$2:$A$501,0)),"Not in current directory"))</f>
        <v>Laura H. Carnell School</v>
      </c>
      <c r="C175" s="8" t="s">
        <v>88</v>
      </c>
      <c r="D175" s="8"/>
      <c r="E175" s="9"/>
      <c r="F175" s="8"/>
      <c r="G175" s="9"/>
      <c r="H175" s="8"/>
      <c r="I175" s="8"/>
      <c r="J175" s="8" t="s">
        <v>89</v>
      </c>
      <c r="K175" s="8" t="s">
        <v>90</v>
      </c>
      <c r="L175" s="2" t="str">
        <f>IF(A175="","",IF(COUNTIFS($A$8:$A$507,A175)&lt;&gt;1,"Duplicate ID",IF(COUNTIFS(Data!$A$2:$A$501,A175)&lt;&gt;1,"Not current","Current")))</f>
        <v>Current</v>
      </c>
    </row>
    <row r="176" spans="1:12" ht="32" customHeight="1">
      <c r="A176" s="2" t="s">
        <v>258</v>
      </c>
      <c r="B176" s="10" t="str">
        <f>IF(A176="","",IF(COUNTIFS(Data!$A$2:$A$501,A176)=1,INDEX(Data!$B$2:$B$501,MATCH(A176,Data!$A$2:$A$501,0)),"Not in current directory"))</f>
        <v>Laura W. Waring School</v>
      </c>
      <c r="C176" s="8" t="s">
        <v>88</v>
      </c>
      <c r="D176" s="8"/>
      <c r="E176" s="9"/>
      <c r="F176" s="8"/>
      <c r="G176" s="9"/>
      <c r="H176" s="8"/>
      <c r="I176" s="8"/>
      <c r="J176" s="8" t="s">
        <v>89</v>
      </c>
      <c r="K176" s="8" t="s">
        <v>90</v>
      </c>
      <c r="L176" s="2" t="str">
        <f>IF(A176="","",IF(COUNTIFS($A$8:$A$507,A176)&lt;&gt;1,"Duplicate ID",IF(COUNTIFS(Data!$A$2:$A$501,A176)&lt;&gt;1,"Not current","Current")))</f>
        <v>Current</v>
      </c>
    </row>
    <row r="177" spans="1:12" ht="32" customHeight="1">
      <c r="A177" s="2" t="s">
        <v>259</v>
      </c>
      <c r="B177" s="10" t="str">
        <f>IF(A177="","",IF(COUNTIFS(Data!$A$2:$A$501,A177)=1,INDEX(Data!$B$2:$B$501,MATCH(A177,Data!$A$2:$A$501,0)),"Not in current directory"))</f>
        <v>Lewis C. Cassidy Academics Plus School</v>
      </c>
      <c r="C177" s="8" t="s">
        <v>88</v>
      </c>
      <c r="D177" s="8"/>
      <c r="E177" s="9"/>
      <c r="F177" s="8"/>
      <c r="G177" s="9"/>
      <c r="H177" s="8"/>
      <c r="I177" s="8"/>
      <c r="J177" s="8" t="s">
        <v>89</v>
      </c>
      <c r="K177" s="8" t="s">
        <v>90</v>
      </c>
      <c r="L177" s="2" t="str">
        <f>IF(A177="","",IF(COUNTIFS($A$8:$A$507,A177)&lt;&gt;1,"Duplicate ID",IF(COUNTIFS(Data!$A$2:$A$501,A177)&lt;&gt;1,"Not current","Current")))</f>
        <v>Current</v>
      </c>
    </row>
    <row r="178" spans="1:12" ht="32" customHeight="1">
      <c r="A178" s="2" t="s">
        <v>260</v>
      </c>
      <c r="B178" s="10" t="str">
        <f>IF(A178="","",IF(COUNTIFS(Data!$A$2:$A$501,A178)=1,INDEX(Data!$B$2:$B$501,MATCH(A178,Data!$A$2:$A$501,0)),"Not in current directory"))</f>
        <v>Lewis Elkin School</v>
      </c>
      <c r="C178" s="8" t="s">
        <v>88</v>
      </c>
      <c r="D178" s="8"/>
      <c r="E178" s="9"/>
      <c r="F178" s="8"/>
      <c r="G178" s="9"/>
      <c r="H178" s="8"/>
      <c r="I178" s="8"/>
      <c r="J178" s="8" t="s">
        <v>89</v>
      </c>
      <c r="K178" s="8" t="s">
        <v>90</v>
      </c>
      <c r="L178" s="2" t="str">
        <f>IF(A178="","",IF(COUNTIFS($A$8:$A$507,A178)&lt;&gt;1,"Duplicate ID",IF(COUNTIFS(Data!$A$2:$A$501,A178)&lt;&gt;1,"Not current","Current")))</f>
        <v>Current</v>
      </c>
    </row>
    <row r="179" spans="1:12" ht="32" customHeight="1">
      <c r="A179" s="2" t="s">
        <v>261</v>
      </c>
      <c r="B179" s="10" t="str">
        <f>IF(A179="","",IF(COUNTIFS(Data!$A$2:$A$501,A179)=1,INDEX(Data!$B$2:$B$501,MATCH(A179,Data!$A$2:$A$501,0)),"Not in current directory"))</f>
        <v>Louis H. Farrell School</v>
      </c>
      <c r="C179" s="8" t="s">
        <v>88</v>
      </c>
      <c r="D179" s="8"/>
      <c r="E179" s="9"/>
      <c r="F179" s="8"/>
      <c r="G179" s="9"/>
      <c r="H179" s="8"/>
      <c r="I179" s="8"/>
      <c r="J179" s="8" t="s">
        <v>89</v>
      </c>
      <c r="K179" s="8" t="s">
        <v>90</v>
      </c>
      <c r="L179" s="2" t="str">
        <f>IF(A179="","",IF(COUNTIFS($A$8:$A$507,A179)&lt;&gt;1,"Duplicate ID",IF(COUNTIFS(Data!$A$2:$A$501,A179)&lt;&gt;1,"Not current","Current")))</f>
        <v>Current</v>
      </c>
    </row>
    <row r="180" spans="1:12" ht="32" customHeight="1">
      <c r="A180" s="2" t="s">
        <v>262</v>
      </c>
      <c r="B180" s="10" t="str">
        <f>IF(A180="","",IF(COUNTIFS(Data!$A$2:$A$501,A180)=1,INDEX(Data!$B$2:$B$501,MATCH(A180,Data!$A$2:$A$501,0)),"Not in current directory"))</f>
        <v>Marian Anderson Neighborhood Academy</v>
      </c>
      <c r="C180" s="8" t="s">
        <v>88</v>
      </c>
      <c r="D180" s="8"/>
      <c r="E180" s="9"/>
      <c r="F180" s="8"/>
      <c r="G180" s="9"/>
      <c r="H180" s="8"/>
      <c r="I180" s="8"/>
      <c r="J180" s="8" t="s">
        <v>89</v>
      </c>
      <c r="K180" s="8" t="s">
        <v>90</v>
      </c>
      <c r="L180" s="2" t="str">
        <f>IF(A180="","",IF(COUNTIFS($A$8:$A$507,A180)&lt;&gt;1,"Duplicate ID",IF(COUNTIFS(Data!$A$2:$A$501,A180)&lt;&gt;1,"Not current","Current")))</f>
        <v>Current</v>
      </c>
    </row>
    <row r="181" spans="1:12" ht="32" customHeight="1">
      <c r="A181" s="2" t="s">
        <v>263</v>
      </c>
      <c r="B181" s="10" t="str">
        <f>IF(A181="","",IF(COUNTIFS(Data!$A$2:$A$501,A181)=1,INDEX(Data!$B$2:$B$501,MATCH(A181,Data!$A$2:$A$501,0)),"Not in current directory"))</f>
        <v>Mariana Bracetti Academy Charter School</v>
      </c>
      <c r="C181" s="8" t="s">
        <v>88</v>
      </c>
      <c r="D181" s="8"/>
      <c r="E181" s="9"/>
      <c r="F181" s="8"/>
      <c r="G181" s="9"/>
      <c r="H181" s="8"/>
      <c r="I181" s="8"/>
      <c r="J181" s="8" t="s">
        <v>89</v>
      </c>
      <c r="K181" s="8" t="s">
        <v>90</v>
      </c>
      <c r="L181" s="2" t="str">
        <f>IF(A181="","",IF(COUNTIFS($A$8:$A$507,A181)&lt;&gt;1,"Duplicate ID",IF(COUNTIFS(Data!$A$2:$A$501,A181)&lt;&gt;1,"Not current","Current")))</f>
        <v>Current</v>
      </c>
    </row>
    <row r="182" spans="1:12" ht="32" customHeight="1">
      <c r="A182" s="2" t="s">
        <v>264</v>
      </c>
      <c r="B182" s="10" t="str">
        <f>IF(A182="","",IF(COUNTIFS(Data!$A$2:$A$501,A182)=1,INDEX(Data!$B$2:$B$501,MATCH(A182,Data!$A$2:$A$501,0)),"Not in current directory"))</f>
        <v>Maritime Academy Charter School</v>
      </c>
      <c r="C182" s="8" t="s">
        <v>88</v>
      </c>
      <c r="D182" s="8"/>
      <c r="E182" s="9"/>
      <c r="F182" s="8"/>
      <c r="G182" s="9"/>
      <c r="H182" s="8"/>
      <c r="I182" s="8"/>
      <c r="J182" s="8" t="s">
        <v>89</v>
      </c>
      <c r="K182" s="8" t="s">
        <v>90</v>
      </c>
      <c r="L182" s="2" t="str">
        <f>IF(A182="","",IF(COUNTIFS($A$8:$A$507,A182)&lt;&gt;1,"Duplicate ID",IF(COUNTIFS(Data!$A$2:$A$501,A182)&lt;&gt;1,"Not current","Current")))</f>
        <v>Current</v>
      </c>
    </row>
    <row r="183" spans="1:12" ht="32" customHeight="1">
      <c r="A183" s="2" t="s">
        <v>265</v>
      </c>
      <c r="B183" s="10" t="str">
        <f>IF(A183="","",IF(COUNTIFS(Data!$A$2:$A$501,A183)=1,INDEX(Data!$B$2:$B$501,MATCH(A183,Data!$A$2:$A$501,0)),"Not in current directory"))</f>
        <v>Martha Washington School</v>
      </c>
      <c r="C183" s="8" t="s">
        <v>88</v>
      </c>
      <c r="D183" s="8"/>
      <c r="E183" s="9"/>
      <c r="F183" s="8"/>
      <c r="G183" s="9"/>
      <c r="H183" s="8"/>
      <c r="I183" s="8"/>
      <c r="J183" s="8" t="s">
        <v>89</v>
      </c>
      <c r="K183" s="8" t="s">
        <v>90</v>
      </c>
      <c r="L183" s="2" t="str">
        <f>IF(A183="","",IF(COUNTIFS($A$8:$A$507,A183)&lt;&gt;1,"Duplicate ID",IF(COUNTIFS(Data!$A$2:$A$501,A183)&lt;&gt;1,"Not current","Current")))</f>
        <v>Current</v>
      </c>
    </row>
    <row r="184" spans="1:12" ht="32" customHeight="1">
      <c r="A184" s="2" t="s">
        <v>266</v>
      </c>
      <c r="B184" s="10" t="str">
        <f>IF(A184="","",IF(COUNTIFS(Data!$A$2:$A$501,A184)=1,INDEX(Data!$B$2:$B$501,MATCH(A184,Data!$A$2:$A$501,0)),"Not in current directory"))</f>
        <v>Martin Luther King High School</v>
      </c>
      <c r="C184" s="8" t="s">
        <v>88</v>
      </c>
      <c r="D184" s="8"/>
      <c r="E184" s="9"/>
      <c r="F184" s="8"/>
      <c r="G184" s="9"/>
      <c r="H184" s="8"/>
      <c r="I184" s="8"/>
      <c r="J184" s="8" t="s">
        <v>89</v>
      </c>
      <c r="K184" s="8" t="s">
        <v>90</v>
      </c>
      <c r="L184" s="2" t="str">
        <f>IF(A184="","",IF(COUNTIFS($A$8:$A$507,A184)&lt;&gt;1,"Duplicate ID",IF(COUNTIFS(Data!$A$2:$A$501,A184)&lt;&gt;1,"Not current","Current")))</f>
        <v>Current</v>
      </c>
    </row>
    <row r="185" spans="1:12" ht="32" customHeight="1">
      <c r="A185" s="2" t="s">
        <v>267</v>
      </c>
      <c r="B185" s="10" t="str">
        <f>IF(A185="","",IF(COUNTIFS(Data!$A$2:$A$501,A185)=1,INDEX(Data!$B$2:$B$501,MATCH(A185,Data!$A$2:$A$501,0)),"Not in current directory"))</f>
        <v>Mary M. Bethune School</v>
      </c>
      <c r="C185" s="8" t="s">
        <v>88</v>
      </c>
      <c r="D185" s="8"/>
      <c r="E185" s="9"/>
      <c r="F185" s="8"/>
      <c r="G185" s="9"/>
      <c r="H185" s="8"/>
      <c r="I185" s="8"/>
      <c r="J185" s="8" t="s">
        <v>89</v>
      </c>
      <c r="K185" s="8" t="s">
        <v>90</v>
      </c>
      <c r="L185" s="2" t="str">
        <f>IF(A185="","",IF(COUNTIFS($A$8:$A$507,A185)&lt;&gt;1,"Duplicate ID",IF(COUNTIFS(Data!$A$2:$A$501,A185)&lt;&gt;1,"Not current","Current")))</f>
        <v>Current</v>
      </c>
    </row>
    <row r="186" spans="1:12" ht="32" customHeight="1">
      <c r="A186" s="2" t="s">
        <v>268</v>
      </c>
      <c r="B186" s="10" t="str">
        <f>IF(A186="","",IF(COUNTIFS(Data!$A$2:$A$501,A186)=1,INDEX(Data!$B$2:$B$501,MATCH(A186,Data!$A$2:$A$501,0)),"Not in current directory"))</f>
        <v>MaST Community Charter School II</v>
      </c>
      <c r="C186" s="8" t="s">
        <v>88</v>
      </c>
      <c r="D186" s="8"/>
      <c r="E186" s="9"/>
      <c r="F186" s="8"/>
      <c r="G186" s="9"/>
      <c r="H186" s="8"/>
      <c r="I186" s="8"/>
      <c r="J186" s="8" t="s">
        <v>89</v>
      </c>
      <c r="K186" s="8" t="s">
        <v>90</v>
      </c>
      <c r="L186" s="2" t="str">
        <f>IF(A186="","",IF(COUNTIFS($A$8:$A$507,A186)&lt;&gt;1,"Duplicate ID",IF(COUNTIFS(Data!$A$2:$A$501,A186)&lt;&gt;1,"Not current","Current")))</f>
        <v>Current</v>
      </c>
    </row>
    <row r="187" spans="1:12" ht="32" customHeight="1">
      <c r="A187" s="2" t="s">
        <v>269</v>
      </c>
      <c r="B187" s="10" t="str">
        <f>IF(A187="","",IF(COUNTIFS(Data!$A$2:$A$501,A187)=1,INDEX(Data!$B$2:$B$501,MATCH(A187,Data!$A$2:$A$501,0)),"Not in current directory"))</f>
        <v>MAST Community Charter School III</v>
      </c>
      <c r="C187" s="8" t="s">
        <v>88</v>
      </c>
      <c r="D187" s="8"/>
      <c r="E187" s="9"/>
      <c r="F187" s="8"/>
      <c r="G187" s="9"/>
      <c r="H187" s="8"/>
      <c r="I187" s="8"/>
      <c r="J187" s="8" t="s">
        <v>89</v>
      </c>
      <c r="K187" s="8" t="s">
        <v>90</v>
      </c>
      <c r="L187" s="2" t="str">
        <f>IF(A187="","",IF(COUNTIFS($A$8:$A$507,A187)&lt;&gt;1,"Duplicate ID",IF(COUNTIFS(Data!$A$2:$A$501,A187)&lt;&gt;1,"Not current","Current")))</f>
        <v>Current</v>
      </c>
    </row>
    <row r="188" spans="1:12" ht="32" customHeight="1">
      <c r="A188" s="2" t="s">
        <v>270</v>
      </c>
      <c r="B188" s="10" t="str">
        <f>IF(A188="","",IF(COUNTIFS(Data!$A$2:$A$501,A188)=1,INDEX(Data!$B$2:$B$501,MATCH(A188,Data!$A$2:$A$501,0)),"Not in current directory"))</f>
        <v>Mastery Charter High School</v>
      </c>
      <c r="C188" s="8" t="s">
        <v>88</v>
      </c>
      <c r="D188" s="8"/>
      <c r="E188" s="9"/>
      <c r="F188" s="8"/>
      <c r="G188" s="9"/>
      <c r="H188" s="8"/>
      <c r="I188" s="8"/>
      <c r="J188" s="8" t="s">
        <v>89</v>
      </c>
      <c r="K188" s="8" t="s">
        <v>90</v>
      </c>
      <c r="L188" s="2" t="str">
        <f>IF(A188="","",IF(COUNTIFS($A$8:$A$507,A188)&lt;&gt;1,"Duplicate ID",IF(COUNTIFS(Data!$A$2:$A$501,A188)&lt;&gt;1,"Not current","Current")))</f>
        <v>Current</v>
      </c>
    </row>
    <row r="189" spans="1:12" ht="32" customHeight="1">
      <c r="A189" s="2" t="s">
        <v>271</v>
      </c>
      <c r="B189" s="10" t="str">
        <f>IF(A189="","",IF(COUNTIFS(Data!$A$2:$A$501,A189)=1,INDEX(Data!$B$2:$B$501,MATCH(A189,Data!$A$2:$A$501,0)),"Not in current directory"))</f>
        <v>Mastery Charter School at Cleveland</v>
      </c>
      <c r="C189" s="8" t="s">
        <v>88</v>
      </c>
      <c r="D189" s="8"/>
      <c r="E189" s="9"/>
      <c r="F189" s="8"/>
      <c r="G189" s="9"/>
      <c r="H189" s="8"/>
      <c r="I189" s="8"/>
      <c r="J189" s="8" t="s">
        <v>89</v>
      </c>
      <c r="K189" s="8" t="s">
        <v>90</v>
      </c>
      <c r="L189" s="2" t="str">
        <f>IF(A189="","",IF(COUNTIFS($A$8:$A$507,A189)&lt;&gt;1,"Duplicate ID",IF(COUNTIFS(Data!$A$2:$A$501,A189)&lt;&gt;1,"Not current","Current")))</f>
        <v>Current</v>
      </c>
    </row>
    <row r="190" spans="1:12" ht="32" customHeight="1">
      <c r="A190" s="2" t="s">
        <v>272</v>
      </c>
      <c r="B190" s="10" t="str">
        <f>IF(A190="","",IF(COUNTIFS(Data!$A$2:$A$501,A190)=1,INDEX(Data!$B$2:$B$501,MATCH(A190,Data!$A$2:$A$501,0)),"Not in current directory"))</f>
        <v>Mastery Charter School at Clymer</v>
      </c>
      <c r="C190" s="8" t="s">
        <v>88</v>
      </c>
      <c r="D190" s="8"/>
      <c r="E190" s="9"/>
      <c r="F190" s="8"/>
      <c r="G190" s="9"/>
      <c r="H190" s="8"/>
      <c r="I190" s="8"/>
      <c r="J190" s="8" t="s">
        <v>89</v>
      </c>
      <c r="K190" s="8" t="s">
        <v>90</v>
      </c>
      <c r="L190" s="2" t="str">
        <f>IF(A190="","",IF(COUNTIFS($A$8:$A$507,A190)&lt;&gt;1,"Duplicate ID",IF(COUNTIFS(Data!$A$2:$A$501,A190)&lt;&gt;1,"Not current","Current")))</f>
        <v>Current</v>
      </c>
    </row>
    <row r="191" spans="1:12" ht="32" customHeight="1">
      <c r="A191" s="2" t="s">
        <v>273</v>
      </c>
      <c r="B191" s="10" t="str">
        <f>IF(A191="","",IF(COUNTIFS(Data!$A$2:$A$501,A191)=1,INDEX(Data!$B$2:$B$501,MATCH(A191,Data!$A$2:$A$501,0)),"Not in current directory"))</f>
        <v>Mastery Charter School at Douglass</v>
      </c>
      <c r="C191" s="8" t="s">
        <v>88</v>
      </c>
      <c r="D191" s="8"/>
      <c r="E191" s="9"/>
      <c r="F191" s="8"/>
      <c r="G191" s="9"/>
      <c r="H191" s="8"/>
      <c r="I191" s="8"/>
      <c r="J191" s="8" t="s">
        <v>89</v>
      </c>
      <c r="K191" s="8" t="s">
        <v>90</v>
      </c>
      <c r="L191" s="2" t="str">
        <f>IF(A191="","",IF(COUNTIFS($A$8:$A$507,A191)&lt;&gt;1,"Duplicate ID",IF(COUNTIFS(Data!$A$2:$A$501,A191)&lt;&gt;1,"Not current","Current")))</f>
        <v>Current</v>
      </c>
    </row>
    <row r="192" spans="1:12" ht="32" customHeight="1">
      <c r="A192" s="2" t="s">
        <v>274</v>
      </c>
      <c r="B192" s="10" t="str">
        <f>IF(A192="","",IF(COUNTIFS(Data!$A$2:$A$501,A192)=1,INDEX(Data!$B$2:$B$501,MATCH(A192,Data!$A$2:$A$501,0)),"Not in current directory"))</f>
        <v>Mastery Charter School at Gratz</v>
      </c>
      <c r="C192" s="8" t="s">
        <v>88</v>
      </c>
      <c r="D192" s="8"/>
      <c r="E192" s="9"/>
      <c r="F192" s="8"/>
      <c r="G192" s="9"/>
      <c r="H192" s="8"/>
      <c r="I192" s="8"/>
      <c r="J192" s="8" t="s">
        <v>89</v>
      </c>
      <c r="K192" s="8" t="s">
        <v>90</v>
      </c>
      <c r="L192" s="2" t="str">
        <f>IF(A192="","",IF(COUNTIFS($A$8:$A$507,A192)&lt;&gt;1,"Duplicate ID",IF(COUNTIFS(Data!$A$2:$A$501,A192)&lt;&gt;1,"Not current","Current")))</f>
        <v>Current</v>
      </c>
    </row>
    <row r="193" spans="1:12" ht="32" customHeight="1">
      <c r="A193" s="2" t="s">
        <v>275</v>
      </c>
      <c r="B193" s="10" t="str">
        <f>IF(A193="","",IF(COUNTIFS(Data!$A$2:$A$501,A193)=1,INDEX(Data!$B$2:$B$501,MATCH(A193,Data!$A$2:$A$501,0)),"Not in current directory"))</f>
        <v>Mastery Charter School at Hardy Williams</v>
      </c>
      <c r="C193" s="8" t="s">
        <v>88</v>
      </c>
      <c r="D193" s="8"/>
      <c r="E193" s="9"/>
      <c r="F193" s="8"/>
      <c r="G193" s="9"/>
      <c r="H193" s="8"/>
      <c r="I193" s="8"/>
      <c r="J193" s="8" t="s">
        <v>89</v>
      </c>
      <c r="K193" s="8" t="s">
        <v>90</v>
      </c>
      <c r="L193" s="2" t="str">
        <f>IF(A193="","",IF(COUNTIFS($A$8:$A$507,A193)&lt;&gt;1,"Duplicate ID",IF(COUNTIFS(Data!$A$2:$A$501,A193)&lt;&gt;1,"Not current","Current")))</f>
        <v>Current</v>
      </c>
    </row>
    <row r="194" spans="1:12" ht="32" customHeight="1">
      <c r="A194" s="2" t="s">
        <v>276</v>
      </c>
      <c r="B194" s="10" t="str">
        <f>IF(A194="","",IF(COUNTIFS(Data!$A$2:$A$501,A194)=1,INDEX(Data!$B$2:$B$501,MATCH(A194,Data!$A$2:$A$501,0)),"Not in current directory"))</f>
        <v>Mastery Charter School at Harrity</v>
      </c>
      <c r="C194" s="8" t="s">
        <v>88</v>
      </c>
      <c r="D194" s="8"/>
      <c r="E194" s="9"/>
      <c r="F194" s="8"/>
      <c r="G194" s="9"/>
      <c r="H194" s="8"/>
      <c r="I194" s="8"/>
      <c r="J194" s="8" t="s">
        <v>89</v>
      </c>
      <c r="K194" s="8" t="s">
        <v>90</v>
      </c>
      <c r="L194" s="2" t="str">
        <f>IF(A194="","",IF(COUNTIFS($A$8:$A$507,A194)&lt;&gt;1,"Duplicate ID",IF(COUNTIFS(Data!$A$2:$A$501,A194)&lt;&gt;1,"Not current","Current")))</f>
        <v>Current</v>
      </c>
    </row>
    <row r="195" spans="1:12" ht="32" customHeight="1">
      <c r="A195" s="2" t="s">
        <v>277</v>
      </c>
      <c r="B195" s="10" t="str">
        <f>IF(A195="","",IF(COUNTIFS(Data!$A$2:$A$501,A195)=1,INDEX(Data!$B$2:$B$501,MATCH(A195,Data!$A$2:$A$501,0)),"Not in current directory"))</f>
        <v>Mastery Charter School at Mann</v>
      </c>
      <c r="C195" s="8" t="s">
        <v>88</v>
      </c>
      <c r="D195" s="8"/>
      <c r="E195" s="9"/>
      <c r="F195" s="8"/>
      <c r="G195" s="9"/>
      <c r="H195" s="8"/>
      <c r="I195" s="8"/>
      <c r="J195" s="8" t="s">
        <v>89</v>
      </c>
      <c r="K195" s="8" t="s">
        <v>90</v>
      </c>
      <c r="L195" s="2" t="str">
        <f>IF(A195="","",IF(COUNTIFS($A$8:$A$507,A195)&lt;&gt;1,"Duplicate ID",IF(COUNTIFS(Data!$A$2:$A$501,A195)&lt;&gt;1,"Not current","Current")))</f>
        <v>Current</v>
      </c>
    </row>
    <row r="196" spans="1:12" ht="32" customHeight="1">
      <c r="A196" s="2" t="s">
        <v>278</v>
      </c>
      <c r="B196" s="10" t="str">
        <f>IF(A196="","",IF(COUNTIFS(Data!$A$2:$A$501,A196)=1,INDEX(Data!$B$2:$B$501,MATCH(A196,Data!$A$2:$A$501,0)),"Not in current directory"))</f>
        <v>Mastery Charter School at Pastorius</v>
      </c>
      <c r="C196" s="8" t="s">
        <v>88</v>
      </c>
      <c r="D196" s="8"/>
      <c r="E196" s="9"/>
      <c r="F196" s="8"/>
      <c r="G196" s="9"/>
      <c r="H196" s="8"/>
      <c r="I196" s="8"/>
      <c r="J196" s="8" t="s">
        <v>89</v>
      </c>
      <c r="K196" s="8" t="s">
        <v>90</v>
      </c>
      <c r="L196" s="2" t="str">
        <f>IF(A196="","",IF(COUNTIFS($A$8:$A$507,A196)&lt;&gt;1,"Duplicate ID",IF(COUNTIFS(Data!$A$2:$A$501,A196)&lt;&gt;1,"Not current","Current")))</f>
        <v>Current</v>
      </c>
    </row>
    <row r="197" spans="1:12" ht="32" customHeight="1">
      <c r="A197" s="2" t="s">
        <v>279</v>
      </c>
      <c r="B197" s="10" t="str">
        <f>IF(A197="","",IF(COUNTIFS(Data!$A$2:$A$501,A197)=1,INDEX(Data!$B$2:$B$501,MATCH(A197,Data!$A$2:$A$501,0)),"Not in current directory"))</f>
        <v>Mastery Charter School at Pickett</v>
      </c>
      <c r="C197" s="8" t="s">
        <v>88</v>
      </c>
      <c r="D197" s="8"/>
      <c r="E197" s="9"/>
      <c r="F197" s="8"/>
      <c r="G197" s="9"/>
      <c r="H197" s="8"/>
      <c r="I197" s="8"/>
      <c r="J197" s="8" t="s">
        <v>89</v>
      </c>
      <c r="K197" s="8" t="s">
        <v>90</v>
      </c>
      <c r="L197" s="2" t="str">
        <f>IF(A197="","",IF(COUNTIFS($A$8:$A$507,A197)&lt;&gt;1,"Duplicate ID",IF(COUNTIFS(Data!$A$2:$A$501,A197)&lt;&gt;1,"Not current","Current")))</f>
        <v>Current</v>
      </c>
    </row>
    <row r="198" spans="1:12" ht="32" customHeight="1">
      <c r="A198" s="2" t="s">
        <v>280</v>
      </c>
      <c r="B198" s="10" t="str">
        <f>IF(A198="","",IF(COUNTIFS(Data!$A$2:$A$501,A198)=1,INDEX(Data!$B$2:$B$501,MATCH(A198,Data!$A$2:$A$501,0)),"Not in current directory"))</f>
        <v>Mastery Charter School at Shoemaker</v>
      </c>
      <c r="C198" s="8" t="s">
        <v>88</v>
      </c>
      <c r="D198" s="8"/>
      <c r="E198" s="9"/>
      <c r="F198" s="8"/>
      <c r="G198" s="9"/>
      <c r="H198" s="8"/>
      <c r="I198" s="8"/>
      <c r="J198" s="8" t="s">
        <v>89</v>
      </c>
      <c r="K198" s="8" t="s">
        <v>90</v>
      </c>
      <c r="L198" s="2" t="str">
        <f>IF(A198="","",IF(COUNTIFS($A$8:$A$507,A198)&lt;&gt;1,"Duplicate ID",IF(COUNTIFS(Data!$A$2:$A$501,A198)&lt;&gt;1,"Not current","Current")))</f>
        <v>Current</v>
      </c>
    </row>
    <row r="199" spans="1:12" ht="32" customHeight="1">
      <c r="A199" s="2" t="s">
        <v>281</v>
      </c>
      <c r="B199" s="10" t="str">
        <f>IF(A199="","",IF(COUNTIFS(Data!$A$2:$A$501,A199)=1,INDEX(Data!$B$2:$B$501,MATCH(A199,Data!$A$2:$A$501,0)),"Not in current directory"))</f>
        <v>Mastery Charter School at Smedley</v>
      </c>
      <c r="C199" s="8" t="s">
        <v>88</v>
      </c>
      <c r="D199" s="8"/>
      <c r="E199" s="9"/>
      <c r="F199" s="8"/>
      <c r="G199" s="9"/>
      <c r="H199" s="8"/>
      <c r="I199" s="8"/>
      <c r="J199" s="8" t="s">
        <v>89</v>
      </c>
      <c r="K199" s="8" t="s">
        <v>90</v>
      </c>
      <c r="L199" s="2" t="str">
        <f>IF(A199="","",IF(COUNTIFS($A$8:$A$507,A199)&lt;&gt;1,"Duplicate ID",IF(COUNTIFS(Data!$A$2:$A$501,A199)&lt;&gt;1,"Not current","Current")))</f>
        <v>Current</v>
      </c>
    </row>
    <row r="200" spans="1:12" ht="32" customHeight="1">
      <c r="A200" s="2" t="s">
        <v>282</v>
      </c>
      <c r="B200" s="10" t="str">
        <f>IF(A200="","",IF(COUNTIFS(Data!$A$2:$A$501,A200)=1,INDEX(Data!$B$2:$B$501,MATCH(A200,Data!$A$2:$A$501,0)),"Not in current directory"))</f>
        <v>Mastery Charter School at Thomas Campus</v>
      </c>
      <c r="C200" s="8" t="s">
        <v>88</v>
      </c>
      <c r="D200" s="8"/>
      <c r="E200" s="9"/>
      <c r="F200" s="8"/>
      <c r="G200" s="9"/>
      <c r="H200" s="8"/>
      <c r="I200" s="8"/>
      <c r="J200" s="8" t="s">
        <v>89</v>
      </c>
      <c r="K200" s="8" t="s">
        <v>90</v>
      </c>
      <c r="L200" s="2" t="str">
        <f>IF(A200="","",IF(COUNTIFS($A$8:$A$507,A200)&lt;&gt;1,"Duplicate ID",IF(COUNTIFS(Data!$A$2:$A$501,A200)&lt;&gt;1,"Not current","Current")))</f>
        <v>Current</v>
      </c>
    </row>
    <row r="201" spans="1:12" ht="32" customHeight="1">
      <c r="A201" s="2" t="s">
        <v>283</v>
      </c>
      <c r="B201" s="10" t="str">
        <f>IF(A201="","",IF(COUNTIFS(Data!$A$2:$A$501,A201)=1,INDEX(Data!$B$2:$B$501,MATCH(A201,Data!$A$2:$A$501,0)),"Not in current directory"))</f>
        <v>Mastery Charter School at Wister</v>
      </c>
      <c r="C201" s="8" t="s">
        <v>88</v>
      </c>
      <c r="D201" s="8"/>
      <c r="E201" s="9"/>
      <c r="F201" s="8"/>
      <c r="G201" s="9"/>
      <c r="H201" s="8"/>
      <c r="I201" s="8"/>
      <c r="J201" s="8" t="s">
        <v>89</v>
      </c>
      <c r="K201" s="8" t="s">
        <v>90</v>
      </c>
      <c r="L201" s="2" t="str">
        <f>IF(A201="","",IF(COUNTIFS($A$8:$A$507,A201)&lt;&gt;1,"Duplicate ID",IF(COUNTIFS(Data!$A$2:$A$501,A201)&lt;&gt;1,"Not current","Current")))</f>
        <v>Current</v>
      </c>
    </row>
    <row r="202" spans="1:12" ht="32" customHeight="1">
      <c r="A202" s="2" t="s">
        <v>284</v>
      </c>
      <c r="B202" s="10" t="str">
        <f>IF(A202="","",IF(COUNTIFS(Data!$A$2:$A$501,A202)=1,INDEX(Data!$B$2:$B$501,MATCH(A202,Data!$A$2:$A$501,0)),"Not in current directory"))</f>
        <v>Mastery Prep Elementary Charter School</v>
      </c>
      <c r="C202" s="8" t="s">
        <v>88</v>
      </c>
      <c r="D202" s="8"/>
      <c r="E202" s="9"/>
      <c r="F202" s="8"/>
      <c r="G202" s="9"/>
      <c r="H202" s="8"/>
      <c r="I202" s="8"/>
      <c r="J202" s="8" t="s">
        <v>89</v>
      </c>
      <c r="K202" s="8" t="s">
        <v>90</v>
      </c>
      <c r="L202" s="2" t="str">
        <f>IF(A202="","",IF(COUNTIFS($A$8:$A$507,A202)&lt;&gt;1,"Duplicate ID",IF(COUNTIFS(Data!$A$2:$A$501,A202)&lt;&gt;1,"Not current","Current")))</f>
        <v>Current</v>
      </c>
    </row>
    <row r="203" spans="1:12" ht="32" customHeight="1">
      <c r="A203" s="2" t="s">
        <v>285</v>
      </c>
      <c r="B203" s="10" t="str">
        <f>IF(A203="","",IF(COUNTIFS(Data!$A$2:$A$501,A203)=1,INDEX(Data!$B$2:$B$501,MATCH(A203,Data!$A$2:$A$501,0)),"Not in current directory"))</f>
        <v>Mathematics, Science, and Technology Community Charter School (MaST)</v>
      </c>
      <c r="C203" s="8" t="s">
        <v>88</v>
      </c>
      <c r="D203" s="8"/>
      <c r="E203" s="9"/>
      <c r="F203" s="8"/>
      <c r="G203" s="9"/>
      <c r="H203" s="8"/>
      <c r="I203" s="8"/>
      <c r="J203" s="8" t="s">
        <v>89</v>
      </c>
      <c r="K203" s="8" t="s">
        <v>90</v>
      </c>
      <c r="L203" s="2" t="str">
        <f>IF(A203="","",IF(COUNTIFS($A$8:$A$507,A203)&lt;&gt;1,"Duplicate ID",IF(COUNTIFS(Data!$A$2:$A$501,A203)&lt;&gt;1,"Not current","Current")))</f>
        <v>Current</v>
      </c>
    </row>
    <row r="204" spans="1:12" ht="32" customHeight="1">
      <c r="A204" s="2" t="s">
        <v>286</v>
      </c>
      <c r="B204" s="10" t="str">
        <f>IF(A204="","",IF(COUNTIFS(Data!$A$2:$A$501,A204)=1,INDEX(Data!$B$2:$B$501,MATCH(A204,Data!$A$2:$A$501,0)),"Not in current directory"))</f>
        <v>Mayfair School</v>
      </c>
      <c r="C204" s="8" t="s">
        <v>88</v>
      </c>
      <c r="D204" s="8"/>
      <c r="E204" s="9"/>
      <c r="F204" s="8"/>
      <c r="G204" s="9"/>
      <c r="H204" s="8"/>
      <c r="I204" s="8"/>
      <c r="J204" s="8" t="s">
        <v>89</v>
      </c>
      <c r="K204" s="8" t="s">
        <v>90</v>
      </c>
      <c r="L204" s="2" t="str">
        <f>IF(A204="","",IF(COUNTIFS($A$8:$A$507,A204)&lt;&gt;1,"Duplicate ID",IF(COUNTIFS(Data!$A$2:$A$501,A204)&lt;&gt;1,"Not current","Current")))</f>
        <v>Current</v>
      </c>
    </row>
    <row r="205" spans="1:12" ht="32" customHeight="1">
      <c r="A205" s="2" t="s">
        <v>287</v>
      </c>
      <c r="B205" s="10" t="str">
        <f>IF(A205="","",IF(COUNTIFS(Data!$A$2:$A$501,A205)=1,INDEX(Data!$B$2:$B$501,MATCH(A205,Data!$A$2:$A$501,0)),"Not in current directory"))</f>
        <v>Memphis Street Middle School</v>
      </c>
      <c r="C205" s="8" t="s">
        <v>88</v>
      </c>
      <c r="D205" s="8"/>
      <c r="E205" s="9"/>
      <c r="F205" s="8"/>
      <c r="G205" s="9"/>
      <c r="H205" s="8"/>
      <c r="I205" s="8"/>
      <c r="J205" s="8" t="s">
        <v>89</v>
      </c>
      <c r="K205" s="8" t="s">
        <v>90</v>
      </c>
      <c r="L205" s="2" t="str">
        <f>IF(A205="","",IF(COUNTIFS($A$8:$A$507,A205)&lt;&gt;1,"Duplicate ID",IF(COUNTIFS(Data!$A$2:$A$501,A205)&lt;&gt;1,"Not current","Current")))</f>
        <v>Current</v>
      </c>
    </row>
    <row r="206" spans="1:12" ht="32" customHeight="1">
      <c r="A206" s="2" t="s">
        <v>288</v>
      </c>
      <c r="B206" s="10" t="str">
        <f>IF(A206="","",IF(COUNTIFS(Data!$A$2:$A$501,A206)=1,INDEX(Data!$B$2:$B$501,MATCH(A206,Data!$A$2:$A$501,0)),"Not in current directory"))</f>
        <v>Middle Years Alternative School</v>
      </c>
      <c r="C206" s="8" t="s">
        <v>88</v>
      </c>
      <c r="D206" s="8"/>
      <c r="E206" s="9"/>
      <c r="F206" s="8"/>
      <c r="G206" s="9"/>
      <c r="H206" s="8"/>
      <c r="I206" s="8"/>
      <c r="J206" s="8" t="s">
        <v>89</v>
      </c>
      <c r="K206" s="8" t="s">
        <v>90</v>
      </c>
      <c r="L206" s="2" t="str">
        <f>IF(A206="","",IF(COUNTIFS($A$8:$A$507,A206)&lt;&gt;1,"Duplicate ID",IF(COUNTIFS(Data!$A$2:$A$501,A206)&lt;&gt;1,"Not current","Current")))</f>
        <v>Current</v>
      </c>
    </row>
    <row r="207" spans="1:12" ht="32" customHeight="1">
      <c r="A207" s="2" t="s">
        <v>289</v>
      </c>
      <c r="B207" s="10" t="str">
        <f>IF(A207="","",IF(COUNTIFS(Data!$A$2:$A$501,A207)=1,INDEX(Data!$B$2:$B$501,MATCH(A207,Data!$A$2:$A$501,0)),"Not in current directory"))</f>
        <v>Morton McMichael School</v>
      </c>
      <c r="C207" s="8" t="s">
        <v>88</v>
      </c>
      <c r="D207" s="8"/>
      <c r="E207" s="9"/>
      <c r="F207" s="8"/>
      <c r="G207" s="9"/>
      <c r="H207" s="8"/>
      <c r="I207" s="8"/>
      <c r="J207" s="8" t="s">
        <v>89</v>
      </c>
      <c r="K207" s="8" t="s">
        <v>90</v>
      </c>
      <c r="L207" s="2" t="str">
        <f>IF(A207="","",IF(COUNTIFS($A$8:$A$507,A207)&lt;&gt;1,"Duplicate ID",IF(COUNTIFS(Data!$A$2:$A$501,A207)&lt;&gt;1,"Not current","Current")))</f>
        <v>Current</v>
      </c>
    </row>
    <row r="208" spans="1:12" ht="32" customHeight="1">
      <c r="A208" s="2" t="s">
        <v>290</v>
      </c>
      <c r="B208" s="10" t="str">
        <f>IF(A208="","",IF(COUNTIFS(Data!$A$2:$A$501,A208)=1,INDEX(Data!$B$2:$B$501,MATCH(A208,Data!$A$2:$A$501,0)),"Not in current directory"))</f>
        <v>Motivation High School</v>
      </c>
      <c r="C208" s="8" t="s">
        <v>88</v>
      </c>
      <c r="D208" s="8"/>
      <c r="E208" s="9"/>
      <c r="F208" s="8"/>
      <c r="G208" s="9"/>
      <c r="H208" s="8"/>
      <c r="I208" s="8"/>
      <c r="J208" s="8" t="s">
        <v>89</v>
      </c>
      <c r="K208" s="8" t="s">
        <v>90</v>
      </c>
      <c r="L208" s="2" t="str">
        <f>IF(A208="","",IF(COUNTIFS($A$8:$A$507,A208)&lt;&gt;1,"Duplicate ID",IF(COUNTIFS(Data!$A$2:$A$501,A208)&lt;&gt;1,"Not current","Current")))</f>
        <v>Current</v>
      </c>
    </row>
    <row r="209" spans="1:12" ht="32" customHeight="1">
      <c r="A209" s="2" t="s">
        <v>291</v>
      </c>
      <c r="B209" s="10" t="str">
        <f>IF(A209="","",IF(COUNTIFS(Data!$A$2:$A$501,A209)=1,INDEX(Data!$B$2:$B$501,MATCH(A209,Data!$A$2:$A$501,0)),"Not in current directory"))</f>
        <v>Multicultural Academy Charter School</v>
      </c>
      <c r="C209" s="8" t="s">
        <v>88</v>
      </c>
      <c r="D209" s="8"/>
      <c r="E209" s="9"/>
      <c r="F209" s="8"/>
      <c r="G209" s="9"/>
      <c r="H209" s="8"/>
      <c r="I209" s="8"/>
      <c r="J209" s="8" t="s">
        <v>89</v>
      </c>
      <c r="K209" s="8" t="s">
        <v>90</v>
      </c>
      <c r="L209" s="2" t="str">
        <f>IF(A209="","",IF(COUNTIFS($A$8:$A$507,A209)&lt;&gt;1,"Duplicate ID",IF(COUNTIFS(Data!$A$2:$A$501,A209)&lt;&gt;1,"Not current","Current")))</f>
        <v>Current</v>
      </c>
    </row>
    <row r="210" spans="1:12" ht="32" customHeight="1">
      <c r="A210" s="2" t="s">
        <v>292</v>
      </c>
      <c r="B210" s="10" t="str">
        <f>IF(A210="","",IF(COUNTIFS(Data!$A$2:$A$501,A210)=1,INDEX(Data!$B$2:$B$501,MATCH(A210,Data!$A$2:$A$501,0)),"Not in current directory"))</f>
        <v>Murrell Dobbins Career and Technical High School</v>
      </c>
      <c r="C210" s="8" t="s">
        <v>88</v>
      </c>
      <c r="D210" s="8"/>
      <c r="E210" s="9"/>
      <c r="F210" s="8"/>
      <c r="G210" s="9"/>
      <c r="H210" s="8"/>
      <c r="I210" s="8"/>
      <c r="J210" s="8" t="s">
        <v>89</v>
      </c>
      <c r="K210" s="8" t="s">
        <v>90</v>
      </c>
      <c r="L210" s="2" t="str">
        <f>IF(A210="","",IF(COUNTIFS($A$8:$A$507,A210)&lt;&gt;1,"Duplicate ID",IF(COUNTIFS(Data!$A$2:$A$501,A210)&lt;&gt;1,"Not current","Current")))</f>
        <v>Current</v>
      </c>
    </row>
    <row r="211" spans="1:12" ht="32" customHeight="1">
      <c r="A211" s="2" t="s">
        <v>293</v>
      </c>
      <c r="B211" s="10" t="str">
        <f>IF(A211="","",IF(COUNTIFS(Data!$A$2:$A$501,A211)=1,INDEX(Data!$B$2:$B$501,MATCH(A211,Data!$A$2:$A$501,0)),"Not in current directory"))</f>
        <v>New Foundations Charter School</v>
      </c>
      <c r="C211" s="8" t="s">
        <v>88</v>
      </c>
      <c r="D211" s="8"/>
      <c r="E211" s="9"/>
      <c r="F211" s="8"/>
      <c r="G211" s="9"/>
      <c r="H211" s="8"/>
      <c r="I211" s="8"/>
      <c r="J211" s="8" t="s">
        <v>89</v>
      </c>
      <c r="K211" s="8" t="s">
        <v>90</v>
      </c>
      <c r="L211" s="2" t="str">
        <f>IF(A211="","",IF(COUNTIFS($A$8:$A$507,A211)&lt;&gt;1,"Duplicate ID",IF(COUNTIFS(Data!$A$2:$A$501,A211)&lt;&gt;1,"Not current","Current")))</f>
        <v>Current</v>
      </c>
    </row>
    <row r="212" spans="1:12" ht="32" customHeight="1">
      <c r="A212" s="2" t="s">
        <v>294</v>
      </c>
      <c r="B212" s="10" t="str">
        <f>IF(A212="","",IF(COUNTIFS(Data!$A$2:$A$501,A212)=1,INDEX(Data!$B$2:$B$501,MATCH(A212,Data!$A$2:$A$501,0)),"Not in current directory"))</f>
        <v>Northeast Community Propel Academy</v>
      </c>
      <c r="C212" s="8" t="s">
        <v>88</v>
      </c>
      <c r="D212" s="8"/>
      <c r="E212" s="9"/>
      <c r="F212" s="8"/>
      <c r="G212" s="9"/>
      <c r="H212" s="8"/>
      <c r="I212" s="8"/>
      <c r="J212" s="8" t="s">
        <v>89</v>
      </c>
      <c r="K212" s="8" t="s">
        <v>90</v>
      </c>
      <c r="L212" s="2" t="str">
        <f>IF(A212="","",IF(COUNTIFS($A$8:$A$507,A212)&lt;&gt;1,"Duplicate ID",IF(COUNTIFS(Data!$A$2:$A$501,A212)&lt;&gt;1,"Not current","Current")))</f>
        <v>Current</v>
      </c>
    </row>
    <row r="213" spans="1:12" ht="32" customHeight="1">
      <c r="A213" s="2" t="s">
        <v>295</v>
      </c>
      <c r="B213" s="10" t="str">
        <f>IF(A213="","",IF(COUNTIFS(Data!$A$2:$A$501,A213)=1,INDEX(Data!$B$2:$B$501,MATCH(A213,Data!$A$2:$A$501,0)),"Not in current directory"))</f>
        <v>Northeast High School</v>
      </c>
      <c r="C213" s="8" t="s">
        <v>88</v>
      </c>
      <c r="D213" s="8"/>
      <c r="E213" s="9"/>
      <c r="F213" s="8"/>
      <c r="G213" s="9"/>
      <c r="H213" s="8"/>
      <c r="I213" s="8"/>
      <c r="J213" s="8" t="s">
        <v>89</v>
      </c>
      <c r="K213" s="8" t="s">
        <v>90</v>
      </c>
      <c r="L213" s="2" t="str">
        <f>IF(A213="","",IF(COUNTIFS($A$8:$A$507,A213)&lt;&gt;1,"Duplicate ID",IF(COUNTIFS(Data!$A$2:$A$501,A213)&lt;&gt;1,"Not current","Current")))</f>
        <v>Current</v>
      </c>
    </row>
    <row r="214" spans="1:12" ht="32" customHeight="1">
      <c r="A214" s="2" t="s">
        <v>296</v>
      </c>
      <c r="B214" s="10" t="str">
        <f>IF(A214="","",IF(COUNTIFS(Data!$A$2:$A$501,A214)=1,INDEX(Data!$B$2:$B$501,MATCH(A214,Data!$A$2:$A$501,0)),"Not in current directory"))</f>
        <v>Northeast High School EOP</v>
      </c>
      <c r="C214" s="8" t="s">
        <v>88</v>
      </c>
      <c r="D214" s="8"/>
      <c r="E214" s="9"/>
      <c r="F214" s="8"/>
      <c r="G214" s="9"/>
      <c r="H214" s="8"/>
      <c r="I214" s="8"/>
      <c r="J214" s="8" t="s">
        <v>89</v>
      </c>
      <c r="K214" s="8" t="s">
        <v>90</v>
      </c>
      <c r="L214" s="2" t="str">
        <f>IF(A214="","",IF(COUNTIFS($A$8:$A$507,A214)&lt;&gt;1,"Duplicate ID",IF(COUNTIFS(Data!$A$2:$A$501,A214)&lt;&gt;1,"Not current","Current")))</f>
        <v>Current</v>
      </c>
    </row>
    <row r="215" spans="1:12" ht="32" customHeight="1">
      <c r="A215" s="2" t="s">
        <v>297</v>
      </c>
      <c r="B215" s="10" t="str">
        <f>IF(A215="","",IF(COUNTIFS(Data!$A$2:$A$501,A215)=1,INDEX(Data!$B$2:$B$501,MATCH(A215,Data!$A$2:$A$501,0)),"Not in current directory"))</f>
        <v>Northwood Academy Charter School</v>
      </c>
      <c r="C215" s="8" t="s">
        <v>88</v>
      </c>
      <c r="D215" s="8"/>
      <c r="E215" s="9"/>
      <c r="F215" s="8"/>
      <c r="G215" s="9"/>
      <c r="H215" s="8"/>
      <c r="I215" s="8"/>
      <c r="J215" s="8" t="s">
        <v>89</v>
      </c>
      <c r="K215" s="8" t="s">
        <v>90</v>
      </c>
      <c r="L215" s="2" t="str">
        <f>IF(A215="","",IF(COUNTIFS($A$8:$A$507,A215)&lt;&gt;1,"Duplicate ID",IF(COUNTIFS(Data!$A$2:$A$501,A215)&lt;&gt;1,"Not current","Current")))</f>
        <v>Current</v>
      </c>
    </row>
    <row r="216" spans="1:12" ht="32" customHeight="1">
      <c r="A216" s="2" t="s">
        <v>298</v>
      </c>
      <c r="B216" s="10" t="str">
        <f>IF(A216="","",IF(COUNTIFS(Data!$A$2:$A$501,A216)=1,INDEX(Data!$B$2:$B$501,MATCH(A216,Data!$A$2:$A$501,0)),"Not in current directory"))</f>
        <v>OIC Career and Academic Development Institute</v>
      </c>
      <c r="C216" s="8" t="s">
        <v>88</v>
      </c>
      <c r="D216" s="8"/>
      <c r="E216" s="9"/>
      <c r="F216" s="8"/>
      <c r="G216" s="9"/>
      <c r="H216" s="8"/>
      <c r="I216" s="8"/>
      <c r="J216" s="8" t="s">
        <v>89</v>
      </c>
      <c r="K216" s="8" t="s">
        <v>90</v>
      </c>
      <c r="L216" s="2" t="str">
        <f>IF(A216="","",IF(COUNTIFS($A$8:$A$507,A216)&lt;&gt;1,"Duplicate ID",IF(COUNTIFS(Data!$A$2:$A$501,A216)&lt;&gt;1,"Not current","Current")))</f>
        <v>Current</v>
      </c>
    </row>
    <row r="217" spans="1:12" ht="32" customHeight="1">
      <c r="A217" s="2" t="s">
        <v>299</v>
      </c>
      <c r="B217" s="10" t="str">
        <f>IF(A217="","",IF(COUNTIFS(Data!$A$2:$A$501,A217)=1,INDEX(Data!$B$2:$B$501,MATCH(A217,Data!$A$2:$A$501,0)),"Not in current directory"))</f>
        <v>Olney Elementary School</v>
      </c>
      <c r="C217" s="8" t="s">
        <v>88</v>
      </c>
      <c r="D217" s="8"/>
      <c r="E217" s="9"/>
      <c r="F217" s="8"/>
      <c r="G217" s="9"/>
      <c r="H217" s="8"/>
      <c r="I217" s="8"/>
      <c r="J217" s="8" t="s">
        <v>89</v>
      </c>
      <c r="K217" s="8" t="s">
        <v>90</v>
      </c>
      <c r="L217" s="2" t="str">
        <f>IF(A217="","",IF(COUNTIFS($A$8:$A$507,A217)&lt;&gt;1,"Duplicate ID",IF(COUNTIFS(Data!$A$2:$A$501,A217)&lt;&gt;1,"Not current","Current")))</f>
        <v>Current</v>
      </c>
    </row>
    <row r="218" spans="1:12" ht="32" customHeight="1">
      <c r="A218" s="2" t="s">
        <v>300</v>
      </c>
      <c r="B218" s="10" t="str">
        <f>IF(A218="","",IF(COUNTIFS(Data!$A$2:$A$501,A218)=1,INDEX(Data!$B$2:$B$501,MATCH(A218,Data!$A$2:$A$501,0)),"Not in current directory"))</f>
        <v>Olney High School</v>
      </c>
      <c r="C218" s="8" t="s">
        <v>88</v>
      </c>
      <c r="D218" s="8"/>
      <c r="E218" s="9"/>
      <c r="F218" s="8"/>
      <c r="G218" s="9"/>
      <c r="H218" s="8"/>
      <c r="I218" s="8"/>
      <c r="J218" s="8" t="s">
        <v>89</v>
      </c>
      <c r="K218" s="8" t="s">
        <v>90</v>
      </c>
      <c r="L218" s="2" t="str">
        <f>IF(A218="","",IF(COUNTIFS($A$8:$A$507,A218)&lt;&gt;1,"Duplicate ID",IF(COUNTIFS(Data!$A$2:$A$501,A218)&lt;&gt;1,"Not current","Current")))</f>
        <v>Current</v>
      </c>
    </row>
    <row r="219" spans="1:12" ht="32" customHeight="1">
      <c r="A219" s="2" t="s">
        <v>301</v>
      </c>
      <c r="B219" s="10" t="str">
        <f>IF(A219="","",IF(COUNTIFS(Data!$A$2:$A$501,A219)=1,INDEX(Data!$B$2:$B$501,MATCH(A219,Data!$A$2:$A$501,0)),"Not in current directory"))</f>
        <v>Olney High School Continuation Academy</v>
      </c>
      <c r="C219" s="8" t="s">
        <v>88</v>
      </c>
      <c r="D219" s="8"/>
      <c r="E219" s="9"/>
      <c r="F219" s="8"/>
      <c r="G219" s="9"/>
      <c r="H219" s="8"/>
      <c r="I219" s="8"/>
      <c r="J219" s="8" t="s">
        <v>89</v>
      </c>
      <c r="K219" s="8" t="s">
        <v>90</v>
      </c>
      <c r="L219" s="2" t="str">
        <f>IF(A219="","",IF(COUNTIFS($A$8:$A$507,A219)&lt;&gt;1,"Duplicate ID",IF(COUNTIFS(Data!$A$2:$A$501,A219)&lt;&gt;1,"Not current","Current")))</f>
        <v>Current</v>
      </c>
    </row>
    <row r="220" spans="1:12" ht="32" customHeight="1">
      <c r="A220" s="2" t="s">
        <v>302</v>
      </c>
      <c r="B220" s="10" t="str">
        <f>IF(A220="","",IF(COUNTIFS(Data!$A$2:$A$501,A220)=1,INDEX(Data!$B$2:$B$501,MATCH(A220,Data!$A$2:$A$501,0)),"Not in current directory"))</f>
        <v>One Bright Ray - Elmwood</v>
      </c>
      <c r="C220" s="8" t="s">
        <v>88</v>
      </c>
      <c r="D220" s="8"/>
      <c r="E220" s="9"/>
      <c r="F220" s="8"/>
      <c r="G220" s="9"/>
      <c r="H220" s="8"/>
      <c r="I220" s="8"/>
      <c r="J220" s="8" t="s">
        <v>89</v>
      </c>
      <c r="K220" s="8" t="s">
        <v>90</v>
      </c>
      <c r="L220" s="2" t="str">
        <f>IF(A220="","",IF(COUNTIFS($A$8:$A$507,A220)&lt;&gt;1,"Duplicate ID",IF(COUNTIFS(Data!$A$2:$A$501,A220)&lt;&gt;1,"Not current","Current")))</f>
        <v>Current</v>
      </c>
    </row>
    <row r="221" spans="1:12" ht="32" customHeight="1">
      <c r="A221" s="2" t="s">
        <v>303</v>
      </c>
      <c r="B221" s="10" t="str">
        <f>IF(A221="","",IF(COUNTIFS(Data!$A$2:$A$501,A221)=1,INDEX(Data!$B$2:$B$501,MATCH(A221,Data!$A$2:$A$501,0)),"Not in current directory"))</f>
        <v>One Bright Ray - Fairhill</v>
      </c>
      <c r="C221" s="8" t="s">
        <v>88</v>
      </c>
      <c r="D221" s="8"/>
      <c r="E221" s="9"/>
      <c r="F221" s="8"/>
      <c r="G221" s="9"/>
      <c r="H221" s="8"/>
      <c r="I221" s="8"/>
      <c r="J221" s="8" t="s">
        <v>89</v>
      </c>
      <c r="K221" s="8" t="s">
        <v>90</v>
      </c>
      <c r="L221" s="2" t="str">
        <f>IF(A221="","",IF(COUNTIFS($A$8:$A$507,A221)&lt;&gt;1,"Duplicate ID",IF(COUNTIFS(Data!$A$2:$A$501,A221)&lt;&gt;1,"Not current","Current")))</f>
        <v>Current</v>
      </c>
    </row>
    <row r="222" spans="1:12" ht="32" customHeight="1">
      <c r="A222" s="2" t="s">
        <v>304</v>
      </c>
      <c r="B222" s="10" t="str">
        <f>IF(A222="","",IF(COUNTIFS(Data!$A$2:$A$501,A222)=1,INDEX(Data!$B$2:$B$501,MATCH(A222,Data!$A$2:$A$501,0)),"Not in current directory"))</f>
        <v>One Bright Ray - Mansion</v>
      </c>
      <c r="C222" s="8" t="s">
        <v>88</v>
      </c>
      <c r="D222" s="8"/>
      <c r="E222" s="9"/>
      <c r="F222" s="8"/>
      <c r="G222" s="9"/>
      <c r="H222" s="8"/>
      <c r="I222" s="8"/>
      <c r="J222" s="8" t="s">
        <v>89</v>
      </c>
      <c r="K222" s="8" t="s">
        <v>90</v>
      </c>
      <c r="L222" s="2" t="str">
        <f>IF(A222="","",IF(COUNTIFS($A$8:$A$507,A222)&lt;&gt;1,"Duplicate ID",IF(COUNTIFS(Data!$A$2:$A$501,A222)&lt;&gt;1,"Not current","Current")))</f>
        <v>Current</v>
      </c>
    </row>
    <row r="223" spans="1:12" ht="32" customHeight="1">
      <c r="A223" s="2" t="s">
        <v>305</v>
      </c>
      <c r="B223" s="10" t="str">
        <f>IF(A223="","",IF(COUNTIFS(Data!$A$2:$A$501,A223)=1,INDEX(Data!$B$2:$B$501,MATCH(A223,Data!$A$2:$A$501,0)),"Not in current directory"))</f>
        <v>One Bright Ray - Simpson</v>
      </c>
      <c r="C223" s="8" t="s">
        <v>88</v>
      </c>
      <c r="D223" s="8"/>
      <c r="E223" s="9"/>
      <c r="F223" s="8"/>
      <c r="G223" s="9"/>
      <c r="H223" s="8"/>
      <c r="I223" s="8"/>
      <c r="J223" s="8" t="s">
        <v>89</v>
      </c>
      <c r="K223" s="8" t="s">
        <v>90</v>
      </c>
      <c r="L223" s="2" t="str">
        <f>IF(A223="","",IF(COUNTIFS($A$8:$A$507,A223)&lt;&gt;1,"Duplicate ID",IF(COUNTIFS(Data!$A$2:$A$501,A223)&lt;&gt;1,"Not current","Current")))</f>
        <v>Current</v>
      </c>
    </row>
    <row r="224" spans="1:12" ht="32" customHeight="1">
      <c r="A224" s="2" t="s">
        <v>306</v>
      </c>
      <c r="B224" s="10" t="str">
        <f>IF(A224="","",IF(COUNTIFS(Data!$A$2:$A$501,A224)=1,INDEX(Data!$B$2:$B$501,MATCH(A224,Data!$A$2:$A$501,0)),"Not in current directory"))</f>
        <v>One Bright Ray - Simpson Evening</v>
      </c>
      <c r="C224" s="8" t="s">
        <v>88</v>
      </c>
      <c r="D224" s="8"/>
      <c r="E224" s="9"/>
      <c r="F224" s="8"/>
      <c r="G224" s="9"/>
      <c r="H224" s="8"/>
      <c r="I224" s="8"/>
      <c r="J224" s="8" t="s">
        <v>89</v>
      </c>
      <c r="K224" s="8" t="s">
        <v>90</v>
      </c>
      <c r="L224" s="2" t="str">
        <f>IF(A224="","",IF(COUNTIFS($A$8:$A$507,A224)&lt;&gt;1,"Duplicate ID",IF(COUNTIFS(Data!$A$2:$A$501,A224)&lt;&gt;1,"Not current","Current")))</f>
        <v>Current</v>
      </c>
    </row>
    <row r="225" spans="1:12" ht="32" customHeight="1">
      <c r="A225" s="2" t="s">
        <v>307</v>
      </c>
      <c r="B225" s="10" t="str">
        <f>IF(A225="","",IF(COUNTIFS(Data!$A$2:$A$501,A225)=1,INDEX(Data!$B$2:$B$501,MATCH(A225,Data!$A$2:$A$501,0)),"Not in current directory"))</f>
        <v>Overbrook Educational Center</v>
      </c>
      <c r="C225" s="8" t="s">
        <v>88</v>
      </c>
      <c r="D225" s="8"/>
      <c r="E225" s="9"/>
      <c r="F225" s="8"/>
      <c r="G225" s="9"/>
      <c r="H225" s="8"/>
      <c r="I225" s="8"/>
      <c r="J225" s="8" t="s">
        <v>89</v>
      </c>
      <c r="K225" s="8" t="s">
        <v>90</v>
      </c>
      <c r="L225" s="2" t="str">
        <f>IF(A225="","",IF(COUNTIFS($A$8:$A$507,A225)&lt;&gt;1,"Duplicate ID",IF(COUNTIFS(Data!$A$2:$A$501,A225)&lt;&gt;1,"Not current","Current")))</f>
        <v>Current</v>
      </c>
    </row>
    <row r="226" spans="1:12" ht="32" customHeight="1">
      <c r="A226" s="2" t="s">
        <v>308</v>
      </c>
      <c r="B226" s="10" t="str">
        <f>IF(A226="","",IF(COUNTIFS(Data!$A$2:$A$501,A226)=1,INDEX(Data!$B$2:$B$501,MATCH(A226,Data!$A$2:$A$501,0)),"Not in current directory"))</f>
        <v>Overbrook Elementary School</v>
      </c>
      <c r="C226" s="8" t="s">
        <v>88</v>
      </c>
      <c r="D226" s="8"/>
      <c r="E226" s="9"/>
      <c r="F226" s="8"/>
      <c r="G226" s="9"/>
      <c r="H226" s="8"/>
      <c r="I226" s="8"/>
      <c r="J226" s="8" t="s">
        <v>89</v>
      </c>
      <c r="K226" s="8" t="s">
        <v>90</v>
      </c>
      <c r="L226" s="2" t="str">
        <f>IF(A226="","",IF(COUNTIFS($A$8:$A$507,A226)&lt;&gt;1,"Duplicate ID",IF(COUNTIFS(Data!$A$2:$A$501,A226)&lt;&gt;1,"Not current","Current")))</f>
        <v>Current</v>
      </c>
    </row>
    <row r="227" spans="1:12" ht="32" customHeight="1">
      <c r="A227" s="2" t="s">
        <v>309</v>
      </c>
      <c r="B227" s="10" t="str">
        <f>IF(A227="","",IF(COUNTIFS(Data!$A$2:$A$501,A227)=1,INDEX(Data!$B$2:$B$501,MATCH(A227,Data!$A$2:$A$501,0)),"Not in current directory"))</f>
        <v>Overbrook High School</v>
      </c>
      <c r="C227" s="8" t="s">
        <v>88</v>
      </c>
      <c r="D227" s="8"/>
      <c r="E227" s="9"/>
      <c r="F227" s="8"/>
      <c r="G227" s="9"/>
      <c r="H227" s="8"/>
      <c r="I227" s="8"/>
      <c r="J227" s="8" t="s">
        <v>89</v>
      </c>
      <c r="K227" s="8" t="s">
        <v>90</v>
      </c>
      <c r="L227" s="2" t="str">
        <f>IF(A227="","",IF(COUNTIFS($A$8:$A$507,A227)&lt;&gt;1,"Duplicate ID",IF(COUNTIFS(Data!$A$2:$A$501,A227)&lt;&gt;1,"Not current","Current")))</f>
        <v>Current</v>
      </c>
    </row>
    <row r="228" spans="1:12" ht="32" customHeight="1">
      <c r="A228" s="2" t="s">
        <v>310</v>
      </c>
      <c r="B228" s="10" t="str">
        <f>IF(A228="","",IF(COUNTIFS(Data!$A$2:$A$501,A228)=1,INDEX(Data!$B$2:$B$501,MATCH(A228,Data!$A$2:$A$501,0)),"Not in current directory"))</f>
        <v>Pan American Academy Charter School</v>
      </c>
      <c r="C228" s="8" t="s">
        <v>88</v>
      </c>
      <c r="D228" s="8"/>
      <c r="E228" s="9"/>
      <c r="F228" s="8"/>
      <c r="G228" s="9"/>
      <c r="H228" s="8"/>
      <c r="I228" s="8"/>
      <c r="J228" s="8" t="s">
        <v>89</v>
      </c>
      <c r="K228" s="8" t="s">
        <v>90</v>
      </c>
      <c r="L228" s="2" t="str">
        <f>IF(A228="","",IF(COUNTIFS($A$8:$A$507,A228)&lt;&gt;1,"Duplicate ID",IF(COUNTIFS(Data!$A$2:$A$501,A228)&lt;&gt;1,"Not current","Current")))</f>
        <v>Current</v>
      </c>
    </row>
    <row r="229" spans="1:12" ht="32" customHeight="1">
      <c r="A229" s="2" t="s">
        <v>311</v>
      </c>
      <c r="B229" s="10" t="str">
        <f>IF(A229="","",IF(COUNTIFS(Data!$A$2:$A$501,A229)=1,INDEX(Data!$B$2:$B$501,MATCH(A229,Data!$A$2:$A$501,0)),"Not in current directory"))</f>
        <v>Parkway Center City Middle College High School</v>
      </c>
      <c r="C229" s="8" t="s">
        <v>88</v>
      </c>
      <c r="D229" s="8"/>
      <c r="E229" s="9"/>
      <c r="F229" s="8"/>
      <c r="G229" s="9"/>
      <c r="H229" s="8"/>
      <c r="I229" s="8"/>
      <c r="J229" s="8" t="s">
        <v>89</v>
      </c>
      <c r="K229" s="8" t="s">
        <v>90</v>
      </c>
      <c r="L229" s="2" t="str">
        <f>IF(A229="","",IF(COUNTIFS($A$8:$A$507,A229)&lt;&gt;1,"Duplicate ID",IF(COUNTIFS(Data!$A$2:$A$501,A229)&lt;&gt;1,"Not current","Current")))</f>
        <v>Current</v>
      </c>
    </row>
    <row r="230" spans="1:12" ht="32" customHeight="1">
      <c r="A230" s="2" t="s">
        <v>312</v>
      </c>
      <c r="B230" s="10" t="str">
        <f>IF(A230="","",IF(COUNTIFS(Data!$A$2:$A$501,A230)=1,INDEX(Data!$B$2:$B$501,MATCH(A230,Data!$A$2:$A$501,0)),"Not in current directory"))</f>
        <v>Parkway Northwest High School</v>
      </c>
      <c r="C230" s="8" t="s">
        <v>88</v>
      </c>
      <c r="D230" s="8"/>
      <c r="E230" s="9"/>
      <c r="F230" s="8"/>
      <c r="G230" s="9"/>
      <c r="H230" s="8"/>
      <c r="I230" s="8"/>
      <c r="J230" s="8" t="s">
        <v>89</v>
      </c>
      <c r="K230" s="8" t="s">
        <v>90</v>
      </c>
      <c r="L230" s="2" t="str">
        <f>IF(A230="","",IF(COUNTIFS($A$8:$A$507,A230)&lt;&gt;1,"Duplicate ID",IF(COUNTIFS(Data!$A$2:$A$501,A230)&lt;&gt;1,"Not current","Current")))</f>
        <v>Current</v>
      </c>
    </row>
    <row r="231" spans="1:12" ht="32" customHeight="1">
      <c r="A231" s="2" t="s">
        <v>313</v>
      </c>
      <c r="B231" s="10" t="str">
        <f>IF(A231="","",IF(COUNTIFS(Data!$A$2:$A$501,A231)=1,INDEX(Data!$B$2:$B$501,MATCH(A231,Data!$A$2:$A$501,0)),"Not in current directory"))</f>
        <v>Parkway West High School</v>
      </c>
      <c r="C231" s="8" t="s">
        <v>88</v>
      </c>
      <c r="D231" s="8"/>
      <c r="E231" s="9"/>
      <c r="F231" s="8"/>
      <c r="G231" s="9"/>
      <c r="H231" s="8"/>
      <c r="I231" s="8"/>
      <c r="J231" s="8" t="s">
        <v>89</v>
      </c>
      <c r="K231" s="8" t="s">
        <v>90</v>
      </c>
      <c r="L231" s="2" t="str">
        <f>IF(A231="","",IF(COUNTIFS($A$8:$A$507,A231)&lt;&gt;1,"Duplicate ID",IF(COUNTIFS(Data!$A$2:$A$501,A231)&lt;&gt;1,"Not current","Current")))</f>
        <v>Current</v>
      </c>
    </row>
    <row r="232" spans="1:12" ht="32" customHeight="1">
      <c r="A232" s="2" t="s">
        <v>314</v>
      </c>
      <c r="B232" s="10" t="str">
        <f>IF(A232="","",IF(COUNTIFS(Data!$A$2:$A$501,A232)=1,INDEX(Data!$B$2:$B$501,MATCH(A232,Data!$A$2:$A$501,0)),"Not in current directory"))</f>
        <v>Paul L. Dunbar School</v>
      </c>
      <c r="C232" s="8" t="s">
        <v>88</v>
      </c>
      <c r="D232" s="8"/>
      <c r="E232" s="9"/>
      <c r="F232" s="8"/>
      <c r="G232" s="9"/>
      <c r="H232" s="8"/>
      <c r="I232" s="8"/>
      <c r="J232" s="8" t="s">
        <v>89</v>
      </c>
      <c r="K232" s="8" t="s">
        <v>90</v>
      </c>
      <c r="L232" s="2" t="str">
        <f>IF(A232="","",IF(COUNTIFS($A$8:$A$507,A232)&lt;&gt;1,"Duplicate ID",IF(COUNTIFS(Data!$A$2:$A$501,A232)&lt;&gt;1,"Not current","Current")))</f>
        <v>Current</v>
      </c>
    </row>
    <row r="233" spans="1:12" ht="32" customHeight="1">
      <c r="A233" s="2" t="s">
        <v>315</v>
      </c>
      <c r="B233" s="10" t="str">
        <f>IF(A233="","",IF(COUNTIFS(Data!$A$2:$A$501,A233)=1,INDEX(Data!$B$2:$B$501,MATCH(A233,Data!$A$2:$A$501,0)),"Not in current directory"))</f>
        <v>Paul Robeson High School for Human Services</v>
      </c>
      <c r="C233" s="8" t="s">
        <v>88</v>
      </c>
      <c r="D233" s="8"/>
      <c r="E233" s="9"/>
      <c r="F233" s="8"/>
      <c r="G233" s="9"/>
      <c r="H233" s="8"/>
      <c r="I233" s="8"/>
      <c r="J233" s="8" t="s">
        <v>89</v>
      </c>
      <c r="K233" s="8" t="s">
        <v>90</v>
      </c>
      <c r="L233" s="2" t="str">
        <f>IF(A233="","",IF(COUNTIFS($A$8:$A$507,A233)&lt;&gt;1,"Duplicate ID",IF(COUNTIFS(Data!$A$2:$A$501,A233)&lt;&gt;1,"Not current","Current")))</f>
        <v>Current</v>
      </c>
    </row>
    <row r="234" spans="1:12" ht="32" customHeight="1">
      <c r="A234" s="2" t="s">
        <v>316</v>
      </c>
      <c r="B234" s="10" t="str">
        <f>IF(A234="","",IF(COUNTIFS(Data!$A$2:$A$501,A234)=1,INDEX(Data!$B$2:$B$501,MATCH(A234,Data!$A$2:$A$501,0)),"Not in current directory"))</f>
        <v>Penn Treaty School</v>
      </c>
      <c r="C234" s="8" t="s">
        <v>88</v>
      </c>
      <c r="D234" s="8"/>
      <c r="E234" s="9"/>
      <c r="F234" s="8"/>
      <c r="G234" s="9"/>
      <c r="H234" s="8"/>
      <c r="I234" s="8"/>
      <c r="J234" s="8" t="s">
        <v>89</v>
      </c>
      <c r="K234" s="8" t="s">
        <v>90</v>
      </c>
      <c r="L234" s="2" t="str">
        <f>IF(A234="","",IF(COUNTIFS($A$8:$A$507,A234)&lt;&gt;1,"Duplicate ID",IF(COUNTIFS(Data!$A$2:$A$501,A234)&lt;&gt;1,"Not current","Current")))</f>
        <v>Current</v>
      </c>
    </row>
    <row r="235" spans="1:12" ht="32" customHeight="1">
      <c r="A235" s="2" t="s">
        <v>317</v>
      </c>
      <c r="B235" s="10" t="str">
        <f>IF(A235="","",IF(COUNTIFS(Data!$A$2:$A$501,A235)=1,INDEX(Data!$B$2:$B$501,MATCH(A235,Data!$A$2:$A$501,0)),"Not in current directory"))</f>
        <v>Pennypack House School</v>
      </c>
      <c r="C235" s="8" t="s">
        <v>88</v>
      </c>
      <c r="D235" s="8"/>
      <c r="E235" s="9"/>
      <c r="F235" s="8"/>
      <c r="G235" s="9"/>
      <c r="H235" s="8"/>
      <c r="I235" s="8"/>
      <c r="J235" s="8" t="s">
        <v>89</v>
      </c>
      <c r="K235" s="8" t="s">
        <v>90</v>
      </c>
      <c r="L235" s="2" t="str">
        <f>IF(A235="","",IF(COUNTIFS($A$8:$A$507,A235)&lt;&gt;1,"Duplicate ID",IF(COUNTIFS(Data!$A$2:$A$501,A235)&lt;&gt;1,"Not current","Current")))</f>
        <v>Current</v>
      </c>
    </row>
    <row r="236" spans="1:12" ht="32" customHeight="1">
      <c r="A236" s="2" t="s">
        <v>318</v>
      </c>
      <c r="B236" s="10" t="str">
        <f>IF(A236="","",IF(COUNTIFS(Data!$A$2:$A$501,A236)=1,INDEX(Data!$B$2:$B$501,MATCH(A236,Data!$A$2:$A$501,0)),"Not in current directory"))</f>
        <v>Penrose School</v>
      </c>
      <c r="C236" s="8" t="s">
        <v>88</v>
      </c>
      <c r="D236" s="8"/>
      <c r="E236" s="9"/>
      <c r="F236" s="8"/>
      <c r="G236" s="9"/>
      <c r="H236" s="8"/>
      <c r="I236" s="8"/>
      <c r="J236" s="8" t="s">
        <v>89</v>
      </c>
      <c r="K236" s="8" t="s">
        <v>90</v>
      </c>
      <c r="L236" s="2" t="str">
        <f>IF(A236="","",IF(COUNTIFS($A$8:$A$507,A236)&lt;&gt;1,"Duplicate ID",IF(COUNTIFS(Data!$A$2:$A$501,A236)&lt;&gt;1,"Not current","Current")))</f>
        <v>Current</v>
      </c>
    </row>
    <row r="237" spans="1:12" ht="32" customHeight="1">
      <c r="A237" s="2" t="s">
        <v>319</v>
      </c>
      <c r="B237" s="10" t="str">
        <f>IF(A237="","",IF(COUNTIFS(Data!$A$2:$A$501,A237)=1,INDEX(Data!$B$2:$B$501,MATCH(A237,Data!$A$2:$A$501,0)),"Not in current directory"))</f>
        <v>People for People Charter School</v>
      </c>
      <c r="C237" s="8" t="s">
        <v>88</v>
      </c>
      <c r="D237" s="8"/>
      <c r="E237" s="9"/>
      <c r="F237" s="8"/>
      <c r="G237" s="9"/>
      <c r="H237" s="8"/>
      <c r="I237" s="8"/>
      <c r="J237" s="8" t="s">
        <v>89</v>
      </c>
      <c r="K237" s="8" t="s">
        <v>90</v>
      </c>
      <c r="L237" s="2" t="str">
        <f>IF(A237="","",IF(COUNTIFS($A$8:$A$507,A237)&lt;&gt;1,"Duplicate ID",IF(COUNTIFS(Data!$A$2:$A$501,A237)&lt;&gt;1,"Not current","Current")))</f>
        <v>Current</v>
      </c>
    </row>
    <row r="238" spans="1:12" ht="32" customHeight="1">
      <c r="A238" s="2" t="s">
        <v>320</v>
      </c>
      <c r="B238" s="10" t="str">
        <f>IF(A238="","",IF(COUNTIFS(Data!$A$2:$A$501,A238)=1,INDEX(Data!$B$2:$B$501,MATCH(A238,Data!$A$2:$A$501,0)),"Not in current directory"))</f>
        <v>Philadelphia Academy Charter School</v>
      </c>
      <c r="C238" s="8" t="s">
        <v>88</v>
      </c>
      <c r="D238" s="8"/>
      <c r="E238" s="9"/>
      <c r="F238" s="8"/>
      <c r="G238" s="9"/>
      <c r="H238" s="8"/>
      <c r="I238" s="8"/>
      <c r="J238" s="8" t="s">
        <v>89</v>
      </c>
      <c r="K238" s="8" t="s">
        <v>90</v>
      </c>
      <c r="L238" s="2" t="str">
        <f>IF(A238="","",IF(COUNTIFS($A$8:$A$507,A238)&lt;&gt;1,"Duplicate ID",IF(COUNTIFS(Data!$A$2:$A$501,A238)&lt;&gt;1,"Not current","Current")))</f>
        <v>Current</v>
      </c>
    </row>
    <row r="239" spans="1:12" ht="32" customHeight="1">
      <c r="A239" s="2" t="s">
        <v>321</v>
      </c>
      <c r="B239" s="10" t="str">
        <f>IF(A239="","",IF(COUNTIFS(Data!$A$2:$A$501,A239)=1,INDEX(Data!$B$2:$B$501,MATCH(A239,Data!$A$2:$A$501,0)),"Not in current directory"))</f>
        <v>Philadelphia Continuation Academy</v>
      </c>
      <c r="C239" s="8" t="s">
        <v>88</v>
      </c>
      <c r="D239" s="8"/>
      <c r="E239" s="9"/>
      <c r="F239" s="8"/>
      <c r="G239" s="9"/>
      <c r="H239" s="8"/>
      <c r="I239" s="8"/>
      <c r="J239" s="8" t="s">
        <v>89</v>
      </c>
      <c r="K239" s="8" t="s">
        <v>90</v>
      </c>
      <c r="L239" s="2" t="str">
        <f>IF(A239="","",IF(COUNTIFS($A$8:$A$507,A239)&lt;&gt;1,"Duplicate ID",IF(COUNTIFS(Data!$A$2:$A$501,A239)&lt;&gt;1,"Not current","Current")))</f>
        <v>Current</v>
      </c>
    </row>
    <row r="240" spans="1:12" ht="32" customHeight="1">
      <c r="A240" s="2" t="s">
        <v>322</v>
      </c>
      <c r="B240" s="10" t="str">
        <f>IF(A240="","",IF(COUNTIFS(Data!$A$2:$A$501,A240)=1,INDEX(Data!$B$2:$B$501,MATCH(A240,Data!$A$2:$A$501,0)),"Not in current directory"))</f>
        <v>Philadelphia Electrical and Technology Charter High School</v>
      </c>
      <c r="C240" s="8" t="s">
        <v>88</v>
      </c>
      <c r="D240" s="8"/>
      <c r="E240" s="9"/>
      <c r="F240" s="8"/>
      <c r="G240" s="9"/>
      <c r="H240" s="8"/>
      <c r="I240" s="8"/>
      <c r="J240" s="8" t="s">
        <v>89</v>
      </c>
      <c r="K240" s="8" t="s">
        <v>90</v>
      </c>
      <c r="L240" s="2" t="str">
        <f>IF(A240="","",IF(COUNTIFS($A$8:$A$507,A240)&lt;&gt;1,"Duplicate ID",IF(COUNTIFS(Data!$A$2:$A$501,A240)&lt;&gt;1,"Not current","Current")))</f>
        <v>Current</v>
      </c>
    </row>
    <row r="241" spans="1:12" ht="32" customHeight="1">
      <c r="A241" s="2" t="s">
        <v>323</v>
      </c>
      <c r="B241" s="10" t="str">
        <f>IF(A241="","",IF(COUNTIFS(Data!$A$2:$A$501,A241)=1,INDEX(Data!$B$2:$B$501,MATCH(A241,Data!$A$2:$A$501,0)),"Not in current directory"))</f>
        <v>Philadelphia Hebrew Public Charter School</v>
      </c>
      <c r="C241" s="8" t="s">
        <v>88</v>
      </c>
      <c r="D241" s="8"/>
      <c r="E241" s="9"/>
      <c r="F241" s="8"/>
      <c r="G241" s="9"/>
      <c r="H241" s="8"/>
      <c r="I241" s="8"/>
      <c r="J241" s="8" t="s">
        <v>89</v>
      </c>
      <c r="K241" s="8" t="s">
        <v>90</v>
      </c>
      <c r="L241" s="2" t="str">
        <f>IF(A241="","",IF(COUNTIFS($A$8:$A$507,A241)&lt;&gt;1,"Duplicate ID",IF(COUNTIFS(Data!$A$2:$A$501,A241)&lt;&gt;1,"Not current","Current")))</f>
        <v>Current</v>
      </c>
    </row>
    <row r="242" spans="1:12" ht="32" customHeight="1">
      <c r="A242" s="2" t="s">
        <v>324</v>
      </c>
      <c r="B242" s="10" t="str">
        <f>IF(A242="","",IF(COUNTIFS(Data!$A$2:$A$501,A242)=1,INDEX(Data!$B$2:$B$501,MATCH(A242,Data!$A$2:$A$501,0)),"Not in current directory"))</f>
        <v>Philadelphia High School for Girls</v>
      </c>
      <c r="C242" s="8" t="s">
        <v>88</v>
      </c>
      <c r="D242" s="8"/>
      <c r="E242" s="9"/>
      <c r="F242" s="8"/>
      <c r="G242" s="9"/>
      <c r="H242" s="8"/>
      <c r="I242" s="8"/>
      <c r="J242" s="8" t="s">
        <v>89</v>
      </c>
      <c r="K242" s="8" t="s">
        <v>90</v>
      </c>
      <c r="L242" s="2" t="str">
        <f>IF(A242="","",IF(COUNTIFS($A$8:$A$507,A242)&lt;&gt;1,"Duplicate ID",IF(COUNTIFS(Data!$A$2:$A$501,A242)&lt;&gt;1,"Not current","Current")))</f>
        <v>Current</v>
      </c>
    </row>
    <row r="243" spans="1:12" ht="32" customHeight="1">
      <c r="A243" s="2" t="s">
        <v>325</v>
      </c>
      <c r="B243" s="10" t="str">
        <f>IF(A243="","",IF(COUNTIFS(Data!$A$2:$A$501,A243)=1,INDEX(Data!$B$2:$B$501,MATCH(A243,Data!$A$2:$A$501,0)),"Not in current directory"))</f>
        <v>Philadelphia Juvenile Justice Services Center</v>
      </c>
      <c r="C243" s="8" t="s">
        <v>88</v>
      </c>
      <c r="D243" s="8"/>
      <c r="E243" s="9"/>
      <c r="F243" s="8"/>
      <c r="G243" s="9"/>
      <c r="H243" s="8"/>
      <c r="I243" s="8"/>
      <c r="J243" s="8" t="s">
        <v>89</v>
      </c>
      <c r="K243" s="8" t="s">
        <v>90</v>
      </c>
      <c r="L243" s="2" t="str">
        <f>IF(A243="","",IF(COUNTIFS($A$8:$A$507,A243)&lt;&gt;1,"Duplicate ID",IF(COUNTIFS(Data!$A$2:$A$501,A243)&lt;&gt;1,"Not current","Current")))</f>
        <v>Current</v>
      </c>
    </row>
    <row r="244" spans="1:12" ht="32" customHeight="1">
      <c r="A244" s="2" t="s">
        <v>326</v>
      </c>
      <c r="B244" s="10" t="str">
        <f>IF(A244="","",IF(COUNTIFS(Data!$A$2:$A$501,A244)=1,INDEX(Data!$B$2:$B$501,MATCH(A244,Data!$A$2:$A$501,0)),"Not in current directory"))</f>
        <v>Philadelphia Learning Academy North</v>
      </c>
      <c r="C244" s="8" t="s">
        <v>88</v>
      </c>
      <c r="D244" s="8"/>
      <c r="E244" s="9"/>
      <c r="F244" s="8"/>
      <c r="G244" s="9"/>
      <c r="H244" s="8"/>
      <c r="I244" s="8"/>
      <c r="J244" s="8" t="s">
        <v>89</v>
      </c>
      <c r="K244" s="8" t="s">
        <v>90</v>
      </c>
      <c r="L244" s="2" t="str">
        <f>IF(A244="","",IF(COUNTIFS($A$8:$A$507,A244)&lt;&gt;1,"Duplicate ID",IF(COUNTIFS(Data!$A$2:$A$501,A244)&lt;&gt;1,"Not current","Current")))</f>
        <v>Current</v>
      </c>
    </row>
    <row r="245" spans="1:12" ht="32" customHeight="1">
      <c r="A245" s="2" t="s">
        <v>327</v>
      </c>
      <c r="B245" s="10" t="str">
        <f>IF(A245="","",IF(COUNTIFS(Data!$A$2:$A$501,A245)=1,INDEX(Data!$B$2:$B$501,MATCH(A245,Data!$A$2:$A$501,0)),"Not in current directory"))</f>
        <v>Philadelphia Learning Academy West</v>
      </c>
      <c r="C245" s="8" t="s">
        <v>88</v>
      </c>
      <c r="D245" s="8"/>
      <c r="E245" s="9"/>
      <c r="F245" s="8"/>
      <c r="G245" s="9"/>
      <c r="H245" s="8"/>
      <c r="I245" s="8"/>
      <c r="J245" s="8" t="s">
        <v>89</v>
      </c>
      <c r="K245" s="8" t="s">
        <v>90</v>
      </c>
      <c r="L245" s="2" t="str">
        <f>IF(A245="","",IF(COUNTIFS($A$8:$A$507,A245)&lt;&gt;1,"Duplicate ID",IF(COUNTIFS(Data!$A$2:$A$501,A245)&lt;&gt;1,"Not current","Current")))</f>
        <v>Current</v>
      </c>
    </row>
    <row r="246" spans="1:12" ht="32" customHeight="1">
      <c r="A246" s="2" t="s">
        <v>328</v>
      </c>
      <c r="B246" s="10" t="str">
        <f>IF(A246="","",IF(COUNTIFS(Data!$A$2:$A$501,A246)=1,INDEX(Data!$B$2:$B$501,MATCH(A246,Data!$A$2:$A$501,0)),"Not in current directory"))</f>
        <v>Philadelphia Military Academy</v>
      </c>
      <c r="C246" s="8" t="s">
        <v>88</v>
      </c>
      <c r="D246" s="8"/>
      <c r="E246" s="9"/>
      <c r="F246" s="8"/>
      <c r="G246" s="9"/>
      <c r="H246" s="8"/>
      <c r="I246" s="8"/>
      <c r="J246" s="8" t="s">
        <v>89</v>
      </c>
      <c r="K246" s="8" t="s">
        <v>90</v>
      </c>
      <c r="L246" s="2" t="str">
        <f>IF(A246="","",IF(COUNTIFS($A$8:$A$507,A246)&lt;&gt;1,"Duplicate ID",IF(COUNTIFS(Data!$A$2:$A$501,A246)&lt;&gt;1,"Not current","Current")))</f>
        <v>Current</v>
      </c>
    </row>
    <row r="247" spans="1:12" ht="32" customHeight="1">
      <c r="A247" s="2" t="s">
        <v>329</v>
      </c>
      <c r="B247" s="10" t="str">
        <f>IF(A247="","",IF(COUNTIFS(Data!$A$2:$A$501,A247)=1,INDEX(Data!$B$2:$B$501,MATCH(A247,Data!$A$2:$A$501,0)),"Not in current directory"))</f>
        <v>Philadelphia Montessori Charter School</v>
      </c>
      <c r="C247" s="8" t="s">
        <v>88</v>
      </c>
      <c r="D247" s="8"/>
      <c r="E247" s="9"/>
      <c r="F247" s="8"/>
      <c r="G247" s="9"/>
      <c r="H247" s="8"/>
      <c r="I247" s="8"/>
      <c r="J247" s="8" t="s">
        <v>89</v>
      </c>
      <c r="K247" s="8" t="s">
        <v>90</v>
      </c>
      <c r="L247" s="2" t="str">
        <f>IF(A247="","",IF(COUNTIFS($A$8:$A$507,A247)&lt;&gt;1,"Duplicate ID",IF(COUNTIFS(Data!$A$2:$A$501,A247)&lt;&gt;1,"Not current","Current")))</f>
        <v>Current</v>
      </c>
    </row>
    <row r="248" spans="1:12" ht="32" customHeight="1">
      <c r="A248" s="2" t="s">
        <v>330</v>
      </c>
      <c r="B248" s="10" t="str">
        <f>IF(A248="","",IF(COUNTIFS(Data!$A$2:$A$501,A248)=1,INDEX(Data!$B$2:$B$501,MATCH(A248,Data!$A$2:$A$501,0)),"Not in current directory"))</f>
        <v>Philadelphia Performing Arts Charter School</v>
      </c>
      <c r="C248" s="8" t="s">
        <v>88</v>
      </c>
      <c r="D248" s="8"/>
      <c r="E248" s="9"/>
      <c r="F248" s="8"/>
      <c r="G248" s="9"/>
      <c r="H248" s="8"/>
      <c r="I248" s="8"/>
      <c r="J248" s="8" t="s">
        <v>89</v>
      </c>
      <c r="K248" s="8" t="s">
        <v>90</v>
      </c>
      <c r="L248" s="2" t="str">
        <f>IF(A248="","",IF(COUNTIFS($A$8:$A$507,A248)&lt;&gt;1,"Duplicate ID",IF(COUNTIFS(Data!$A$2:$A$501,A248)&lt;&gt;1,"Not current","Current")))</f>
        <v>Current</v>
      </c>
    </row>
    <row r="249" spans="1:12" ht="32" customHeight="1">
      <c r="A249" s="2" t="s">
        <v>331</v>
      </c>
      <c r="B249" s="10" t="str">
        <f>IF(A249="","",IF(COUNTIFS(Data!$A$2:$A$501,A249)=1,INDEX(Data!$B$2:$B$501,MATCH(A249,Data!$A$2:$A$501,0)),"Not in current directory"))</f>
        <v>Philadelphia Virtual Academy</v>
      </c>
      <c r="C249" s="8" t="s">
        <v>88</v>
      </c>
      <c r="D249" s="8"/>
      <c r="E249" s="9"/>
      <c r="F249" s="8"/>
      <c r="G249" s="9"/>
      <c r="H249" s="8"/>
      <c r="I249" s="8"/>
      <c r="J249" s="8" t="s">
        <v>89</v>
      </c>
      <c r="K249" s="8" t="s">
        <v>90</v>
      </c>
      <c r="L249" s="2" t="str">
        <f>IF(A249="","",IF(COUNTIFS($A$8:$A$507,A249)&lt;&gt;1,"Duplicate ID",IF(COUNTIFS(Data!$A$2:$A$501,A249)&lt;&gt;1,"Not current","Current")))</f>
        <v>Current</v>
      </c>
    </row>
    <row r="250" spans="1:12" ht="32" customHeight="1">
      <c r="A250" s="2" t="s">
        <v>332</v>
      </c>
      <c r="B250" s="10" t="str">
        <f>IF(A250="","",IF(COUNTIFS(Data!$A$2:$A$501,A250)=1,INDEX(Data!$B$2:$B$501,MATCH(A250,Data!$A$2:$A$501,0)),"Not in current directory"))</f>
        <v>Potter-Thomas School</v>
      </c>
      <c r="C250" s="8" t="s">
        <v>88</v>
      </c>
      <c r="D250" s="8"/>
      <c r="E250" s="9"/>
      <c r="F250" s="8"/>
      <c r="G250" s="9"/>
      <c r="H250" s="8"/>
      <c r="I250" s="8"/>
      <c r="J250" s="8" t="s">
        <v>89</v>
      </c>
      <c r="K250" s="8" t="s">
        <v>90</v>
      </c>
      <c r="L250" s="2" t="str">
        <f>IF(A250="","",IF(COUNTIFS($A$8:$A$507,A250)&lt;&gt;1,"Duplicate ID",IF(COUNTIFS(Data!$A$2:$A$501,A250)&lt;&gt;1,"Not current","Current")))</f>
        <v>Current</v>
      </c>
    </row>
    <row r="251" spans="1:12" ht="32" customHeight="1">
      <c r="A251" s="2" t="s">
        <v>333</v>
      </c>
      <c r="B251" s="10" t="str">
        <f>IF(A251="","",IF(COUNTIFS(Data!$A$2:$A$501,A251)=1,INDEX(Data!$B$2:$B$501,MATCH(A251,Data!$A$2:$A$501,0)),"Not in current directory"))</f>
        <v>Preparatory Charter School of Mathematics, Science, Technology and Careers</v>
      </c>
      <c r="C251" s="8" t="s">
        <v>88</v>
      </c>
      <c r="D251" s="8"/>
      <c r="E251" s="9"/>
      <c r="F251" s="8"/>
      <c r="G251" s="9"/>
      <c r="H251" s="8"/>
      <c r="I251" s="8"/>
      <c r="J251" s="8" t="s">
        <v>89</v>
      </c>
      <c r="K251" s="8" t="s">
        <v>90</v>
      </c>
      <c r="L251" s="2" t="str">
        <f>IF(A251="","",IF(COUNTIFS($A$8:$A$507,A251)&lt;&gt;1,"Duplicate ID",IF(COUNTIFS(Data!$A$2:$A$501,A251)&lt;&gt;1,"Not current","Current")))</f>
        <v>Current</v>
      </c>
    </row>
    <row r="252" spans="1:12" ht="32" customHeight="1">
      <c r="A252" s="2" t="s">
        <v>334</v>
      </c>
      <c r="B252" s="10" t="str">
        <f>IF(A252="","",IF(COUNTIFS(Data!$A$2:$A$501,A252)=1,INDEX(Data!$B$2:$B$501,MATCH(A252,Data!$A$2:$A$501,0)),"Not in current directory"))</f>
        <v>Prince Hall School</v>
      </c>
      <c r="C252" s="8" t="s">
        <v>88</v>
      </c>
      <c r="D252" s="8"/>
      <c r="E252" s="9"/>
      <c r="F252" s="8"/>
      <c r="G252" s="9"/>
      <c r="H252" s="8"/>
      <c r="I252" s="8"/>
      <c r="J252" s="8" t="s">
        <v>89</v>
      </c>
      <c r="K252" s="8" t="s">
        <v>90</v>
      </c>
      <c r="L252" s="2" t="str">
        <f>IF(A252="","",IF(COUNTIFS($A$8:$A$507,A252)&lt;&gt;1,"Duplicate ID",IF(COUNTIFS(Data!$A$2:$A$501,A252)&lt;&gt;1,"Not current","Current")))</f>
        <v>Current</v>
      </c>
    </row>
    <row r="253" spans="1:12" ht="32" customHeight="1">
      <c r="A253" s="2" t="s">
        <v>335</v>
      </c>
      <c r="B253" s="10" t="str">
        <f>IF(A253="","",IF(COUNTIFS(Data!$A$2:$A$501,A253)=1,INDEX(Data!$B$2:$B$501,MATCH(A253,Data!$A$2:$A$501,0)),"Not in current directory"))</f>
        <v>Re-Engagement Center</v>
      </c>
      <c r="C253" s="8" t="s">
        <v>88</v>
      </c>
      <c r="D253" s="8"/>
      <c r="E253" s="9"/>
      <c r="F253" s="8"/>
      <c r="G253" s="9"/>
      <c r="H253" s="8"/>
      <c r="I253" s="8"/>
      <c r="J253" s="8" t="s">
        <v>89</v>
      </c>
      <c r="K253" s="8" t="s">
        <v>90</v>
      </c>
      <c r="L253" s="2" t="str">
        <f>IF(A253="","",IF(COUNTIFS($A$8:$A$507,A253)&lt;&gt;1,"Duplicate ID",IF(COUNTIFS(Data!$A$2:$A$501,A253)&lt;&gt;1,"Not current","Current")))</f>
        <v>Current</v>
      </c>
    </row>
    <row r="254" spans="1:12" ht="32" customHeight="1">
      <c r="A254" s="2" t="s">
        <v>336</v>
      </c>
      <c r="B254" s="10" t="str">
        <f>IF(A254="","",IF(COUNTIFS(Data!$A$2:$A$501,A254)=1,INDEX(Data!$B$2:$B$501,MATCH(A254,Data!$A$2:$A$501,0)),"Not in current directory"))</f>
        <v>Rhawnhurst School</v>
      </c>
      <c r="C254" s="8" t="s">
        <v>88</v>
      </c>
      <c r="D254" s="8"/>
      <c r="E254" s="9"/>
      <c r="F254" s="8"/>
      <c r="G254" s="9"/>
      <c r="H254" s="8"/>
      <c r="I254" s="8"/>
      <c r="J254" s="8" t="s">
        <v>89</v>
      </c>
      <c r="K254" s="8" t="s">
        <v>90</v>
      </c>
      <c r="L254" s="2" t="str">
        <f>IF(A254="","",IF(COUNTIFS($A$8:$A$507,A254)&lt;&gt;1,"Duplicate ID",IF(COUNTIFS(Data!$A$2:$A$501,A254)&lt;&gt;1,"Not current","Current")))</f>
        <v>Current</v>
      </c>
    </row>
    <row r="255" spans="1:12" ht="32" customHeight="1">
      <c r="A255" s="2" t="s">
        <v>337</v>
      </c>
      <c r="B255" s="10" t="str">
        <f>IF(A255="","",IF(COUNTIFS(Data!$A$2:$A$501,A255)=1,INDEX(Data!$B$2:$B$501,MATCH(A255,Data!$A$2:$A$501,0)),"Not in current directory"))</f>
        <v>Richard Allen Preparatory Charter School</v>
      </c>
      <c r="C255" s="8" t="s">
        <v>88</v>
      </c>
      <c r="D255" s="8"/>
      <c r="E255" s="9"/>
      <c r="F255" s="8"/>
      <c r="G255" s="9"/>
      <c r="H255" s="8"/>
      <c r="I255" s="8"/>
      <c r="J255" s="8" t="s">
        <v>89</v>
      </c>
      <c r="K255" s="8" t="s">
        <v>90</v>
      </c>
      <c r="L255" s="2" t="str">
        <f>IF(A255="","",IF(COUNTIFS($A$8:$A$507,A255)&lt;&gt;1,"Duplicate ID",IF(COUNTIFS(Data!$A$2:$A$501,A255)&lt;&gt;1,"Not current","Current")))</f>
        <v>Current</v>
      </c>
    </row>
    <row r="256" spans="1:12" ht="32" customHeight="1">
      <c r="A256" s="2" t="s">
        <v>338</v>
      </c>
      <c r="B256" s="10" t="str">
        <f>IF(A256="","",IF(COUNTIFS(Data!$A$2:$A$501,A256)=1,INDEX(Data!$B$2:$B$501,MATCH(A256,Data!$A$2:$A$501,0)),"Not in current directory"))</f>
        <v>Richard R. Wright School</v>
      </c>
      <c r="C256" s="8" t="s">
        <v>88</v>
      </c>
      <c r="D256" s="8"/>
      <c r="E256" s="9"/>
      <c r="F256" s="8"/>
      <c r="G256" s="9"/>
      <c r="H256" s="8"/>
      <c r="I256" s="8"/>
      <c r="J256" s="8" t="s">
        <v>89</v>
      </c>
      <c r="K256" s="8" t="s">
        <v>90</v>
      </c>
      <c r="L256" s="2" t="str">
        <f>IF(A256="","",IF(COUNTIFS($A$8:$A$507,A256)&lt;&gt;1,"Duplicate ID",IF(COUNTIFS(Data!$A$2:$A$501,A256)&lt;&gt;1,"Not current","Current")))</f>
        <v>Current</v>
      </c>
    </row>
    <row r="257" spans="1:12" ht="32" customHeight="1">
      <c r="A257" s="2" t="s">
        <v>339</v>
      </c>
      <c r="B257" s="10" t="str">
        <f>IF(A257="","",IF(COUNTIFS(Data!$A$2:$A$501,A257)=1,INDEX(Data!$B$2:$B$501,MATCH(A257,Data!$A$2:$A$501,0)),"Not in current directory"))</f>
        <v>Richmond School</v>
      </c>
      <c r="C257" s="8" t="s">
        <v>88</v>
      </c>
      <c r="D257" s="8"/>
      <c r="E257" s="9"/>
      <c r="F257" s="8"/>
      <c r="G257" s="9"/>
      <c r="H257" s="8"/>
      <c r="I257" s="8"/>
      <c r="J257" s="8" t="s">
        <v>89</v>
      </c>
      <c r="K257" s="8" t="s">
        <v>90</v>
      </c>
      <c r="L257" s="2" t="str">
        <f>IF(A257="","",IF(COUNTIFS($A$8:$A$507,A257)&lt;&gt;1,"Duplicate ID",IF(COUNTIFS(Data!$A$2:$A$501,A257)&lt;&gt;1,"Not current","Current")))</f>
        <v>Current</v>
      </c>
    </row>
    <row r="258" spans="1:12" ht="32" customHeight="1">
      <c r="A258" s="2" t="s">
        <v>340</v>
      </c>
      <c r="B258" s="10" t="str">
        <f>IF(A258="","",IF(COUNTIFS(Data!$A$2:$A$501,A258)=1,INDEX(Data!$B$2:$B$501,MATCH(A258,Data!$A$2:$A$501,0)),"Not in current directory"))</f>
        <v>Robert B. Pollock School</v>
      </c>
      <c r="C258" s="8" t="s">
        <v>88</v>
      </c>
      <c r="D258" s="8"/>
      <c r="E258" s="9"/>
      <c r="F258" s="8"/>
      <c r="G258" s="9"/>
      <c r="H258" s="8"/>
      <c r="I258" s="8"/>
      <c r="J258" s="8" t="s">
        <v>89</v>
      </c>
      <c r="K258" s="8" t="s">
        <v>90</v>
      </c>
      <c r="L258" s="2" t="str">
        <f>IF(A258="","",IF(COUNTIFS($A$8:$A$507,A258)&lt;&gt;1,"Duplicate ID",IF(COUNTIFS(Data!$A$2:$A$501,A258)&lt;&gt;1,"Not current","Current")))</f>
        <v>Current</v>
      </c>
    </row>
    <row r="259" spans="1:12" ht="32" customHeight="1">
      <c r="A259" s="2" t="s">
        <v>341</v>
      </c>
      <c r="B259" s="10" t="str">
        <f>IF(A259="","",IF(COUNTIFS(Data!$A$2:$A$501,A259)=1,INDEX(Data!$B$2:$B$501,MATCH(A259,Data!$A$2:$A$501,0)),"Not in current directory"))</f>
        <v>Robert E. Lamberton School</v>
      </c>
      <c r="C259" s="8" t="s">
        <v>88</v>
      </c>
      <c r="D259" s="8"/>
      <c r="E259" s="9"/>
      <c r="F259" s="8"/>
      <c r="G259" s="9"/>
      <c r="H259" s="8"/>
      <c r="I259" s="8"/>
      <c r="J259" s="8" t="s">
        <v>89</v>
      </c>
      <c r="K259" s="8" t="s">
        <v>90</v>
      </c>
      <c r="L259" s="2" t="str">
        <f>IF(A259="","",IF(COUNTIFS($A$8:$A$507,A259)&lt;&gt;1,"Duplicate ID",IF(COUNTIFS(Data!$A$2:$A$501,A259)&lt;&gt;1,"Not current","Current")))</f>
        <v>Current</v>
      </c>
    </row>
    <row r="260" spans="1:12" ht="32" customHeight="1">
      <c r="A260" s="2" t="s">
        <v>342</v>
      </c>
      <c r="B260" s="10" t="str">
        <f>IF(A260="","",IF(COUNTIFS(Data!$A$2:$A$501,A260)=1,INDEX(Data!$B$2:$B$501,MATCH(A260,Data!$A$2:$A$501,0)),"Not in current directory"))</f>
        <v>Robert Morris School</v>
      </c>
      <c r="C260" s="8" t="s">
        <v>88</v>
      </c>
      <c r="D260" s="8"/>
      <c r="E260" s="9"/>
      <c r="F260" s="8"/>
      <c r="G260" s="9"/>
      <c r="H260" s="8"/>
      <c r="I260" s="8"/>
      <c r="J260" s="8" t="s">
        <v>89</v>
      </c>
      <c r="K260" s="8" t="s">
        <v>90</v>
      </c>
      <c r="L260" s="2" t="str">
        <f>IF(A260="","",IF(COUNTIFS($A$8:$A$507,A260)&lt;&gt;1,"Duplicate ID",IF(COUNTIFS(Data!$A$2:$A$501,A260)&lt;&gt;1,"Not current","Current")))</f>
        <v>Current</v>
      </c>
    </row>
    <row r="261" spans="1:12" ht="32" customHeight="1">
      <c r="A261" s="2" t="s">
        <v>343</v>
      </c>
      <c r="B261" s="10" t="str">
        <f>IF(A261="","",IF(COUNTIFS(Data!$A$2:$A$501,A261)=1,INDEX(Data!$B$2:$B$501,MATCH(A261,Data!$A$2:$A$501,0)),"Not in current directory"))</f>
        <v>Roberto Clemente Middle School</v>
      </c>
      <c r="C261" s="8" t="s">
        <v>88</v>
      </c>
      <c r="D261" s="8"/>
      <c r="E261" s="9"/>
      <c r="F261" s="8"/>
      <c r="G261" s="9"/>
      <c r="H261" s="8"/>
      <c r="I261" s="8"/>
      <c r="J261" s="8" t="s">
        <v>89</v>
      </c>
      <c r="K261" s="8" t="s">
        <v>90</v>
      </c>
      <c r="L261" s="2" t="str">
        <f>IF(A261="","",IF(COUNTIFS($A$8:$A$507,A261)&lt;&gt;1,"Duplicate ID",IF(COUNTIFS(Data!$A$2:$A$501,A261)&lt;&gt;1,"Not current","Current")))</f>
        <v>Current</v>
      </c>
    </row>
    <row r="262" spans="1:12" ht="32" customHeight="1">
      <c r="A262" s="2" t="s">
        <v>344</v>
      </c>
      <c r="B262" s="10" t="str">
        <f>IF(A262="","",IF(COUNTIFS(Data!$A$2:$A$501,A262)=1,INDEX(Data!$B$2:$B$501,MATCH(A262,Data!$A$2:$A$501,0)),"Not in current directory"))</f>
        <v>Roxborough High School</v>
      </c>
      <c r="C262" s="8" t="s">
        <v>88</v>
      </c>
      <c r="D262" s="8"/>
      <c r="E262" s="9"/>
      <c r="F262" s="8"/>
      <c r="G262" s="9"/>
      <c r="H262" s="8"/>
      <c r="I262" s="8"/>
      <c r="J262" s="8" t="s">
        <v>89</v>
      </c>
      <c r="K262" s="8" t="s">
        <v>90</v>
      </c>
      <c r="L262" s="2" t="str">
        <f>IF(A262="","",IF(COUNTIFS($A$8:$A$507,A262)&lt;&gt;1,"Duplicate ID",IF(COUNTIFS(Data!$A$2:$A$501,A262)&lt;&gt;1,"Not current","Current")))</f>
        <v>Current</v>
      </c>
    </row>
    <row r="263" spans="1:12" ht="32" customHeight="1">
      <c r="A263" s="2" t="s">
        <v>345</v>
      </c>
      <c r="B263" s="10" t="str">
        <f>IF(A263="","",IF(COUNTIFS(Data!$A$2:$A$501,A263)=1,INDEX(Data!$B$2:$B$501,MATCH(A263,Data!$A$2:$A$501,0)),"Not in current directory"))</f>
        <v>Rudolph Blankenburg School</v>
      </c>
      <c r="C263" s="8" t="s">
        <v>88</v>
      </c>
      <c r="D263" s="8"/>
      <c r="E263" s="9"/>
      <c r="F263" s="8"/>
      <c r="G263" s="9"/>
      <c r="H263" s="8"/>
      <c r="I263" s="8"/>
      <c r="J263" s="8" t="s">
        <v>89</v>
      </c>
      <c r="K263" s="8" t="s">
        <v>90</v>
      </c>
      <c r="L263" s="2" t="str">
        <f>IF(A263="","",IF(COUNTIFS($A$8:$A$507,A263)&lt;&gt;1,"Duplicate ID",IF(COUNTIFS(Data!$A$2:$A$501,A263)&lt;&gt;1,"Not current","Current")))</f>
        <v>Current</v>
      </c>
    </row>
    <row r="264" spans="1:12" ht="32" customHeight="1">
      <c r="A264" s="2" t="s">
        <v>346</v>
      </c>
      <c r="B264" s="10" t="str">
        <f>IF(A264="","",IF(COUNTIFS(Data!$A$2:$A$501,A264)=1,INDEX(Data!$B$2:$B$501,MATCH(A264,Data!$A$2:$A$501,0)),"Not in current directory"))</f>
        <v>Russell Byers Charter School</v>
      </c>
      <c r="C264" s="8" t="s">
        <v>88</v>
      </c>
      <c r="D264" s="8"/>
      <c r="E264" s="9"/>
      <c r="F264" s="8"/>
      <c r="G264" s="9"/>
      <c r="H264" s="8"/>
      <c r="I264" s="8"/>
      <c r="J264" s="8" t="s">
        <v>89</v>
      </c>
      <c r="K264" s="8" t="s">
        <v>90</v>
      </c>
      <c r="L264" s="2" t="str">
        <f>IF(A264="","",IF(COUNTIFS($A$8:$A$507,A264)&lt;&gt;1,"Duplicate ID",IF(COUNTIFS(Data!$A$2:$A$501,A264)&lt;&gt;1,"Not current","Current")))</f>
        <v>Current</v>
      </c>
    </row>
    <row r="265" spans="1:12" ht="32" customHeight="1">
      <c r="A265" s="2" t="s">
        <v>347</v>
      </c>
      <c r="B265" s="10" t="str">
        <f>IF(A265="","",IF(COUNTIFS(Data!$A$2:$A$501,A265)=1,INDEX(Data!$B$2:$B$501,MATCH(A265,Data!$A$2:$A$501,0)),"Not in current directory"))</f>
        <v>Russell H. Conwell School</v>
      </c>
      <c r="C265" s="8" t="s">
        <v>88</v>
      </c>
      <c r="D265" s="8"/>
      <c r="E265" s="9"/>
      <c r="F265" s="8"/>
      <c r="G265" s="9"/>
      <c r="H265" s="8"/>
      <c r="I265" s="8"/>
      <c r="J265" s="8" t="s">
        <v>89</v>
      </c>
      <c r="K265" s="8" t="s">
        <v>90</v>
      </c>
      <c r="L265" s="2" t="str">
        <f>IF(A265="","",IF(COUNTIFS($A$8:$A$507,A265)&lt;&gt;1,"Duplicate ID",IF(COUNTIFS(Data!$A$2:$A$501,A265)&lt;&gt;1,"Not current","Current")))</f>
        <v>Current</v>
      </c>
    </row>
    <row r="266" spans="1:12" ht="32" customHeight="1">
      <c r="A266" s="2" t="s">
        <v>348</v>
      </c>
      <c r="B266" s="10" t="str">
        <f>IF(A266="","",IF(COUNTIFS(Data!$A$2:$A$501,A266)=1,INDEX(Data!$B$2:$B$501,MATCH(A266,Data!$A$2:$A$501,0)),"Not in current directory"))</f>
        <v>S. Weir Mitchell School</v>
      </c>
      <c r="C266" s="8" t="s">
        <v>88</v>
      </c>
      <c r="D266" s="8"/>
      <c r="E266" s="9"/>
      <c r="F266" s="8"/>
      <c r="G266" s="9"/>
      <c r="H266" s="8"/>
      <c r="I266" s="8"/>
      <c r="J266" s="8" t="s">
        <v>89</v>
      </c>
      <c r="K266" s="8" t="s">
        <v>90</v>
      </c>
      <c r="L266" s="2" t="str">
        <f>IF(A266="","",IF(COUNTIFS($A$8:$A$507,A266)&lt;&gt;1,"Duplicate ID",IF(COUNTIFS(Data!$A$2:$A$501,A266)&lt;&gt;1,"Not current","Current")))</f>
        <v>Current</v>
      </c>
    </row>
    <row r="267" spans="1:12" ht="32" customHeight="1">
      <c r="A267" s="2" t="s">
        <v>349</v>
      </c>
      <c r="B267" s="10" t="str">
        <f>IF(A267="","",IF(COUNTIFS(Data!$A$2:$A$501,A267)=1,INDEX(Data!$B$2:$B$501,MATCH(A267,Data!$A$2:$A$501,0)),"Not in current directory"))</f>
        <v>Sadie T.M. Alexander UPenn Partnership School</v>
      </c>
      <c r="C267" s="8" t="s">
        <v>88</v>
      </c>
      <c r="D267" s="8"/>
      <c r="E267" s="9"/>
      <c r="F267" s="8"/>
      <c r="G267" s="9"/>
      <c r="H267" s="8"/>
      <c r="I267" s="8"/>
      <c r="J267" s="8" t="s">
        <v>89</v>
      </c>
      <c r="K267" s="8" t="s">
        <v>90</v>
      </c>
      <c r="L267" s="2" t="str">
        <f>IF(A267="","",IF(COUNTIFS($A$8:$A$507,A267)&lt;&gt;1,"Duplicate ID",IF(COUNTIFS(Data!$A$2:$A$501,A267)&lt;&gt;1,"Not current","Current")))</f>
        <v>Current</v>
      </c>
    </row>
    <row r="268" spans="1:12" ht="32" customHeight="1">
      <c r="A268" s="2" t="s">
        <v>350</v>
      </c>
      <c r="B268" s="10" t="str">
        <f>IF(A268="","",IF(COUNTIFS(Data!$A$2:$A$501,A268)=1,INDEX(Data!$B$2:$B$501,MATCH(A268,Data!$A$2:$A$501,0)),"Not in current directory"))</f>
        <v>Samuel Fels High School</v>
      </c>
      <c r="C268" s="8" t="s">
        <v>88</v>
      </c>
      <c r="D268" s="8"/>
      <c r="E268" s="9"/>
      <c r="F268" s="8"/>
      <c r="G268" s="9"/>
      <c r="H268" s="8"/>
      <c r="I268" s="8"/>
      <c r="J268" s="8" t="s">
        <v>89</v>
      </c>
      <c r="K268" s="8" t="s">
        <v>90</v>
      </c>
      <c r="L268" s="2" t="str">
        <f>IF(A268="","",IF(COUNTIFS($A$8:$A$507,A268)&lt;&gt;1,"Duplicate ID",IF(COUNTIFS(Data!$A$2:$A$501,A268)&lt;&gt;1,"Not current","Current")))</f>
        <v>Current</v>
      </c>
    </row>
    <row r="269" spans="1:12" ht="32" customHeight="1">
      <c r="A269" s="2" t="s">
        <v>351</v>
      </c>
      <c r="B269" s="10" t="str">
        <f>IF(A269="","",IF(COUNTIFS(Data!$A$2:$A$501,A269)=1,INDEX(Data!$B$2:$B$501,MATCH(A269,Data!$A$2:$A$501,0)),"Not in current directory"))</f>
        <v>Samuel Gompers School</v>
      </c>
      <c r="C269" s="8" t="s">
        <v>88</v>
      </c>
      <c r="D269" s="8"/>
      <c r="E269" s="9"/>
      <c r="F269" s="8"/>
      <c r="G269" s="9"/>
      <c r="H269" s="8"/>
      <c r="I269" s="8"/>
      <c r="J269" s="8" t="s">
        <v>89</v>
      </c>
      <c r="K269" s="8" t="s">
        <v>90</v>
      </c>
      <c r="L269" s="2" t="str">
        <f>IF(A269="","",IF(COUNTIFS($A$8:$A$507,A269)&lt;&gt;1,"Duplicate ID",IF(COUNTIFS(Data!$A$2:$A$501,A269)&lt;&gt;1,"Not current","Current")))</f>
        <v>Current</v>
      </c>
    </row>
    <row r="270" spans="1:12" ht="32" customHeight="1">
      <c r="A270" s="2" t="s">
        <v>352</v>
      </c>
      <c r="B270" s="10" t="str">
        <f>IF(A270="","",IF(COUNTIFS(Data!$A$2:$A$501,A270)=1,INDEX(Data!$B$2:$B$501,MATCH(A270,Data!$A$2:$A$501,0)),"Not in current directory"))</f>
        <v>Samuel Pennypacker School</v>
      </c>
      <c r="C270" s="8" t="s">
        <v>88</v>
      </c>
      <c r="D270" s="8"/>
      <c r="E270" s="9"/>
      <c r="F270" s="8"/>
      <c r="G270" s="9"/>
      <c r="H270" s="8"/>
      <c r="I270" s="8"/>
      <c r="J270" s="8" t="s">
        <v>89</v>
      </c>
      <c r="K270" s="8" t="s">
        <v>90</v>
      </c>
      <c r="L270" s="2" t="str">
        <f>IF(A270="","",IF(COUNTIFS($A$8:$A$507,A270)&lt;&gt;1,"Duplicate ID",IF(COUNTIFS(Data!$A$2:$A$501,A270)&lt;&gt;1,"Not current","Current")))</f>
        <v>Current</v>
      </c>
    </row>
    <row r="271" spans="1:12" ht="32" customHeight="1">
      <c r="A271" s="2" t="s">
        <v>353</v>
      </c>
      <c r="B271" s="10" t="str">
        <f>IF(A271="","",IF(COUNTIFS(Data!$A$2:$A$501,A271)=1,INDEX(Data!$B$2:$B$501,MATCH(A271,Data!$A$2:$A$501,0)),"Not in current directory"))</f>
        <v>Samuel Powel School</v>
      </c>
      <c r="C271" s="8" t="s">
        <v>88</v>
      </c>
      <c r="D271" s="8"/>
      <c r="E271" s="9"/>
      <c r="F271" s="8"/>
      <c r="G271" s="9"/>
      <c r="H271" s="8"/>
      <c r="I271" s="8"/>
      <c r="J271" s="8" t="s">
        <v>89</v>
      </c>
      <c r="K271" s="8" t="s">
        <v>90</v>
      </c>
      <c r="L271" s="2" t="str">
        <f>IF(A271="","",IF(COUNTIFS($A$8:$A$507,A271)&lt;&gt;1,"Duplicate ID",IF(COUNTIFS(Data!$A$2:$A$501,A271)&lt;&gt;1,"Not current","Current")))</f>
        <v>Current</v>
      </c>
    </row>
    <row r="272" spans="1:12" ht="32" customHeight="1">
      <c r="A272" s="2" t="s">
        <v>354</v>
      </c>
      <c r="B272" s="10" t="str">
        <f>IF(A272="","",IF(COUNTIFS(Data!$A$2:$A$501,A272)=1,INDEX(Data!$B$2:$B$501,MATCH(A272,Data!$A$2:$A$501,0)),"Not in current directory"))</f>
        <v>Sankofa Freedom Academy Charter School</v>
      </c>
      <c r="C272" s="8" t="s">
        <v>88</v>
      </c>
      <c r="D272" s="8"/>
      <c r="E272" s="9"/>
      <c r="F272" s="8"/>
      <c r="G272" s="9"/>
      <c r="H272" s="8"/>
      <c r="I272" s="8"/>
      <c r="J272" s="8" t="s">
        <v>89</v>
      </c>
      <c r="K272" s="8" t="s">
        <v>90</v>
      </c>
      <c r="L272" s="2" t="str">
        <f>IF(A272="","",IF(COUNTIFS($A$8:$A$507,A272)&lt;&gt;1,"Duplicate ID",IF(COUNTIFS(Data!$A$2:$A$501,A272)&lt;&gt;1,"Not current","Current")))</f>
        <v>Current</v>
      </c>
    </row>
    <row r="273" spans="1:12" ht="32" customHeight="1">
      <c r="A273" s="2" t="s">
        <v>355</v>
      </c>
      <c r="B273" s="10" t="str">
        <f>IF(A273="","",IF(COUNTIFS(Data!$A$2:$A$501,A273)=1,INDEX(Data!$B$2:$B$501,MATCH(A273,Data!$A$2:$A$501,0)),"Not in current directory"))</f>
        <v>Science Leadership Academy High School</v>
      </c>
      <c r="C273" s="8" t="s">
        <v>88</v>
      </c>
      <c r="D273" s="8"/>
      <c r="E273" s="9"/>
      <c r="F273" s="8"/>
      <c r="G273" s="9"/>
      <c r="H273" s="8"/>
      <c r="I273" s="8"/>
      <c r="J273" s="8" t="s">
        <v>89</v>
      </c>
      <c r="K273" s="8" t="s">
        <v>90</v>
      </c>
      <c r="L273" s="2" t="str">
        <f>IF(A273="","",IF(COUNTIFS($A$8:$A$507,A273)&lt;&gt;1,"Duplicate ID",IF(COUNTIFS(Data!$A$2:$A$501,A273)&lt;&gt;1,"Not current","Current")))</f>
        <v>Current</v>
      </c>
    </row>
    <row r="274" spans="1:12" ht="32" customHeight="1">
      <c r="A274" s="2" t="s">
        <v>356</v>
      </c>
      <c r="B274" s="10" t="str">
        <f>IF(A274="","",IF(COUNTIFS(Data!$A$2:$A$501,A274)=1,INDEX(Data!$B$2:$B$501,MATCH(A274,Data!$A$2:$A$501,0)),"Not in current directory"))</f>
        <v>Science Leadership Academy Middle School</v>
      </c>
      <c r="C274" s="8" t="s">
        <v>88</v>
      </c>
      <c r="D274" s="8"/>
      <c r="E274" s="9"/>
      <c r="F274" s="8"/>
      <c r="G274" s="9"/>
      <c r="H274" s="8"/>
      <c r="I274" s="8"/>
      <c r="J274" s="8" t="s">
        <v>89</v>
      </c>
      <c r="K274" s="8" t="s">
        <v>90</v>
      </c>
      <c r="L274" s="2" t="str">
        <f>IF(A274="","",IF(COUNTIFS($A$8:$A$507,A274)&lt;&gt;1,"Duplicate ID",IF(COUNTIFS(Data!$A$2:$A$501,A274)&lt;&gt;1,"Not current","Current")))</f>
        <v>Current</v>
      </c>
    </row>
    <row r="275" spans="1:12" ht="32" customHeight="1">
      <c r="A275" s="2" t="s">
        <v>357</v>
      </c>
      <c r="B275" s="10" t="str">
        <f>IF(A275="","",IF(COUNTIFS(Data!$A$2:$A$501,A275)=1,INDEX(Data!$B$2:$B$501,MATCH(A275,Data!$A$2:$A$501,0)),"Not in current directory"))</f>
        <v>Shawmont School</v>
      </c>
      <c r="C275" s="8" t="s">
        <v>88</v>
      </c>
      <c r="D275" s="8"/>
      <c r="E275" s="9"/>
      <c r="F275" s="8"/>
      <c r="G275" s="9"/>
      <c r="H275" s="8"/>
      <c r="I275" s="8"/>
      <c r="J275" s="8" t="s">
        <v>89</v>
      </c>
      <c r="K275" s="8" t="s">
        <v>90</v>
      </c>
      <c r="L275" s="2" t="str">
        <f>IF(A275="","",IF(COUNTIFS($A$8:$A$507,A275)&lt;&gt;1,"Duplicate ID",IF(COUNTIFS(Data!$A$2:$A$501,A275)&lt;&gt;1,"Not current","Current")))</f>
        <v>Current</v>
      </c>
    </row>
    <row r="276" spans="1:12" ht="32" customHeight="1">
      <c r="A276" s="2" t="s">
        <v>358</v>
      </c>
      <c r="B276" s="10" t="str">
        <f>IF(A276="","",IF(COUNTIFS(Data!$A$2:$A$501,A276)=1,INDEX(Data!$B$2:$B$501,MATCH(A276,Data!$A$2:$A$501,0)),"Not in current directory"))</f>
        <v>Solomon Solis-Cohen School</v>
      </c>
      <c r="C276" s="8" t="s">
        <v>88</v>
      </c>
      <c r="D276" s="8"/>
      <c r="E276" s="9"/>
      <c r="F276" s="8"/>
      <c r="G276" s="9"/>
      <c r="H276" s="8"/>
      <c r="I276" s="8"/>
      <c r="J276" s="8" t="s">
        <v>89</v>
      </c>
      <c r="K276" s="8" t="s">
        <v>90</v>
      </c>
      <c r="L276" s="2" t="str">
        <f>IF(A276="","",IF(COUNTIFS($A$8:$A$507,A276)&lt;&gt;1,"Duplicate ID",IF(COUNTIFS(Data!$A$2:$A$501,A276)&lt;&gt;1,"Not current","Current")))</f>
        <v>Current</v>
      </c>
    </row>
    <row r="277" spans="1:12" ht="32" customHeight="1">
      <c r="A277" s="2" t="s">
        <v>359</v>
      </c>
      <c r="B277" s="10" t="str">
        <f>IF(A277="","",IF(COUNTIFS(Data!$A$2:$A$501,A277)=1,INDEX(Data!$B$2:$B$501,MATCH(A277,Data!$A$2:$A$501,0)),"Not in current directory"))</f>
        <v>South Philadelphia High School</v>
      </c>
      <c r="C277" s="8" t="s">
        <v>88</v>
      </c>
      <c r="D277" s="8"/>
      <c r="E277" s="9"/>
      <c r="F277" s="8"/>
      <c r="G277" s="9"/>
      <c r="H277" s="8"/>
      <c r="I277" s="8"/>
      <c r="J277" s="8" t="s">
        <v>89</v>
      </c>
      <c r="K277" s="8" t="s">
        <v>90</v>
      </c>
      <c r="L277" s="2" t="str">
        <f>IF(A277="","",IF(COUNTIFS($A$8:$A$507,A277)&lt;&gt;1,"Duplicate ID",IF(COUNTIFS(Data!$A$2:$A$501,A277)&lt;&gt;1,"Not current","Current")))</f>
        <v>Current</v>
      </c>
    </row>
    <row r="278" spans="1:12" ht="32" customHeight="1">
      <c r="A278" s="2" t="s">
        <v>360</v>
      </c>
      <c r="B278" s="10" t="str">
        <f>IF(A278="","",IF(COUNTIFS(Data!$A$2:$A$501,A278)=1,INDEX(Data!$B$2:$B$501,MATCH(A278,Data!$A$2:$A$501,0)),"Not in current directory"))</f>
        <v>South Philadelphia High School EOP</v>
      </c>
      <c r="C278" s="8" t="s">
        <v>88</v>
      </c>
      <c r="D278" s="8"/>
      <c r="E278" s="9"/>
      <c r="F278" s="8"/>
      <c r="G278" s="9"/>
      <c r="H278" s="8"/>
      <c r="I278" s="8"/>
      <c r="J278" s="8" t="s">
        <v>89</v>
      </c>
      <c r="K278" s="8" t="s">
        <v>90</v>
      </c>
      <c r="L278" s="2" t="str">
        <f>IF(A278="","",IF(COUNTIFS($A$8:$A$507,A278)&lt;&gt;1,"Duplicate ID",IF(COUNTIFS(Data!$A$2:$A$501,A278)&lt;&gt;1,"Not current","Current")))</f>
        <v>Current</v>
      </c>
    </row>
    <row r="279" spans="1:12" ht="32" customHeight="1">
      <c r="A279" s="2" t="s">
        <v>361</v>
      </c>
      <c r="B279" s="10" t="str">
        <f>IF(A279="","",IF(COUNTIFS(Data!$A$2:$A$501,A279)=1,INDEX(Data!$B$2:$B$501,MATCH(A279,Data!$A$2:$A$501,0)),"Not in current directory"))</f>
        <v>Southwark School</v>
      </c>
      <c r="C279" s="8" t="s">
        <v>88</v>
      </c>
      <c r="D279" s="8"/>
      <c r="E279" s="9"/>
      <c r="F279" s="8"/>
      <c r="G279" s="9"/>
      <c r="H279" s="8"/>
      <c r="I279" s="8"/>
      <c r="J279" s="8" t="s">
        <v>89</v>
      </c>
      <c r="K279" s="8" t="s">
        <v>90</v>
      </c>
      <c r="L279" s="2" t="str">
        <f>IF(A279="","",IF(COUNTIFS($A$8:$A$507,A279)&lt;&gt;1,"Duplicate ID",IF(COUNTIFS(Data!$A$2:$A$501,A279)&lt;&gt;1,"Not current","Current")))</f>
        <v>Current</v>
      </c>
    </row>
    <row r="280" spans="1:12" ht="32" customHeight="1">
      <c r="A280" s="2" t="s">
        <v>362</v>
      </c>
      <c r="B280" s="10" t="str">
        <f>IF(A280="","",IF(COUNTIFS(Data!$A$2:$A$501,A280)=1,INDEX(Data!$B$2:$B$501,MATCH(A280,Data!$A$2:$A$501,0)),"Not in current directory"))</f>
        <v>Southwest Leadership Academy Charter School</v>
      </c>
      <c r="C280" s="8" t="s">
        <v>88</v>
      </c>
      <c r="D280" s="8"/>
      <c r="E280" s="9"/>
      <c r="F280" s="8"/>
      <c r="G280" s="9"/>
      <c r="H280" s="8"/>
      <c r="I280" s="8"/>
      <c r="J280" s="8" t="s">
        <v>89</v>
      </c>
      <c r="K280" s="8" t="s">
        <v>90</v>
      </c>
      <c r="L280" s="2" t="str">
        <f>IF(A280="","",IF(COUNTIFS($A$8:$A$507,A280)&lt;&gt;1,"Duplicate ID",IF(COUNTIFS(Data!$A$2:$A$501,A280)&lt;&gt;1,"Not current","Current")))</f>
        <v>Current</v>
      </c>
    </row>
    <row r="281" spans="1:12" ht="32" customHeight="1">
      <c r="A281" s="2" t="s">
        <v>363</v>
      </c>
      <c r="B281" s="10" t="str">
        <f>IF(A281="","",IF(COUNTIFS(Data!$A$2:$A$501,A281)=1,INDEX(Data!$B$2:$B$501,MATCH(A281,Data!$A$2:$A$501,0)),"Not in current directory"))</f>
        <v>Spring Garden School</v>
      </c>
      <c r="C281" s="8" t="s">
        <v>88</v>
      </c>
      <c r="D281" s="8"/>
      <c r="E281" s="9"/>
      <c r="F281" s="8"/>
      <c r="G281" s="9"/>
      <c r="H281" s="8"/>
      <c r="I281" s="8"/>
      <c r="J281" s="8" t="s">
        <v>89</v>
      </c>
      <c r="K281" s="8" t="s">
        <v>90</v>
      </c>
      <c r="L281" s="2" t="str">
        <f>IF(A281="","",IF(COUNTIFS($A$8:$A$507,A281)&lt;&gt;1,"Duplicate ID",IF(COUNTIFS(Data!$A$2:$A$501,A281)&lt;&gt;1,"Not current","Current")))</f>
        <v>Current</v>
      </c>
    </row>
    <row r="282" spans="1:12" ht="32" customHeight="1">
      <c r="A282" s="2" t="s">
        <v>364</v>
      </c>
      <c r="B282" s="10" t="str">
        <f>IF(A282="","",IF(COUNTIFS(Data!$A$2:$A$501,A282)=1,INDEX(Data!$B$2:$B$501,MATCH(A282,Data!$A$2:$A$501,0)),"Not in current directory"))</f>
        <v>Stephen Decatur School</v>
      </c>
      <c r="C282" s="8" t="s">
        <v>88</v>
      </c>
      <c r="D282" s="8"/>
      <c r="E282" s="9"/>
      <c r="F282" s="8"/>
      <c r="G282" s="9"/>
      <c r="H282" s="8"/>
      <c r="I282" s="8"/>
      <c r="J282" s="8" t="s">
        <v>89</v>
      </c>
      <c r="K282" s="8" t="s">
        <v>90</v>
      </c>
      <c r="L282" s="2" t="str">
        <f>IF(A282="","",IF(COUNTIFS($A$8:$A$507,A282)&lt;&gt;1,"Duplicate ID",IF(COUNTIFS(Data!$A$2:$A$501,A282)&lt;&gt;1,"Not current","Current")))</f>
        <v>Current</v>
      </c>
    </row>
    <row r="283" spans="1:12" ht="32" customHeight="1">
      <c r="A283" s="2" t="s">
        <v>365</v>
      </c>
      <c r="B283" s="10" t="str">
        <f>IF(A283="","",IF(COUNTIFS(Data!$A$2:$A$501,A283)=1,INDEX(Data!$B$2:$B$501,MATCH(A283,Data!$A$2:$A$501,0)),"Not in current directory"))</f>
        <v>Stephen Girard School</v>
      </c>
      <c r="C283" s="8" t="s">
        <v>88</v>
      </c>
      <c r="D283" s="8"/>
      <c r="E283" s="9"/>
      <c r="F283" s="8"/>
      <c r="G283" s="9"/>
      <c r="H283" s="8"/>
      <c r="I283" s="8"/>
      <c r="J283" s="8" t="s">
        <v>89</v>
      </c>
      <c r="K283" s="8" t="s">
        <v>90</v>
      </c>
      <c r="L283" s="2" t="str">
        <f>IF(A283="","",IF(COUNTIFS($A$8:$A$507,A283)&lt;&gt;1,"Duplicate ID",IF(COUNTIFS(Data!$A$2:$A$501,A283)&lt;&gt;1,"Not current","Current")))</f>
        <v>Current</v>
      </c>
    </row>
    <row r="284" spans="1:12" ht="32" customHeight="1">
      <c r="A284" s="2" t="s">
        <v>366</v>
      </c>
      <c r="B284" s="10" t="str">
        <f>IF(A284="","",IF(COUNTIFS(Data!$A$2:$A$501,A284)=1,INDEX(Data!$B$2:$B$501,MATCH(A284,Data!$A$2:$A$501,0)),"Not in current directory"))</f>
        <v>Stetson Middle School Continuation Academy</v>
      </c>
      <c r="C284" s="8" t="s">
        <v>88</v>
      </c>
      <c r="D284" s="8"/>
      <c r="E284" s="9"/>
      <c r="F284" s="8"/>
      <c r="G284" s="9"/>
      <c r="H284" s="8"/>
      <c r="I284" s="8"/>
      <c r="J284" s="8" t="s">
        <v>89</v>
      </c>
      <c r="K284" s="8" t="s">
        <v>90</v>
      </c>
      <c r="L284" s="2" t="str">
        <f>IF(A284="","",IF(COUNTIFS($A$8:$A$507,A284)&lt;&gt;1,"Duplicate ID",IF(COUNTIFS(Data!$A$2:$A$501,A284)&lt;&gt;1,"Not current","Current")))</f>
        <v>Current</v>
      </c>
    </row>
    <row r="285" spans="1:12" ht="32" customHeight="1">
      <c r="A285" s="2" t="s">
        <v>367</v>
      </c>
      <c r="B285" s="10" t="str">
        <f>IF(A285="","",IF(COUNTIFS(Data!$A$2:$A$501,A285)=1,INDEX(Data!$B$2:$B$501,MATCH(A285,Data!$A$2:$A$501,0)),"Not in current directory"))</f>
        <v>Strawberry Mansion High School</v>
      </c>
      <c r="C285" s="8" t="s">
        <v>88</v>
      </c>
      <c r="D285" s="8"/>
      <c r="E285" s="9"/>
      <c r="F285" s="8"/>
      <c r="G285" s="9"/>
      <c r="H285" s="8"/>
      <c r="I285" s="8"/>
      <c r="J285" s="8" t="s">
        <v>89</v>
      </c>
      <c r="K285" s="8" t="s">
        <v>90</v>
      </c>
      <c r="L285" s="2" t="str">
        <f>IF(A285="","",IF(COUNTIFS($A$8:$A$507,A285)&lt;&gt;1,"Duplicate ID",IF(COUNTIFS(Data!$A$2:$A$501,A285)&lt;&gt;1,"Not current","Current")))</f>
        <v>Current</v>
      </c>
    </row>
    <row r="286" spans="1:12" ht="32" customHeight="1">
      <c r="A286" s="2" t="s">
        <v>368</v>
      </c>
      <c r="B286" s="10" t="str">
        <f>IF(A286="","",IF(COUNTIFS(Data!$A$2:$A$501,A286)=1,INDEX(Data!$B$2:$B$501,MATCH(A286,Data!$A$2:$A$501,0)),"Not in current directory"))</f>
        <v>Swenson Arts and Technology High School</v>
      </c>
      <c r="C286" s="8" t="s">
        <v>88</v>
      </c>
      <c r="D286" s="8"/>
      <c r="E286" s="9"/>
      <c r="F286" s="8"/>
      <c r="G286" s="9"/>
      <c r="H286" s="8"/>
      <c r="I286" s="8"/>
      <c r="J286" s="8" t="s">
        <v>89</v>
      </c>
      <c r="K286" s="8" t="s">
        <v>90</v>
      </c>
      <c r="L286" s="2" t="str">
        <f>IF(A286="","",IF(COUNTIFS($A$8:$A$507,A286)&lt;&gt;1,"Duplicate ID",IF(COUNTIFS(Data!$A$2:$A$501,A286)&lt;&gt;1,"Not current","Current")))</f>
        <v>Current</v>
      </c>
    </row>
    <row r="287" spans="1:12" ht="32" customHeight="1">
      <c r="A287" s="2" t="s">
        <v>369</v>
      </c>
      <c r="B287" s="10" t="str">
        <f>IF(A287="","",IF(COUNTIFS(Data!$A$2:$A$501,A287)=1,INDEX(Data!$B$2:$B$501,MATCH(A287,Data!$A$2:$A$501,0)),"Not in current directory"))</f>
        <v>Tacony Academy Charter School</v>
      </c>
      <c r="C287" s="8" t="s">
        <v>88</v>
      </c>
      <c r="D287" s="8"/>
      <c r="E287" s="9"/>
      <c r="F287" s="8"/>
      <c r="G287" s="9"/>
      <c r="H287" s="8"/>
      <c r="I287" s="8"/>
      <c r="J287" s="8" t="s">
        <v>89</v>
      </c>
      <c r="K287" s="8" t="s">
        <v>90</v>
      </c>
      <c r="L287" s="2" t="str">
        <f>IF(A287="","",IF(COUNTIFS($A$8:$A$507,A287)&lt;&gt;1,"Duplicate ID",IF(COUNTIFS(Data!$A$2:$A$501,A287)&lt;&gt;1,"Not current","Current")))</f>
        <v>Current</v>
      </c>
    </row>
    <row r="288" spans="1:12" ht="32" customHeight="1">
      <c r="A288" s="2" t="s">
        <v>370</v>
      </c>
      <c r="B288" s="10" t="str">
        <f>IF(A288="","",IF(COUNTIFS(Data!$A$2:$A$501,A288)=1,INDEX(Data!$B$2:$B$501,MATCH(A288,Data!$A$2:$A$501,0)),"Not in current directory"))</f>
        <v>Tanner G. Duckrey School</v>
      </c>
      <c r="C288" s="8" t="s">
        <v>88</v>
      </c>
      <c r="D288" s="8"/>
      <c r="E288" s="9"/>
      <c r="F288" s="8"/>
      <c r="G288" s="9"/>
      <c r="H288" s="8"/>
      <c r="I288" s="8"/>
      <c r="J288" s="8" t="s">
        <v>89</v>
      </c>
      <c r="K288" s="8" t="s">
        <v>90</v>
      </c>
      <c r="L288" s="2" t="str">
        <f>IF(A288="","",IF(COUNTIFS($A$8:$A$507,A288)&lt;&gt;1,"Duplicate ID",IF(COUNTIFS(Data!$A$2:$A$501,A288)&lt;&gt;1,"Not current","Current")))</f>
        <v>Current</v>
      </c>
    </row>
    <row r="289" spans="1:12" ht="32" customHeight="1">
      <c r="A289" s="2" t="s">
        <v>371</v>
      </c>
      <c r="B289" s="10" t="str">
        <f>IF(A289="","",IF(COUNTIFS(Data!$A$2:$A$501,A289)=1,INDEX(Data!$B$2:$B$501,MATCH(A289,Data!$A$2:$A$501,0)),"Not in current directory"))</f>
        <v>TECH Freire Charter School</v>
      </c>
      <c r="C289" s="8" t="s">
        <v>88</v>
      </c>
      <c r="D289" s="8"/>
      <c r="E289" s="9"/>
      <c r="F289" s="8"/>
      <c r="G289" s="9"/>
      <c r="H289" s="8"/>
      <c r="I289" s="8"/>
      <c r="J289" s="8" t="s">
        <v>89</v>
      </c>
      <c r="K289" s="8" t="s">
        <v>90</v>
      </c>
      <c r="L289" s="2" t="str">
        <f>IF(A289="","",IF(COUNTIFS($A$8:$A$507,A289)&lt;&gt;1,"Duplicate ID",IF(COUNTIFS(Data!$A$2:$A$501,A289)&lt;&gt;1,"Not current","Current")))</f>
        <v>Current</v>
      </c>
    </row>
    <row r="290" spans="1:12" ht="32" customHeight="1">
      <c r="A290" s="2" t="s">
        <v>372</v>
      </c>
      <c r="B290" s="10" t="str">
        <f>IF(A290="","",IF(COUNTIFS(Data!$A$2:$A$501,A290)=1,INDEX(Data!$B$2:$B$501,MATCH(A290,Data!$A$2:$A$501,0)),"Not in current directory"))</f>
        <v>The Academy of Continued Education School</v>
      </c>
      <c r="C290" s="8" t="s">
        <v>88</v>
      </c>
      <c r="D290" s="8"/>
      <c r="E290" s="9"/>
      <c r="F290" s="8"/>
      <c r="G290" s="9"/>
      <c r="H290" s="8"/>
      <c r="I290" s="8"/>
      <c r="J290" s="8" t="s">
        <v>89</v>
      </c>
      <c r="K290" s="8" t="s">
        <v>90</v>
      </c>
      <c r="L290" s="2" t="str">
        <f>IF(A290="","",IF(COUNTIFS($A$8:$A$507,A290)&lt;&gt;1,"Duplicate ID",IF(COUNTIFS(Data!$A$2:$A$501,A290)&lt;&gt;1,"Not current","Current")))</f>
        <v>Current</v>
      </c>
    </row>
    <row r="291" spans="1:12" ht="32" customHeight="1">
      <c r="A291" s="2" t="s">
        <v>373</v>
      </c>
      <c r="B291" s="10" t="str">
        <f>IF(A291="","",IF(COUNTIFS(Data!$A$2:$A$501,A291)=1,INDEX(Data!$B$2:$B$501,MATCH(A291,Data!$A$2:$A$501,0)),"Not in current directory"))</f>
        <v>The Fortis Program</v>
      </c>
      <c r="C291" s="8" t="s">
        <v>88</v>
      </c>
      <c r="D291" s="8"/>
      <c r="E291" s="9"/>
      <c r="F291" s="8"/>
      <c r="G291" s="9"/>
      <c r="H291" s="8"/>
      <c r="I291" s="8"/>
      <c r="J291" s="8" t="s">
        <v>89</v>
      </c>
      <c r="K291" s="8" t="s">
        <v>90</v>
      </c>
      <c r="L291" s="2" t="str">
        <f>IF(A291="","",IF(COUNTIFS($A$8:$A$507,A291)&lt;&gt;1,"Duplicate ID",IF(COUNTIFS(Data!$A$2:$A$501,A291)&lt;&gt;1,"Not current","Current")))</f>
        <v>Current</v>
      </c>
    </row>
    <row r="292" spans="1:12" ht="32" customHeight="1">
      <c r="A292" s="2" t="s">
        <v>374</v>
      </c>
      <c r="B292" s="10" t="str">
        <f>IF(A292="","",IF(COUNTIFS(Data!$A$2:$A$501,A292)=1,INDEX(Data!$B$2:$B$501,MATCH(A292,Data!$A$2:$A$501,0)),"Not in current directory"))</f>
        <v>The Jacquelyn Y. Kelley Discovery Charter School</v>
      </c>
      <c r="C292" s="8" t="s">
        <v>88</v>
      </c>
      <c r="D292" s="8"/>
      <c r="E292" s="9"/>
      <c r="F292" s="8"/>
      <c r="G292" s="9"/>
      <c r="H292" s="8"/>
      <c r="I292" s="8"/>
      <c r="J292" s="8" t="s">
        <v>89</v>
      </c>
      <c r="K292" s="8" t="s">
        <v>90</v>
      </c>
      <c r="L292" s="2" t="str">
        <f>IF(A292="","",IF(COUNTIFS($A$8:$A$507,A292)&lt;&gt;1,"Duplicate ID",IF(COUNTIFS(Data!$A$2:$A$501,A292)&lt;&gt;1,"Not current","Current")))</f>
        <v>Current</v>
      </c>
    </row>
    <row r="293" spans="1:12" ht="32" customHeight="1">
      <c r="A293" s="2" t="s">
        <v>375</v>
      </c>
      <c r="B293" s="10" t="str">
        <f>IF(A293="","",IF(COUNTIFS(Data!$A$2:$A$501,A293)=1,INDEX(Data!$B$2:$B$501,MATCH(A293,Data!$A$2:$A$501,0)),"Not in current directory"))</f>
        <v>The LINC High School</v>
      </c>
      <c r="C293" s="8" t="s">
        <v>88</v>
      </c>
      <c r="D293" s="8"/>
      <c r="E293" s="9"/>
      <c r="F293" s="8"/>
      <c r="G293" s="9"/>
      <c r="H293" s="8"/>
      <c r="I293" s="8"/>
      <c r="J293" s="8" t="s">
        <v>89</v>
      </c>
      <c r="K293" s="8" t="s">
        <v>90</v>
      </c>
      <c r="L293" s="2" t="str">
        <f>IF(A293="","",IF(COUNTIFS($A$8:$A$507,A293)&lt;&gt;1,"Duplicate ID",IF(COUNTIFS(Data!$A$2:$A$501,A293)&lt;&gt;1,"Not current","Current")))</f>
        <v>Current</v>
      </c>
    </row>
    <row r="294" spans="1:12" ht="32" customHeight="1">
      <c r="A294" s="2" t="s">
        <v>376</v>
      </c>
      <c r="B294" s="10" t="str">
        <f>IF(A294="","",IF(COUNTIFS(Data!$A$2:$A$501,A294)=1,INDEX(Data!$B$2:$B$501,MATCH(A294,Data!$A$2:$A$501,0)),"Not in current directory"))</f>
        <v>The Philadelphia Charter School for Arts and Sciences</v>
      </c>
      <c r="C294" s="8" t="s">
        <v>88</v>
      </c>
      <c r="D294" s="8"/>
      <c r="E294" s="9"/>
      <c r="F294" s="8"/>
      <c r="G294" s="9"/>
      <c r="H294" s="8"/>
      <c r="I294" s="8"/>
      <c r="J294" s="8" t="s">
        <v>89</v>
      </c>
      <c r="K294" s="8" t="s">
        <v>90</v>
      </c>
      <c r="L294" s="2" t="str">
        <f>IF(A294="","",IF(COUNTIFS($A$8:$A$507,A294)&lt;&gt;1,"Duplicate ID",IF(COUNTIFS(Data!$A$2:$A$501,A294)&lt;&gt;1,"Not current","Current")))</f>
        <v>Current</v>
      </c>
    </row>
    <row r="295" spans="1:12" ht="32" customHeight="1">
      <c r="A295" s="2" t="s">
        <v>377</v>
      </c>
      <c r="B295" s="10" t="str">
        <f>IF(A295="","",IF(COUNTIFS(Data!$A$2:$A$501,A295)=1,INDEX(Data!$B$2:$B$501,MATCH(A295,Data!$A$2:$A$501,0)),"Not in current directory"))</f>
        <v>The Science Leadership Academy at Beeber High School</v>
      </c>
      <c r="C295" s="8" t="s">
        <v>88</v>
      </c>
      <c r="D295" s="8"/>
      <c r="E295" s="9"/>
      <c r="F295" s="8"/>
      <c r="G295" s="9"/>
      <c r="H295" s="8"/>
      <c r="I295" s="8"/>
      <c r="J295" s="8" t="s">
        <v>89</v>
      </c>
      <c r="K295" s="8" t="s">
        <v>90</v>
      </c>
      <c r="L295" s="2" t="str">
        <f>IF(A295="","",IF(COUNTIFS($A$8:$A$507,A295)&lt;&gt;1,"Duplicate ID",IF(COUNTIFS(Data!$A$2:$A$501,A295)&lt;&gt;1,"Not current","Current")))</f>
        <v>Current</v>
      </c>
    </row>
    <row r="296" spans="1:12" ht="32" customHeight="1">
      <c r="A296" s="2" t="s">
        <v>378</v>
      </c>
      <c r="B296" s="10" t="str">
        <f>IF(A296="","",IF(COUNTIFS(Data!$A$2:$A$501,A296)=1,INDEX(Data!$B$2:$B$501,MATCH(A296,Data!$A$2:$A$501,0)),"Not in current directory"))</f>
        <v>The U School</v>
      </c>
      <c r="C296" s="8" t="s">
        <v>88</v>
      </c>
      <c r="D296" s="8"/>
      <c r="E296" s="9"/>
      <c r="F296" s="8"/>
      <c r="G296" s="9"/>
      <c r="H296" s="8"/>
      <c r="I296" s="8"/>
      <c r="J296" s="8" t="s">
        <v>89</v>
      </c>
      <c r="K296" s="8" t="s">
        <v>90</v>
      </c>
      <c r="L296" s="2" t="str">
        <f>IF(A296="","",IF(COUNTIFS($A$8:$A$507,A296)&lt;&gt;1,"Duplicate ID",IF(COUNTIFS(Data!$A$2:$A$501,A296)&lt;&gt;1,"Not current","Current")))</f>
        <v>Current</v>
      </c>
    </row>
    <row r="297" spans="1:12" ht="32" customHeight="1">
      <c r="A297" s="2" t="s">
        <v>379</v>
      </c>
      <c r="B297" s="10" t="str">
        <f>IF(A297="","",IF(COUNTIFS(Data!$A$2:$A$501,A297)=1,INDEX(Data!$B$2:$B$501,MATCH(A297,Data!$A$2:$A$501,0)),"Not in current directory"))</f>
        <v>The Workshop High School</v>
      </c>
      <c r="C297" s="8" t="s">
        <v>88</v>
      </c>
      <c r="D297" s="8"/>
      <c r="E297" s="9"/>
      <c r="F297" s="8"/>
      <c r="G297" s="9"/>
      <c r="H297" s="8"/>
      <c r="I297" s="8"/>
      <c r="J297" s="8" t="s">
        <v>89</v>
      </c>
      <c r="K297" s="8" t="s">
        <v>90</v>
      </c>
      <c r="L297" s="2" t="str">
        <f>IF(A297="","",IF(COUNTIFS($A$8:$A$507,A297)&lt;&gt;1,"Duplicate ID",IF(COUNTIFS(Data!$A$2:$A$501,A297)&lt;&gt;1,"Not current","Current")))</f>
        <v>Current</v>
      </c>
    </row>
    <row r="298" spans="1:12" ht="32" customHeight="1">
      <c r="A298" s="2" t="s">
        <v>380</v>
      </c>
      <c r="B298" s="10" t="str">
        <f>IF(A298="","",IF(COUNTIFS(Data!$A$2:$A$501,A298)=1,INDEX(Data!$B$2:$B$501,MATCH(A298,Data!$A$2:$A$501,0)),"Not in current directory"))</f>
        <v>Theodore Roosevelt School</v>
      </c>
      <c r="C298" s="8" t="s">
        <v>88</v>
      </c>
      <c r="D298" s="8"/>
      <c r="E298" s="9"/>
      <c r="F298" s="8"/>
      <c r="G298" s="9"/>
      <c r="H298" s="8"/>
      <c r="I298" s="8"/>
      <c r="J298" s="8" t="s">
        <v>89</v>
      </c>
      <c r="K298" s="8" t="s">
        <v>90</v>
      </c>
      <c r="L298" s="2" t="str">
        <f>IF(A298="","",IF(COUNTIFS($A$8:$A$507,A298)&lt;&gt;1,"Duplicate ID",IF(COUNTIFS(Data!$A$2:$A$501,A298)&lt;&gt;1,"Not current","Current")))</f>
        <v>Current</v>
      </c>
    </row>
    <row r="299" spans="1:12" ht="32" customHeight="1">
      <c r="A299" s="2" t="s">
        <v>381</v>
      </c>
      <c r="B299" s="10" t="str">
        <f>IF(A299="","",IF(COUNTIFS(Data!$A$2:$A$501,A299)=1,INDEX(Data!$B$2:$B$501,MATCH(A299,Data!$A$2:$A$501,0)),"Not in current directory"))</f>
        <v>Thomas A. Edison High School</v>
      </c>
      <c r="C299" s="8" t="s">
        <v>88</v>
      </c>
      <c r="D299" s="8"/>
      <c r="E299" s="9"/>
      <c r="F299" s="8"/>
      <c r="G299" s="9"/>
      <c r="H299" s="8"/>
      <c r="I299" s="8"/>
      <c r="J299" s="8" t="s">
        <v>89</v>
      </c>
      <c r="K299" s="8" t="s">
        <v>90</v>
      </c>
      <c r="L299" s="2" t="str">
        <f>IF(A299="","",IF(COUNTIFS($A$8:$A$507,A299)&lt;&gt;1,"Duplicate ID",IF(COUNTIFS(Data!$A$2:$A$501,A299)&lt;&gt;1,"Not current","Current")))</f>
        <v>Current</v>
      </c>
    </row>
    <row r="300" spans="1:12" ht="32" customHeight="1">
      <c r="A300" s="2" t="s">
        <v>382</v>
      </c>
      <c r="B300" s="10" t="str">
        <f>IF(A300="","",IF(COUNTIFS(Data!$A$2:$A$501,A300)=1,INDEX(Data!$B$2:$B$501,MATCH(A300,Data!$A$2:$A$501,0)),"Not in current directory"))</f>
        <v>Thomas G. Morton School</v>
      </c>
      <c r="C300" s="8" t="s">
        <v>88</v>
      </c>
      <c r="D300" s="8"/>
      <c r="E300" s="9"/>
      <c r="F300" s="8"/>
      <c r="G300" s="9"/>
      <c r="H300" s="8"/>
      <c r="I300" s="8"/>
      <c r="J300" s="8" t="s">
        <v>89</v>
      </c>
      <c r="K300" s="8" t="s">
        <v>90</v>
      </c>
      <c r="L300" s="2" t="str">
        <f>IF(A300="","",IF(COUNTIFS($A$8:$A$507,A300)&lt;&gt;1,"Duplicate ID",IF(COUNTIFS(Data!$A$2:$A$501,A300)&lt;&gt;1,"Not current","Current")))</f>
        <v>Current</v>
      </c>
    </row>
    <row r="301" spans="1:12" ht="32" customHeight="1">
      <c r="A301" s="2" t="s">
        <v>383</v>
      </c>
      <c r="B301" s="10" t="str">
        <f>IF(A301="","",IF(COUNTIFS(Data!$A$2:$A$501,A301)=1,INDEX(Data!$B$2:$B$501,MATCH(A301,Data!$A$2:$A$501,0)),"Not in current directory"))</f>
        <v>Thomas Holme School</v>
      </c>
      <c r="C301" s="8" t="s">
        <v>88</v>
      </c>
      <c r="D301" s="8"/>
      <c r="E301" s="9"/>
      <c r="F301" s="8"/>
      <c r="G301" s="9"/>
      <c r="H301" s="8"/>
      <c r="I301" s="8"/>
      <c r="J301" s="8" t="s">
        <v>89</v>
      </c>
      <c r="K301" s="8" t="s">
        <v>90</v>
      </c>
      <c r="L301" s="2" t="str">
        <f>IF(A301="","",IF(COUNTIFS($A$8:$A$507,A301)&lt;&gt;1,"Duplicate ID",IF(COUNTIFS(Data!$A$2:$A$501,A301)&lt;&gt;1,"Not current","Current")))</f>
        <v>Current</v>
      </c>
    </row>
    <row r="302" spans="1:12" ht="32" customHeight="1">
      <c r="A302" s="2" t="s">
        <v>384</v>
      </c>
      <c r="B302" s="10" t="str">
        <f>IF(A302="","",IF(COUNTIFS(Data!$A$2:$A$501,A302)=1,INDEX(Data!$B$2:$B$501,MATCH(A302,Data!$A$2:$A$501,0)),"Not in current directory"))</f>
        <v>Thomas K. Finletter School</v>
      </c>
      <c r="C302" s="8" t="s">
        <v>88</v>
      </c>
      <c r="D302" s="8"/>
      <c r="E302" s="9"/>
      <c r="F302" s="8"/>
      <c r="G302" s="9"/>
      <c r="H302" s="8"/>
      <c r="I302" s="8"/>
      <c r="J302" s="8" t="s">
        <v>89</v>
      </c>
      <c r="K302" s="8" t="s">
        <v>90</v>
      </c>
      <c r="L302" s="2" t="str">
        <f>IF(A302="","",IF(COUNTIFS($A$8:$A$507,A302)&lt;&gt;1,"Duplicate ID",IF(COUNTIFS(Data!$A$2:$A$501,A302)&lt;&gt;1,"Not current","Current")))</f>
        <v>Current</v>
      </c>
    </row>
    <row r="303" spans="1:12" ht="32" customHeight="1">
      <c r="A303" s="2" t="s">
        <v>385</v>
      </c>
      <c r="B303" s="10" t="str">
        <f>IF(A303="","",IF(COUNTIFS(Data!$A$2:$A$501,A303)=1,INDEX(Data!$B$2:$B$501,MATCH(A303,Data!$A$2:$A$501,0)),"Not in current directory"))</f>
        <v>Thomas M. Peirce School</v>
      </c>
      <c r="C303" s="8" t="s">
        <v>88</v>
      </c>
      <c r="D303" s="8"/>
      <c r="E303" s="9"/>
      <c r="F303" s="8"/>
      <c r="G303" s="9"/>
      <c r="H303" s="8"/>
      <c r="I303" s="8"/>
      <c r="J303" s="8" t="s">
        <v>89</v>
      </c>
      <c r="K303" s="8" t="s">
        <v>90</v>
      </c>
      <c r="L303" s="2" t="str">
        <f>IF(A303="","",IF(COUNTIFS($A$8:$A$507,A303)&lt;&gt;1,"Duplicate ID",IF(COUNTIFS(Data!$A$2:$A$501,A303)&lt;&gt;1,"Not current","Current")))</f>
        <v>Current</v>
      </c>
    </row>
    <row r="304" spans="1:12" ht="32" customHeight="1">
      <c r="A304" s="2" t="s">
        <v>386</v>
      </c>
      <c r="B304" s="10" t="str">
        <f>IF(A304="","",IF(COUNTIFS(Data!$A$2:$A$501,A304)=1,INDEX(Data!$B$2:$B$501,MATCH(A304,Data!$A$2:$A$501,0)),"Not in current directory"))</f>
        <v>Thomas Mifflin School</v>
      </c>
      <c r="C304" s="8" t="s">
        <v>88</v>
      </c>
      <c r="D304" s="8"/>
      <c r="E304" s="9"/>
      <c r="F304" s="8"/>
      <c r="G304" s="9"/>
      <c r="H304" s="8"/>
      <c r="I304" s="8"/>
      <c r="J304" s="8" t="s">
        <v>89</v>
      </c>
      <c r="K304" s="8" t="s">
        <v>90</v>
      </c>
      <c r="L304" s="2" t="str">
        <f>IF(A304="","",IF(COUNTIFS($A$8:$A$507,A304)&lt;&gt;1,"Duplicate ID",IF(COUNTIFS(Data!$A$2:$A$501,A304)&lt;&gt;1,"Not current","Current")))</f>
        <v>Current</v>
      </c>
    </row>
    <row r="305" spans="1:12" ht="32" customHeight="1">
      <c r="A305" s="2" t="s">
        <v>387</v>
      </c>
      <c r="B305" s="10" t="str">
        <f>IF(A305="","",IF(COUNTIFS(Data!$A$2:$A$501,A305)=1,INDEX(Data!$B$2:$B$501,MATCH(A305,Data!$A$2:$A$501,0)),"Not in current directory"))</f>
        <v>Thurgood Marshall School</v>
      </c>
      <c r="C305" s="8" t="s">
        <v>88</v>
      </c>
      <c r="D305" s="8"/>
      <c r="E305" s="9"/>
      <c r="F305" s="8"/>
      <c r="G305" s="9"/>
      <c r="H305" s="8"/>
      <c r="I305" s="8"/>
      <c r="J305" s="8" t="s">
        <v>89</v>
      </c>
      <c r="K305" s="8" t="s">
        <v>90</v>
      </c>
      <c r="L305" s="2" t="str">
        <f>IF(A305="","",IF(COUNTIFS($A$8:$A$507,A305)&lt;&gt;1,"Duplicate ID",IF(COUNTIFS(Data!$A$2:$A$501,A305)&lt;&gt;1,"Not current","Current")))</f>
        <v>Current</v>
      </c>
    </row>
    <row r="306" spans="1:12" ht="32" customHeight="1">
      <c r="A306" s="2" t="s">
        <v>388</v>
      </c>
      <c r="B306" s="10" t="str">
        <f>IF(A306="","",IF(COUNTIFS(Data!$A$2:$A$501,A306)=1,INDEX(Data!$B$2:$B$501,MATCH(A306,Data!$A$2:$A$501,0)),"Not in current directory"))</f>
        <v>Universal Charter School at Alcorn</v>
      </c>
      <c r="C306" s="8" t="s">
        <v>88</v>
      </c>
      <c r="D306" s="8"/>
      <c r="E306" s="9"/>
      <c r="F306" s="8"/>
      <c r="G306" s="9"/>
      <c r="H306" s="8"/>
      <c r="I306" s="8"/>
      <c r="J306" s="8" t="s">
        <v>89</v>
      </c>
      <c r="K306" s="8" t="s">
        <v>90</v>
      </c>
      <c r="L306" s="2" t="str">
        <f>IF(A306="","",IF(COUNTIFS($A$8:$A$507,A306)&lt;&gt;1,"Duplicate ID",IF(COUNTIFS(Data!$A$2:$A$501,A306)&lt;&gt;1,"Not current","Current")))</f>
        <v>Current</v>
      </c>
    </row>
    <row r="307" spans="1:12" ht="32" customHeight="1">
      <c r="A307" s="2" t="s">
        <v>389</v>
      </c>
      <c r="B307" s="10" t="str">
        <f>IF(A307="","",IF(COUNTIFS(Data!$A$2:$A$501,A307)=1,INDEX(Data!$B$2:$B$501,MATCH(A307,Data!$A$2:$A$501,0)),"Not in current directory"))</f>
        <v>Universal Charter School at Audenried</v>
      </c>
      <c r="C307" s="8" t="s">
        <v>88</v>
      </c>
      <c r="D307" s="8"/>
      <c r="E307" s="9"/>
      <c r="F307" s="8"/>
      <c r="G307" s="9"/>
      <c r="H307" s="8"/>
      <c r="I307" s="8"/>
      <c r="J307" s="8" t="s">
        <v>89</v>
      </c>
      <c r="K307" s="8" t="s">
        <v>90</v>
      </c>
      <c r="L307" s="2" t="str">
        <f>IF(A307="","",IF(COUNTIFS($A$8:$A$507,A307)&lt;&gt;1,"Duplicate ID",IF(COUNTIFS(Data!$A$2:$A$501,A307)&lt;&gt;1,"Not current","Current")))</f>
        <v>Current</v>
      </c>
    </row>
    <row r="308" spans="1:12" ht="32" customHeight="1">
      <c r="A308" s="2" t="s">
        <v>390</v>
      </c>
      <c r="B308" s="10" t="str">
        <f>IF(A308="","",IF(COUNTIFS(Data!$A$2:$A$501,A308)=1,INDEX(Data!$B$2:$B$501,MATCH(A308,Data!$A$2:$A$501,0)),"Not in current directory"))</f>
        <v>Universal Charter School at Creighton</v>
      </c>
      <c r="C308" s="8" t="s">
        <v>88</v>
      </c>
      <c r="D308" s="8"/>
      <c r="E308" s="9"/>
      <c r="F308" s="8"/>
      <c r="G308" s="9"/>
      <c r="H308" s="8"/>
      <c r="I308" s="8"/>
      <c r="J308" s="8" t="s">
        <v>89</v>
      </c>
      <c r="K308" s="8" t="s">
        <v>90</v>
      </c>
      <c r="L308" s="2" t="str">
        <f>IF(A308="","",IF(COUNTIFS($A$8:$A$507,A308)&lt;&gt;1,"Duplicate ID",IF(COUNTIFS(Data!$A$2:$A$501,A308)&lt;&gt;1,"Not current","Current")))</f>
        <v>Current</v>
      </c>
    </row>
    <row r="309" spans="1:12" ht="32" customHeight="1">
      <c r="A309" s="2" t="s">
        <v>391</v>
      </c>
      <c r="B309" s="10" t="str">
        <f>IF(A309="","",IF(COUNTIFS(Data!$A$2:$A$501,A309)=1,INDEX(Data!$B$2:$B$501,MATCH(A309,Data!$A$2:$A$501,0)),"Not in current directory"))</f>
        <v>Universal Institute Charter School</v>
      </c>
      <c r="C309" s="8" t="s">
        <v>88</v>
      </c>
      <c r="D309" s="8"/>
      <c r="E309" s="9"/>
      <c r="F309" s="8"/>
      <c r="G309" s="9"/>
      <c r="H309" s="8"/>
      <c r="I309" s="8"/>
      <c r="J309" s="8" t="s">
        <v>89</v>
      </c>
      <c r="K309" s="8" t="s">
        <v>90</v>
      </c>
      <c r="L309" s="2" t="str">
        <f>IF(A309="","",IF(COUNTIFS($A$8:$A$507,A309)&lt;&gt;1,"Duplicate ID",IF(COUNTIFS(Data!$A$2:$A$501,A309)&lt;&gt;1,"Not current","Current")))</f>
        <v>Current</v>
      </c>
    </row>
    <row r="310" spans="1:12" ht="32" customHeight="1">
      <c r="A310" s="2" t="s">
        <v>392</v>
      </c>
      <c r="B310" s="10" t="str">
        <f>IF(A310="","",IF(COUNTIFS(Data!$A$2:$A$501,A310)=1,INDEX(Data!$B$2:$B$501,MATCH(A310,Data!$A$2:$A$501,0)),"Not in current directory"))</f>
        <v>Vare-Washington School</v>
      </c>
      <c r="C310" s="8" t="s">
        <v>88</v>
      </c>
      <c r="D310" s="8"/>
      <c r="E310" s="9"/>
      <c r="F310" s="8"/>
      <c r="G310" s="9"/>
      <c r="H310" s="8"/>
      <c r="I310" s="8"/>
      <c r="J310" s="8" t="s">
        <v>89</v>
      </c>
      <c r="K310" s="8" t="s">
        <v>90</v>
      </c>
      <c r="L310" s="2" t="str">
        <f>IF(A310="","",IF(COUNTIFS($A$8:$A$507,A310)&lt;&gt;1,"Duplicate ID",IF(COUNTIFS(Data!$A$2:$A$501,A310)&lt;&gt;1,"Not current","Current")))</f>
        <v>Current</v>
      </c>
    </row>
    <row r="311" spans="1:12" ht="32" customHeight="1">
      <c r="A311" s="2" t="s">
        <v>393</v>
      </c>
      <c r="B311" s="10" t="str">
        <f>IF(A311="","",IF(COUNTIFS(Data!$A$2:$A$501,A311)=1,INDEX(Data!$B$2:$B$501,MATCH(A311,Data!$A$2:$A$501,0)),"Not in current directory"))</f>
        <v>Vaux High School</v>
      </c>
      <c r="C311" s="8" t="s">
        <v>88</v>
      </c>
      <c r="D311" s="8"/>
      <c r="E311" s="9"/>
      <c r="F311" s="8"/>
      <c r="G311" s="9"/>
      <c r="H311" s="8"/>
      <c r="I311" s="8"/>
      <c r="J311" s="8" t="s">
        <v>89</v>
      </c>
      <c r="K311" s="8" t="s">
        <v>90</v>
      </c>
      <c r="L311" s="2" t="str">
        <f>IF(A311="","",IF(COUNTIFS($A$8:$A$507,A311)&lt;&gt;1,"Duplicate ID",IF(COUNTIFS(Data!$A$2:$A$501,A311)&lt;&gt;1,"Not current","Current")))</f>
        <v>Current</v>
      </c>
    </row>
    <row r="312" spans="1:12" ht="32" customHeight="1">
      <c r="A312" s="2" t="s">
        <v>394</v>
      </c>
      <c r="B312" s="10" t="str">
        <f>IF(A312="","",IF(COUNTIFS(Data!$A$2:$A$501,A312)=1,INDEX(Data!$B$2:$B$501,MATCH(A312,Data!$A$2:$A$501,0)),"Not in current directory"))</f>
        <v>Walter B. Saul High School</v>
      </c>
      <c r="C312" s="8" t="s">
        <v>88</v>
      </c>
      <c r="D312" s="8"/>
      <c r="E312" s="9"/>
      <c r="F312" s="8"/>
      <c r="G312" s="9"/>
      <c r="H312" s="8"/>
      <c r="I312" s="8"/>
      <c r="J312" s="8" t="s">
        <v>89</v>
      </c>
      <c r="K312" s="8" t="s">
        <v>90</v>
      </c>
      <c r="L312" s="2" t="str">
        <f>IF(A312="","",IF(COUNTIFS($A$8:$A$507,A312)&lt;&gt;1,"Duplicate ID",IF(COUNTIFS(Data!$A$2:$A$501,A312)&lt;&gt;1,"Not current","Current")))</f>
        <v>Current</v>
      </c>
    </row>
    <row r="313" spans="1:12" ht="32" customHeight="1">
      <c r="A313" s="2" t="s">
        <v>395</v>
      </c>
      <c r="B313" s="10" t="str">
        <f>IF(A313="","",IF(COUNTIFS(Data!$A$2:$A$501,A313)=1,INDEX(Data!$B$2:$B$501,MATCH(A313,Data!$A$2:$A$501,0)),"Not in current directory"))</f>
        <v>Warren G. Harding Middle School</v>
      </c>
      <c r="C313" s="8" t="s">
        <v>88</v>
      </c>
      <c r="D313" s="8"/>
      <c r="E313" s="9"/>
      <c r="F313" s="8"/>
      <c r="G313" s="9"/>
      <c r="H313" s="8"/>
      <c r="I313" s="8"/>
      <c r="J313" s="8" t="s">
        <v>89</v>
      </c>
      <c r="K313" s="8" t="s">
        <v>90</v>
      </c>
      <c r="L313" s="2" t="str">
        <f>IF(A313="","",IF(COUNTIFS($A$8:$A$507,A313)&lt;&gt;1,"Duplicate ID",IF(COUNTIFS(Data!$A$2:$A$501,A313)&lt;&gt;1,"Not current","Current")))</f>
        <v>Current</v>
      </c>
    </row>
    <row r="314" spans="1:12" ht="32" customHeight="1">
      <c r="A314" s="2" t="s">
        <v>396</v>
      </c>
      <c r="B314" s="10" t="str">
        <f>IF(A314="","",IF(COUNTIFS(Data!$A$2:$A$501,A314)=1,INDEX(Data!$B$2:$B$501,MATCH(A314,Data!$A$2:$A$501,0)),"Not in current directory"))</f>
        <v>Watson Comly School</v>
      </c>
      <c r="C314" s="8" t="s">
        <v>88</v>
      </c>
      <c r="D314" s="8"/>
      <c r="E314" s="9"/>
      <c r="F314" s="8"/>
      <c r="G314" s="9"/>
      <c r="H314" s="8"/>
      <c r="I314" s="8"/>
      <c r="J314" s="8" t="s">
        <v>89</v>
      </c>
      <c r="K314" s="8" t="s">
        <v>90</v>
      </c>
      <c r="L314" s="2" t="str">
        <f>IF(A314="","",IF(COUNTIFS($A$8:$A$507,A314)&lt;&gt;1,"Duplicate ID",IF(COUNTIFS(Data!$A$2:$A$501,A314)&lt;&gt;1,"Not current","Current")))</f>
        <v>Current</v>
      </c>
    </row>
    <row r="315" spans="1:12" ht="32" customHeight="1">
      <c r="A315" s="2" t="s">
        <v>397</v>
      </c>
      <c r="B315" s="10" t="str">
        <f>IF(A315="","",IF(COUNTIFS(Data!$A$2:$A$501,A315)=1,INDEX(Data!$B$2:$B$501,MATCH(A315,Data!$A$2:$A$501,0)),"Not in current directory"))</f>
        <v>West Oak Lane Charter School</v>
      </c>
      <c r="C315" s="8" t="s">
        <v>88</v>
      </c>
      <c r="D315" s="8"/>
      <c r="E315" s="9"/>
      <c r="F315" s="8"/>
      <c r="G315" s="9"/>
      <c r="H315" s="8"/>
      <c r="I315" s="8"/>
      <c r="J315" s="8" t="s">
        <v>89</v>
      </c>
      <c r="K315" s="8" t="s">
        <v>90</v>
      </c>
      <c r="L315" s="2" t="str">
        <f>IF(A315="","",IF(COUNTIFS($A$8:$A$507,A315)&lt;&gt;1,"Duplicate ID",IF(COUNTIFS(Data!$A$2:$A$501,A315)&lt;&gt;1,"Not current","Current")))</f>
        <v>Current</v>
      </c>
    </row>
    <row r="316" spans="1:12" ht="32" customHeight="1">
      <c r="A316" s="2" t="s">
        <v>398</v>
      </c>
      <c r="B316" s="10" t="str">
        <f>IF(A316="","",IF(COUNTIFS(Data!$A$2:$A$501,A316)=1,INDEX(Data!$B$2:$B$501,MATCH(A316,Data!$A$2:$A$501,0)),"Not in current directory"))</f>
        <v>West Philadelphia Achievement Charter School</v>
      </c>
      <c r="C316" s="8" t="s">
        <v>88</v>
      </c>
      <c r="D316" s="8"/>
      <c r="E316" s="9"/>
      <c r="F316" s="8"/>
      <c r="G316" s="9"/>
      <c r="H316" s="8"/>
      <c r="I316" s="8"/>
      <c r="J316" s="8" t="s">
        <v>89</v>
      </c>
      <c r="K316" s="8" t="s">
        <v>90</v>
      </c>
      <c r="L316" s="2" t="str">
        <f>IF(A316="","",IF(COUNTIFS($A$8:$A$507,A316)&lt;&gt;1,"Duplicate ID",IF(COUNTIFS(Data!$A$2:$A$501,A316)&lt;&gt;1,"Not current","Current")))</f>
        <v>Current</v>
      </c>
    </row>
    <row r="317" spans="1:12" ht="32" customHeight="1">
      <c r="A317" s="2" t="s">
        <v>399</v>
      </c>
      <c r="B317" s="10" t="str">
        <f>IF(A317="","",IF(COUNTIFS(Data!$A$2:$A$501,A317)=1,INDEX(Data!$B$2:$B$501,MATCH(A317,Data!$A$2:$A$501,0)),"Not in current directory"))</f>
        <v>West Philadelphia High School</v>
      </c>
      <c r="C317" s="8" t="s">
        <v>88</v>
      </c>
      <c r="D317" s="8"/>
      <c r="E317" s="9"/>
      <c r="F317" s="8"/>
      <c r="G317" s="9"/>
      <c r="H317" s="8"/>
      <c r="I317" s="8"/>
      <c r="J317" s="8" t="s">
        <v>89</v>
      </c>
      <c r="K317" s="8" t="s">
        <v>90</v>
      </c>
      <c r="L317" s="2" t="str">
        <f>IF(A317="","",IF(COUNTIFS($A$8:$A$507,A317)&lt;&gt;1,"Duplicate ID",IF(COUNTIFS(Data!$A$2:$A$501,A317)&lt;&gt;1,"Not current","Current")))</f>
        <v>Current</v>
      </c>
    </row>
    <row r="318" spans="1:12" ht="32" customHeight="1">
      <c r="A318" s="2" t="s">
        <v>400</v>
      </c>
      <c r="B318" s="10" t="str">
        <f>IF(A318="","",IF(COUNTIFS(Data!$A$2:$A$501,A318)=1,INDEX(Data!$B$2:$B$501,MATCH(A318,Data!$A$2:$A$501,0)),"Not in current directory"))</f>
        <v>Widener Memorial School</v>
      </c>
      <c r="C318" s="8" t="s">
        <v>88</v>
      </c>
      <c r="D318" s="8"/>
      <c r="E318" s="9"/>
      <c r="F318" s="8"/>
      <c r="G318" s="9"/>
      <c r="H318" s="8"/>
      <c r="I318" s="8"/>
      <c r="J318" s="8" t="s">
        <v>89</v>
      </c>
      <c r="K318" s="8" t="s">
        <v>90</v>
      </c>
      <c r="L318" s="2" t="str">
        <f>IF(A318="","",IF(COUNTIFS($A$8:$A$507,A318)&lt;&gt;1,"Duplicate ID",IF(COUNTIFS(Data!$A$2:$A$501,A318)&lt;&gt;1,"Not current","Current")))</f>
        <v>Current</v>
      </c>
    </row>
    <row r="319" spans="1:12" ht="32" customHeight="1">
      <c r="A319" s="2" t="s">
        <v>401</v>
      </c>
      <c r="B319" s="10" t="str">
        <f>IF(A319="","",IF(COUNTIFS(Data!$A$2:$A$501,A319)=1,INDEX(Data!$B$2:$B$501,MATCH(A319,Data!$A$2:$A$501,0)),"Not in current directory"))</f>
        <v>William C. Bryant School</v>
      </c>
      <c r="C319" s="8" t="s">
        <v>88</v>
      </c>
      <c r="D319" s="8"/>
      <c r="E319" s="9"/>
      <c r="F319" s="8"/>
      <c r="G319" s="9"/>
      <c r="H319" s="8"/>
      <c r="I319" s="8"/>
      <c r="J319" s="8" t="s">
        <v>89</v>
      </c>
      <c r="K319" s="8" t="s">
        <v>90</v>
      </c>
      <c r="L319" s="2" t="str">
        <f>IF(A319="","",IF(COUNTIFS($A$8:$A$507,A319)&lt;&gt;1,"Duplicate ID",IF(COUNTIFS(Data!$A$2:$A$501,A319)&lt;&gt;1,"Not current","Current")))</f>
        <v>Current</v>
      </c>
    </row>
    <row r="320" spans="1:12" ht="32" customHeight="1">
      <c r="A320" s="2" t="s">
        <v>402</v>
      </c>
      <c r="B320" s="10" t="str">
        <f>IF(A320="","",IF(COUNTIFS(Data!$A$2:$A$501,A320)=1,INDEX(Data!$B$2:$B$501,MATCH(A320,Data!$A$2:$A$501,0)),"Not in current directory"))</f>
        <v>William C. Longstreth School</v>
      </c>
      <c r="C320" s="8" t="s">
        <v>88</v>
      </c>
      <c r="D320" s="8"/>
      <c r="E320" s="9"/>
      <c r="F320" s="8"/>
      <c r="G320" s="9"/>
      <c r="H320" s="8"/>
      <c r="I320" s="8"/>
      <c r="J320" s="8" t="s">
        <v>89</v>
      </c>
      <c r="K320" s="8" t="s">
        <v>90</v>
      </c>
      <c r="L320" s="2" t="str">
        <f>IF(A320="","",IF(COUNTIFS($A$8:$A$507,A320)&lt;&gt;1,"Duplicate ID",IF(COUNTIFS(Data!$A$2:$A$501,A320)&lt;&gt;1,"Not current","Current")))</f>
        <v>Current</v>
      </c>
    </row>
    <row r="321" spans="1:12" ht="32" customHeight="1">
      <c r="A321" s="2" t="s">
        <v>403</v>
      </c>
      <c r="B321" s="10" t="str">
        <f>IF(A321="","",IF(COUNTIFS(Data!$A$2:$A$501,A321)=1,INDEX(Data!$B$2:$B$501,MATCH(A321,Data!$A$2:$A$501,0)),"Not in current directory"))</f>
        <v>William Cramp School</v>
      </c>
      <c r="C321" s="8" t="s">
        <v>88</v>
      </c>
      <c r="D321" s="8"/>
      <c r="E321" s="9"/>
      <c r="F321" s="8"/>
      <c r="G321" s="9"/>
      <c r="H321" s="8"/>
      <c r="I321" s="8"/>
      <c r="J321" s="8" t="s">
        <v>89</v>
      </c>
      <c r="K321" s="8" t="s">
        <v>90</v>
      </c>
      <c r="L321" s="2" t="str">
        <f>IF(A321="","",IF(COUNTIFS($A$8:$A$507,A321)&lt;&gt;1,"Duplicate ID",IF(COUNTIFS(Data!$A$2:$A$501,A321)&lt;&gt;1,"Not current","Current")))</f>
        <v>Current</v>
      </c>
    </row>
    <row r="322" spans="1:12" ht="32" customHeight="1">
      <c r="A322" s="2" t="s">
        <v>404</v>
      </c>
      <c r="B322" s="10" t="str">
        <f>IF(A322="","",IF(COUNTIFS(Data!$A$2:$A$501,A322)=1,INDEX(Data!$B$2:$B$501,MATCH(A322,Data!$A$2:$A$501,0)),"Not in current directory"))</f>
        <v>William D. Kelley School</v>
      </c>
      <c r="C322" s="8" t="s">
        <v>88</v>
      </c>
      <c r="D322" s="8"/>
      <c r="E322" s="9"/>
      <c r="F322" s="8"/>
      <c r="G322" s="9"/>
      <c r="H322" s="8"/>
      <c r="I322" s="8"/>
      <c r="J322" s="8" t="s">
        <v>89</v>
      </c>
      <c r="K322" s="8" t="s">
        <v>90</v>
      </c>
      <c r="L322" s="2" t="str">
        <f>IF(A322="","",IF(COUNTIFS($A$8:$A$507,A322)&lt;&gt;1,"Duplicate ID",IF(COUNTIFS(Data!$A$2:$A$501,A322)&lt;&gt;1,"Not current","Current")))</f>
        <v>Current</v>
      </c>
    </row>
    <row r="323" spans="1:12" ht="32" customHeight="1">
      <c r="A323" s="2" t="s">
        <v>405</v>
      </c>
      <c r="B323" s="10" t="str">
        <f>IF(A323="","",IF(COUNTIFS(Data!$A$2:$A$501,A323)=1,INDEX(Data!$B$2:$B$501,MATCH(A323,Data!$A$2:$A$501,0)),"Not in current directory"))</f>
        <v>William Dick School</v>
      </c>
      <c r="C323" s="8" t="s">
        <v>88</v>
      </c>
      <c r="D323" s="8"/>
      <c r="E323" s="9"/>
      <c r="F323" s="8"/>
      <c r="G323" s="9"/>
      <c r="H323" s="8"/>
      <c r="I323" s="8"/>
      <c r="J323" s="8" t="s">
        <v>89</v>
      </c>
      <c r="K323" s="8" t="s">
        <v>90</v>
      </c>
      <c r="L323" s="2" t="str">
        <f>IF(A323="","",IF(COUNTIFS($A$8:$A$507,A323)&lt;&gt;1,"Duplicate ID",IF(COUNTIFS(Data!$A$2:$A$501,A323)&lt;&gt;1,"Not current","Current")))</f>
        <v>Current</v>
      </c>
    </row>
    <row r="324" spans="1:12" ht="32" customHeight="1">
      <c r="A324" s="2" t="s">
        <v>406</v>
      </c>
      <c r="B324" s="10" t="str">
        <f>IF(A324="","",IF(COUNTIFS(Data!$A$2:$A$501,A324)=1,INDEX(Data!$B$2:$B$501,MATCH(A324,Data!$A$2:$A$501,0)),"Not in current directory"))</f>
        <v>William H. Hunter School</v>
      </c>
      <c r="C324" s="8" t="s">
        <v>88</v>
      </c>
      <c r="D324" s="8"/>
      <c r="E324" s="9"/>
      <c r="F324" s="8"/>
      <c r="G324" s="9"/>
      <c r="H324" s="8"/>
      <c r="I324" s="8"/>
      <c r="J324" s="8" t="s">
        <v>89</v>
      </c>
      <c r="K324" s="8" t="s">
        <v>90</v>
      </c>
      <c r="L324" s="2" t="str">
        <f>IF(A324="","",IF(COUNTIFS($A$8:$A$507,A324)&lt;&gt;1,"Duplicate ID",IF(COUNTIFS(Data!$A$2:$A$501,A324)&lt;&gt;1,"Not current","Current")))</f>
        <v>Current</v>
      </c>
    </row>
    <row r="325" spans="1:12" ht="32" customHeight="1">
      <c r="A325" s="2" t="s">
        <v>407</v>
      </c>
      <c r="B325" s="10" t="str">
        <f>IF(A325="","",IF(COUNTIFS(Data!$A$2:$A$501,A325)=1,INDEX(Data!$B$2:$B$501,MATCH(A325,Data!$A$2:$A$501,0)),"Not in current directory"))</f>
        <v>William H. Loesche School</v>
      </c>
      <c r="C325" s="8" t="s">
        <v>88</v>
      </c>
      <c r="D325" s="8"/>
      <c r="E325" s="9"/>
      <c r="F325" s="8"/>
      <c r="G325" s="9"/>
      <c r="H325" s="8"/>
      <c r="I325" s="8"/>
      <c r="J325" s="8" t="s">
        <v>89</v>
      </c>
      <c r="K325" s="8" t="s">
        <v>90</v>
      </c>
      <c r="L325" s="2" t="str">
        <f>IF(A325="","",IF(COUNTIFS($A$8:$A$507,A325)&lt;&gt;1,"Duplicate ID",IF(COUNTIFS(Data!$A$2:$A$501,A325)&lt;&gt;1,"Not current","Current")))</f>
        <v>Current</v>
      </c>
    </row>
    <row r="326" spans="1:12" ht="32" customHeight="1">
      <c r="A326" s="2" t="s">
        <v>408</v>
      </c>
      <c r="B326" s="10" t="str">
        <f>IF(A326="","",IF(COUNTIFS(Data!$A$2:$A$501,A326)=1,INDEX(Data!$B$2:$B$501,MATCH(A326,Data!$A$2:$A$501,0)),"Not in current directory"))</f>
        <v>William H. Ziegler School</v>
      </c>
      <c r="C326" s="8" t="s">
        <v>88</v>
      </c>
      <c r="D326" s="8"/>
      <c r="E326" s="9"/>
      <c r="F326" s="8"/>
      <c r="G326" s="9"/>
      <c r="H326" s="8"/>
      <c r="I326" s="8"/>
      <c r="J326" s="8" t="s">
        <v>89</v>
      </c>
      <c r="K326" s="8" t="s">
        <v>90</v>
      </c>
      <c r="L326" s="2" t="str">
        <f>IF(A326="","",IF(COUNTIFS($A$8:$A$507,A326)&lt;&gt;1,"Duplicate ID",IF(COUNTIFS(Data!$A$2:$A$501,A326)&lt;&gt;1,"Not current","Current")))</f>
        <v>Current</v>
      </c>
    </row>
    <row r="327" spans="1:12" ht="32" customHeight="1">
      <c r="A327" s="2" t="s">
        <v>409</v>
      </c>
      <c r="B327" s="10" t="str">
        <f>IF(A327="","",IF(COUNTIFS(Data!$A$2:$A$501,A327)=1,INDEX(Data!$B$2:$B$501,MATCH(A327,Data!$A$2:$A$501,0)),"Not in current directory"))</f>
        <v>William L. Sayre High School</v>
      </c>
      <c r="C327" s="8" t="s">
        <v>88</v>
      </c>
      <c r="D327" s="8"/>
      <c r="E327" s="9"/>
      <c r="F327" s="8"/>
      <c r="G327" s="9"/>
      <c r="H327" s="8"/>
      <c r="I327" s="8"/>
      <c r="J327" s="8" t="s">
        <v>89</v>
      </c>
      <c r="K327" s="8" t="s">
        <v>90</v>
      </c>
      <c r="L327" s="2" t="str">
        <f>IF(A327="","",IF(COUNTIFS($A$8:$A$507,A327)&lt;&gt;1,"Duplicate ID",IF(COUNTIFS(Data!$A$2:$A$501,A327)&lt;&gt;1,"Not current","Current")))</f>
        <v>Current</v>
      </c>
    </row>
    <row r="328" spans="1:12" ht="32" customHeight="1">
      <c r="A328" s="2" t="s">
        <v>410</v>
      </c>
      <c r="B328" s="10" t="str">
        <f>IF(A328="","",IF(COUNTIFS(Data!$A$2:$A$501,A328)=1,INDEX(Data!$B$2:$B$501,MATCH(A328,Data!$A$2:$A$501,0)),"Not in current directory"))</f>
        <v>William M. Meredith School</v>
      </c>
      <c r="C328" s="8" t="s">
        <v>88</v>
      </c>
      <c r="D328" s="8"/>
      <c r="E328" s="9"/>
      <c r="F328" s="8"/>
      <c r="G328" s="9"/>
      <c r="H328" s="8"/>
      <c r="I328" s="8"/>
      <c r="J328" s="8" t="s">
        <v>89</v>
      </c>
      <c r="K328" s="8" t="s">
        <v>90</v>
      </c>
      <c r="L328" s="2" t="str">
        <f>IF(A328="","",IF(COUNTIFS($A$8:$A$507,A328)&lt;&gt;1,"Duplicate ID",IF(COUNTIFS(Data!$A$2:$A$501,A328)&lt;&gt;1,"Not current","Current")))</f>
        <v>Current</v>
      </c>
    </row>
    <row r="329" spans="1:12" ht="32" customHeight="1">
      <c r="A329" s="2" t="s">
        <v>411</v>
      </c>
      <c r="B329" s="10" t="str">
        <f>IF(A329="","",IF(COUNTIFS(Data!$A$2:$A$501,A329)=1,INDEX(Data!$B$2:$B$501,MATCH(A329,Data!$A$2:$A$501,0)),"Not in current directory"))</f>
        <v>William McKinley School</v>
      </c>
      <c r="C329" s="8" t="s">
        <v>88</v>
      </c>
      <c r="D329" s="8"/>
      <c r="E329" s="9"/>
      <c r="F329" s="8"/>
      <c r="G329" s="9"/>
      <c r="H329" s="8"/>
      <c r="I329" s="8"/>
      <c r="J329" s="8" t="s">
        <v>89</v>
      </c>
      <c r="K329" s="8" t="s">
        <v>90</v>
      </c>
      <c r="L329" s="2" t="str">
        <f>IF(A329="","",IF(COUNTIFS($A$8:$A$507,A329)&lt;&gt;1,"Duplicate ID",IF(COUNTIFS(Data!$A$2:$A$501,A329)&lt;&gt;1,"Not current","Current")))</f>
        <v>Current</v>
      </c>
    </row>
    <row r="330" spans="1:12" ht="32" customHeight="1">
      <c r="A330" s="2" t="s">
        <v>412</v>
      </c>
      <c r="B330" s="10" t="str">
        <f>IF(A330="","",IF(COUNTIFS(Data!$A$2:$A$501,A330)=1,INDEX(Data!$B$2:$B$501,MATCH(A330,Data!$A$2:$A$501,0)),"Not in current directory"))</f>
        <v>William Rowen School</v>
      </c>
      <c r="C330" s="8" t="s">
        <v>88</v>
      </c>
      <c r="D330" s="8"/>
      <c r="E330" s="9"/>
      <c r="F330" s="8"/>
      <c r="G330" s="9"/>
      <c r="H330" s="8"/>
      <c r="I330" s="8"/>
      <c r="J330" s="8" t="s">
        <v>89</v>
      </c>
      <c r="K330" s="8" t="s">
        <v>90</v>
      </c>
      <c r="L330" s="2" t="str">
        <f>IF(A330="","",IF(COUNTIFS($A$8:$A$507,A330)&lt;&gt;1,"Duplicate ID",IF(COUNTIFS(Data!$A$2:$A$501,A330)&lt;&gt;1,"Not current","Current")))</f>
        <v>Current</v>
      </c>
    </row>
    <row r="331" spans="1:12" ht="32" customHeight="1">
      <c r="A331" s="2" t="s">
        <v>413</v>
      </c>
      <c r="B331" s="10" t="str">
        <f>IF(A331="","",IF(COUNTIFS(Data!$A$2:$A$501,A331)=1,INDEX(Data!$B$2:$B$501,MATCH(A331,Data!$A$2:$A$501,0)),"Not in current directory"))</f>
        <v>William T. Tilden Middle School</v>
      </c>
      <c r="C331" s="8" t="s">
        <v>88</v>
      </c>
      <c r="D331" s="8"/>
      <c r="E331" s="9"/>
      <c r="F331" s="8"/>
      <c r="G331" s="9"/>
      <c r="H331" s="8"/>
      <c r="I331" s="8"/>
      <c r="J331" s="8" t="s">
        <v>89</v>
      </c>
      <c r="K331" s="8" t="s">
        <v>90</v>
      </c>
      <c r="L331" s="2" t="str">
        <f>IF(A331="","",IF(COUNTIFS($A$8:$A$507,A331)&lt;&gt;1,"Duplicate ID",IF(COUNTIFS(Data!$A$2:$A$501,A331)&lt;&gt;1,"Not current","Current")))</f>
        <v>Current</v>
      </c>
    </row>
    <row r="332" spans="1:12" ht="32" customHeight="1">
      <c r="A332" s="2" t="s">
        <v>414</v>
      </c>
      <c r="B332" s="10" t="str">
        <f>IF(A332="","",IF(COUNTIFS(Data!$A$2:$A$501,A332)=1,INDEX(Data!$B$2:$B$501,MATCH(A332,Data!$A$2:$A$501,0)),"Not in current directory"))</f>
        <v>William W. Bodine High School</v>
      </c>
      <c r="C332" s="8" t="s">
        <v>88</v>
      </c>
      <c r="D332" s="8"/>
      <c r="E332" s="9"/>
      <c r="F332" s="8"/>
      <c r="G332" s="9"/>
      <c r="H332" s="8"/>
      <c r="I332" s="8"/>
      <c r="J332" s="8" t="s">
        <v>89</v>
      </c>
      <c r="K332" s="8" t="s">
        <v>90</v>
      </c>
      <c r="L332" s="2" t="str">
        <f>IF(A332="","",IF(COUNTIFS($A$8:$A$507,A332)&lt;&gt;1,"Duplicate ID",IF(COUNTIFS(Data!$A$2:$A$501,A332)&lt;&gt;1,"Not current","Current")))</f>
        <v>Current</v>
      </c>
    </row>
    <row r="333" spans="1:12" ht="32" customHeight="1">
      <c r="A333" s="2" t="s">
        <v>415</v>
      </c>
      <c r="B333" s="10" t="str">
        <f>IF(A333="","",IF(COUNTIFS(Data!$A$2:$A$501,A333)=1,INDEX(Data!$B$2:$B$501,MATCH(A333,Data!$A$2:$A$501,0)),"Not in current directory"))</f>
        <v>Wissahickon Charter School</v>
      </c>
      <c r="C333" s="8" t="s">
        <v>88</v>
      </c>
      <c r="D333" s="8"/>
      <c r="E333" s="9"/>
      <c r="F333" s="8"/>
      <c r="G333" s="9"/>
      <c r="H333" s="8"/>
      <c r="I333" s="8"/>
      <c r="J333" s="8" t="s">
        <v>89</v>
      </c>
      <c r="K333" s="8" t="s">
        <v>90</v>
      </c>
      <c r="L333" s="2" t="str">
        <f>IF(A333="","",IF(COUNTIFS($A$8:$A$507,A333)&lt;&gt;1,"Duplicate ID",IF(COUNTIFS(Data!$A$2:$A$501,A333)&lt;&gt;1,"Not current","Current")))</f>
        <v>Current</v>
      </c>
    </row>
    <row r="334" spans="1:12" ht="32" customHeight="1">
      <c r="A334" s="2" t="s">
        <v>416</v>
      </c>
      <c r="B334" s="10" t="str">
        <f>IF(A334="","",IF(COUNTIFS(Data!$A$2:$A$501,A334)=1,INDEX(Data!$B$2:$B$501,MATCH(A334,Data!$A$2:$A$501,0)),"Not in current directory"))</f>
        <v>YESPhilly</v>
      </c>
      <c r="C334" s="8" t="s">
        <v>88</v>
      </c>
      <c r="D334" s="8"/>
      <c r="E334" s="9"/>
      <c r="F334" s="8"/>
      <c r="G334" s="9"/>
      <c r="H334" s="8"/>
      <c r="I334" s="8"/>
      <c r="J334" s="8" t="s">
        <v>89</v>
      </c>
      <c r="K334" s="8" t="s">
        <v>90</v>
      </c>
      <c r="L334" s="2" t="str">
        <f>IF(A334="","",IF(COUNTIFS($A$8:$A$507,A334)&lt;&gt;1,"Duplicate ID",IF(COUNTIFS(Data!$A$2:$A$501,A334)&lt;&gt;1,"Not current","Current")))</f>
        <v>Current</v>
      </c>
    </row>
    <row r="335" spans="1:12" ht="32" customHeight="1">
      <c r="A335" s="2" t="s">
        <v>417</v>
      </c>
      <c r="B335" s="10" t="str">
        <f>IF(A335="","",IF(COUNTIFS(Data!$A$2:$A$501,A335)=1,INDEX(Data!$B$2:$B$501,MATCH(A335,Data!$A$2:$A$501,0)),"Not in current directory"))</f>
        <v>Young Scholars Charter School</v>
      </c>
      <c r="C335" s="8" t="s">
        <v>88</v>
      </c>
      <c r="D335" s="8"/>
      <c r="E335" s="9"/>
      <c r="F335" s="8"/>
      <c r="G335" s="9"/>
      <c r="H335" s="8"/>
      <c r="I335" s="8"/>
      <c r="J335" s="8" t="s">
        <v>89</v>
      </c>
      <c r="K335" s="8" t="s">
        <v>90</v>
      </c>
      <c r="L335" s="2" t="str">
        <f>IF(A335="","",IF(COUNTIFS($A$8:$A$507,A335)&lt;&gt;1,"Duplicate ID",IF(COUNTIFS(Data!$A$2:$A$501,A335)&lt;&gt;1,"Not current","Current")))</f>
        <v>Current</v>
      </c>
    </row>
    <row r="336" spans="1:12" ht="32" customHeight="1">
      <c r="A336" s="2" t="s">
        <v>418</v>
      </c>
      <c r="B336" s="10" t="str">
        <f>IF(A336="","",IF(COUNTIFS(Data!$A$2:$A$501,A336)=1,INDEX(Data!$B$2:$B$501,MATCH(A336,Data!$A$2:$A$501,0)),"Not in current directory"))</f>
        <v>YouthBuild Philadelphia Charter School</v>
      </c>
      <c r="C336" s="8" t="s">
        <v>88</v>
      </c>
      <c r="D336" s="8"/>
      <c r="E336" s="9"/>
      <c r="F336" s="8"/>
      <c r="G336" s="9"/>
      <c r="H336" s="8"/>
      <c r="I336" s="8"/>
      <c r="J336" s="8" t="s">
        <v>89</v>
      </c>
      <c r="K336" s="8" t="s">
        <v>90</v>
      </c>
      <c r="L336" s="2" t="str">
        <f>IF(A336="","",IF(COUNTIFS($A$8:$A$507,A336)&lt;&gt;1,"Duplicate ID",IF(COUNTIFS(Data!$A$2:$A$501,A336)&lt;&gt;1,"Not current","Current")))</f>
        <v>Current</v>
      </c>
    </row>
    <row r="337" spans="1:12" ht="32" customHeight="1">
      <c r="A337" s="2"/>
      <c r="B337" s="10" t="str">
        <f>IF(A337="","",IF(COUNTIFS(Data!$A$2:$A$501,A337)=1,INDEX(Data!$B$2:$B$501,MATCH(A337,Data!$A$2:$A$501,0)),"Not in current directory"))</f>
        <v/>
      </c>
      <c r="C337" s="8"/>
      <c r="D337" s="8"/>
      <c r="E337" s="9"/>
      <c r="F337" s="8"/>
      <c r="G337" s="9"/>
      <c r="H337" s="8"/>
      <c r="I337" s="8"/>
      <c r="J337" s="8"/>
      <c r="K337" s="8"/>
      <c r="L337" s="2" t="str">
        <f>IF(A337="","",IF(COUNTIFS($A$8:$A$507,A337)&lt;&gt;1,"Duplicate ID",IF(COUNTIFS(Data!$A$2:$A$501,A337)&lt;&gt;1,"Not current","Current")))</f>
        <v/>
      </c>
    </row>
    <row r="338" spans="1:12" ht="32" customHeight="1">
      <c r="A338" s="2"/>
      <c r="B338" s="10" t="str">
        <f>IF(A338="","",IF(COUNTIFS(Data!$A$2:$A$501,A338)=1,INDEX(Data!$B$2:$B$501,MATCH(A338,Data!$A$2:$A$501,0)),"Not in current directory"))</f>
        <v/>
      </c>
      <c r="C338" s="8"/>
      <c r="D338" s="8"/>
      <c r="E338" s="9"/>
      <c r="F338" s="8"/>
      <c r="G338" s="9"/>
      <c r="H338" s="8"/>
      <c r="I338" s="8"/>
      <c r="J338" s="8"/>
      <c r="K338" s="8"/>
      <c r="L338" s="2" t="str">
        <f>IF(A338="","",IF(COUNTIFS($A$8:$A$507,A338)&lt;&gt;1,"Duplicate ID",IF(COUNTIFS(Data!$A$2:$A$501,A338)&lt;&gt;1,"Not current","Current")))</f>
        <v/>
      </c>
    </row>
    <row r="339" spans="1:12" ht="32" customHeight="1">
      <c r="A339" s="2"/>
      <c r="B339" s="10" t="str">
        <f>IF(A339="","",IF(COUNTIFS(Data!$A$2:$A$501,A339)=1,INDEX(Data!$B$2:$B$501,MATCH(A339,Data!$A$2:$A$501,0)),"Not in current directory"))</f>
        <v/>
      </c>
      <c r="C339" s="8"/>
      <c r="D339" s="8"/>
      <c r="E339" s="9"/>
      <c r="F339" s="8"/>
      <c r="G339" s="9"/>
      <c r="H339" s="8"/>
      <c r="I339" s="8"/>
      <c r="J339" s="8"/>
      <c r="K339" s="8"/>
      <c r="L339" s="2" t="str">
        <f>IF(A339="","",IF(COUNTIFS($A$8:$A$507,A339)&lt;&gt;1,"Duplicate ID",IF(COUNTIFS(Data!$A$2:$A$501,A339)&lt;&gt;1,"Not current","Current")))</f>
        <v/>
      </c>
    </row>
    <row r="340" spans="1:12" ht="32" customHeight="1">
      <c r="A340" s="2"/>
      <c r="B340" s="10" t="str">
        <f>IF(A340="","",IF(COUNTIFS(Data!$A$2:$A$501,A340)=1,INDEX(Data!$B$2:$B$501,MATCH(A340,Data!$A$2:$A$501,0)),"Not in current directory"))</f>
        <v/>
      </c>
      <c r="C340" s="8"/>
      <c r="D340" s="8"/>
      <c r="E340" s="9"/>
      <c r="F340" s="8"/>
      <c r="G340" s="9"/>
      <c r="H340" s="8"/>
      <c r="I340" s="8"/>
      <c r="J340" s="8"/>
      <c r="K340" s="8"/>
      <c r="L340" s="2" t="str">
        <f>IF(A340="","",IF(COUNTIFS($A$8:$A$507,A340)&lt;&gt;1,"Duplicate ID",IF(COUNTIFS(Data!$A$2:$A$501,A340)&lt;&gt;1,"Not current","Current")))</f>
        <v/>
      </c>
    </row>
    <row r="341" spans="1:12" ht="32" customHeight="1">
      <c r="A341" s="2"/>
      <c r="B341" s="10" t="str">
        <f>IF(A341="","",IF(COUNTIFS(Data!$A$2:$A$501,A341)=1,INDEX(Data!$B$2:$B$501,MATCH(A341,Data!$A$2:$A$501,0)),"Not in current directory"))</f>
        <v/>
      </c>
      <c r="C341" s="8"/>
      <c r="D341" s="8"/>
      <c r="E341" s="9"/>
      <c r="F341" s="8"/>
      <c r="G341" s="9"/>
      <c r="H341" s="8"/>
      <c r="I341" s="8"/>
      <c r="J341" s="8"/>
      <c r="K341" s="8"/>
      <c r="L341" s="2" t="str">
        <f>IF(A341="","",IF(COUNTIFS($A$8:$A$507,A341)&lt;&gt;1,"Duplicate ID",IF(COUNTIFS(Data!$A$2:$A$501,A341)&lt;&gt;1,"Not current","Current")))</f>
        <v/>
      </c>
    </row>
    <row r="342" spans="1:12" ht="32" customHeight="1">
      <c r="A342" s="2"/>
      <c r="B342" s="10" t="str">
        <f>IF(A342="","",IF(COUNTIFS(Data!$A$2:$A$501,A342)=1,INDEX(Data!$B$2:$B$501,MATCH(A342,Data!$A$2:$A$501,0)),"Not in current directory"))</f>
        <v/>
      </c>
      <c r="C342" s="8"/>
      <c r="D342" s="8"/>
      <c r="E342" s="9"/>
      <c r="F342" s="8"/>
      <c r="G342" s="9"/>
      <c r="H342" s="8"/>
      <c r="I342" s="8"/>
      <c r="J342" s="8"/>
      <c r="K342" s="8"/>
      <c r="L342" s="2" t="str">
        <f>IF(A342="","",IF(COUNTIFS($A$8:$A$507,A342)&lt;&gt;1,"Duplicate ID",IF(COUNTIFS(Data!$A$2:$A$501,A342)&lt;&gt;1,"Not current","Current")))</f>
        <v/>
      </c>
    </row>
    <row r="343" spans="1:12" ht="32" customHeight="1">
      <c r="A343" s="2"/>
      <c r="B343" s="10" t="str">
        <f>IF(A343="","",IF(COUNTIFS(Data!$A$2:$A$501,A343)=1,INDEX(Data!$B$2:$B$501,MATCH(A343,Data!$A$2:$A$501,0)),"Not in current directory"))</f>
        <v/>
      </c>
      <c r="C343" s="8"/>
      <c r="D343" s="8"/>
      <c r="E343" s="9"/>
      <c r="F343" s="8"/>
      <c r="G343" s="9"/>
      <c r="H343" s="8"/>
      <c r="I343" s="8"/>
      <c r="J343" s="8"/>
      <c r="K343" s="8"/>
      <c r="L343" s="2" t="str">
        <f>IF(A343="","",IF(COUNTIFS($A$8:$A$507,A343)&lt;&gt;1,"Duplicate ID",IF(COUNTIFS(Data!$A$2:$A$501,A343)&lt;&gt;1,"Not current","Current")))</f>
        <v/>
      </c>
    </row>
    <row r="344" spans="1:12" ht="32" customHeight="1">
      <c r="A344" s="2"/>
      <c r="B344" s="10" t="str">
        <f>IF(A344="","",IF(COUNTIFS(Data!$A$2:$A$501,A344)=1,INDEX(Data!$B$2:$B$501,MATCH(A344,Data!$A$2:$A$501,0)),"Not in current directory"))</f>
        <v/>
      </c>
      <c r="C344" s="8"/>
      <c r="D344" s="8"/>
      <c r="E344" s="9"/>
      <c r="F344" s="8"/>
      <c r="G344" s="9"/>
      <c r="H344" s="8"/>
      <c r="I344" s="8"/>
      <c r="J344" s="8"/>
      <c r="K344" s="8"/>
      <c r="L344" s="2" t="str">
        <f>IF(A344="","",IF(COUNTIFS($A$8:$A$507,A344)&lt;&gt;1,"Duplicate ID",IF(COUNTIFS(Data!$A$2:$A$501,A344)&lt;&gt;1,"Not current","Current")))</f>
        <v/>
      </c>
    </row>
    <row r="345" spans="1:12" ht="32" customHeight="1">
      <c r="A345" s="2"/>
      <c r="B345" s="10" t="str">
        <f>IF(A345="","",IF(COUNTIFS(Data!$A$2:$A$501,A345)=1,INDEX(Data!$B$2:$B$501,MATCH(A345,Data!$A$2:$A$501,0)),"Not in current directory"))</f>
        <v/>
      </c>
      <c r="C345" s="8"/>
      <c r="D345" s="8"/>
      <c r="E345" s="9"/>
      <c r="F345" s="8"/>
      <c r="G345" s="9"/>
      <c r="H345" s="8"/>
      <c r="I345" s="8"/>
      <c r="J345" s="8"/>
      <c r="K345" s="8"/>
      <c r="L345" s="2" t="str">
        <f>IF(A345="","",IF(COUNTIFS($A$8:$A$507,A345)&lt;&gt;1,"Duplicate ID",IF(COUNTIFS(Data!$A$2:$A$501,A345)&lt;&gt;1,"Not current","Current")))</f>
        <v/>
      </c>
    </row>
    <row r="346" spans="1:12" ht="32" customHeight="1">
      <c r="A346" s="2"/>
      <c r="B346" s="10" t="str">
        <f>IF(A346="","",IF(COUNTIFS(Data!$A$2:$A$501,A346)=1,INDEX(Data!$B$2:$B$501,MATCH(A346,Data!$A$2:$A$501,0)),"Not in current directory"))</f>
        <v/>
      </c>
      <c r="C346" s="8"/>
      <c r="D346" s="8"/>
      <c r="E346" s="9"/>
      <c r="F346" s="8"/>
      <c r="G346" s="9"/>
      <c r="H346" s="8"/>
      <c r="I346" s="8"/>
      <c r="J346" s="8"/>
      <c r="K346" s="8"/>
      <c r="L346" s="2" t="str">
        <f>IF(A346="","",IF(COUNTIFS($A$8:$A$507,A346)&lt;&gt;1,"Duplicate ID",IF(COUNTIFS(Data!$A$2:$A$501,A346)&lt;&gt;1,"Not current","Current")))</f>
        <v/>
      </c>
    </row>
    <row r="347" spans="1:12" ht="32" customHeight="1">
      <c r="A347" s="2"/>
      <c r="B347" s="10" t="str">
        <f>IF(A347="","",IF(COUNTIFS(Data!$A$2:$A$501,A347)=1,INDEX(Data!$B$2:$B$501,MATCH(A347,Data!$A$2:$A$501,0)),"Not in current directory"))</f>
        <v/>
      </c>
      <c r="C347" s="8"/>
      <c r="D347" s="8"/>
      <c r="E347" s="9"/>
      <c r="F347" s="8"/>
      <c r="G347" s="9"/>
      <c r="H347" s="8"/>
      <c r="I347" s="8"/>
      <c r="J347" s="8"/>
      <c r="K347" s="8"/>
      <c r="L347" s="2" t="str">
        <f>IF(A347="","",IF(COUNTIFS($A$8:$A$507,A347)&lt;&gt;1,"Duplicate ID",IF(COUNTIFS(Data!$A$2:$A$501,A347)&lt;&gt;1,"Not current","Current")))</f>
        <v/>
      </c>
    </row>
    <row r="348" spans="1:12" ht="32" customHeight="1">
      <c r="A348" s="2"/>
      <c r="B348" s="10" t="str">
        <f>IF(A348="","",IF(COUNTIFS(Data!$A$2:$A$501,A348)=1,INDEX(Data!$B$2:$B$501,MATCH(A348,Data!$A$2:$A$501,0)),"Not in current directory"))</f>
        <v/>
      </c>
      <c r="C348" s="8"/>
      <c r="D348" s="8"/>
      <c r="E348" s="9"/>
      <c r="F348" s="8"/>
      <c r="G348" s="9"/>
      <c r="H348" s="8"/>
      <c r="I348" s="8"/>
      <c r="J348" s="8"/>
      <c r="K348" s="8"/>
      <c r="L348" s="2" t="str">
        <f>IF(A348="","",IF(COUNTIFS($A$8:$A$507,A348)&lt;&gt;1,"Duplicate ID",IF(COUNTIFS(Data!$A$2:$A$501,A348)&lt;&gt;1,"Not current","Current")))</f>
        <v/>
      </c>
    </row>
    <row r="349" spans="1:12" ht="32" customHeight="1">
      <c r="A349" s="2"/>
      <c r="B349" s="10" t="str">
        <f>IF(A349="","",IF(COUNTIFS(Data!$A$2:$A$501,A349)=1,INDEX(Data!$B$2:$B$501,MATCH(A349,Data!$A$2:$A$501,0)),"Not in current directory"))</f>
        <v/>
      </c>
      <c r="C349" s="8"/>
      <c r="D349" s="8"/>
      <c r="E349" s="9"/>
      <c r="F349" s="8"/>
      <c r="G349" s="9"/>
      <c r="H349" s="8"/>
      <c r="I349" s="8"/>
      <c r="J349" s="8"/>
      <c r="K349" s="8"/>
      <c r="L349" s="2" t="str">
        <f>IF(A349="","",IF(COUNTIFS($A$8:$A$507,A349)&lt;&gt;1,"Duplicate ID",IF(COUNTIFS(Data!$A$2:$A$501,A349)&lt;&gt;1,"Not current","Current")))</f>
        <v/>
      </c>
    </row>
    <row r="350" spans="1:12" ht="32" customHeight="1">
      <c r="A350" s="2"/>
      <c r="B350" s="10" t="str">
        <f>IF(A350="","",IF(COUNTIFS(Data!$A$2:$A$501,A350)=1,INDEX(Data!$B$2:$B$501,MATCH(A350,Data!$A$2:$A$501,0)),"Not in current directory"))</f>
        <v/>
      </c>
      <c r="C350" s="8"/>
      <c r="D350" s="8"/>
      <c r="E350" s="9"/>
      <c r="F350" s="8"/>
      <c r="G350" s="9"/>
      <c r="H350" s="8"/>
      <c r="I350" s="8"/>
      <c r="J350" s="8"/>
      <c r="K350" s="8"/>
      <c r="L350" s="2" t="str">
        <f>IF(A350="","",IF(COUNTIFS($A$8:$A$507,A350)&lt;&gt;1,"Duplicate ID",IF(COUNTIFS(Data!$A$2:$A$501,A350)&lt;&gt;1,"Not current","Current")))</f>
        <v/>
      </c>
    </row>
    <row r="351" spans="1:12" ht="32" customHeight="1">
      <c r="A351" s="2"/>
      <c r="B351" s="10" t="str">
        <f>IF(A351="","",IF(COUNTIFS(Data!$A$2:$A$501,A351)=1,INDEX(Data!$B$2:$B$501,MATCH(A351,Data!$A$2:$A$501,0)),"Not in current directory"))</f>
        <v/>
      </c>
      <c r="C351" s="8"/>
      <c r="D351" s="8"/>
      <c r="E351" s="9"/>
      <c r="F351" s="8"/>
      <c r="G351" s="9"/>
      <c r="H351" s="8"/>
      <c r="I351" s="8"/>
      <c r="J351" s="8"/>
      <c r="K351" s="8"/>
      <c r="L351" s="2" t="str">
        <f>IF(A351="","",IF(COUNTIFS($A$8:$A$507,A351)&lt;&gt;1,"Duplicate ID",IF(COUNTIFS(Data!$A$2:$A$501,A351)&lt;&gt;1,"Not current","Current")))</f>
        <v/>
      </c>
    </row>
    <row r="352" spans="1:12" ht="32" customHeight="1">
      <c r="A352" s="2"/>
      <c r="B352" s="10" t="str">
        <f>IF(A352="","",IF(COUNTIFS(Data!$A$2:$A$501,A352)=1,INDEX(Data!$B$2:$B$501,MATCH(A352,Data!$A$2:$A$501,0)),"Not in current directory"))</f>
        <v/>
      </c>
      <c r="C352" s="8"/>
      <c r="D352" s="8"/>
      <c r="E352" s="9"/>
      <c r="F352" s="8"/>
      <c r="G352" s="9"/>
      <c r="H352" s="8"/>
      <c r="I352" s="8"/>
      <c r="J352" s="8"/>
      <c r="K352" s="8"/>
      <c r="L352" s="2" t="str">
        <f>IF(A352="","",IF(COUNTIFS($A$8:$A$507,A352)&lt;&gt;1,"Duplicate ID",IF(COUNTIFS(Data!$A$2:$A$501,A352)&lt;&gt;1,"Not current","Current")))</f>
        <v/>
      </c>
    </row>
    <row r="353" spans="1:12" ht="32" customHeight="1">
      <c r="A353" s="2"/>
      <c r="B353" s="10" t="str">
        <f>IF(A353="","",IF(COUNTIFS(Data!$A$2:$A$501,A353)=1,INDEX(Data!$B$2:$B$501,MATCH(A353,Data!$A$2:$A$501,0)),"Not in current directory"))</f>
        <v/>
      </c>
      <c r="C353" s="8"/>
      <c r="D353" s="8"/>
      <c r="E353" s="9"/>
      <c r="F353" s="8"/>
      <c r="G353" s="9"/>
      <c r="H353" s="8"/>
      <c r="I353" s="8"/>
      <c r="J353" s="8"/>
      <c r="K353" s="8"/>
      <c r="L353" s="2" t="str">
        <f>IF(A353="","",IF(COUNTIFS($A$8:$A$507,A353)&lt;&gt;1,"Duplicate ID",IF(COUNTIFS(Data!$A$2:$A$501,A353)&lt;&gt;1,"Not current","Current")))</f>
        <v/>
      </c>
    </row>
    <row r="354" spans="1:12" ht="32" customHeight="1">
      <c r="A354" s="2"/>
      <c r="B354" s="10" t="str">
        <f>IF(A354="","",IF(COUNTIFS(Data!$A$2:$A$501,A354)=1,INDEX(Data!$B$2:$B$501,MATCH(A354,Data!$A$2:$A$501,0)),"Not in current directory"))</f>
        <v/>
      </c>
      <c r="C354" s="8"/>
      <c r="D354" s="8"/>
      <c r="E354" s="9"/>
      <c r="F354" s="8"/>
      <c r="G354" s="9"/>
      <c r="H354" s="8"/>
      <c r="I354" s="8"/>
      <c r="J354" s="8"/>
      <c r="K354" s="8"/>
      <c r="L354" s="2" t="str">
        <f>IF(A354="","",IF(COUNTIFS($A$8:$A$507,A354)&lt;&gt;1,"Duplicate ID",IF(COUNTIFS(Data!$A$2:$A$501,A354)&lt;&gt;1,"Not current","Current")))</f>
        <v/>
      </c>
    </row>
    <row r="355" spans="1:12" ht="32" customHeight="1">
      <c r="A355" s="2"/>
      <c r="B355" s="10" t="str">
        <f>IF(A355="","",IF(COUNTIFS(Data!$A$2:$A$501,A355)=1,INDEX(Data!$B$2:$B$501,MATCH(A355,Data!$A$2:$A$501,0)),"Not in current directory"))</f>
        <v/>
      </c>
      <c r="C355" s="8"/>
      <c r="D355" s="8"/>
      <c r="E355" s="9"/>
      <c r="F355" s="8"/>
      <c r="G355" s="9"/>
      <c r="H355" s="8"/>
      <c r="I355" s="8"/>
      <c r="J355" s="8"/>
      <c r="K355" s="8"/>
      <c r="L355" s="2" t="str">
        <f>IF(A355="","",IF(COUNTIFS($A$8:$A$507,A355)&lt;&gt;1,"Duplicate ID",IF(COUNTIFS(Data!$A$2:$A$501,A355)&lt;&gt;1,"Not current","Current")))</f>
        <v/>
      </c>
    </row>
    <row r="356" spans="1:12" ht="32" customHeight="1">
      <c r="A356" s="2"/>
      <c r="B356" s="10" t="str">
        <f>IF(A356="","",IF(COUNTIFS(Data!$A$2:$A$501,A356)=1,INDEX(Data!$B$2:$B$501,MATCH(A356,Data!$A$2:$A$501,0)),"Not in current directory"))</f>
        <v/>
      </c>
      <c r="C356" s="8"/>
      <c r="D356" s="8"/>
      <c r="E356" s="9"/>
      <c r="F356" s="8"/>
      <c r="G356" s="9"/>
      <c r="H356" s="8"/>
      <c r="I356" s="8"/>
      <c r="J356" s="8"/>
      <c r="K356" s="8"/>
      <c r="L356" s="2" t="str">
        <f>IF(A356="","",IF(COUNTIFS($A$8:$A$507,A356)&lt;&gt;1,"Duplicate ID",IF(COUNTIFS(Data!$A$2:$A$501,A356)&lt;&gt;1,"Not current","Current")))</f>
        <v/>
      </c>
    </row>
    <row r="357" spans="1:12" ht="32" customHeight="1">
      <c r="A357" s="2"/>
      <c r="B357" s="10" t="str">
        <f>IF(A357="","",IF(COUNTIFS(Data!$A$2:$A$501,A357)=1,INDEX(Data!$B$2:$B$501,MATCH(A357,Data!$A$2:$A$501,0)),"Not in current directory"))</f>
        <v/>
      </c>
      <c r="C357" s="8"/>
      <c r="D357" s="8"/>
      <c r="E357" s="9"/>
      <c r="F357" s="8"/>
      <c r="G357" s="9"/>
      <c r="H357" s="8"/>
      <c r="I357" s="8"/>
      <c r="J357" s="8"/>
      <c r="K357" s="8"/>
      <c r="L357" s="2" t="str">
        <f>IF(A357="","",IF(COUNTIFS($A$8:$A$507,A357)&lt;&gt;1,"Duplicate ID",IF(COUNTIFS(Data!$A$2:$A$501,A357)&lt;&gt;1,"Not current","Current")))</f>
        <v/>
      </c>
    </row>
    <row r="358" spans="1:12" ht="32" customHeight="1">
      <c r="A358" s="2"/>
      <c r="B358" s="10" t="str">
        <f>IF(A358="","",IF(COUNTIFS(Data!$A$2:$A$501,A358)=1,INDEX(Data!$B$2:$B$501,MATCH(A358,Data!$A$2:$A$501,0)),"Not in current directory"))</f>
        <v/>
      </c>
      <c r="C358" s="8"/>
      <c r="D358" s="8"/>
      <c r="E358" s="9"/>
      <c r="F358" s="8"/>
      <c r="G358" s="9"/>
      <c r="H358" s="8"/>
      <c r="I358" s="8"/>
      <c r="J358" s="8"/>
      <c r="K358" s="8"/>
      <c r="L358" s="2" t="str">
        <f>IF(A358="","",IF(COUNTIFS($A$8:$A$507,A358)&lt;&gt;1,"Duplicate ID",IF(COUNTIFS(Data!$A$2:$A$501,A358)&lt;&gt;1,"Not current","Current")))</f>
        <v/>
      </c>
    </row>
    <row r="359" spans="1:12" ht="32" customHeight="1">
      <c r="A359" s="2"/>
      <c r="B359" s="10" t="str">
        <f>IF(A359="","",IF(COUNTIFS(Data!$A$2:$A$501,A359)=1,INDEX(Data!$B$2:$B$501,MATCH(A359,Data!$A$2:$A$501,0)),"Not in current directory"))</f>
        <v/>
      </c>
      <c r="C359" s="8"/>
      <c r="D359" s="8"/>
      <c r="E359" s="9"/>
      <c r="F359" s="8"/>
      <c r="G359" s="9"/>
      <c r="H359" s="8"/>
      <c r="I359" s="8"/>
      <c r="J359" s="8"/>
      <c r="K359" s="8"/>
      <c r="L359" s="2" t="str">
        <f>IF(A359="","",IF(COUNTIFS($A$8:$A$507,A359)&lt;&gt;1,"Duplicate ID",IF(COUNTIFS(Data!$A$2:$A$501,A359)&lt;&gt;1,"Not current","Current")))</f>
        <v/>
      </c>
    </row>
    <row r="360" spans="1:12" ht="32" customHeight="1">
      <c r="A360" s="2"/>
      <c r="B360" s="10" t="str">
        <f>IF(A360="","",IF(COUNTIFS(Data!$A$2:$A$501,A360)=1,INDEX(Data!$B$2:$B$501,MATCH(A360,Data!$A$2:$A$501,0)),"Not in current directory"))</f>
        <v/>
      </c>
      <c r="C360" s="8"/>
      <c r="D360" s="8"/>
      <c r="E360" s="9"/>
      <c r="F360" s="8"/>
      <c r="G360" s="9"/>
      <c r="H360" s="8"/>
      <c r="I360" s="8"/>
      <c r="J360" s="8"/>
      <c r="K360" s="8"/>
      <c r="L360" s="2" t="str">
        <f>IF(A360="","",IF(COUNTIFS($A$8:$A$507,A360)&lt;&gt;1,"Duplicate ID",IF(COUNTIFS(Data!$A$2:$A$501,A360)&lt;&gt;1,"Not current","Current")))</f>
        <v/>
      </c>
    </row>
    <row r="361" spans="1:12" ht="32" customHeight="1">
      <c r="A361" s="2"/>
      <c r="B361" s="10" t="str">
        <f>IF(A361="","",IF(COUNTIFS(Data!$A$2:$A$501,A361)=1,INDEX(Data!$B$2:$B$501,MATCH(A361,Data!$A$2:$A$501,0)),"Not in current directory"))</f>
        <v/>
      </c>
      <c r="C361" s="8"/>
      <c r="D361" s="8"/>
      <c r="E361" s="9"/>
      <c r="F361" s="8"/>
      <c r="G361" s="9"/>
      <c r="H361" s="8"/>
      <c r="I361" s="8"/>
      <c r="J361" s="8"/>
      <c r="K361" s="8"/>
      <c r="L361" s="2" t="str">
        <f>IF(A361="","",IF(COUNTIFS($A$8:$A$507,A361)&lt;&gt;1,"Duplicate ID",IF(COUNTIFS(Data!$A$2:$A$501,A361)&lt;&gt;1,"Not current","Current")))</f>
        <v/>
      </c>
    </row>
    <row r="362" spans="1:12" ht="32" customHeight="1">
      <c r="A362" s="2"/>
      <c r="B362" s="10" t="str">
        <f>IF(A362="","",IF(COUNTIFS(Data!$A$2:$A$501,A362)=1,INDEX(Data!$B$2:$B$501,MATCH(A362,Data!$A$2:$A$501,0)),"Not in current directory"))</f>
        <v/>
      </c>
      <c r="C362" s="8"/>
      <c r="D362" s="8"/>
      <c r="E362" s="9"/>
      <c r="F362" s="8"/>
      <c r="G362" s="9"/>
      <c r="H362" s="8"/>
      <c r="I362" s="8"/>
      <c r="J362" s="8"/>
      <c r="K362" s="8"/>
      <c r="L362" s="2" t="str">
        <f>IF(A362="","",IF(COUNTIFS($A$8:$A$507,A362)&lt;&gt;1,"Duplicate ID",IF(COUNTIFS(Data!$A$2:$A$501,A362)&lt;&gt;1,"Not current","Current")))</f>
        <v/>
      </c>
    </row>
    <row r="363" spans="1:12" ht="32" customHeight="1">
      <c r="A363" s="2"/>
      <c r="B363" s="10" t="str">
        <f>IF(A363="","",IF(COUNTIFS(Data!$A$2:$A$501,A363)=1,INDEX(Data!$B$2:$B$501,MATCH(A363,Data!$A$2:$A$501,0)),"Not in current directory"))</f>
        <v/>
      </c>
      <c r="C363" s="8"/>
      <c r="D363" s="8"/>
      <c r="E363" s="9"/>
      <c r="F363" s="8"/>
      <c r="G363" s="9"/>
      <c r="H363" s="8"/>
      <c r="I363" s="8"/>
      <c r="J363" s="8"/>
      <c r="K363" s="8"/>
      <c r="L363" s="2" t="str">
        <f>IF(A363="","",IF(COUNTIFS($A$8:$A$507,A363)&lt;&gt;1,"Duplicate ID",IF(COUNTIFS(Data!$A$2:$A$501,A363)&lt;&gt;1,"Not current","Current")))</f>
        <v/>
      </c>
    </row>
    <row r="364" spans="1:12" ht="32" customHeight="1">
      <c r="A364" s="2"/>
      <c r="B364" s="10" t="str">
        <f>IF(A364="","",IF(COUNTIFS(Data!$A$2:$A$501,A364)=1,INDEX(Data!$B$2:$B$501,MATCH(A364,Data!$A$2:$A$501,0)),"Not in current directory"))</f>
        <v/>
      </c>
      <c r="C364" s="8"/>
      <c r="D364" s="8"/>
      <c r="E364" s="9"/>
      <c r="F364" s="8"/>
      <c r="G364" s="9"/>
      <c r="H364" s="8"/>
      <c r="I364" s="8"/>
      <c r="J364" s="8"/>
      <c r="K364" s="8"/>
      <c r="L364" s="2" t="str">
        <f>IF(A364="","",IF(COUNTIFS($A$8:$A$507,A364)&lt;&gt;1,"Duplicate ID",IF(COUNTIFS(Data!$A$2:$A$501,A364)&lt;&gt;1,"Not current","Current")))</f>
        <v/>
      </c>
    </row>
    <row r="365" spans="1:12" ht="32" customHeight="1">
      <c r="A365" s="2"/>
      <c r="B365" s="10" t="str">
        <f>IF(A365="","",IF(COUNTIFS(Data!$A$2:$A$501,A365)=1,INDEX(Data!$B$2:$B$501,MATCH(A365,Data!$A$2:$A$501,0)),"Not in current directory"))</f>
        <v/>
      </c>
      <c r="C365" s="8"/>
      <c r="D365" s="8"/>
      <c r="E365" s="9"/>
      <c r="F365" s="8"/>
      <c r="G365" s="9"/>
      <c r="H365" s="8"/>
      <c r="I365" s="8"/>
      <c r="J365" s="8"/>
      <c r="K365" s="8"/>
      <c r="L365" s="2" t="str">
        <f>IF(A365="","",IF(COUNTIFS($A$8:$A$507,A365)&lt;&gt;1,"Duplicate ID",IF(COUNTIFS(Data!$A$2:$A$501,A365)&lt;&gt;1,"Not current","Current")))</f>
        <v/>
      </c>
    </row>
    <row r="366" spans="1:12" ht="32" customHeight="1">
      <c r="A366" s="2"/>
      <c r="B366" s="10" t="str">
        <f>IF(A366="","",IF(COUNTIFS(Data!$A$2:$A$501,A366)=1,INDEX(Data!$B$2:$B$501,MATCH(A366,Data!$A$2:$A$501,0)),"Not in current directory"))</f>
        <v/>
      </c>
      <c r="C366" s="8"/>
      <c r="D366" s="8"/>
      <c r="E366" s="9"/>
      <c r="F366" s="8"/>
      <c r="G366" s="9"/>
      <c r="H366" s="8"/>
      <c r="I366" s="8"/>
      <c r="J366" s="8"/>
      <c r="K366" s="8"/>
      <c r="L366" s="2" t="str">
        <f>IF(A366="","",IF(COUNTIFS($A$8:$A$507,A366)&lt;&gt;1,"Duplicate ID",IF(COUNTIFS(Data!$A$2:$A$501,A366)&lt;&gt;1,"Not current","Current")))</f>
        <v/>
      </c>
    </row>
    <row r="367" spans="1:12" ht="32" customHeight="1">
      <c r="A367" s="2"/>
      <c r="B367" s="10" t="str">
        <f>IF(A367="","",IF(COUNTIFS(Data!$A$2:$A$501,A367)=1,INDEX(Data!$B$2:$B$501,MATCH(A367,Data!$A$2:$A$501,0)),"Not in current directory"))</f>
        <v/>
      </c>
      <c r="C367" s="8"/>
      <c r="D367" s="8"/>
      <c r="E367" s="9"/>
      <c r="F367" s="8"/>
      <c r="G367" s="9"/>
      <c r="H367" s="8"/>
      <c r="I367" s="8"/>
      <c r="J367" s="8"/>
      <c r="K367" s="8"/>
      <c r="L367" s="2" t="str">
        <f>IF(A367="","",IF(COUNTIFS($A$8:$A$507,A367)&lt;&gt;1,"Duplicate ID",IF(COUNTIFS(Data!$A$2:$A$501,A367)&lt;&gt;1,"Not current","Current")))</f>
        <v/>
      </c>
    </row>
    <row r="368" spans="1:12" ht="32" customHeight="1">
      <c r="A368" s="2"/>
      <c r="B368" s="10" t="str">
        <f>IF(A368="","",IF(COUNTIFS(Data!$A$2:$A$501,A368)=1,INDEX(Data!$B$2:$B$501,MATCH(A368,Data!$A$2:$A$501,0)),"Not in current directory"))</f>
        <v/>
      </c>
      <c r="C368" s="8"/>
      <c r="D368" s="8"/>
      <c r="E368" s="9"/>
      <c r="F368" s="8"/>
      <c r="G368" s="9"/>
      <c r="H368" s="8"/>
      <c r="I368" s="8"/>
      <c r="J368" s="8"/>
      <c r="K368" s="8"/>
      <c r="L368" s="2" t="str">
        <f>IF(A368="","",IF(COUNTIFS($A$8:$A$507,A368)&lt;&gt;1,"Duplicate ID",IF(COUNTIFS(Data!$A$2:$A$501,A368)&lt;&gt;1,"Not current","Current")))</f>
        <v/>
      </c>
    </row>
    <row r="369" spans="1:12" ht="32" customHeight="1">
      <c r="A369" s="2"/>
      <c r="B369" s="10" t="str">
        <f>IF(A369="","",IF(COUNTIFS(Data!$A$2:$A$501,A369)=1,INDEX(Data!$B$2:$B$501,MATCH(A369,Data!$A$2:$A$501,0)),"Not in current directory"))</f>
        <v/>
      </c>
      <c r="C369" s="8"/>
      <c r="D369" s="8"/>
      <c r="E369" s="9"/>
      <c r="F369" s="8"/>
      <c r="G369" s="9"/>
      <c r="H369" s="8"/>
      <c r="I369" s="8"/>
      <c r="J369" s="8"/>
      <c r="K369" s="8"/>
      <c r="L369" s="2" t="str">
        <f>IF(A369="","",IF(COUNTIFS($A$8:$A$507,A369)&lt;&gt;1,"Duplicate ID",IF(COUNTIFS(Data!$A$2:$A$501,A369)&lt;&gt;1,"Not current","Current")))</f>
        <v/>
      </c>
    </row>
    <row r="370" spans="1:12" ht="32" customHeight="1">
      <c r="A370" s="2"/>
      <c r="B370" s="10" t="str">
        <f>IF(A370="","",IF(COUNTIFS(Data!$A$2:$A$501,A370)=1,INDEX(Data!$B$2:$B$501,MATCH(A370,Data!$A$2:$A$501,0)),"Not in current directory"))</f>
        <v/>
      </c>
      <c r="C370" s="8"/>
      <c r="D370" s="8"/>
      <c r="E370" s="9"/>
      <c r="F370" s="8"/>
      <c r="G370" s="9"/>
      <c r="H370" s="8"/>
      <c r="I370" s="8"/>
      <c r="J370" s="8"/>
      <c r="K370" s="8"/>
      <c r="L370" s="2" t="str">
        <f>IF(A370="","",IF(COUNTIFS($A$8:$A$507,A370)&lt;&gt;1,"Duplicate ID",IF(COUNTIFS(Data!$A$2:$A$501,A370)&lt;&gt;1,"Not current","Current")))</f>
        <v/>
      </c>
    </row>
    <row r="371" spans="1:12" ht="32" customHeight="1">
      <c r="A371" s="2"/>
      <c r="B371" s="10" t="str">
        <f>IF(A371="","",IF(COUNTIFS(Data!$A$2:$A$501,A371)=1,INDEX(Data!$B$2:$B$501,MATCH(A371,Data!$A$2:$A$501,0)),"Not in current directory"))</f>
        <v/>
      </c>
      <c r="C371" s="8"/>
      <c r="D371" s="8"/>
      <c r="E371" s="9"/>
      <c r="F371" s="8"/>
      <c r="G371" s="9"/>
      <c r="H371" s="8"/>
      <c r="I371" s="8"/>
      <c r="J371" s="8"/>
      <c r="K371" s="8"/>
      <c r="L371" s="2" t="str">
        <f>IF(A371="","",IF(COUNTIFS($A$8:$A$507,A371)&lt;&gt;1,"Duplicate ID",IF(COUNTIFS(Data!$A$2:$A$501,A371)&lt;&gt;1,"Not current","Current")))</f>
        <v/>
      </c>
    </row>
    <row r="372" spans="1:12" ht="32" customHeight="1">
      <c r="A372" s="2"/>
      <c r="B372" s="10" t="str">
        <f>IF(A372="","",IF(COUNTIFS(Data!$A$2:$A$501,A372)=1,INDEX(Data!$B$2:$B$501,MATCH(A372,Data!$A$2:$A$501,0)),"Not in current directory"))</f>
        <v/>
      </c>
      <c r="C372" s="8"/>
      <c r="D372" s="8"/>
      <c r="E372" s="9"/>
      <c r="F372" s="8"/>
      <c r="G372" s="9"/>
      <c r="H372" s="8"/>
      <c r="I372" s="8"/>
      <c r="J372" s="8"/>
      <c r="K372" s="8"/>
      <c r="L372" s="2" t="str">
        <f>IF(A372="","",IF(COUNTIFS($A$8:$A$507,A372)&lt;&gt;1,"Duplicate ID",IF(COUNTIFS(Data!$A$2:$A$501,A372)&lt;&gt;1,"Not current","Current")))</f>
        <v/>
      </c>
    </row>
    <row r="373" spans="1:12" ht="32" customHeight="1">
      <c r="A373" s="2"/>
      <c r="B373" s="10" t="str">
        <f>IF(A373="","",IF(COUNTIFS(Data!$A$2:$A$501,A373)=1,INDEX(Data!$B$2:$B$501,MATCH(A373,Data!$A$2:$A$501,0)),"Not in current directory"))</f>
        <v/>
      </c>
      <c r="C373" s="8"/>
      <c r="D373" s="8"/>
      <c r="E373" s="9"/>
      <c r="F373" s="8"/>
      <c r="G373" s="9"/>
      <c r="H373" s="8"/>
      <c r="I373" s="8"/>
      <c r="J373" s="8"/>
      <c r="K373" s="8"/>
      <c r="L373" s="2" t="str">
        <f>IF(A373="","",IF(COUNTIFS($A$8:$A$507,A373)&lt;&gt;1,"Duplicate ID",IF(COUNTIFS(Data!$A$2:$A$501,A373)&lt;&gt;1,"Not current","Current")))</f>
        <v/>
      </c>
    </row>
    <row r="374" spans="1:12" ht="32" customHeight="1">
      <c r="A374" s="2"/>
      <c r="B374" s="10" t="str">
        <f>IF(A374="","",IF(COUNTIFS(Data!$A$2:$A$501,A374)=1,INDEX(Data!$B$2:$B$501,MATCH(A374,Data!$A$2:$A$501,0)),"Not in current directory"))</f>
        <v/>
      </c>
      <c r="C374" s="8"/>
      <c r="D374" s="8"/>
      <c r="E374" s="9"/>
      <c r="F374" s="8"/>
      <c r="G374" s="9"/>
      <c r="H374" s="8"/>
      <c r="I374" s="8"/>
      <c r="J374" s="8"/>
      <c r="K374" s="8"/>
      <c r="L374" s="2" t="str">
        <f>IF(A374="","",IF(COUNTIFS($A$8:$A$507,A374)&lt;&gt;1,"Duplicate ID",IF(COUNTIFS(Data!$A$2:$A$501,A374)&lt;&gt;1,"Not current","Current")))</f>
        <v/>
      </c>
    </row>
    <row r="375" spans="1:12" ht="32" customHeight="1">
      <c r="A375" s="2"/>
      <c r="B375" s="10" t="str">
        <f>IF(A375="","",IF(COUNTIFS(Data!$A$2:$A$501,A375)=1,INDEX(Data!$B$2:$B$501,MATCH(A375,Data!$A$2:$A$501,0)),"Not in current directory"))</f>
        <v/>
      </c>
      <c r="C375" s="8"/>
      <c r="D375" s="8"/>
      <c r="E375" s="9"/>
      <c r="F375" s="8"/>
      <c r="G375" s="9"/>
      <c r="H375" s="8"/>
      <c r="I375" s="8"/>
      <c r="J375" s="8"/>
      <c r="K375" s="8"/>
      <c r="L375" s="2" t="str">
        <f>IF(A375="","",IF(COUNTIFS($A$8:$A$507,A375)&lt;&gt;1,"Duplicate ID",IF(COUNTIFS(Data!$A$2:$A$501,A375)&lt;&gt;1,"Not current","Current")))</f>
        <v/>
      </c>
    </row>
    <row r="376" spans="1:12" ht="32" customHeight="1">
      <c r="A376" s="2"/>
      <c r="B376" s="10" t="str">
        <f>IF(A376="","",IF(COUNTIFS(Data!$A$2:$A$501,A376)=1,INDEX(Data!$B$2:$B$501,MATCH(A376,Data!$A$2:$A$501,0)),"Not in current directory"))</f>
        <v/>
      </c>
      <c r="C376" s="8"/>
      <c r="D376" s="8"/>
      <c r="E376" s="9"/>
      <c r="F376" s="8"/>
      <c r="G376" s="9"/>
      <c r="H376" s="8"/>
      <c r="I376" s="8"/>
      <c r="J376" s="8"/>
      <c r="K376" s="8"/>
      <c r="L376" s="2" t="str">
        <f>IF(A376="","",IF(COUNTIFS($A$8:$A$507,A376)&lt;&gt;1,"Duplicate ID",IF(COUNTIFS(Data!$A$2:$A$501,A376)&lt;&gt;1,"Not current","Current")))</f>
        <v/>
      </c>
    </row>
    <row r="377" spans="1:12" ht="32" customHeight="1">
      <c r="A377" s="2"/>
      <c r="B377" s="10" t="str">
        <f>IF(A377="","",IF(COUNTIFS(Data!$A$2:$A$501,A377)=1,INDEX(Data!$B$2:$B$501,MATCH(A377,Data!$A$2:$A$501,0)),"Not in current directory"))</f>
        <v/>
      </c>
      <c r="C377" s="8"/>
      <c r="D377" s="8"/>
      <c r="E377" s="9"/>
      <c r="F377" s="8"/>
      <c r="G377" s="9"/>
      <c r="H377" s="8"/>
      <c r="I377" s="8"/>
      <c r="J377" s="8"/>
      <c r="K377" s="8"/>
      <c r="L377" s="2" t="str">
        <f>IF(A377="","",IF(COUNTIFS($A$8:$A$507,A377)&lt;&gt;1,"Duplicate ID",IF(COUNTIFS(Data!$A$2:$A$501,A377)&lt;&gt;1,"Not current","Current")))</f>
        <v/>
      </c>
    </row>
    <row r="378" spans="1:12" ht="32" customHeight="1">
      <c r="A378" s="2"/>
      <c r="B378" s="10" t="str">
        <f>IF(A378="","",IF(COUNTIFS(Data!$A$2:$A$501,A378)=1,INDEX(Data!$B$2:$B$501,MATCH(A378,Data!$A$2:$A$501,0)),"Not in current directory"))</f>
        <v/>
      </c>
      <c r="C378" s="8"/>
      <c r="D378" s="8"/>
      <c r="E378" s="9"/>
      <c r="F378" s="8"/>
      <c r="G378" s="9"/>
      <c r="H378" s="8"/>
      <c r="I378" s="8"/>
      <c r="J378" s="8"/>
      <c r="K378" s="8"/>
      <c r="L378" s="2" t="str">
        <f>IF(A378="","",IF(COUNTIFS($A$8:$A$507,A378)&lt;&gt;1,"Duplicate ID",IF(COUNTIFS(Data!$A$2:$A$501,A378)&lt;&gt;1,"Not current","Current")))</f>
        <v/>
      </c>
    </row>
    <row r="379" spans="1:12" ht="32" customHeight="1">
      <c r="A379" s="2"/>
      <c r="B379" s="10" t="str">
        <f>IF(A379="","",IF(COUNTIFS(Data!$A$2:$A$501,A379)=1,INDEX(Data!$B$2:$B$501,MATCH(A379,Data!$A$2:$A$501,0)),"Not in current directory"))</f>
        <v/>
      </c>
      <c r="C379" s="8"/>
      <c r="D379" s="8"/>
      <c r="E379" s="9"/>
      <c r="F379" s="8"/>
      <c r="G379" s="9"/>
      <c r="H379" s="8"/>
      <c r="I379" s="8"/>
      <c r="J379" s="8"/>
      <c r="K379" s="8"/>
      <c r="L379" s="2" t="str">
        <f>IF(A379="","",IF(COUNTIFS($A$8:$A$507,A379)&lt;&gt;1,"Duplicate ID",IF(COUNTIFS(Data!$A$2:$A$501,A379)&lt;&gt;1,"Not current","Current")))</f>
        <v/>
      </c>
    </row>
    <row r="380" spans="1:12" ht="32" customHeight="1">
      <c r="A380" s="2"/>
      <c r="B380" s="10" t="str">
        <f>IF(A380="","",IF(COUNTIFS(Data!$A$2:$A$501,A380)=1,INDEX(Data!$B$2:$B$501,MATCH(A380,Data!$A$2:$A$501,0)),"Not in current directory"))</f>
        <v/>
      </c>
      <c r="C380" s="8"/>
      <c r="D380" s="8"/>
      <c r="E380" s="9"/>
      <c r="F380" s="8"/>
      <c r="G380" s="9"/>
      <c r="H380" s="8"/>
      <c r="I380" s="8"/>
      <c r="J380" s="8"/>
      <c r="K380" s="8"/>
      <c r="L380" s="2" t="str">
        <f>IF(A380="","",IF(COUNTIFS($A$8:$A$507,A380)&lt;&gt;1,"Duplicate ID",IF(COUNTIFS(Data!$A$2:$A$501,A380)&lt;&gt;1,"Not current","Current")))</f>
        <v/>
      </c>
    </row>
    <row r="381" spans="1:12" ht="32" customHeight="1">
      <c r="A381" s="2"/>
      <c r="B381" s="10" t="str">
        <f>IF(A381="","",IF(COUNTIFS(Data!$A$2:$A$501,A381)=1,INDEX(Data!$B$2:$B$501,MATCH(A381,Data!$A$2:$A$501,0)),"Not in current directory"))</f>
        <v/>
      </c>
      <c r="C381" s="8"/>
      <c r="D381" s="8"/>
      <c r="E381" s="9"/>
      <c r="F381" s="8"/>
      <c r="G381" s="9"/>
      <c r="H381" s="8"/>
      <c r="I381" s="8"/>
      <c r="J381" s="8"/>
      <c r="K381" s="8"/>
      <c r="L381" s="2" t="str">
        <f>IF(A381="","",IF(COUNTIFS($A$8:$A$507,A381)&lt;&gt;1,"Duplicate ID",IF(COUNTIFS(Data!$A$2:$A$501,A381)&lt;&gt;1,"Not current","Current")))</f>
        <v/>
      </c>
    </row>
    <row r="382" spans="1:12" ht="32" customHeight="1">
      <c r="A382" s="2"/>
      <c r="B382" s="10" t="str">
        <f>IF(A382="","",IF(COUNTIFS(Data!$A$2:$A$501,A382)=1,INDEX(Data!$B$2:$B$501,MATCH(A382,Data!$A$2:$A$501,0)),"Not in current directory"))</f>
        <v/>
      </c>
      <c r="C382" s="8"/>
      <c r="D382" s="8"/>
      <c r="E382" s="9"/>
      <c r="F382" s="8"/>
      <c r="G382" s="9"/>
      <c r="H382" s="8"/>
      <c r="I382" s="8"/>
      <c r="J382" s="8"/>
      <c r="K382" s="8"/>
      <c r="L382" s="2" t="str">
        <f>IF(A382="","",IF(COUNTIFS($A$8:$A$507,A382)&lt;&gt;1,"Duplicate ID",IF(COUNTIFS(Data!$A$2:$A$501,A382)&lt;&gt;1,"Not current","Current")))</f>
        <v/>
      </c>
    </row>
    <row r="383" spans="1:12" ht="32" customHeight="1">
      <c r="A383" s="2"/>
      <c r="B383" s="10" t="str">
        <f>IF(A383="","",IF(COUNTIFS(Data!$A$2:$A$501,A383)=1,INDEX(Data!$B$2:$B$501,MATCH(A383,Data!$A$2:$A$501,0)),"Not in current directory"))</f>
        <v/>
      </c>
      <c r="C383" s="8"/>
      <c r="D383" s="8"/>
      <c r="E383" s="9"/>
      <c r="F383" s="8"/>
      <c r="G383" s="9"/>
      <c r="H383" s="8"/>
      <c r="I383" s="8"/>
      <c r="J383" s="8"/>
      <c r="K383" s="8"/>
      <c r="L383" s="2" t="str">
        <f>IF(A383="","",IF(COUNTIFS($A$8:$A$507,A383)&lt;&gt;1,"Duplicate ID",IF(COUNTIFS(Data!$A$2:$A$501,A383)&lt;&gt;1,"Not current","Current")))</f>
        <v/>
      </c>
    </row>
    <row r="384" spans="1:12" ht="32" customHeight="1">
      <c r="A384" s="2"/>
      <c r="B384" s="10" t="str">
        <f>IF(A384="","",IF(COUNTIFS(Data!$A$2:$A$501,A384)=1,INDEX(Data!$B$2:$B$501,MATCH(A384,Data!$A$2:$A$501,0)),"Not in current directory"))</f>
        <v/>
      </c>
      <c r="C384" s="8"/>
      <c r="D384" s="8"/>
      <c r="E384" s="9"/>
      <c r="F384" s="8"/>
      <c r="G384" s="9"/>
      <c r="H384" s="8"/>
      <c r="I384" s="8"/>
      <c r="J384" s="8"/>
      <c r="K384" s="8"/>
      <c r="L384" s="2" t="str">
        <f>IF(A384="","",IF(COUNTIFS($A$8:$A$507,A384)&lt;&gt;1,"Duplicate ID",IF(COUNTIFS(Data!$A$2:$A$501,A384)&lt;&gt;1,"Not current","Current")))</f>
        <v/>
      </c>
    </row>
    <row r="385" spans="1:12" ht="32" customHeight="1">
      <c r="A385" s="2"/>
      <c r="B385" s="10" t="str">
        <f>IF(A385="","",IF(COUNTIFS(Data!$A$2:$A$501,A385)=1,INDEX(Data!$B$2:$B$501,MATCH(A385,Data!$A$2:$A$501,0)),"Not in current directory"))</f>
        <v/>
      </c>
      <c r="C385" s="8"/>
      <c r="D385" s="8"/>
      <c r="E385" s="9"/>
      <c r="F385" s="8"/>
      <c r="G385" s="9"/>
      <c r="H385" s="8"/>
      <c r="I385" s="8"/>
      <c r="J385" s="8"/>
      <c r="K385" s="8"/>
      <c r="L385" s="2" t="str">
        <f>IF(A385="","",IF(COUNTIFS($A$8:$A$507,A385)&lt;&gt;1,"Duplicate ID",IF(COUNTIFS(Data!$A$2:$A$501,A385)&lt;&gt;1,"Not current","Current")))</f>
        <v/>
      </c>
    </row>
    <row r="386" spans="1:12" ht="32" customHeight="1">
      <c r="A386" s="2"/>
      <c r="B386" s="10" t="str">
        <f>IF(A386="","",IF(COUNTIFS(Data!$A$2:$A$501,A386)=1,INDEX(Data!$B$2:$B$501,MATCH(A386,Data!$A$2:$A$501,0)),"Not in current directory"))</f>
        <v/>
      </c>
      <c r="C386" s="8"/>
      <c r="D386" s="8"/>
      <c r="E386" s="9"/>
      <c r="F386" s="8"/>
      <c r="G386" s="9"/>
      <c r="H386" s="8"/>
      <c r="I386" s="8"/>
      <c r="J386" s="8"/>
      <c r="K386" s="8"/>
      <c r="L386" s="2" t="str">
        <f>IF(A386="","",IF(COUNTIFS($A$8:$A$507,A386)&lt;&gt;1,"Duplicate ID",IF(COUNTIFS(Data!$A$2:$A$501,A386)&lt;&gt;1,"Not current","Current")))</f>
        <v/>
      </c>
    </row>
    <row r="387" spans="1:12" ht="32" customHeight="1">
      <c r="A387" s="2"/>
      <c r="B387" s="10" t="str">
        <f>IF(A387="","",IF(COUNTIFS(Data!$A$2:$A$501,A387)=1,INDEX(Data!$B$2:$B$501,MATCH(A387,Data!$A$2:$A$501,0)),"Not in current directory"))</f>
        <v/>
      </c>
      <c r="C387" s="8"/>
      <c r="D387" s="8"/>
      <c r="E387" s="9"/>
      <c r="F387" s="8"/>
      <c r="G387" s="9"/>
      <c r="H387" s="8"/>
      <c r="I387" s="8"/>
      <c r="J387" s="8"/>
      <c r="K387" s="8"/>
      <c r="L387" s="2" t="str">
        <f>IF(A387="","",IF(COUNTIFS($A$8:$A$507,A387)&lt;&gt;1,"Duplicate ID",IF(COUNTIFS(Data!$A$2:$A$501,A387)&lt;&gt;1,"Not current","Current")))</f>
        <v/>
      </c>
    </row>
    <row r="388" spans="1:12" ht="32" customHeight="1">
      <c r="A388" s="2"/>
      <c r="B388" s="10" t="str">
        <f>IF(A388="","",IF(COUNTIFS(Data!$A$2:$A$501,A388)=1,INDEX(Data!$B$2:$B$501,MATCH(A388,Data!$A$2:$A$501,0)),"Not in current directory"))</f>
        <v/>
      </c>
      <c r="C388" s="8"/>
      <c r="D388" s="8"/>
      <c r="E388" s="9"/>
      <c r="F388" s="8"/>
      <c r="G388" s="9"/>
      <c r="H388" s="8"/>
      <c r="I388" s="8"/>
      <c r="J388" s="8"/>
      <c r="K388" s="8"/>
      <c r="L388" s="2" t="str">
        <f>IF(A388="","",IF(COUNTIFS($A$8:$A$507,A388)&lt;&gt;1,"Duplicate ID",IF(COUNTIFS(Data!$A$2:$A$501,A388)&lt;&gt;1,"Not current","Current")))</f>
        <v/>
      </c>
    </row>
    <row r="389" spans="1:12" ht="32" customHeight="1">
      <c r="A389" s="2"/>
      <c r="B389" s="10" t="str">
        <f>IF(A389="","",IF(COUNTIFS(Data!$A$2:$A$501,A389)=1,INDEX(Data!$B$2:$B$501,MATCH(A389,Data!$A$2:$A$501,0)),"Not in current directory"))</f>
        <v/>
      </c>
      <c r="C389" s="8"/>
      <c r="D389" s="8"/>
      <c r="E389" s="9"/>
      <c r="F389" s="8"/>
      <c r="G389" s="9"/>
      <c r="H389" s="8"/>
      <c r="I389" s="8"/>
      <c r="J389" s="8"/>
      <c r="K389" s="8"/>
      <c r="L389" s="2" t="str">
        <f>IF(A389="","",IF(COUNTIFS($A$8:$A$507,A389)&lt;&gt;1,"Duplicate ID",IF(COUNTIFS(Data!$A$2:$A$501,A389)&lt;&gt;1,"Not current","Current")))</f>
        <v/>
      </c>
    </row>
    <row r="390" spans="1:12" ht="32" customHeight="1">
      <c r="A390" s="2"/>
      <c r="B390" s="10" t="str">
        <f>IF(A390="","",IF(COUNTIFS(Data!$A$2:$A$501,A390)=1,INDEX(Data!$B$2:$B$501,MATCH(A390,Data!$A$2:$A$501,0)),"Not in current directory"))</f>
        <v/>
      </c>
      <c r="C390" s="8"/>
      <c r="D390" s="8"/>
      <c r="E390" s="9"/>
      <c r="F390" s="8"/>
      <c r="G390" s="9"/>
      <c r="H390" s="8"/>
      <c r="I390" s="8"/>
      <c r="J390" s="8"/>
      <c r="K390" s="8"/>
      <c r="L390" s="2" t="str">
        <f>IF(A390="","",IF(COUNTIFS($A$8:$A$507,A390)&lt;&gt;1,"Duplicate ID",IF(COUNTIFS(Data!$A$2:$A$501,A390)&lt;&gt;1,"Not current","Current")))</f>
        <v/>
      </c>
    </row>
    <row r="391" spans="1:12" ht="32" customHeight="1">
      <c r="A391" s="2"/>
      <c r="B391" s="10" t="str">
        <f>IF(A391="","",IF(COUNTIFS(Data!$A$2:$A$501,A391)=1,INDEX(Data!$B$2:$B$501,MATCH(A391,Data!$A$2:$A$501,0)),"Not in current directory"))</f>
        <v/>
      </c>
      <c r="C391" s="8"/>
      <c r="D391" s="8"/>
      <c r="E391" s="9"/>
      <c r="F391" s="8"/>
      <c r="G391" s="9"/>
      <c r="H391" s="8"/>
      <c r="I391" s="8"/>
      <c r="J391" s="8"/>
      <c r="K391" s="8"/>
      <c r="L391" s="2" t="str">
        <f>IF(A391="","",IF(COUNTIFS($A$8:$A$507,A391)&lt;&gt;1,"Duplicate ID",IF(COUNTIFS(Data!$A$2:$A$501,A391)&lt;&gt;1,"Not current","Current")))</f>
        <v/>
      </c>
    </row>
    <row r="392" spans="1:12" ht="32" customHeight="1">
      <c r="A392" s="2"/>
      <c r="B392" s="10" t="str">
        <f>IF(A392="","",IF(COUNTIFS(Data!$A$2:$A$501,A392)=1,INDEX(Data!$B$2:$B$501,MATCH(A392,Data!$A$2:$A$501,0)),"Not in current directory"))</f>
        <v/>
      </c>
      <c r="C392" s="8"/>
      <c r="D392" s="8"/>
      <c r="E392" s="9"/>
      <c r="F392" s="8"/>
      <c r="G392" s="9"/>
      <c r="H392" s="8"/>
      <c r="I392" s="8"/>
      <c r="J392" s="8"/>
      <c r="K392" s="8"/>
      <c r="L392" s="2" t="str">
        <f>IF(A392="","",IF(COUNTIFS($A$8:$A$507,A392)&lt;&gt;1,"Duplicate ID",IF(COUNTIFS(Data!$A$2:$A$501,A392)&lt;&gt;1,"Not current","Current")))</f>
        <v/>
      </c>
    </row>
    <row r="393" spans="1:12" ht="32" customHeight="1">
      <c r="A393" s="2"/>
      <c r="B393" s="10" t="str">
        <f>IF(A393="","",IF(COUNTIFS(Data!$A$2:$A$501,A393)=1,INDEX(Data!$B$2:$B$501,MATCH(A393,Data!$A$2:$A$501,0)),"Not in current directory"))</f>
        <v/>
      </c>
      <c r="C393" s="8"/>
      <c r="D393" s="8"/>
      <c r="E393" s="9"/>
      <c r="F393" s="8"/>
      <c r="G393" s="9"/>
      <c r="H393" s="8"/>
      <c r="I393" s="8"/>
      <c r="J393" s="8"/>
      <c r="K393" s="8"/>
      <c r="L393" s="2" t="str">
        <f>IF(A393="","",IF(COUNTIFS($A$8:$A$507,A393)&lt;&gt;1,"Duplicate ID",IF(COUNTIFS(Data!$A$2:$A$501,A393)&lt;&gt;1,"Not current","Current")))</f>
        <v/>
      </c>
    </row>
    <row r="394" spans="1:12" ht="32" customHeight="1">
      <c r="A394" s="2"/>
      <c r="B394" s="10" t="str">
        <f>IF(A394="","",IF(COUNTIFS(Data!$A$2:$A$501,A394)=1,INDEX(Data!$B$2:$B$501,MATCH(A394,Data!$A$2:$A$501,0)),"Not in current directory"))</f>
        <v/>
      </c>
      <c r="C394" s="8"/>
      <c r="D394" s="8"/>
      <c r="E394" s="9"/>
      <c r="F394" s="8"/>
      <c r="G394" s="9"/>
      <c r="H394" s="8"/>
      <c r="I394" s="8"/>
      <c r="J394" s="8"/>
      <c r="K394" s="8"/>
      <c r="L394" s="2" t="str">
        <f>IF(A394="","",IF(COUNTIFS($A$8:$A$507,A394)&lt;&gt;1,"Duplicate ID",IF(COUNTIFS(Data!$A$2:$A$501,A394)&lt;&gt;1,"Not current","Current")))</f>
        <v/>
      </c>
    </row>
    <row r="395" spans="1:12" ht="32" customHeight="1">
      <c r="A395" s="2"/>
      <c r="B395" s="10" t="str">
        <f>IF(A395="","",IF(COUNTIFS(Data!$A$2:$A$501,A395)=1,INDEX(Data!$B$2:$B$501,MATCH(A395,Data!$A$2:$A$501,0)),"Not in current directory"))</f>
        <v/>
      </c>
      <c r="C395" s="8"/>
      <c r="D395" s="8"/>
      <c r="E395" s="9"/>
      <c r="F395" s="8"/>
      <c r="G395" s="9"/>
      <c r="H395" s="8"/>
      <c r="I395" s="8"/>
      <c r="J395" s="8"/>
      <c r="K395" s="8"/>
      <c r="L395" s="2" t="str">
        <f>IF(A395="","",IF(COUNTIFS($A$8:$A$507,A395)&lt;&gt;1,"Duplicate ID",IF(COUNTIFS(Data!$A$2:$A$501,A395)&lt;&gt;1,"Not current","Current")))</f>
        <v/>
      </c>
    </row>
    <row r="396" spans="1:12" ht="32" customHeight="1">
      <c r="A396" s="2"/>
      <c r="B396" s="10" t="str">
        <f>IF(A396="","",IF(COUNTIFS(Data!$A$2:$A$501,A396)=1,INDEX(Data!$B$2:$B$501,MATCH(A396,Data!$A$2:$A$501,0)),"Not in current directory"))</f>
        <v/>
      </c>
      <c r="C396" s="8"/>
      <c r="D396" s="8"/>
      <c r="E396" s="9"/>
      <c r="F396" s="8"/>
      <c r="G396" s="9"/>
      <c r="H396" s="8"/>
      <c r="I396" s="8"/>
      <c r="J396" s="8"/>
      <c r="K396" s="8"/>
      <c r="L396" s="2" t="str">
        <f>IF(A396="","",IF(COUNTIFS($A$8:$A$507,A396)&lt;&gt;1,"Duplicate ID",IF(COUNTIFS(Data!$A$2:$A$501,A396)&lt;&gt;1,"Not current","Current")))</f>
        <v/>
      </c>
    </row>
    <row r="397" spans="1:12" ht="32" customHeight="1">
      <c r="A397" s="2"/>
      <c r="B397" s="10" t="str">
        <f>IF(A397="","",IF(COUNTIFS(Data!$A$2:$A$501,A397)=1,INDEX(Data!$B$2:$B$501,MATCH(A397,Data!$A$2:$A$501,0)),"Not in current directory"))</f>
        <v/>
      </c>
      <c r="C397" s="8"/>
      <c r="D397" s="8"/>
      <c r="E397" s="9"/>
      <c r="F397" s="8"/>
      <c r="G397" s="9"/>
      <c r="H397" s="8"/>
      <c r="I397" s="8"/>
      <c r="J397" s="8"/>
      <c r="K397" s="8"/>
      <c r="L397" s="2" t="str">
        <f>IF(A397="","",IF(COUNTIFS($A$8:$A$507,A397)&lt;&gt;1,"Duplicate ID",IF(COUNTIFS(Data!$A$2:$A$501,A397)&lt;&gt;1,"Not current","Current")))</f>
        <v/>
      </c>
    </row>
    <row r="398" spans="1:12" ht="32" customHeight="1">
      <c r="A398" s="2"/>
      <c r="B398" s="10" t="str">
        <f>IF(A398="","",IF(COUNTIFS(Data!$A$2:$A$501,A398)=1,INDEX(Data!$B$2:$B$501,MATCH(A398,Data!$A$2:$A$501,0)),"Not in current directory"))</f>
        <v/>
      </c>
      <c r="C398" s="8"/>
      <c r="D398" s="8"/>
      <c r="E398" s="9"/>
      <c r="F398" s="8"/>
      <c r="G398" s="9"/>
      <c r="H398" s="8"/>
      <c r="I398" s="8"/>
      <c r="J398" s="8"/>
      <c r="K398" s="8"/>
      <c r="L398" s="2" t="str">
        <f>IF(A398="","",IF(COUNTIFS($A$8:$A$507,A398)&lt;&gt;1,"Duplicate ID",IF(COUNTIFS(Data!$A$2:$A$501,A398)&lt;&gt;1,"Not current","Current")))</f>
        <v/>
      </c>
    </row>
    <row r="399" spans="1:12" ht="32" customHeight="1">
      <c r="A399" s="2"/>
      <c r="B399" s="10" t="str">
        <f>IF(A399="","",IF(COUNTIFS(Data!$A$2:$A$501,A399)=1,INDEX(Data!$B$2:$B$501,MATCH(A399,Data!$A$2:$A$501,0)),"Not in current directory"))</f>
        <v/>
      </c>
      <c r="C399" s="8"/>
      <c r="D399" s="8"/>
      <c r="E399" s="9"/>
      <c r="F399" s="8"/>
      <c r="G399" s="9"/>
      <c r="H399" s="8"/>
      <c r="I399" s="8"/>
      <c r="J399" s="8"/>
      <c r="K399" s="8"/>
      <c r="L399" s="2" t="str">
        <f>IF(A399="","",IF(COUNTIFS($A$8:$A$507,A399)&lt;&gt;1,"Duplicate ID",IF(COUNTIFS(Data!$A$2:$A$501,A399)&lt;&gt;1,"Not current","Current")))</f>
        <v/>
      </c>
    </row>
    <row r="400" spans="1:12" ht="32" customHeight="1">
      <c r="A400" s="2"/>
      <c r="B400" s="10" t="str">
        <f>IF(A400="","",IF(COUNTIFS(Data!$A$2:$A$501,A400)=1,INDEX(Data!$B$2:$B$501,MATCH(A400,Data!$A$2:$A$501,0)),"Not in current directory"))</f>
        <v/>
      </c>
      <c r="C400" s="8"/>
      <c r="D400" s="8"/>
      <c r="E400" s="9"/>
      <c r="F400" s="8"/>
      <c r="G400" s="9"/>
      <c r="H400" s="8"/>
      <c r="I400" s="8"/>
      <c r="J400" s="8"/>
      <c r="K400" s="8"/>
      <c r="L400" s="2" t="str">
        <f>IF(A400="","",IF(COUNTIFS($A$8:$A$507,A400)&lt;&gt;1,"Duplicate ID",IF(COUNTIFS(Data!$A$2:$A$501,A400)&lt;&gt;1,"Not current","Current")))</f>
        <v/>
      </c>
    </row>
    <row r="401" spans="1:12" ht="32" customHeight="1">
      <c r="A401" s="2"/>
      <c r="B401" s="10" t="str">
        <f>IF(A401="","",IF(COUNTIFS(Data!$A$2:$A$501,A401)=1,INDEX(Data!$B$2:$B$501,MATCH(A401,Data!$A$2:$A$501,0)),"Not in current directory"))</f>
        <v/>
      </c>
      <c r="C401" s="8"/>
      <c r="D401" s="8"/>
      <c r="E401" s="9"/>
      <c r="F401" s="8"/>
      <c r="G401" s="9"/>
      <c r="H401" s="8"/>
      <c r="I401" s="8"/>
      <c r="J401" s="8"/>
      <c r="K401" s="8"/>
      <c r="L401" s="2" t="str">
        <f>IF(A401="","",IF(COUNTIFS($A$8:$A$507,A401)&lt;&gt;1,"Duplicate ID",IF(COUNTIFS(Data!$A$2:$A$501,A401)&lt;&gt;1,"Not current","Current")))</f>
        <v/>
      </c>
    </row>
    <row r="402" spans="1:12" ht="32" customHeight="1">
      <c r="A402" s="2"/>
      <c r="B402" s="10" t="str">
        <f>IF(A402="","",IF(COUNTIFS(Data!$A$2:$A$501,A402)=1,INDEX(Data!$B$2:$B$501,MATCH(A402,Data!$A$2:$A$501,0)),"Not in current directory"))</f>
        <v/>
      </c>
      <c r="C402" s="8"/>
      <c r="D402" s="8"/>
      <c r="E402" s="9"/>
      <c r="F402" s="8"/>
      <c r="G402" s="9"/>
      <c r="H402" s="8"/>
      <c r="I402" s="8"/>
      <c r="J402" s="8"/>
      <c r="K402" s="8"/>
      <c r="L402" s="2" t="str">
        <f>IF(A402="","",IF(COUNTIFS($A$8:$A$507,A402)&lt;&gt;1,"Duplicate ID",IF(COUNTIFS(Data!$A$2:$A$501,A402)&lt;&gt;1,"Not current","Current")))</f>
        <v/>
      </c>
    </row>
    <row r="403" spans="1:12" ht="32" customHeight="1">
      <c r="A403" s="2"/>
      <c r="B403" s="10" t="str">
        <f>IF(A403="","",IF(COUNTIFS(Data!$A$2:$A$501,A403)=1,INDEX(Data!$B$2:$B$501,MATCH(A403,Data!$A$2:$A$501,0)),"Not in current directory"))</f>
        <v/>
      </c>
      <c r="C403" s="8"/>
      <c r="D403" s="8"/>
      <c r="E403" s="9"/>
      <c r="F403" s="8"/>
      <c r="G403" s="9"/>
      <c r="H403" s="8"/>
      <c r="I403" s="8"/>
      <c r="J403" s="8"/>
      <c r="K403" s="8"/>
      <c r="L403" s="2" t="str">
        <f>IF(A403="","",IF(COUNTIFS($A$8:$A$507,A403)&lt;&gt;1,"Duplicate ID",IF(COUNTIFS(Data!$A$2:$A$501,A403)&lt;&gt;1,"Not current","Current")))</f>
        <v/>
      </c>
    </row>
    <row r="404" spans="1:12" ht="32" customHeight="1">
      <c r="A404" s="2"/>
      <c r="B404" s="10" t="str">
        <f>IF(A404="","",IF(COUNTIFS(Data!$A$2:$A$501,A404)=1,INDEX(Data!$B$2:$B$501,MATCH(A404,Data!$A$2:$A$501,0)),"Not in current directory"))</f>
        <v/>
      </c>
      <c r="C404" s="8"/>
      <c r="D404" s="8"/>
      <c r="E404" s="9"/>
      <c r="F404" s="8"/>
      <c r="G404" s="9"/>
      <c r="H404" s="8"/>
      <c r="I404" s="8"/>
      <c r="J404" s="8"/>
      <c r="K404" s="8"/>
      <c r="L404" s="2" t="str">
        <f>IF(A404="","",IF(COUNTIFS($A$8:$A$507,A404)&lt;&gt;1,"Duplicate ID",IF(COUNTIFS(Data!$A$2:$A$501,A404)&lt;&gt;1,"Not current","Current")))</f>
        <v/>
      </c>
    </row>
    <row r="405" spans="1:12" ht="32" customHeight="1">
      <c r="A405" s="2"/>
      <c r="B405" s="10" t="str">
        <f>IF(A405="","",IF(COUNTIFS(Data!$A$2:$A$501,A405)=1,INDEX(Data!$B$2:$B$501,MATCH(A405,Data!$A$2:$A$501,0)),"Not in current directory"))</f>
        <v/>
      </c>
      <c r="C405" s="8"/>
      <c r="D405" s="8"/>
      <c r="E405" s="9"/>
      <c r="F405" s="8"/>
      <c r="G405" s="9"/>
      <c r="H405" s="8"/>
      <c r="I405" s="8"/>
      <c r="J405" s="8"/>
      <c r="K405" s="8"/>
      <c r="L405" s="2" t="str">
        <f>IF(A405="","",IF(COUNTIFS($A$8:$A$507,A405)&lt;&gt;1,"Duplicate ID",IF(COUNTIFS(Data!$A$2:$A$501,A405)&lt;&gt;1,"Not current","Current")))</f>
        <v/>
      </c>
    </row>
    <row r="406" spans="1:12" ht="32" customHeight="1">
      <c r="A406" s="2"/>
      <c r="B406" s="10" t="str">
        <f>IF(A406="","",IF(COUNTIFS(Data!$A$2:$A$501,A406)=1,INDEX(Data!$B$2:$B$501,MATCH(A406,Data!$A$2:$A$501,0)),"Not in current directory"))</f>
        <v/>
      </c>
      <c r="C406" s="8"/>
      <c r="D406" s="8"/>
      <c r="E406" s="9"/>
      <c r="F406" s="8"/>
      <c r="G406" s="9"/>
      <c r="H406" s="8"/>
      <c r="I406" s="8"/>
      <c r="J406" s="8"/>
      <c r="K406" s="8"/>
      <c r="L406" s="2" t="str">
        <f>IF(A406="","",IF(COUNTIFS($A$8:$A$507,A406)&lt;&gt;1,"Duplicate ID",IF(COUNTIFS(Data!$A$2:$A$501,A406)&lt;&gt;1,"Not current","Current")))</f>
        <v/>
      </c>
    </row>
    <row r="407" spans="1:12" ht="32" customHeight="1">
      <c r="A407" s="2"/>
      <c r="B407" s="10" t="str">
        <f>IF(A407="","",IF(COUNTIFS(Data!$A$2:$A$501,A407)=1,INDEX(Data!$B$2:$B$501,MATCH(A407,Data!$A$2:$A$501,0)),"Not in current directory"))</f>
        <v/>
      </c>
      <c r="C407" s="8"/>
      <c r="D407" s="8"/>
      <c r="E407" s="9"/>
      <c r="F407" s="8"/>
      <c r="G407" s="9"/>
      <c r="H407" s="8"/>
      <c r="I407" s="8"/>
      <c r="J407" s="8"/>
      <c r="K407" s="8"/>
      <c r="L407" s="2" t="str">
        <f>IF(A407="","",IF(COUNTIFS($A$8:$A$507,A407)&lt;&gt;1,"Duplicate ID",IF(COUNTIFS(Data!$A$2:$A$501,A407)&lt;&gt;1,"Not current","Current")))</f>
        <v/>
      </c>
    </row>
    <row r="408" spans="1:12" ht="32" customHeight="1">
      <c r="A408" s="2"/>
      <c r="B408" s="10" t="str">
        <f>IF(A408="","",IF(COUNTIFS(Data!$A$2:$A$501,A408)=1,INDEX(Data!$B$2:$B$501,MATCH(A408,Data!$A$2:$A$501,0)),"Not in current directory"))</f>
        <v/>
      </c>
      <c r="C408" s="8"/>
      <c r="D408" s="8"/>
      <c r="E408" s="9"/>
      <c r="F408" s="8"/>
      <c r="G408" s="9"/>
      <c r="H408" s="8"/>
      <c r="I408" s="8"/>
      <c r="J408" s="8"/>
      <c r="K408" s="8"/>
      <c r="L408" s="2" t="str">
        <f>IF(A408="","",IF(COUNTIFS($A$8:$A$507,A408)&lt;&gt;1,"Duplicate ID",IF(COUNTIFS(Data!$A$2:$A$501,A408)&lt;&gt;1,"Not current","Current")))</f>
        <v/>
      </c>
    </row>
    <row r="409" spans="1:12" ht="32" customHeight="1">
      <c r="A409" s="2"/>
      <c r="B409" s="10" t="str">
        <f>IF(A409="","",IF(COUNTIFS(Data!$A$2:$A$501,A409)=1,INDEX(Data!$B$2:$B$501,MATCH(A409,Data!$A$2:$A$501,0)),"Not in current directory"))</f>
        <v/>
      </c>
      <c r="C409" s="8"/>
      <c r="D409" s="8"/>
      <c r="E409" s="9"/>
      <c r="F409" s="8"/>
      <c r="G409" s="9"/>
      <c r="H409" s="8"/>
      <c r="I409" s="8"/>
      <c r="J409" s="8"/>
      <c r="K409" s="8"/>
      <c r="L409" s="2" t="str">
        <f>IF(A409="","",IF(COUNTIFS($A$8:$A$507,A409)&lt;&gt;1,"Duplicate ID",IF(COUNTIFS(Data!$A$2:$A$501,A409)&lt;&gt;1,"Not current","Current")))</f>
        <v/>
      </c>
    </row>
    <row r="410" spans="1:12" ht="32" customHeight="1">
      <c r="A410" s="2"/>
      <c r="B410" s="10" t="str">
        <f>IF(A410="","",IF(COUNTIFS(Data!$A$2:$A$501,A410)=1,INDEX(Data!$B$2:$B$501,MATCH(A410,Data!$A$2:$A$501,0)),"Not in current directory"))</f>
        <v/>
      </c>
      <c r="C410" s="8"/>
      <c r="D410" s="8"/>
      <c r="E410" s="9"/>
      <c r="F410" s="8"/>
      <c r="G410" s="9"/>
      <c r="H410" s="8"/>
      <c r="I410" s="8"/>
      <c r="J410" s="8"/>
      <c r="K410" s="8"/>
      <c r="L410" s="2" t="str">
        <f>IF(A410="","",IF(COUNTIFS($A$8:$A$507,A410)&lt;&gt;1,"Duplicate ID",IF(COUNTIFS(Data!$A$2:$A$501,A410)&lt;&gt;1,"Not current","Current")))</f>
        <v/>
      </c>
    </row>
    <row r="411" spans="1:12" ht="32" customHeight="1">
      <c r="A411" s="2"/>
      <c r="B411" s="10" t="str">
        <f>IF(A411="","",IF(COUNTIFS(Data!$A$2:$A$501,A411)=1,INDEX(Data!$B$2:$B$501,MATCH(A411,Data!$A$2:$A$501,0)),"Not in current directory"))</f>
        <v/>
      </c>
      <c r="C411" s="8"/>
      <c r="D411" s="8"/>
      <c r="E411" s="9"/>
      <c r="F411" s="8"/>
      <c r="G411" s="9"/>
      <c r="H411" s="8"/>
      <c r="I411" s="8"/>
      <c r="J411" s="8"/>
      <c r="K411" s="8"/>
      <c r="L411" s="2" t="str">
        <f>IF(A411="","",IF(COUNTIFS($A$8:$A$507,A411)&lt;&gt;1,"Duplicate ID",IF(COUNTIFS(Data!$A$2:$A$501,A411)&lt;&gt;1,"Not current","Current")))</f>
        <v/>
      </c>
    </row>
    <row r="412" spans="1:12" ht="32" customHeight="1">
      <c r="A412" s="2"/>
      <c r="B412" s="10" t="str">
        <f>IF(A412="","",IF(COUNTIFS(Data!$A$2:$A$501,A412)=1,INDEX(Data!$B$2:$B$501,MATCH(A412,Data!$A$2:$A$501,0)),"Not in current directory"))</f>
        <v/>
      </c>
      <c r="C412" s="8"/>
      <c r="D412" s="8"/>
      <c r="E412" s="9"/>
      <c r="F412" s="8"/>
      <c r="G412" s="9"/>
      <c r="H412" s="8"/>
      <c r="I412" s="8"/>
      <c r="J412" s="8"/>
      <c r="K412" s="8"/>
      <c r="L412" s="2" t="str">
        <f>IF(A412="","",IF(COUNTIFS($A$8:$A$507,A412)&lt;&gt;1,"Duplicate ID",IF(COUNTIFS(Data!$A$2:$A$501,A412)&lt;&gt;1,"Not current","Current")))</f>
        <v/>
      </c>
    </row>
    <row r="413" spans="1:12" ht="32" customHeight="1">
      <c r="A413" s="2"/>
      <c r="B413" s="10" t="str">
        <f>IF(A413="","",IF(COUNTIFS(Data!$A$2:$A$501,A413)=1,INDEX(Data!$B$2:$B$501,MATCH(A413,Data!$A$2:$A$501,0)),"Not in current directory"))</f>
        <v/>
      </c>
      <c r="C413" s="8"/>
      <c r="D413" s="8"/>
      <c r="E413" s="9"/>
      <c r="F413" s="8"/>
      <c r="G413" s="9"/>
      <c r="H413" s="8"/>
      <c r="I413" s="8"/>
      <c r="J413" s="8"/>
      <c r="K413" s="8"/>
      <c r="L413" s="2" t="str">
        <f>IF(A413="","",IF(COUNTIFS($A$8:$A$507,A413)&lt;&gt;1,"Duplicate ID",IF(COUNTIFS(Data!$A$2:$A$501,A413)&lt;&gt;1,"Not current","Current")))</f>
        <v/>
      </c>
    </row>
    <row r="414" spans="1:12" ht="32" customHeight="1">
      <c r="A414" s="2"/>
      <c r="B414" s="10" t="str">
        <f>IF(A414="","",IF(COUNTIFS(Data!$A$2:$A$501,A414)=1,INDEX(Data!$B$2:$B$501,MATCH(A414,Data!$A$2:$A$501,0)),"Not in current directory"))</f>
        <v/>
      </c>
      <c r="C414" s="8"/>
      <c r="D414" s="8"/>
      <c r="E414" s="9"/>
      <c r="F414" s="8"/>
      <c r="G414" s="9"/>
      <c r="H414" s="8"/>
      <c r="I414" s="8"/>
      <c r="J414" s="8"/>
      <c r="K414" s="8"/>
      <c r="L414" s="2" t="str">
        <f>IF(A414="","",IF(COUNTIFS($A$8:$A$507,A414)&lt;&gt;1,"Duplicate ID",IF(COUNTIFS(Data!$A$2:$A$501,A414)&lt;&gt;1,"Not current","Current")))</f>
        <v/>
      </c>
    </row>
    <row r="415" spans="1:12" ht="32" customHeight="1">
      <c r="A415" s="2"/>
      <c r="B415" s="10" t="str">
        <f>IF(A415="","",IF(COUNTIFS(Data!$A$2:$A$501,A415)=1,INDEX(Data!$B$2:$B$501,MATCH(A415,Data!$A$2:$A$501,0)),"Not in current directory"))</f>
        <v/>
      </c>
      <c r="C415" s="8"/>
      <c r="D415" s="8"/>
      <c r="E415" s="9"/>
      <c r="F415" s="8"/>
      <c r="G415" s="9"/>
      <c r="H415" s="8"/>
      <c r="I415" s="8"/>
      <c r="J415" s="8"/>
      <c r="K415" s="8"/>
      <c r="L415" s="2" t="str">
        <f>IF(A415="","",IF(COUNTIFS($A$8:$A$507,A415)&lt;&gt;1,"Duplicate ID",IF(COUNTIFS(Data!$A$2:$A$501,A415)&lt;&gt;1,"Not current","Current")))</f>
        <v/>
      </c>
    </row>
    <row r="416" spans="1:12" ht="32" customHeight="1">
      <c r="A416" s="2"/>
      <c r="B416" s="10" t="str">
        <f>IF(A416="","",IF(COUNTIFS(Data!$A$2:$A$501,A416)=1,INDEX(Data!$B$2:$B$501,MATCH(A416,Data!$A$2:$A$501,0)),"Not in current directory"))</f>
        <v/>
      </c>
      <c r="C416" s="8"/>
      <c r="D416" s="8"/>
      <c r="E416" s="9"/>
      <c r="F416" s="8"/>
      <c r="G416" s="9"/>
      <c r="H416" s="8"/>
      <c r="I416" s="8"/>
      <c r="J416" s="8"/>
      <c r="K416" s="8"/>
      <c r="L416" s="2" t="str">
        <f>IF(A416="","",IF(COUNTIFS($A$8:$A$507,A416)&lt;&gt;1,"Duplicate ID",IF(COUNTIFS(Data!$A$2:$A$501,A416)&lt;&gt;1,"Not current","Current")))</f>
        <v/>
      </c>
    </row>
    <row r="417" spans="1:12" ht="32" customHeight="1">
      <c r="A417" s="2"/>
      <c r="B417" s="10" t="str">
        <f>IF(A417="","",IF(COUNTIFS(Data!$A$2:$A$501,A417)=1,INDEX(Data!$B$2:$B$501,MATCH(A417,Data!$A$2:$A$501,0)),"Not in current directory"))</f>
        <v/>
      </c>
      <c r="C417" s="8"/>
      <c r="D417" s="8"/>
      <c r="E417" s="9"/>
      <c r="F417" s="8"/>
      <c r="G417" s="9"/>
      <c r="H417" s="8"/>
      <c r="I417" s="8"/>
      <c r="J417" s="8"/>
      <c r="K417" s="8"/>
      <c r="L417" s="2" t="str">
        <f>IF(A417="","",IF(COUNTIFS($A$8:$A$507,A417)&lt;&gt;1,"Duplicate ID",IF(COUNTIFS(Data!$A$2:$A$501,A417)&lt;&gt;1,"Not current","Current")))</f>
        <v/>
      </c>
    </row>
    <row r="418" spans="1:12" ht="32" customHeight="1">
      <c r="A418" s="2"/>
      <c r="B418" s="10" t="str">
        <f>IF(A418="","",IF(COUNTIFS(Data!$A$2:$A$501,A418)=1,INDEX(Data!$B$2:$B$501,MATCH(A418,Data!$A$2:$A$501,0)),"Not in current directory"))</f>
        <v/>
      </c>
      <c r="C418" s="8"/>
      <c r="D418" s="8"/>
      <c r="E418" s="9"/>
      <c r="F418" s="8"/>
      <c r="G418" s="9"/>
      <c r="H418" s="8"/>
      <c r="I418" s="8"/>
      <c r="J418" s="8"/>
      <c r="K418" s="8"/>
      <c r="L418" s="2" t="str">
        <f>IF(A418="","",IF(COUNTIFS($A$8:$A$507,A418)&lt;&gt;1,"Duplicate ID",IF(COUNTIFS(Data!$A$2:$A$501,A418)&lt;&gt;1,"Not current","Current")))</f>
        <v/>
      </c>
    </row>
    <row r="419" spans="1:12" ht="32" customHeight="1">
      <c r="A419" s="2"/>
      <c r="B419" s="10" t="str">
        <f>IF(A419="","",IF(COUNTIFS(Data!$A$2:$A$501,A419)=1,INDEX(Data!$B$2:$B$501,MATCH(A419,Data!$A$2:$A$501,0)),"Not in current directory"))</f>
        <v/>
      </c>
      <c r="C419" s="8"/>
      <c r="D419" s="8"/>
      <c r="E419" s="9"/>
      <c r="F419" s="8"/>
      <c r="G419" s="9"/>
      <c r="H419" s="8"/>
      <c r="I419" s="8"/>
      <c r="J419" s="8"/>
      <c r="K419" s="8"/>
      <c r="L419" s="2" t="str">
        <f>IF(A419="","",IF(COUNTIFS($A$8:$A$507,A419)&lt;&gt;1,"Duplicate ID",IF(COUNTIFS(Data!$A$2:$A$501,A419)&lt;&gt;1,"Not current","Current")))</f>
        <v/>
      </c>
    </row>
    <row r="420" spans="1:12" ht="32" customHeight="1">
      <c r="A420" s="2"/>
      <c r="B420" s="10" t="str">
        <f>IF(A420="","",IF(COUNTIFS(Data!$A$2:$A$501,A420)=1,INDEX(Data!$B$2:$B$501,MATCH(A420,Data!$A$2:$A$501,0)),"Not in current directory"))</f>
        <v/>
      </c>
      <c r="C420" s="8"/>
      <c r="D420" s="8"/>
      <c r="E420" s="9"/>
      <c r="F420" s="8"/>
      <c r="G420" s="9"/>
      <c r="H420" s="8"/>
      <c r="I420" s="8"/>
      <c r="J420" s="8"/>
      <c r="K420" s="8"/>
      <c r="L420" s="2" t="str">
        <f>IF(A420="","",IF(COUNTIFS($A$8:$A$507,A420)&lt;&gt;1,"Duplicate ID",IF(COUNTIFS(Data!$A$2:$A$501,A420)&lt;&gt;1,"Not current","Current")))</f>
        <v/>
      </c>
    </row>
    <row r="421" spans="1:12" ht="32" customHeight="1">
      <c r="A421" s="2"/>
      <c r="B421" s="10" t="str">
        <f>IF(A421="","",IF(COUNTIFS(Data!$A$2:$A$501,A421)=1,INDEX(Data!$B$2:$B$501,MATCH(A421,Data!$A$2:$A$501,0)),"Not in current directory"))</f>
        <v/>
      </c>
      <c r="C421" s="8"/>
      <c r="D421" s="8"/>
      <c r="E421" s="9"/>
      <c r="F421" s="8"/>
      <c r="G421" s="9"/>
      <c r="H421" s="8"/>
      <c r="I421" s="8"/>
      <c r="J421" s="8"/>
      <c r="K421" s="8"/>
      <c r="L421" s="2" t="str">
        <f>IF(A421="","",IF(COUNTIFS($A$8:$A$507,A421)&lt;&gt;1,"Duplicate ID",IF(COUNTIFS(Data!$A$2:$A$501,A421)&lt;&gt;1,"Not current","Current")))</f>
        <v/>
      </c>
    </row>
    <row r="422" spans="1:12" ht="32" customHeight="1">
      <c r="A422" s="2"/>
      <c r="B422" s="10" t="str">
        <f>IF(A422="","",IF(COUNTIFS(Data!$A$2:$A$501,A422)=1,INDEX(Data!$B$2:$B$501,MATCH(A422,Data!$A$2:$A$501,0)),"Not in current directory"))</f>
        <v/>
      </c>
      <c r="C422" s="8"/>
      <c r="D422" s="8"/>
      <c r="E422" s="9"/>
      <c r="F422" s="8"/>
      <c r="G422" s="9"/>
      <c r="H422" s="8"/>
      <c r="I422" s="8"/>
      <c r="J422" s="8"/>
      <c r="K422" s="8"/>
      <c r="L422" s="2" t="str">
        <f>IF(A422="","",IF(COUNTIFS($A$8:$A$507,A422)&lt;&gt;1,"Duplicate ID",IF(COUNTIFS(Data!$A$2:$A$501,A422)&lt;&gt;1,"Not current","Current")))</f>
        <v/>
      </c>
    </row>
    <row r="423" spans="1:12" ht="32" customHeight="1">
      <c r="A423" s="2"/>
      <c r="B423" s="10" t="str">
        <f>IF(A423="","",IF(COUNTIFS(Data!$A$2:$A$501,A423)=1,INDEX(Data!$B$2:$B$501,MATCH(A423,Data!$A$2:$A$501,0)),"Not in current directory"))</f>
        <v/>
      </c>
      <c r="C423" s="8"/>
      <c r="D423" s="8"/>
      <c r="E423" s="9"/>
      <c r="F423" s="8"/>
      <c r="G423" s="9"/>
      <c r="H423" s="8"/>
      <c r="I423" s="8"/>
      <c r="J423" s="8"/>
      <c r="K423" s="8"/>
      <c r="L423" s="2" t="str">
        <f>IF(A423="","",IF(COUNTIFS($A$8:$A$507,A423)&lt;&gt;1,"Duplicate ID",IF(COUNTIFS(Data!$A$2:$A$501,A423)&lt;&gt;1,"Not current","Current")))</f>
        <v/>
      </c>
    </row>
    <row r="424" spans="1:12" ht="32" customHeight="1">
      <c r="A424" s="2"/>
      <c r="B424" s="10" t="str">
        <f>IF(A424="","",IF(COUNTIFS(Data!$A$2:$A$501,A424)=1,INDEX(Data!$B$2:$B$501,MATCH(A424,Data!$A$2:$A$501,0)),"Not in current directory"))</f>
        <v/>
      </c>
      <c r="C424" s="8"/>
      <c r="D424" s="8"/>
      <c r="E424" s="9"/>
      <c r="F424" s="8"/>
      <c r="G424" s="9"/>
      <c r="H424" s="8"/>
      <c r="I424" s="8"/>
      <c r="J424" s="8"/>
      <c r="K424" s="8"/>
      <c r="L424" s="2" t="str">
        <f>IF(A424="","",IF(COUNTIFS($A$8:$A$507,A424)&lt;&gt;1,"Duplicate ID",IF(COUNTIFS(Data!$A$2:$A$501,A424)&lt;&gt;1,"Not current","Current")))</f>
        <v/>
      </c>
    </row>
    <row r="425" spans="1:12" ht="32" customHeight="1">
      <c r="A425" s="2"/>
      <c r="B425" s="10" t="str">
        <f>IF(A425="","",IF(COUNTIFS(Data!$A$2:$A$501,A425)=1,INDEX(Data!$B$2:$B$501,MATCH(A425,Data!$A$2:$A$501,0)),"Not in current directory"))</f>
        <v/>
      </c>
      <c r="C425" s="8"/>
      <c r="D425" s="8"/>
      <c r="E425" s="9"/>
      <c r="F425" s="8"/>
      <c r="G425" s="9"/>
      <c r="H425" s="8"/>
      <c r="I425" s="8"/>
      <c r="J425" s="8"/>
      <c r="K425" s="8"/>
      <c r="L425" s="2" t="str">
        <f>IF(A425="","",IF(COUNTIFS($A$8:$A$507,A425)&lt;&gt;1,"Duplicate ID",IF(COUNTIFS(Data!$A$2:$A$501,A425)&lt;&gt;1,"Not current","Current")))</f>
        <v/>
      </c>
    </row>
    <row r="426" spans="1:12" ht="32" customHeight="1">
      <c r="A426" s="2"/>
      <c r="B426" s="10" t="str">
        <f>IF(A426="","",IF(COUNTIFS(Data!$A$2:$A$501,A426)=1,INDEX(Data!$B$2:$B$501,MATCH(A426,Data!$A$2:$A$501,0)),"Not in current directory"))</f>
        <v/>
      </c>
      <c r="C426" s="8"/>
      <c r="D426" s="8"/>
      <c r="E426" s="9"/>
      <c r="F426" s="8"/>
      <c r="G426" s="9"/>
      <c r="H426" s="8"/>
      <c r="I426" s="8"/>
      <c r="J426" s="8"/>
      <c r="K426" s="8"/>
      <c r="L426" s="2" t="str">
        <f>IF(A426="","",IF(COUNTIFS($A$8:$A$507,A426)&lt;&gt;1,"Duplicate ID",IF(COUNTIFS(Data!$A$2:$A$501,A426)&lt;&gt;1,"Not current","Current")))</f>
        <v/>
      </c>
    </row>
    <row r="427" spans="1:12" ht="32" customHeight="1">
      <c r="A427" s="2"/>
      <c r="B427" s="10" t="str">
        <f>IF(A427="","",IF(COUNTIFS(Data!$A$2:$A$501,A427)=1,INDEX(Data!$B$2:$B$501,MATCH(A427,Data!$A$2:$A$501,0)),"Not in current directory"))</f>
        <v/>
      </c>
      <c r="C427" s="8"/>
      <c r="D427" s="8"/>
      <c r="E427" s="9"/>
      <c r="F427" s="8"/>
      <c r="G427" s="9"/>
      <c r="H427" s="8"/>
      <c r="I427" s="8"/>
      <c r="J427" s="8"/>
      <c r="K427" s="8"/>
      <c r="L427" s="2" t="str">
        <f>IF(A427="","",IF(COUNTIFS($A$8:$A$507,A427)&lt;&gt;1,"Duplicate ID",IF(COUNTIFS(Data!$A$2:$A$501,A427)&lt;&gt;1,"Not current","Current")))</f>
        <v/>
      </c>
    </row>
    <row r="428" spans="1:12" ht="32" customHeight="1">
      <c r="A428" s="2"/>
      <c r="B428" s="10" t="str">
        <f>IF(A428="","",IF(COUNTIFS(Data!$A$2:$A$501,A428)=1,INDEX(Data!$B$2:$B$501,MATCH(A428,Data!$A$2:$A$501,0)),"Not in current directory"))</f>
        <v/>
      </c>
      <c r="C428" s="8"/>
      <c r="D428" s="8"/>
      <c r="E428" s="9"/>
      <c r="F428" s="8"/>
      <c r="G428" s="9"/>
      <c r="H428" s="8"/>
      <c r="I428" s="8"/>
      <c r="J428" s="8"/>
      <c r="K428" s="8"/>
      <c r="L428" s="2" t="str">
        <f>IF(A428="","",IF(COUNTIFS($A$8:$A$507,A428)&lt;&gt;1,"Duplicate ID",IF(COUNTIFS(Data!$A$2:$A$501,A428)&lt;&gt;1,"Not current","Current")))</f>
        <v/>
      </c>
    </row>
    <row r="429" spans="1:12" ht="32" customHeight="1">
      <c r="A429" s="2"/>
      <c r="B429" s="10" t="str">
        <f>IF(A429="","",IF(COUNTIFS(Data!$A$2:$A$501,A429)=1,INDEX(Data!$B$2:$B$501,MATCH(A429,Data!$A$2:$A$501,0)),"Not in current directory"))</f>
        <v/>
      </c>
      <c r="C429" s="8"/>
      <c r="D429" s="8"/>
      <c r="E429" s="9"/>
      <c r="F429" s="8"/>
      <c r="G429" s="9"/>
      <c r="H429" s="8"/>
      <c r="I429" s="8"/>
      <c r="J429" s="8"/>
      <c r="K429" s="8"/>
      <c r="L429" s="2" t="str">
        <f>IF(A429="","",IF(COUNTIFS($A$8:$A$507,A429)&lt;&gt;1,"Duplicate ID",IF(COUNTIFS(Data!$A$2:$A$501,A429)&lt;&gt;1,"Not current","Current")))</f>
        <v/>
      </c>
    </row>
    <row r="430" spans="1:12" ht="32" customHeight="1">
      <c r="A430" s="2"/>
      <c r="B430" s="10" t="str">
        <f>IF(A430="","",IF(COUNTIFS(Data!$A$2:$A$501,A430)=1,INDEX(Data!$B$2:$B$501,MATCH(A430,Data!$A$2:$A$501,0)),"Not in current directory"))</f>
        <v/>
      </c>
      <c r="C430" s="8"/>
      <c r="D430" s="8"/>
      <c r="E430" s="9"/>
      <c r="F430" s="8"/>
      <c r="G430" s="9"/>
      <c r="H430" s="8"/>
      <c r="I430" s="8"/>
      <c r="J430" s="8"/>
      <c r="K430" s="8"/>
      <c r="L430" s="2" t="str">
        <f>IF(A430="","",IF(COUNTIFS($A$8:$A$507,A430)&lt;&gt;1,"Duplicate ID",IF(COUNTIFS(Data!$A$2:$A$501,A430)&lt;&gt;1,"Not current","Current")))</f>
        <v/>
      </c>
    </row>
    <row r="431" spans="1:12" ht="32" customHeight="1">
      <c r="A431" s="2"/>
      <c r="B431" s="10" t="str">
        <f>IF(A431="","",IF(COUNTIFS(Data!$A$2:$A$501,A431)=1,INDEX(Data!$B$2:$B$501,MATCH(A431,Data!$A$2:$A$501,0)),"Not in current directory"))</f>
        <v/>
      </c>
      <c r="C431" s="8"/>
      <c r="D431" s="8"/>
      <c r="E431" s="9"/>
      <c r="F431" s="8"/>
      <c r="G431" s="9"/>
      <c r="H431" s="8"/>
      <c r="I431" s="8"/>
      <c r="J431" s="8"/>
      <c r="K431" s="8"/>
      <c r="L431" s="2" t="str">
        <f>IF(A431="","",IF(COUNTIFS($A$8:$A$507,A431)&lt;&gt;1,"Duplicate ID",IF(COUNTIFS(Data!$A$2:$A$501,A431)&lt;&gt;1,"Not current","Current")))</f>
        <v/>
      </c>
    </row>
    <row r="432" spans="1:12" ht="32" customHeight="1">
      <c r="A432" s="2"/>
      <c r="B432" s="10" t="str">
        <f>IF(A432="","",IF(COUNTIFS(Data!$A$2:$A$501,A432)=1,INDEX(Data!$B$2:$B$501,MATCH(A432,Data!$A$2:$A$501,0)),"Not in current directory"))</f>
        <v/>
      </c>
      <c r="C432" s="8"/>
      <c r="D432" s="8"/>
      <c r="E432" s="9"/>
      <c r="F432" s="8"/>
      <c r="G432" s="9"/>
      <c r="H432" s="8"/>
      <c r="I432" s="8"/>
      <c r="J432" s="8"/>
      <c r="K432" s="8"/>
      <c r="L432" s="2" t="str">
        <f>IF(A432="","",IF(COUNTIFS($A$8:$A$507,A432)&lt;&gt;1,"Duplicate ID",IF(COUNTIFS(Data!$A$2:$A$501,A432)&lt;&gt;1,"Not current","Current")))</f>
        <v/>
      </c>
    </row>
    <row r="433" spans="1:12" ht="32" customHeight="1">
      <c r="A433" s="2"/>
      <c r="B433" s="10" t="str">
        <f>IF(A433="","",IF(COUNTIFS(Data!$A$2:$A$501,A433)=1,INDEX(Data!$B$2:$B$501,MATCH(A433,Data!$A$2:$A$501,0)),"Not in current directory"))</f>
        <v/>
      </c>
      <c r="C433" s="8"/>
      <c r="D433" s="8"/>
      <c r="E433" s="9"/>
      <c r="F433" s="8"/>
      <c r="G433" s="9"/>
      <c r="H433" s="8"/>
      <c r="I433" s="8"/>
      <c r="J433" s="8"/>
      <c r="K433" s="8"/>
      <c r="L433" s="2" t="str">
        <f>IF(A433="","",IF(COUNTIFS($A$8:$A$507,A433)&lt;&gt;1,"Duplicate ID",IF(COUNTIFS(Data!$A$2:$A$501,A433)&lt;&gt;1,"Not current","Current")))</f>
        <v/>
      </c>
    </row>
    <row r="434" spans="1:12" ht="32" customHeight="1">
      <c r="A434" s="2"/>
      <c r="B434" s="10" t="str">
        <f>IF(A434="","",IF(COUNTIFS(Data!$A$2:$A$501,A434)=1,INDEX(Data!$B$2:$B$501,MATCH(A434,Data!$A$2:$A$501,0)),"Not in current directory"))</f>
        <v/>
      </c>
      <c r="C434" s="8"/>
      <c r="D434" s="8"/>
      <c r="E434" s="9"/>
      <c r="F434" s="8"/>
      <c r="G434" s="9"/>
      <c r="H434" s="8"/>
      <c r="I434" s="8"/>
      <c r="J434" s="8"/>
      <c r="K434" s="8"/>
      <c r="L434" s="2" t="str">
        <f>IF(A434="","",IF(COUNTIFS($A$8:$A$507,A434)&lt;&gt;1,"Duplicate ID",IF(COUNTIFS(Data!$A$2:$A$501,A434)&lt;&gt;1,"Not current","Current")))</f>
        <v/>
      </c>
    </row>
    <row r="435" spans="1:12" ht="32" customHeight="1">
      <c r="A435" s="2"/>
      <c r="B435" s="10" t="str">
        <f>IF(A435="","",IF(COUNTIFS(Data!$A$2:$A$501,A435)=1,INDEX(Data!$B$2:$B$501,MATCH(A435,Data!$A$2:$A$501,0)),"Not in current directory"))</f>
        <v/>
      </c>
      <c r="C435" s="8"/>
      <c r="D435" s="8"/>
      <c r="E435" s="9"/>
      <c r="F435" s="8"/>
      <c r="G435" s="9"/>
      <c r="H435" s="8"/>
      <c r="I435" s="8"/>
      <c r="J435" s="8"/>
      <c r="K435" s="8"/>
      <c r="L435" s="2" t="str">
        <f>IF(A435="","",IF(COUNTIFS($A$8:$A$507,A435)&lt;&gt;1,"Duplicate ID",IF(COUNTIFS(Data!$A$2:$A$501,A435)&lt;&gt;1,"Not current","Current")))</f>
        <v/>
      </c>
    </row>
    <row r="436" spans="1:12" ht="32" customHeight="1">
      <c r="A436" s="2"/>
      <c r="B436" s="10" t="str">
        <f>IF(A436="","",IF(COUNTIFS(Data!$A$2:$A$501,A436)=1,INDEX(Data!$B$2:$B$501,MATCH(A436,Data!$A$2:$A$501,0)),"Not in current directory"))</f>
        <v/>
      </c>
      <c r="C436" s="8"/>
      <c r="D436" s="8"/>
      <c r="E436" s="9"/>
      <c r="F436" s="8"/>
      <c r="G436" s="9"/>
      <c r="H436" s="8"/>
      <c r="I436" s="8"/>
      <c r="J436" s="8"/>
      <c r="K436" s="8"/>
      <c r="L436" s="2" t="str">
        <f>IF(A436="","",IF(COUNTIFS($A$8:$A$507,A436)&lt;&gt;1,"Duplicate ID",IF(COUNTIFS(Data!$A$2:$A$501,A436)&lt;&gt;1,"Not current","Current")))</f>
        <v/>
      </c>
    </row>
    <row r="437" spans="1:12" ht="32" customHeight="1">
      <c r="A437" s="2"/>
      <c r="B437" s="10" t="str">
        <f>IF(A437="","",IF(COUNTIFS(Data!$A$2:$A$501,A437)=1,INDEX(Data!$B$2:$B$501,MATCH(A437,Data!$A$2:$A$501,0)),"Not in current directory"))</f>
        <v/>
      </c>
      <c r="C437" s="8"/>
      <c r="D437" s="8"/>
      <c r="E437" s="9"/>
      <c r="F437" s="8"/>
      <c r="G437" s="9"/>
      <c r="H437" s="8"/>
      <c r="I437" s="8"/>
      <c r="J437" s="8"/>
      <c r="K437" s="8"/>
      <c r="L437" s="2" t="str">
        <f>IF(A437="","",IF(COUNTIFS($A$8:$A$507,A437)&lt;&gt;1,"Duplicate ID",IF(COUNTIFS(Data!$A$2:$A$501,A437)&lt;&gt;1,"Not current","Current")))</f>
        <v/>
      </c>
    </row>
    <row r="438" spans="1:12" ht="32" customHeight="1">
      <c r="A438" s="2"/>
      <c r="B438" s="10" t="str">
        <f>IF(A438="","",IF(COUNTIFS(Data!$A$2:$A$501,A438)=1,INDEX(Data!$B$2:$B$501,MATCH(A438,Data!$A$2:$A$501,0)),"Not in current directory"))</f>
        <v/>
      </c>
      <c r="C438" s="8"/>
      <c r="D438" s="8"/>
      <c r="E438" s="9"/>
      <c r="F438" s="8"/>
      <c r="G438" s="9"/>
      <c r="H438" s="8"/>
      <c r="I438" s="8"/>
      <c r="J438" s="8"/>
      <c r="K438" s="8"/>
      <c r="L438" s="2" t="str">
        <f>IF(A438="","",IF(COUNTIFS($A$8:$A$507,A438)&lt;&gt;1,"Duplicate ID",IF(COUNTIFS(Data!$A$2:$A$501,A438)&lt;&gt;1,"Not current","Current")))</f>
        <v/>
      </c>
    </row>
    <row r="439" spans="1:12" ht="32" customHeight="1">
      <c r="A439" s="2"/>
      <c r="B439" s="10" t="str">
        <f>IF(A439="","",IF(COUNTIFS(Data!$A$2:$A$501,A439)=1,INDEX(Data!$B$2:$B$501,MATCH(A439,Data!$A$2:$A$501,0)),"Not in current directory"))</f>
        <v/>
      </c>
      <c r="C439" s="8"/>
      <c r="D439" s="8"/>
      <c r="E439" s="9"/>
      <c r="F439" s="8"/>
      <c r="G439" s="9"/>
      <c r="H439" s="8"/>
      <c r="I439" s="8"/>
      <c r="J439" s="8"/>
      <c r="K439" s="8"/>
      <c r="L439" s="2" t="str">
        <f>IF(A439="","",IF(COUNTIFS($A$8:$A$507,A439)&lt;&gt;1,"Duplicate ID",IF(COUNTIFS(Data!$A$2:$A$501,A439)&lt;&gt;1,"Not current","Current")))</f>
        <v/>
      </c>
    </row>
    <row r="440" spans="1:12" ht="32" customHeight="1">
      <c r="A440" s="2"/>
      <c r="B440" s="10" t="str">
        <f>IF(A440="","",IF(COUNTIFS(Data!$A$2:$A$501,A440)=1,INDEX(Data!$B$2:$B$501,MATCH(A440,Data!$A$2:$A$501,0)),"Not in current directory"))</f>
        <v/>
      </c>
      <c r="C440" s="8"/>
      <c r="D440" s="8"/>
      <c r="E440" s="9"/>
      <c r="F440" s="8"/>
      <c r="G440" s="9"/>
      <c r="H440" s="8"/>
      <c r="I440" s="8"/>
      <c r="J440" s="8"/>
      <c r="K440" s="8"/>
      <c r="L440" s="2" t="str">
        <f>IF(A440="","",IF(COUNTIFS($A$8:$A$507,A440)&lt;&gt;1,"Duplicate ID",IF(COUNTIFS(Data!$A$2:$A$501,A440)&lt;&gt;1,"Not current","Current")))</f>
        <v/>
      </c>
    </row>
    <row r="441" spans="1:12" ht="32" customHeight="1">
      <c r="A441" s="2"/>
      <c r="B441" s="10" t="str">
        <f>IF(A441="","",IF(COUNTIFS(Data!$A$2:$A$501,A441)=1,INDEX(Data!$B$2:$B$501,MATCH(A441,Data!$A$2:$A$501,0)),"Not in current directory"))</f>
        <v/>
      </c>
      <c r="C441" s="8"/>
      <c r="D441" s="8"/>
      <c r="E441" s="9"/>
      <c r="F441" s="8"/>
      <c r="G441" s="9"/>
      <c r="H441" s="8"/>
      <c r="I441" s="8"/>
      <c r="J441" s="8"/>
      <c r="K441" s="8"/>
      <c r="L441" s="2" t="str">
        <f>IF(A441="","",IF(COUNTIFS($A$8:$A$507,A441)&lt;&gt;1,"Duplicate ID",IF(COUNTIFS(Data!$A$2:$A$501,A441)&lt;&gt;1,"Not current","Current")))</f>
        <v/>
      </c>
    </row>
    <row r="442" spans="1:12" ht="32" customHeight="1">
      <c r="A442" s="2"/>
      <c r="B442" s="10" t="str">
        <f>IF(A442="","",IF(COUNTIFS(Data!$A$2:$A$501,A442)=1,INDEX(Data!$B$2:$B$501,MATCH(A442,Data!$A$2:$A$501,0)),"Not in current directory"))</f>
        <v/>
      </c>
      <c r="C442" s="8"/>
      <c r="D442" s="8"/>
      <c r="E442" s="9"/>
      <c r="F442" s="8"/>
      <c r="G442" s="9"/>
      <c r="H442" s="8"/>
      <c r="I442" s="8"/>
      <c r="J442" s="8"/>
      <c r="K442" s="8"/>
      <c r="L442" s="2" t="str">
        <f>IF(A442="","",IF(COUNTIFS($A$8:$A$507,A442)&lt;&gt;1,"Duplicate ID",IF(COUNTIFS(Data!$A$2:$A$501,A442)&lt;&gt;1,"Not current","Current")))</f>
        <v/>
      </c>
    </row>
    <row r="443" spans="1:12" ht="32" customHeight="1">
      <c r="A443" s="2"/>
      <c r="B443" s="10" t="str">
        <f>IF(A443="","",IF(COUNTIFS(Data!$A$2:$A$501,A443)=1,INDEX(Data!$B$2:$B$501,MATCH(A443,Data!$A$2:$A$501,0)),"Not in current directory"))</f>
        <v/>
      </c>
      <c r="C443" s="8"/>
      <c r="D443" s="8"/>
      <c r="E443" s="9"/>
      <c r="F443" s="8"/>
      <c r="G443" s="9"/>
      <c r="H443" s="8"/>
      <c r="I443" s="8"/>
      <c r="J443" s="8"/>
      <c r="K443" s="8"/>
      <c r="L443" s="2" t="str">
        <f>IF(A443="","",IF(COUNTIFS($A$8:$A$507,A443)&lt;&gt;1,"Duplicate ID",IF(COUNTIFS(Data!$A$2:$A$501,A443)&lt;&gt;1,"Not current","Current")))</f>
        <v/>
      </c>
    </row>
    <row r="444" spans="1:12" ht="32" customHeight="1">
      <c r="A444" s="2"/>
      <c r="B444" s="10" t="str">
        <f>IF(A444="","",IF(COUNTIFS(Data!$A$2:$A$501,A444)=1,INDEX(Data!$B$2:$B$501,MATCH(A444,Data!$A$2:$A$501,0)),"Not in current directory"))</f>
        <v/>
      </c>
      <c r="C444" s="8"/>
      <c r="D444" s="8"/>
      <c r="E444" s="9"/>
      <c r="F444" s="8"/>
      <c r="G444" s="9"/>
      <c r="H444" s="8"/>
      <c r="I444" s="8"/>
      <c r="J444" s="8"/>
      <c r="K444" s="8"/>
      <c r="L444" s="2" t="str">
        <f>IF(A444="","",IF(COUNTIFS($A$8:$A$507,A444)&lt;&gt;1,"Duplicate ID",IF(COUNTIFS(Data!$A$2:$A$501,A444)&lt;&gt;1,"Not current","Current")))</f>
        <v/>
      </c>
    </row>
    <row r="445" spans="1:12" ht="32" customHeight="1">
      <c r="A445" s="2"/>
      <c r="B445" s="10" t="str">
        <f>IF(A445="","",IF(COUNTIFS(Data!$A$2:$A$501,A445)=1,INDEX(Data!$B$2:$B$501,MATCH(A445,Data!$A$2:$A$501,0)),"Not in current directory"))</f>
        <v/>
      </c>
      <c r="C445" s="8"/>
      <c r="D445" s="8"/>
      <c r="E445" s="9"/>
      <c r="F445" s="8"/>
      <c r="G445" s="9"/>
      <c r="H445" s="8"/>
      <c r="I445" s="8"/>
      <c r="J445" s="8"/>
      <c r="K445" s="8"/>
      <c r="L445" s="2" t="str">
        <f>IF(A445="","",IF(COUNTIFS($A$8:$A$507,A445)&lt;&gt;1,"Duplicate ID",IF(COUNTIFS(Data!$A$2:$A$501,A445)&lt;&gt;1,"Not current","Current")))</f>
        <v/>
      </c>
    </row>
    <row r="446" spans="1:12" ht="32" customHeight="1">
      <c r="A446" s="2"/>
      <c r="B446" s="10" t="str">
        <f>IF(A446="","",IF(COUNTIFS(Data!$A$2:$A$501,A446)=1,INDEX(Data!$B$2:$B$501,MATCH(A446,Data!$A$2:$A$501,0)),"Not in current directory"))</f>
        <v/>
      </c>
      <c r="C446" s="8"/>
      <c r="D446" s="8"/>
      <c r="E446" s="9"/>
      <c r="F446" s="8"/>
      <c r="G446" s="9"/>
      <c r="H446" s="8"/>
      <c r="I446" s="8"/>
      <c r="J446" s="8"/>
      <c r="K446" s="8"/>
      <c r="L446" s="2" t="str">
        <f>IF(A446="","",IF(COUNTIFS($A$8:$A$507,A446)&lt;&gt;1,"Duplicate ID",IF(COUNTIFS(Data!$A$2:$A$501,A446)&lt;&gt;1,"Not current","Current")))</f>
        <v/>
      </c>
    </row>
    <row r="447" spans="1:12" ht="32" customHeight="1">
      <c r="A447" s="2"/>
      <c r="B447" s="10" t="str">
        <f>IF(A447="","",IF(COUNTIFS(Data!$A$2:$A$501,A447)=1,INDEX(Data!$B$2:$B$501,MATCH(A447,Data!$A$2:$A$501,0)),"Not in current directory"))</f>
        <v/>
      </c>
      <c r="C447" s="8"/>
      <c r="D447" s="8"/>
      <c r="E447" s="9"/>
      <c r="F447" s="8"/>
      <c r="G447" s="9"/>
      <c r="H447" s="8"/>
      <c r="I447" s="8"/>
      <c r="J447" s="8"/>
      <c r="K447" s="8"/>
      <c r="L447" s="2" t="str">
        <f>IF(A447="","",IF(COUNTIFS($A$8:$A$507,A447)&lt;&gt;1,"Duplicate ID",IF(COUNTIFS(Data!$A$2:$A$501,A447)&lt;&gt;1,"Not current","Current")))</f>
        <v/>
      </c>
    </row>
    <row r="448" spans="1:12" ht="32" customHeight="1">
      <c r="A448" s="2"/>
      <c r="B448" s="10" t="str">
        <f>IF(A448="","",IF(COUNTIFS(Data!$A$2:$A$501,A448)=1,INDEX(Data!$B$2:$B$501,MATCH(A448,Data!$A$2:$A$501,0)),"Not in current directory"))</f>
        <v/>
      </c>
      <c r="C448" s="8"/>
      <c r="D448" s="8"/>
      <c r="E448" s="9"/>
      <c r="F448" s="8"/>
      <c r="G448" s="9"/>
      <c r="H448" s="8"/>
      <c r="I448" s="8"/>
      <c r="J448" s="8"/>
      <c r="K448" s="8"/>
      <c r="L448" s="2" t="str">
        <f>IF(A448="","",IF(COUNTIFS($A$8:$A$507,A448)&lt;&gt;1,"Duplicate ID",IF(COUNTIFS(Data!$A$2:$A$501,A448)&lt;&gt;1,"Not current","Current")))</f>
        <v/>
      </c>
    </row>
    <row r="449" spans="1:12" ht="32" customHeight="1">
      <c r="A449" s="2"/>
      <c r="B449" s="10" t="str">
        <f>IF(A449="","",IF(COUNTIFS(Data!$A$2:$A$501,A449)=1,INDEX(Data!$B$2:$B$501,MATCH(A449,Data!$A$2:$A$501,0)),"Not in current directory"))</f>
        <v/>
      </c>
      <c r="C449" s="8"/>
      <c r="D449" s="8"/>
      <c r="E449" s="9"/>
      <c r="F449" s="8"/>
      <c r="G449" s="9"/>
      <c r="H449" s="8"/>
      <c r="I449" s="8"/>
      <c r="J449" s="8"/>
      <c r="K449" s="8"/>
      <c r="L449" s="2" t="str">
        <f>IF(A449="","",IF(COUNTIFS($A$8:$A$507,A449)&lt;&gt;1,"Duplicate ID",IF(COUNTIFS(Data!$A$2:$A$501,A449)&lt;&gt;1,"Not current","Current")))</f>
        <v/>
      </c>
    </row>
    <row r="450" spans="1:12" ht="32" customHeight="1">
      <c r="A450" s="2"/>
      <c r="B450" s="10" t="str">
        <f>IF(A450="","",IF(COUNTIFS(Data!$A$2:$A$501,A450)=1,INDEX(Data!$B$2:$B$501,MATCH(A450,Data!$A$2:$A$501,0)),"Not in current directory"))</f>
        <v/>
      </c>
      <c r="C450" s="8"/>
      <c r="D450" s="8"/>
      <c r="E450" s="9"/>
      <c r="F450" s="8"/>
      <c r="G450" s="9"/>
      <c r="H450" s="8"/>
      <c r="I450" s="8"/>
      <c r="J450" s="8"/>
      <c r="K450" s="8"/>
      <c r="L450" s="2" t="str">
        <f>IF(A450="","",IF(COUNTIFS($A$8:$A$507,A450)&lt;&gt;1,"Duplicate ID",IF(COUNTIFS(Data!$A$2:$A$501,A450)&lt;&gt;1,"Not current","Current")))</f>
        <v/>
      </c>
    </row>
    <row r="451" spans="1:12" ht="32" customHeight="1">
      <c r="A451" s="2"/>
      <c r="B451" s="10" t="str">
        <f>IF(A451="","",IF(COUNTIFS(Data!$A$2:$A$501,A451)=1,INDEX(Data!$B$2:$B$501,MATCH(A451,Data!$A$2:$A$501,0)),"Not in current directory"))</f>
        <v/>
      </c>
      <c r="C451" s="8"/>
      <c r="D451" s="8"/>
      <c r="E451" s="9"/>
      <c r="F451" s="8"/>
      <c r="G451" s="9"/>
      <c r="H451" s="8"/>
      <c r="I451" s="8"/>
      <c r="J451" s="8"/>
      <c r="K451" s="8"/>
      <c r="L451" s="2" t="str">
        <f>IF(A451="","",IF(COUNTIFS($A$8:$A$507,A451)&lt;&gt;1,"Duplicate ID",IF(COUNTIFS(Data!$A$2:$A$501,A451)&lt;&gt;1,"Not current","Current")))</f>
        <v/>
      </c>
    </row>
    <row r="452" spans="1:12" ht="32" customHeight="1">
      <c r="A452" s="2"/>
      <c r="B452" s="10" t="str">
        <f>IF(A452="","",IF(COUNTIFS(Data!$A$2:$A$501,A452)=1,INDEX(Data!$B$2:$B$501,MATCH(A452,Data!$A$2:$A$501,0)),"Not in current directory"))</f>
        <v/>
      </c>
      <c r="C452" s="8"/>
      <c r="D452" s="8"/>
      <c r="E452" s="9"/>
      <c r="F452" s="8"/>
      <c r="G452" s="9"/>
      <c r="H452" s="8"/>
      <c r="I452" s="8"/>
      <c r="J452" s="8"/>
      <c r="K452" s="8"/>
      <c r="L452" s="2" t="str">
        <f>IF(A452="","",IF(COUNTIFS($A$8:$A$507,A452)&lt;&gt;1,"Duplicate ID",IF(COUNTIFS(Data!$A$2:$A$501,A452)&lt;&gt;1,"Not current","Current")))</f>
        <v/>
      </c>
    </row>
    <row r="453" spans="1:12" ht="32" customHeight="1">
      <c r="A453" s="2"/>
      <c r="B453" s="10" t="str">
        <f>IF(A453="","",IF(COUNTIFS(Data!$A$2:$A$501,A453)=1,INDEX(Data!$B$2:$B$501,MATCH(A453,Data!$A$2:$A$501,0)),"Not in current directory"))</f>
        <v/>
      </c>
      <c r="C453" s="8"/>
      <c r="D453" s="8"/>
      <c r="E453" s="9"/>
      <c r="F453" s="8"/>
      <c r="G453" s="9"/>
      <c r="H453" s="8"/>
      <c r="I453" s="8"/>
      <c r="J453" s="8"/>
      <c r="K453" s="8"/>
      <c r="L453" s="2" t="str">
        <f>IF(A453="","",IF(COUNTIFS($A$8:$A$507,A453)&lt;&gt;1,"Duplicate ID",IF(COUNTIFS(Data!$A$2:$A$501,A453)&lt;&gt;1,"Not current","Current")))</f>
        <v/>
      </c>
    </row>
    <row r="454" spans="1:12" ht="32" customHeight="1">
      <c r="A454" s="2"/>
      <c r="B454" s="10" t="str">
        <f>IF(A454="","",IF(COUNTIFS(Data!$A$2:$A$501,A454)=1,INDEX(Data!$B$2:$B$501,MATCH(A454,Data!$A$2:$A$501,0)),"Not in current directory"))</f>
        <v/>
      </c>
      <c r="C454" s="8"/>
      <c r="D454" s="8"/>
      <c r="E454" s="9"/>
      <c r="F454" s="8"/>
      <c r="G454" s="9"/>
      <c r="H454" s="8"/>
      <c r="I454" s="8"/>
      <c r="J454" s="8"/>
      <c r="K454" s="8"/>
      <c r="L454" s="2" t="str">
        <f>IF(A454="","",IF(COUNTIFS($A$8:$A$507,A454)&lt;&gt;1,"Duplicate ID",IF(COUNTIFS(Data!$A$2:$A$501,A454)&lt;&gt;1,"Not current","Current")))</f>
        <v/>
      </c>
    </row>
    <row r="455" spans="1:12" ht="32" customHeight="1">
      <c r="A455" s="2"/>
      <c r="B455" s="10" t="str">
        <f>IF(A455="","",IF(COUNTIFS(Data!$A$2:$A$501,A455)=1,INDEX(Data!$B$2:$B$501,MATCH(A455,Data!$A$2:$A$501,0)),"Not in current directory"))</f>
        <v/>
      </c>
      <c r="C455" s="8"/>
      <c r="D455" s="8"/>
      <c r="E455" s="9"/>
      <c r="F455" s="8"/>
      <c r="G455" s="9"/>
      <c r="H455" s="8"/>
      <c r="I455" s="8"/>
      <c r="J455" s="8"/>
      <c r="K455" s="8"/>
      <c r="L455" s="2" t="str">
        <f>IF(A455="","",IF(COUNTIFS($A$8:$A$507,A455)&lt;&gt;1,"Duplicate ID",IF(COUNTIFS(Data!$A$2:$A$501,A455)&lt;&gt;1,"Not current","Current")))</f>
        <v/>
      </c>
    </row>
    <row r="456" spans="1:12" ht="32" customHeight="1">
      <c r="A456" s="2"/>
      <c r="B456" s="10" t="str">
        <f>IF(A456="","",IF(COUNTIFS(Data!$A$2:$A$501,A456)=1,INDEX(Data!$B$2:$B$501,MATCH(A456,Data!$A$2:$A$501,0)),"Not in current directory"))</f>
        <v/>
      </c>
      <c r="C456" s="8"/>
      <c r="D456" s="8"/>
      <c r="E456" s="9"/>
      <c r="F456" s="8"/>
      <c r="G456" s="9"/>
      <c r="H456" s="8"/>
      <c r="I456" s="8"/>
      <c r="J456" s="8"/>
      <c r="K456" s="8"/>
      <c r="L456" s="2" t="str">
        <f>IF(A456="","",IF(COUNTIFS($A$8:$A$507,A456)&lt;&gt;1,"Duplicate ID",IF(COUNTIFS(Data!$A$2:$A$501,A456)&lt;&gt;1,"Not current","Current")))</f>
        <v/>
      </c>
    </row>
    <row r="457" spans="1:12" ht="32" customHeight="1">
      <c r="A457" s="2"/>
      <c r="B457" s="10" t="str">
        <f>IF(A457="","",IF(COUNTIFS(Data!$A$2:$A$501,A457)=1,INDEX(Data!$B$2:$B$501,MATCH(A457,Data!$A$2:$A$501,0)),"Not in current directory"))</f>
        <v/>
      </c>
      <c r="C457" s="8"/>
      <c r="D457" s="8"/>
      <c r="E457" s="9"/>
      <c r="F457" s="8"/>
      <c r="G457" s="9"/>
      <c r="H457" s="8"/>
      <c r="I457" s="8"/>
      <c r="J457" s="8"/>
      <c r="K457" s="8"/>
      <c r="L457" s="2" t="str">
        <f>IF(A457="","",IF(COUNTIFS($A$8:$A$507,A457)&lt;&gt;1,"Duplicate ID",IF(COUNTIFS(Data!$A$2:$A$501,A457)&lt;&gt;1,"Not current","Current")))</f>
        <v/>
      </c>
    </row>
    <row r="458" spans="1:12" ht="32" customHeight="1">
      <c r="A458" s="2"/>
      <c r="B458" s="10" t="str">
        <f>IF(A458="","",IF(COUNTIFS(Data!$A$2:$A$501,A458)=1,INDEX(Data!$B$2:$B$501,MATCH(A458,Data!$A$2:$A$501,0)),"Not in current directory"))</f>
        <v/>
      </c>
      <c r="C458" s="8"/>
      <c r="D458" s="8"/>
      <c r="E458" s="9"/>
      <c r="F458" s="8"/>
      <c r="G458" s="9"/>
      <c r="H458" s="8"/>
      <c r="I458" s="8"/>
      <c r="J458" s="8"/>
      <c r="K458" s="8"/>
      <c r="L458" s="2" t="str">
        <f>IF(A458="","",IF(COUNTIFS($A$8:$A$507,A458)&lt;&gt;1,"Duplicate ID",IF(COUNTIFS(Data!$A$2:$A$501,A458)&lt;&gt;1,"Not current","Current")))</f>
        <v/>
      </c>
    </row>
    <row r="459" spans="1:12" ht="32" customHeight="1">
      <c r="A459" s="2"/>
      <c r="B459" s="10" t="str">
        <f>IF(A459="","",IF(COUNTIFS(Data!$A$2:$A$501,A459)=1,INDEX(Data!$B$2:$B$501,MATCH(A459,Data!$A$2:$A$501,0)),"Not in current directory"))</f>
        <v/>
      </c>
      <c r="C459" s="8"/>
      <c r="D459" s="8"/>
      <c r="E459" s="9"/>
      <c r="F459" s="8"/>
      <c r="G459" s="9"/>
      <c r="H459" s="8"/>
      <c r="I459" s="8"/>
      <c r="J459" s="8"/>
      <c r="K459" s="8"/>
      <c r="L459" s="2" t="str">
        <f>IF(A459="","",IF(COUNTIFS($A$8:$A$507,A459)&lt;&gt;1,"Duplicate ID",IF(COUNTIFS(Data!$A$2:$A$501,A459)&lt;&gt;1,"Not current","Current")))</f>
        <v/>
      </c>
    </row>
    <row r="460" spans="1:12" ht="32" customHeight="1">
      <c r="A460" s="2"/>
      <c r="B460" s="10" t="str">
        <f>IF(A460="","",IF(COUNTIFS(Data!$A$2:$A$501,A460)=1,INDEX(Data!$B$2:$B$501,MATCH(A460,Data!$A$2:$A$501,0)),"Not in current directory"))</f>
        <v/>
      </c>
      <c r="C460" s="8"/>
      <c r="D460" s="8"/>
      <c r="E460" s="9"/>
      <c r="F460" s="8"/>
      <c r="G460" s="9"/>
      <c r="H460" s="8"/>
      <c r="I460" s="8"/>
      <c r="J460" s="8"/>
      <c r="K460" s="8"/>
      <c r="L460" s="2" t="str">
        <f>IF(A460="","",IF(COUNTIFS($A$8:$A$507,A460)&lt;&gt;1,"Duplicate ID",IF(COUNTIFS(Data!$A$2:$A$501,A460)&lt;&gt;1,"Not current","Current")))</f>
        <v/>
      </c>
    </row>
    <row r="461" spans="1:12" ht="32" customHeight="1">
      <c r="A461" s="2"/>
      <c r="B461" s="10" t="str">
        <f>IF(A461="","",IF(COUNTIFS(Data!$A$2:$A$501,A461)=1,INDEX(Data!$B$2:$B$501,MATCH(A461,Data!$A$2:$A$501,0)),"Not in current directory"))</f>
        <v/>
      </c>
      <c r="C461" s="8"/>
      <c r="D461" s="8"/>
      <c r="E461" s="9"/>
      <c r="F461" s="8"/>
      <c r="G461" s="9"/>
      <c r="H461" s="8"/>
      <c r="I461" s="8"/>
      <c r="J461" s="8"/>
      <c r="K461" s="8"/>
      <c r="L461" s="2" t="str">
        <f>IF(A461="","",IF(COUNTIFS($A$8:$A$507,A461)&lt;&gt;1,"Duplicate ID",IF(COUNTIFS(Data!$A$2:$A$501,A461)&lt;&gt;1,"Not current","Current")))</f>
        <v/>
      </c>
    </row>
    <row r="462" spans="1:12" ht="32" customHeight="1">
      <c r="A462" s="2"/>
      <c r="B462" s="10" t="str">
        <f>IF(A462="","",IF(COUNTIFS(Data!$A$2:$A$501,A462)=1,INDEX(Data!$B$2:$B$501,MATCH(A462,Data!$A$2:$A$501,0)),"Not in current directory"))</f>
        <v/>
      </c>
      <c r="C462" s="8"/>
      <c r="D462" s="8"/>
      <c r="E462" s="9"/>
      <c r="F462" s="8"/>
      <c r="G462" s="9"/>
      <c r="H462" s="8"/>
      <c r="I462" s="8"/>
      <c r="J462" s="8"/>
      <c r="K462" s="8"/>
      <c r="L462" s="2" t="str">
        <f>IF(A462="","",IF(COUNTIFS($A$8:$A$507,A462)&lt;&gt;1,"Duplicate ID",IF(COUNTIFS(Data!$A$2:$A$501,A462)&lt;&gt;1,"Not current","Current")))</f>
        <v/>
      </c>
    </row>
    <row r="463" spans="1:12" ht="32" customHeight="1">
      <c r="A463" s="2"/>
      <c r="B463" s="10" t="str">
        <f>IF(A463="","",IF(COUNTIFS(Data!$A$2:$A$501,A463)=1,INDEX(Data!$B$2:$B$501,MATCH(A463,Data!$A$2:$A$501,0)),"Not in current directory"))</f>
        <v/>
      </c>
      <c r="C463" s="8"/>
      <c r="D463" s="8"/>
      <c r="E463" s="9"/>
      <c r="F463" s="8"/>
      <c r="G463" s="9"/>
      <c r="H463" s="8"/>
      <c r="I463" s="8"/>
      <c r="J463" s="8"/>
      <c r="K463" s="8"/>
      <c r="L463" s="2" t="str">
        <f>IF(A463="","",IF(COUNTIFS($A$8:$A$507,A463)&lt;&gt;1,"Duplicate ID",IF(COUNTIFS(Data!$A$2:$A$501,A463)&lt;&gt;1,"Not current","Current")))</f>
        <v/>
      </c>
    </row>
    <row r="464" spans="1:12" ht="32" customHeight="1">
      <c r="A464" s="2"/>
      <c r="B464" s="10" t="str">
        <f>IF(A464="","",IF(COUNTIFS(Data!$A$2:$A$501,A464)=1,INDEX(Data!$B$2:$B$501,MATCH(A464,Data!$A$2:$A$501,0)),"Not in current directory"))</f>
        <v/>
      </c>
      <c r="C464" s="8"/>
      <c r="D464" s="8"/>
      <c r="E464" s="9"/>
      <c r="F464" s="8"/>
      <c r="G464" s="9"/>
      <c r="H464" s="8"/>
      <c r="I464" s="8"/>
      <c r="J464" s="8"/>
      <c r="K464" s="8"/>
      <c r="L464" s="2" t="str">
        <f>IF(A464="","",IF(COUNTIFS($A$8:$A$507,A464)&lt;&gt;1,"Duplicate ID",IF(COUNTIFS(Data!$A$2:$A$501,A464)&lt;&gt;1,"Not current","Current")))</f>
        <v/>
      </c>
    </row>
    <row r="465" spans="1:12" ht="32" customHeight="1">
      <c r="A465" s="2"/>
      <c r="B465" s="10" t="str">
        <f>IF(A465="","",IF(COUNTIFS(Data!$A$2:$A$501,A465)=1,INDEX(Data!$B$2:$B$501,MATCH(A465,Data!$A$2:$A$501,0)),"Not in current directory"))</f>
        <v/>
      </c>
      <c r="C465" s="8"/>
      <c r="D465" s="8"/>
      <c r="E465" s="9"/>
      <c r="F465" s="8"/>
      <c r="G465" s="9"/>
      <c r="H465" s="8"/>
      <c r="I465" s="8"/>
      <c r="J465" s="8"/>
      <c r="K465" s="8"/>
      <c r="L465" s="2" t="str">
        <f>IF(A465="","",IF(COUNTIFS($A$8:$A$507,A465)&lt;&gt;1,"Duplicate ID",IF(COUNTIFS(Data!$A$2:$A$501,A465)&lt;&gt;1,"Not current","Current")))</f>
        <v/>
      </c>
    </row>
    <row r="466" spans="1:12" ht="32" customHeight="1">
      <c r="A466" s="2"/>
      <c r="B466" s="10" t="str">
        <f>IF(A466="","",IF(COUNTIFS(Data!$A$2:$A$501,A466)=1,INDEX(Data!$B$2:$B$501,MATCH(A466,Data!$A$2:$A$501,0)),"Not in current directory"))</f>
        <v/>
      </c>
      <c r="C466" s="8"/>
      <c r="D466" s="8"/>
      <c r="E466" s="9"/>
      <c r="F466" s="8"/>
      <c r="G466" s="9"/>
      <c r="H466" s="8"/>
      <c r="I466" s="8"/>
      <c r="J466" s="8"/>
      <c r="K466" s="8"/>
      <c r="L466" s="2" t="str">
        <f>IF(A466="","",IF(COUNTIFS($A$8:$A$507,A466)&lt;&gt;1,"Duplicate ID",IF(COUNTIFS(Data!$A$2:$A$501,A466)&lt;&gt;1,"Not current","Current")))</f>
        <v/>
      </c>
    </row>
    <row r="467" spans="1:12" ht="32" customHeight="1">
      <c r="A467" s="2"/>
      <c r="B467" s="10" t="str">
        <f>IF(A467="","",IF(COUNTIFS(Data!$A$2:$A$501,A467)=1,INDEX(Data!$B$2:$B$501,MATCH(A467,Data!$A$2:$A$501,0)),"Not in current directory"))</f>
        <v/>
      </c>
      <c r="C467" s="8"/>
      <c r="D467" s="8"/>
      <c r="E467" s="9"/>
      <c r="F467" s="8"/>
      <c r="G467" s="9"/>
      <c r="H467" s="8"/>
      <c r="I467" s="8"/>
      <c r="J467" s="8"/>
      <c r="K467" s="8"/>
      <c r="L467" s="2" t="str">
        <f>IF(A467="","",IF(COUNTIFS($A$8:$A$507,A467)&lt;&gt;1,"Duplicate ID",IF(COUNTIFS(Data!$A$2:$A$501,A467)&lt;&gt;1,"Not current","Current")))</f>
        <v/>
      </c>
    </row>
    <row r="468" spans="1:12" ht="32" customHeight="1">
      <c r="A468" s="2"/>
      <c r="B468" s="10" t="str">
        <f>IF(A468="","",IF(COUNTIFS(Data!$A$2:$A$501,A468)=1,INDEX(Data!$B$2:$B$501,MATCH(A468,Data!$A$2:$A$501,0)),"Not in current directory"))</f>
        <v/>
      </c>
      <c r="C468" s="8"/>
      <c r="D468" s="8"/>
      <c r="E468" s="9"/>
      <c r="F468" s="8"/>
      <c r="G468" s="9"/>
      <c r="H468" s="8"/>
      <c r="I468" s="8"/>
      <c r="J468" s="8"/>
      <c r="K468" s="8"/>
      <c r="L468" s="2" t="str">
        <f>IF(A468="","",IF(COUNTIFS($A$8:$A$507,A468)&lt;&gt;1,"Duplicate ID",IF(COUNTIFS(Data!$A$2:$A$501,A468)&lt;&gt;1,"Not current","Current")))</f>
        <v/>
      </c>
    </row>
    <row r="469" spans="1:12" ht="32" customHeight="1">
      <c r="A469" s="2"/>
      <c r="B469" s="10" t="str">
        <f>IF(A469="","",IF(COUNTIFS(Data!$A$2:$A$501,A469)=1,INDEX(Data!$B$2:$B$501,MATCH(A469,Data!$A$2:$A$501,0)),"Not in current directory"))</f>
        <v/>
      </c>
      <c r="C469" s="8"/>
      <c r="D469" s="8"/>
      <c r="E469" s="9"/>
      <c r="F469" s="8"/>
      <c r="G469" s="9"/>
      <c r="H469" s="8"/>
      <c r="I469" s="8"/>
      <c r="J469" s="8"/>
      <c r="K469" s="8"/>
      <c r="L469" s="2" t="str">
        <f>IF(A469="","",IF(COUNTIFS($A$8:$A$507,A469)&lt;&gt;1,"Duplicate ID",IF(COUNTIFS(Data!$A$2:$A$501,A469)&lt;&gt;1,"Not current","Current")))</f>
        <v/>
      </c>
    </row>
    <row r="470" spans="1:12" ht="32" customHeight="1">
      <c r="A470" s="2"/>
      <c r="B470" s="10" t="str">
        <f>IF(A470="","",IF(COUNTIFS(Data!$A$2:$A$501,A470)=1,INDEX(Data!$B$2:$B$501,MATCH(A470,Data!$A$2:$A$501,0)),"Not in current directory"))</f>
        <v/>
      </c>
      <c r="C470" s="8"/>
      <c r="D470" s="8"/>
      <c r="E470" s="9"/>
      <c r="F470" s="8"/>
      <c r="G470" s="9"/>
      <c r="H470" s="8"/>
      <c r="I470" s="8"/>
      <c r="J470" s="8"/>
      <c r="K470" s="8"/>
      <c r="L470" s="2" t="str">
        <f>IF(A470="","",IF(COUNTIFS($A$8:$A$507,A470)&lt;&gt;1,"Duplicate ID",IF(COUNTIFS(Data!$A$2:$A$501,A470)&lt;&gt;1,"Not current","Current")))</f>
        <v/>
      </c>
    </row>
    <row r="471" spans="1:12" ht="32" customHeight="1">
      <c r="A471" s="2"/>
      <c r="B471" s="10" t="str">
        <f>IF(A471="","",IF(COUNTIFS(Data!$A$2:$A$501,A471)=1,INDEX(Data!$B$2:$B$501,MATCH(A471,Data!$A$2:$A$501,0)),"Not in current directory"))</f>
        <v/>
      </c>
      <c r="C471" s="8"/>
      <c r="D471" s="8"/>
      <c r="E471" s="9"/>
      <c r="F471" s="8"/>
      <c r="G471" s="9"/>
      <c r="H471" s="8"/>
      <c r="I471" s="8"/>
      <c r="J471" s="8"/>
      <c r="K471" s="8"/>
      <c r="L471" s="2" t="str">
        <f>IF(A471="","",IF(COUNTIFS($A$8:$A$507,A471)&lt;&gt;1,"Duplicate ID",IF(COUNTIFS(Data!$A$2:$A$501,A471)&lt;&gt;1,"Not current","Current")))</f>
        <v/>
      </c>
    </row>
    <row r="472" spans="1:12" ht="32" customHeight="1">
      <c r="A472" s="2"/>
      <c r="B472" s="10" t="str">
        <f>IF(A472="","",IF(COUNTIFS(Data!$A$2:$A$501,A472)=1,INDEX(Data!$B$2:$B$501,MATCH(A472,Data!$A$2:$A$501,0)),"Not in current directory"))</f>
        <v/>
      </c>
      <c r="C472" s="8"/>
      <c r="D472" s="8"/>
      <c r="E472" s="9"/>
      <c r="F472" s="8"/>
      <c r="G472" s="9"/>
      <c r="H472" s="8"/>
      <c r="I472" s="8"/>
      <c r="J472" s="8"/>
      <c r="K472" s="8"/>
      <c r="L472" s="2" t="str">
        <f>IF(A472="","",IF(COUNTIFS($A$8:$A$507,A472)&lt;&gt;1,"Duplicate ID",IF(COUNTIFS(Data!$A$2:$A$501,A472)&lt;&gt;1,"Not current","Current")))</f>
        <v/>
      </c>
    </row>
    <row r="473" spans="1:12" ht="32" customHeight="1">
      <c r="A473" s="2"/>
      <c r="B473" s="10" t="str">
        <f>IF(A473="","",IF(COUNTIFS(Data!$A$2:$A$501,A473)=1,INDEX(Data!$B$2:$B$501,MATCH(A473,Data!$A$2:$A$501,0)),"Not in current directory"))</f>
        <v/>
      </c>
      <c r="C473" s="8"/>
      <c r="D473" s="8"/>
      <c r="E473" s="9"/>
      <c r="F473" s="8"/>
      <c r="G473" s="9"/>
      <c r="H473" s="8"/>
      <c r="I473" s="8"/>
      <c r="J473" s="8"/>
      <c r="K473" s="8"/>
      <c r="L473" s="2" t="str">
        <f>IF(A473="","",IF(COUNTIFS($A$8:$A$507,A473)&lt;&gt;1,"Duplicate ID",IF(COUNTIFS(Data!$A$2:$A$501,A473)&lt;&gt;1,"Not current","Current")))</f>
        <v/>
      </c>
    </row>
    <row r="474" spans="1:12" ht="32" customHeight="1">
      <c r="A474" s="2"/>
      <c r="B474" s="10" t="str">
        <f>IF(A474="","",IF(COUNTIFS(Data!$A$2:$A$501,A474)=1,INDEX(Data!$B$2:$B$501,MATCH(A474,Data!$A$2:$A$501,0)),"Not in current directory"))</f>
        <v/>
      </c>
      <c r="C474" s="8"/>
      <c r="D474" s="8"/>
      <c r="E474" s="9"/>
      <c r="F474" s="8"/>
      <c r="G474" s="9"/>
      <c r="H474" s="8"/>
      <c r="I474" s="8"/>
      <c r="J474" s="8"/>
      <c r="K474" s="8"/>
      <c r="L474" s="2" t="str">
        <f>IF(A474="","",IF(COUNTIFS($A$8:$A$507,A474)&lt;&gt;1,"Duplicate ID",IF(COUNTIFS(Data!$A$2:$A$501,A474)&lt;&gt;1,"Not current","Current")))</f>
        <v/>
      </c>
    </row>
    <row r="475" spans="1:12" ht="32" customHeight="1">
      <c r="A475" s="2"/>
      <c r="B475" s="10" t="str">
        <f>IF(A475="","",IF(COUNTIFS(Data!$A$2:$A$501,A475)=1,INDEX(Data!$B$2:$B$501,MATCH(A475,Data!$A$2:$A$501,0)),"Not in current directory"))</f>
        <v/>
      </c>
      <c r="C475" s="8"/>
      <c r="D475" s="8"/>
      <c r="E475" s="9"/>
      <c r="F475" s="8"/>
      <c r="G475" s="9"/>
      <c r="H475" s="8"/>
      <c r="I475" s="8"/>
      <c r="J475" s="8"/>
      <c r="K475" s="8"/>
      <c r="L475" s="2" t="str">
        <f>IF(A475="","",IF(COUNTIFS($A$8:$A$507,A475)&lt;&gt;1,"Duplicate ID",IF(COUNTIFS(Data!$A$2:$A$501,A475)&lt;&gt;1,"Not current","Current")))</f>
        <v/>
      </c>
    </row>
    <row r="476" spans="1:12" ht="32" customHeight="1">
      <c r="A476" s="2"/>
      <c r="B476" s="10" t="str">
        <f>IF(A476="","",IF(COUNTIFS(Data!$A$2:$A$501,A476)=1,INDEX(Data!$B$2:$B$501,MATCH(A476,Data!$A$2:$A$501,0)),"Not in current directory"))</f>
        <v/>
      </c>
      <c r="C476" s="8"/>
      <c r="D476" s="8"/>
      <c r="E476" s="9"/>
      <c r="F476" s="8"/>
      <c r="G476" s="9"/>
      <c r="H476" s="8"/>
      <c r="I476" s="8"/>
      <c r="J476" s="8"/>
      <c r="K476" s="8"/>
      <c r="L476" s="2" t="str">
        <f>IF(A476="","",IF(COUNTIFS($A$8:$A$507,A476)&lt;&gt;1,"Duplicate ID",IF(COUNTIFS(Data!$A$2:$A$501,A476)&lt;&gt;1,"Not current","Current")))</f>
        <v/>
      </c>
    </row>
    <row r="477" spans="1:12" ht="32" customHeight="1">
      <c r="A477" s="2"/>
      <c r="B477" s="10" t="str">
        <f>IF(A477="","",IF(COUNTIFS(Data!$A$2:$A$501,A477)=1,INDEX(Data!$B$2:$B$501,MATCH(A477,Data!$A$2:$A$501,0)),"Not in current directory"))</f>
        <v/>
      </c>
      <c r="C477" s="8"/>
      <c r="D477" s="8"/>
      <c r="E477" s="9"/>
      <c r="F477" s="8"/>
      <c r="G477" s="9"/>
      <c r="H477" s="8"/>
      <c r="I477" s="8"/>
      <c r="J477" s="8"/>
      <c r="K477" s="8"/>
      <c r="L477" s="2" t="str">
        <f>IF(A477="","",IF(COUNTIFS($A$8:$A$507,A477)&lt;&gt;1,"Duplicate ID",IF(COUNTIFS(Data!$A$2:$A$501,A477)&lt;&gt;1,"Not current","Current")))</f>
        <v/>
      </c>
    </row>
    <row r="478" spans="1:12" ht="32" customHeight="1">
      <c r="A478" s="2"/>
      <c r="B478" s="10" t="str">
        <f>IF(A478="","",IF(COUNTIFS(Data!$A$2:$A$501,A478)=1,INDEX(Data!$B$2:$B$501,MATCH(A478,Data!$A$2:$A$501,0)),"Not in current directory"))</f>
        <v/>
      </c>
      <c r="C478" s="8"/>
      <c r="D478" s="8"/>
      <c r="E478" s="9"/>
      <c r="F478" s="8"/>
      <c r="G478" s="9"/>
      <c r="H478" s="8"/>
      <c r="I478" s="8"/>
      <c r="J478" s="8"/>
      <c r="K478" s="8"/>
      <c r="L478" s="2" t="str">
        <f>IF(A478="","",IF(COUNTIFS($A$8:$A$507,A478)&lt;&gt;1,"Duplicate ID",IF(COUNTIFS(Data!$A$2:$A$501,A478)&lt;&gt;1,"Not current","Current")))</f>
        <v/>
      </c>
    </row>
    <row r="479" spans="1:12" ht="32" customHeight="1">
      <c r="A479" s="2"/>
      <c r="B479" s="10" t="str">
        <f>IF(A479="","",IF(COUNTIFS(Data!$A$2:$A$501,A479)=1,INDEX(Data!$B$2:$B$501,MATCH(A479,Data!$A$2:$A$501,0)),"Not in current directory"))</f>
        <v/>
      </c>
      <c r="C479" s="8"/>
      <c r="D479" s="8"/>
      <c r="E479" s="9"/>
      <c r="F479" s="8"/>
      <c r="G479" s="9"/>
      <c r="H479" s="8"/>
      <c r="I479" s="8"/>
      <c r="J479" s="8"/>
      <c r="K479" s="8"/>
      <c r="L479" s="2" t="str">
        <f>IF(A479="","",IF(COUNTIFS($A$8:$A$507,A479)&lt;&gt;1,"Duplicate ID",IF(COUNTIFS(Data!$A$2:$A$501,A479)&lt;&gt;1,"Not current","Current")))</f>
        <v/>
      </c>
    </row>
    <row r="480" spans="1:12" ht="32" customHeight="1">
      <c r="A480" s="2"/>
      <c r="B480" s="10" t="str">
        <f>IF(A480="","",IF(COUNTIFS(Data!$A$2:$A$501,A480)=1,INDEX(Data!$B$2:$B$501,MATCH(A480,Data!$A$2:$A$501,0)),"Not in current directory"))</f>
        <v/>
      </c>
      <c r="C480" s="8"/>
      <c r="D480" s="8"/>
      <c r="E480" s="9"/>
      <c r="F480" s="8"/>
      <c r="G480" s="9"/>
      <c r="H480" s="8"/>
      <c r="I480" s="8"/>
      <c r="J480" s="8"/>
      <c r="K480" s="8"/>
      <c r="L480" s="2" t="str">
        <f>IF(A480="","",IF(COUNTIFS($A$8:$A$507,A480)&lt;&gt;1,"Duplicate ID",IF(COUNTIFS(Data!$A$2:$A$501,A480)&lt;&gt;1,"Not current","Current")))</f>
        <v/>
      </c>
    </row>
    <row r="481" spans="1:12" ht="32" customHeight="1">
      <c r="A481" s="2"/>
      <c r="B481" s="10" t="str">
        <f>IF(A481="","",IF(COUNTIFS(Data!$A$2:$A$501,A481)=1,INDEX(Data!$B$2:$B$501,MATCH(A481,Data!$A$2:$A$501,0)),"Not in current directory"))</f>
        <v/>
      </c>
      <c r="C481" s="8"/>
      <c r="D481" s="8"/>
      <c r="E481" s="9"/>
      <c r="F481" s="8"/>
      <c r="G481" s="9"/>
      <c r="H481" s="8"/>
      <c r="I481" s="8"/>
      <c r="J481" s="8"/>
      <c r="K481" s="8"/>
      <c r="L481" s="2" t="str">
        <f>IF(A481="","",IF(COUNTIFS($A$8:$A$507,A481)&lt;&gt;1,"Duplicate ID",IF(COUNTIFS(Data!$A$2:$A$501,A481)&lt;&gt;1,"Not current","Current")))</f>
        <v/>
      </c>
    </row>
    <row r="482" spans="1:12" ht="32" customHeight="1">
      <c r="A482" s="2"/>
      <c r="B482" s="10" t="str">
        <f>IF(A482="","",IF(COUNTIFS(Data!$A$2:$A$501,A482)=1,INDEX(Data!$B$2:$B$501,MATCH(A482,Data!$A$2:$A$501,0)),"Not in current directory"))</f>
        <v/>
      </c>
      <c r="C482" s="8"/>
      <c r="D482" s="8"/>
      <c r="E482" s="9"/>
      <c r="F482" s="8"/>
      <c r="G482" s="9"/>
      <c r="H482" s="8"/>
      <c r="I482" s="8"/>
      <c r="J482" s="8"/>
      <c r="K482" s="8"/>
      <c r="L482" s="2" t="str">
        <f>IF(A482="","",IF(COUNTIFS($A$8:$A$507,A482)&lt;&gt;1,"Duplicate ID",IF(COUNTIFS(Data!$A$2:$A$501,A482)&lt;&gt;1,"Not current","Current")))</f>
        <v/>
      </c>
    </row>
    <row r="483" spans="1:12" ht="32" customHeight="1">
      <c r="A483" s="2"/>
      <c r="B483" s="10" t="str">
        <f>IF(A483="","",IF(COUNTIFS(Data!$A$2:$A$501,A483)=1,INDEX(Data!$B$2:$B$501,MATCH(A483,Data!$A$2:$A$501,0)),"Not in current directory"))</f>
        <v/>
      </c>
      <c r="C483" s="8"/>
      <c r="D483" s="8"/>
      <c r="E483" s="9"/>
      <c r="F483" s="8"/>
      <c r="G483" s="9"/>
      <c r="H483" s="8"/>
      <c r="I483" s="8"/>
      <c r="J483" s="8"/>
      <c r="K483" s="8"/>
      <c r="L483" s="2" t="str">
        <f>IF(A483="","",IF(COUNTIFS($A$8:$A$507,A483)&lt;&gt;1,"Duplicate ID",IF(COUNTIFS(Data!$A$2:$A$501,A483)&lt;&gt;1,"Not current","Current")))</f>
        <v/>
      </c>
    </row>
    <row r="484" spans="1:12" ht="32" customHeight="1">
      <c r="A484" s="2"/>
      <c r="B484" s="10" t="str">
        <f>IF(A484="","",IF(COUNTIFS(Data!$A$2:$A$501,A484)=1,INDEX(Data!$B$2:$B$501,MATCH(A484,Data!$A$2:$A$501,0)),"Not in current directory"))</f>
        <v/>
      </c>
      <c r="C484" s="8"/>
      <c r="D484" s="8"/>
      <c r="E484" s="9"/>
      <c r="F484" s="8"/>
      <c r="G484" s="9"/>
      <c r="H484" s="8"/>
      <c r="I484" s="8"/>
      <c r="J484" s="8"/>
      <c r="K484" s="8"/>
      <c r="L484" s="2" t="str">
        <f>IF(A484="","",IF(COUNTIFS($A$8:$A$507,A484)&lt;&gt;1,"Duplicate ID",IF(COUNTIFS(Data!$A$2:$A$501,A484)&lt;&gt;1,"Not current","Current")))</f>
        <v/>
      </c>
    </row>
    <row r="485" spans="1:12" ht="32" customHeight="1">
      <c r="A485" s="2"/>
      <c r="B485" s="10" t="str">
        <f>IF(A485="","",IF(COUNTIFS(Data!$A$2:$A$501,A485)=1,INDEX(Data!$B$2:$B$501,MATCH(A485,Data!$A$2:$A$501,0)),"Not in current directory"))</f>
        <v/>
      </c>
      <c r="C485" s="8"/>
      <c r="D485" s="8"/>
      <c r="E485" s="9"/>
      <c r="F485" s="8"/>
      <c r="G485" s="9"/>
      <c r="H485" s="8"/>
      <c r="I485" s="8"/>
      <c r="J485" s="8"/>
      <c r="K485" s="8"/>
      <c r="L485" s="2" t="str">
        <f>IF(A485="","",IF(COUNTIFS($A$8:$A$507,A485)&lt;&gt;1,"Duplicate ID",IF(COUNTIFS(Data!$A$2:$A$501,A485)&lt;&gt;1,"Not current","Current")))</f>
        <v/>
      </c>
    </row>
    <row r="486" spans="1:12" ht="32" customHeight="1">
      <c r="A486" s="2"/>
      <c r="B486" s="10" t="str">
        <f>IF(A486="","",IF(COUNTIFS(Data!$A$2:$A$501,A486)=1,INDEX(Data!$B$2:$B$501,MATCH(A486,Data!$A$2:$A$501,0)),"Not in current directory"))</f>
        <v/>
      </c>
      <c r="C486" s="8"/>
      <c r="D486" s="8"/>
      <c r="E486" s="9"/>
      <c r="F486" s="8"/>
      <c r="G486" s="9"/>
      <c r="H486" s="8"/>
      <c r="I486" s="8"/>
      <c r="J486" s="8"/>
      <c r="K486" s="8"/>
      <c r="L486" s="2" t="str">
        <f>IF(A486="","",IF(COUNTIFS($A$8:$A$507,A486)&lt;&gt;1,"Duplicate ID",IF(COUNTIFS(Data!$A$2:$A$501,A486)&lt;&gt;1,"Not current","Current")))</f>
        <v/>
      </c>
    </row>
    <row r="487" spans="1:12" ht="32" customHeight="1">
      <c r="A487" s="2"/>
      <c r="B487" s="10" t="str">
        <f>IF(A487="","",IF(COUNTIFS(Data!$A$2:$A$501,A487)=1,INDEX(Data!$B$2:$B$501,MATCH(A487,Data!$A$2:$A$501,0)),"Not in current directory"))</f>
        <v/>
      </c>
      <c r="C487" s="8"/>
      <c r="D487" s="8"/>
      <c r="E487" s="9"/>
      <c r="F487" s="8"/>
      <c r="G487" s="9"/>
      <c r="H487" s="8"/>
      <c r="I487" s="8"/>
      <c r="J487" s="8"/>
      <c r="K487" s="8"/>
      <c r="L487" s="2" t="str">
        <f>IF(A487="","",IF(COUNTIFS($A$8:$A$507,A487)&lt;&gt;1,"Duplicate ID",IF(COUNTIFS(Data!$A$2:$A$501,A487)&lt;&gt;1,"Not current","Current")))</f>
        <v/>
      </c>
    </row>
    <row r="488" spans="1:12" ht="32" customHeight="1">
      <c r="A488" s="2"/>
      <c r="B488" s="10" t="str">
        <f>IF(A488="","",IF(COUNTIFS(Data!$A$2:$A$501,A488)=1,INDEX(Data!$B$2:$B$501,MATCH(A488,Data!$A$2:$A$501,0)),"Not in current directory"))</f>
        <v/>
      </c>
      <c r="C488" s="8"/>
      <c r="D488" s="8"/>
      <c r="E488" s="9"/>
      <c r="F488" s="8"/>
      <c r="G488" s="9"/>
      <c r="H488" s="8"/>
      <c r="I488" s="8"/>
      <c r="J488" s="8"/>
      <c r="K488" s="8"/>
      <c r="L488" s="2" t="str">
        <f>IF(A488="","",IF(COUNTIFS($A$8:$A$507,A488)&lt;&gt;1,"Duplicate ID",IF(COUNTIFS(Data!$A$2:$A$501,A488)&lt;&gt;1,"Not current","Current")))</f>
        <v/>
      </c>
    </row>
    <row r="489" spans="1:12" ht="32" customHeight="1">
      <c r="A489" s="2"/>
      <c r="B489" s="10" t="str">
        <f>IF(A489="","",IF(COUNTIFS(Data!$A$2:$A$501,A489)=1,INDEX(Data!$B$2:$B$501,MATCH(A489,Data!$A$2:$A$501,0)),"Not in current directory"))</f>
        <v/>
      </c>
      <c r="C489" s="8"/>
      <c r="D489" s="8"/>
      <c r="E489" s="9"/>
      <c r="F489" s="8"/>
      <c r="G489" s="9"/>
      <c r="H489" s="8"/>
      <c r="I489" s="8"/>
      <c r="J489" s="8"/>
      <c r="K489" s="8"/>
      <c r="L489" s="2" t="str">
        <f>IF(A489="","",IF(COUNTIFS($A$8:$A$507,A489)&lt;&gt;1,"Duplicate ID",IF(COUNTIFS(Data!$A$2:$A$501,A489)&lt;&gt;1,"Not current","Current")))</f>
        <v/>
      </c>
    </row>
    <row r="490" spans="1:12" ht="32" customHeight="1">
      <c r="A490" s="2"/>
      <c r="B490" s="10" t="str">
        <f>IF(A490="","",IF(COUNTIFS(Data!$A$2:$A$501,A490)=1,INDEX(Data!$B$2:$B$501,MATCH(A490,Data!$A$2:$A$501,0)),"Not in current directory"))</f>
        <v/>
      </c>
      <c r="C490" s="8"/>
      <c r="D490" s="8"/>
      <c r="E490" s="9"/>
      <c r="F490" s="8"/>
      <c r="G490" s="9"/>
      <c r="H490" s="8"/>
      <c r="I490" s="8"/>
      <c r="J490" s="8"/>
      <c r="K490" s="8"/>
      <c r="L490" s="2" t="str">
        <f>IF(A490="","",IF(COUNTIFS($A$8:$A$507,A490)&lt;&gt;1,"Duplicate ID",IF(COUNTIFS(Data!$A$2:$A$501,A490)&lt;&gt;1,"Not current","Current")))</f>
        <v/>
      </c>
    </row>
    <row r="491" spans="1:12" ht="32" customHeight="1">
      <c r="A491" s="2"/>
      <c r="B491" s="10" t="str">
        <f>IF(A491="","",IF(COUNTIFS(Data!$A$2:$A$501,A491)=1,INDEX(Data!$B$2:$B$501,MATCH(A491,Data!$A$2:$A$501,0)),"Not in current directory"))</f>
        <v/>
      </c>
      <c r="C491" s="8"/>
      <c r="D491" s="8"/>
      <c r="E491" s="9"/>
      <c r="F491" s="8"/>
      <c r="G491" s="9"/>
      <c r="H491" s="8"/>
      <c r="I491" s="8"/>
      <c r="J491" s="8"/>
      <c r="K491" s="8"/>
      <c r="L491" s="2" t="str">
        <f>IF(A491="","",IF(COUNTIFS($A$8:$A$507,A491)&lt;&gt;1,"Duplicate ID",IF(COUNTIFS(Data!$A$2:$A$501,A491)&lt;&gt;1,"Not current","Current")))</f>
        <v/>
      </c>
    </row>
    <row r="492" spans="1:12" ht="32" customHeight="1">
      <c r="A492" s="2"/>
      <c r="B492" s="10" t="str">
        <f>IF(A492="","",IF(COUNTIFS(Data!$A$2:$A$501,A492)=1,INDEX(Data!$B$2:$B$501,MATCH(A492,Data!$A$2:$A$501,0)),"Not in current directory"))</f>
        <v/>
      </c>
      <c r="C492" s="8"/>
      <c r="D492" s="8"/>
      <c r="E492" s="9"/>
      <c r="F492" s="8"/>
      <c r="G492" s="9"/>
      <c r="H492" s="8"/>
      <c r="I492" s="8"/>
      <c r="J492" s="8"/>
      <c r="K492" s="8"/>
      <c r="L492" s="2" t="str">
        <f>IF(A492="","",IF(COUNTIFS($A$8:$A$507,A492)&lt;&gt;1,"Duplicate ID",IF(COUNTIFS(Data!$A$2:$A$501,A492)&lt;&gt;1,"Not current","Current")))</f>
        <v/>
      </c>
    </row>
    <row r="493" spans="1:12" ht="32" customHeight="1">
      <c r="A493" s="2"/>
      <c r="B493" s="10" t="str">
        <f>IF(A493="","",IF(COUNTIFS(Data!$A$2:$A$501,A493)=1,INDEX(Data!$B$2:$B$501,MATCH(A493,Data!$A$2:$A$501,0)),"Not in current directory"))</f>
        <v/>
      </c>
      <c r="C493" s="8"/>
      <c r="D493" s="8"/>
      <c r="E493" s="9"/>
      <c r="F493" s="8"/>
      <c r="G493" s="9"/>
      <c r="H493" s="8"/>
      <c r="I493" s="8"/>
      <c r="J493" s="8"/>
      <c r="K493" s="8"/>
      <c r="L493" s="2" t="str">
        <f>IF(A493="","",IF(COUNTIFS($A$8:$A$507,A493)&lt;&gt;1,"Duplicate ID",IF(COUNTIFS(Data!$A$2:$A$501,A493)&lt;&gt;1,"Not current","Current")))</f>
        <v/>
      </c>
    </row>
    <row r="494" spans="1:12" ht="32" customHeight="1">
      <c r="A494" s="2"/>
      <c r="B494" s="10" t="str">
        <f>IF(A494="","",IF(COUNTIFS(Data!$A$2:$A$501,A494)=1,INDEX(Data!$B$2:$B$501,MATCH(A494,Data!$A$2:$A$501,0)),"Not in current directory"))</f>
        <v/>
      </c>
      <c r="C494" s="8"/>
      <c r="D494" s="8"/>
      <c r="E494" s="9"/>
      <c r="F494" s="8"/>
      <c r="G494" s="9"/>
      <c r="H494" s="8"/>
      <c r="I494" s="8"/>
      <c r="J494" s="8"/>
      <c r="K494" s="8"/>
      <c r="L494" s="2" t="str">
        <f>IF(A494="","",IF(COUNTIFS($A$8:$A$507,A494)&lt;&gt;1,"Duplicate ID",IF(COUNTIFS(Data!$A$2:$A$501,A494)&lt;&gt;1,"Not current","Current")))</f>
        <v/>
      </c>
    </row>
    <row r="495" spans="1:12" ht="32" customHeight="1">
      <c r="A495" s="2"/>
      <c r="B495" s="10" t="str">
        <f>IF(A495="","",IF(COUNTIFS(Data!$A$2:$A$501,A495)=1,INDEX(Data!$B$2:$B$501,MATCH(A495,Data!$A$2:$A$501,0)),"Not in current directory"))</f>
        <v/>
      </c>
      <c r="C495" s="8"/>
      <c r="D495" s="8"/>
      <c r="E495" s="9"/>
      <c r="F495" s="8"/>
      <c r="G495" s="9"/>
      <c r="H495" s="8"/>
      <c r="I495" s="8"/>
      <c r="J495" s="8"/>
      <c r="K495" s="8"/>
      <c r="L495" s="2" t="str">
        <f>IF(A495="","",IF(COUNTIFS($A$8:$A$507,A495)&lt;&gt;1,"Duplicate ID",IF(COUNTIFS(Data!$A$2:$A$501,A495)&lt;&gt;1,"Not current","Current")))</f>
        <v/>
      </c>
    </row>
    <row r="496" spans="1:12" ht="32" customHeight="1">
      <c r="A496" s="2"/>
      <c r="B496" s="10" t="str">
        <f>IF(A496="","",IF(COUNTIFS(Data!$A$2:$A$501,A496)=1,INDEX(Data!$B$2:$B$501,MATCH(A496,Data!$A$2:$A$501,0)),"Not in current directory"))</f>
        <v/>
      </c>
      <c r="C496" s="8"/>
      <c r="D496" s="8"/>
      <c r="E496" s="9"/>
      <c r="F496" s="8"/>
      <c r="G496" s="9"/>
      <c r="H496" s="8"/>
      <c r="I496" s="8"/>
      <c r="J496" s="8"/>
      <c r="K496" s="8"/>
      <c r="L496" s="2" t="str">
        <f>IF(A496="","",IF(COUNTIFS($A$8:$A$507,A496)&lt;&gt;1,"Duplicate ID",IF(COUNTIFS(Data!$A$2:$A$501,A496)&lt;&gt;1,"Not current","Current")))</f>
        <v/>
      </c>
    </row>
    <row r="497" spans="1:12" ht="32" customHeight="1">
      <c r="A497" s="2"/>
      <c r="B497" s="10" t="str">
        <f>IF(A497="","",IF(COUNTIFS(Data!$A$2:$A$501,A497)=1,INDEX(Data!$B$2:$B$501,MATCH(A497,Data!$A$2:$A$501,0)),"Not in current directory"))</f>
        <v/>
      </c>
      <c r="C497" s="8"/>
      <c r="D497" s="8"/>
      <c r="E497" s="9"/>
      <c r="F497" s="8"/>
      <c r="G497" s="9"/>
      <c r="H497" s="8"/>
      <c r="I497" s="8"/>
      <c r="J497" s="8"/>
      <c r="K497" s="8"/>
      <c r="L497" s="2" t="str">
        <f>IF(A497="","",IF(COUNTIFS($A$8:$A$507,A497)&lt;&gt;1,"Duplicate ID",IF(COUNTIFS(Data!$A$2:$A$501,A497)&lt;&gt;1,"Not current","Current")))</f>
        <v/>
      </c>
    </row>
    <row r="498" spans="1:12" ht="32" customHeight="1">
      <c r="A498" s="2"/>
      <c r="B498" s="10" t="str">
        <f>IF(A498="","",IF(COUNTIFS(Data!$A$2:$A$501,A498)=1,INDEX(Data!$B$2:$B$501,MATCH(A498,Data!$A$2:$A$501,0)),"Not in current directory"))</f>
        <v/>
      </c>
      <c r="C498" s="8"/>
      <c r="D498" s="8"/>
      <c r="E498" s="9"/>
      <c r="F498" s="8"/>
      <c r="G498" s="9"/>
      <c r="H498" s="8"/>
      <c r="I498" s="8"/>
      <c r="J498" s="8"/>
      <c r="K498" s="8"/>
      <c r="L498" s="2" t="str">
        <f>IF(A498="","",IF(COUNTIFS($A$8:$A$507,A498)&lt;&gt;1,"Duplicate ID",IF(COUNTIFS(Data!$A$2:$A$501,A498)&lt;&gt;1,"Not current","Current")))</f>
        <v/>
      </c>
    </row>
    <row r="499" spans="1:12" ht="32" customHeight="1">
      <c r="A499" s="2"/>
      <c r="B499" s="10" t="str">
        <f>IF(A499="","",IF(COUNTIFS(Data!$A$2:$A$501,A499)=1,INDEX(Data!$B$2:$B$501,MATCH(A499,Data!$A$2:$A$501,0)),"Not in current directory"))</f>
        <v/>
      </c>
      <c r="C499" s="8"/>
      <c r="D499" s="8"/>
      <c r="E499" s="9"/>
      <c r="F499" s="8"/>
      <c r="G499" s="9"/>
      <c r="H499" s="8"/>
      <c r="I499" s="8"/>
      <c r="J499" s="8"/>
      <c r="K499" s="8"/>
      <c r="L499" s="2" t="str">
        <f>IF(A499="","",IF(COUNTIFS($A$8:$A$507,A499)&lt;&gt;1,"Duplicate ID",IF(COUNTIFS(Data!$A$2:$A$501,A499)&lt;&gt;1,"Not current","Current")))</f>
        <v/>
      </c>
    </row>
    <row r="500" spans="1:12" ht="32" customHeight="1">
      <c r="A500" s="2"/>
      <c r="B500" s="10" t="str">
        <f>IF(A500="","",IF(COUNTIFS(Data!$A$2:$A$501,A500)=1,INDEX(Data!$B$2:$B$501,MATCH(A500,Data!$A$2:$A$501,0)),"Not in current directory"))</f>
        <v/>
      </c>
      <c r="C500" s="8"/>
      <c r="D500" s="8"/>
      <c r="E500" s="9"/>
      <c r="F500" s="8"/>
      <c r="G500" s="9"/>
      <c r="H500" s="8"/>
      <c r="I500" s="8"/>
      <c r="J500" s="8"/>
      <c r="K500" s="8"/>
      <c r="L500" s="2" t="str">
        <f>IF(A500="","",IF(COUNTIFS($A$8:$A$507,A500)&lt;&gt;1,"Duplicate ID",IF(COUNTIFS(Data!$A$2:$A$501,A500)&lt;&gt;1,"Not current","Current")))</f>
        <v/>
      </c>
    </row>
    <row r="501" spans="1:12" ht="32" customHeight="1">
      <c r="A501" s="2"/>
      <c r="B501" s="10" t="str">
        <f>IF(A501="","",IF(COUNTIFS(Data!$A$2:$A$501,A501)=1,INDEX(Data!$B$2:$B$501,MATCH(A501,Data!$A$2:$A$501,0)),"Not in current directory"))</f>
        <v/>
      </c>
      <c r="C501" s="8"/>
      <c r="D501" s="8"/>
      <c r="E501" s="9"/>
      <c r="F501" s="8"/>
      <c r="G501" s="9"/>
      <c r="H501" s="8"/>
      <c r="I501" s="8"/>
      <c r="J501" s="8"/>
      <c r="K501" s="8"/>
      <c r="L501" s="2" t="str">
        <f>IF(A501="","",IF(COUNTIFS($A$8:$A$507,A501)&lt;&gt;1,"Duplicate ID",IF(COUNTIFS(Data!$A$2:$A$501,A501)&lt;&gt;1,"Not current","Current")))</f>
        <v/>
      </c>
    </row>
    <row r="502" spans="1:12" ht="32" customHeight="1">
      <c r="A502" s="2"/>
      <c r="B502" s="10" t="str">
        <f>IF(A502="","",IF(COUNTIFS(Data!$A$2:$A$501,A502)=1,INDEX(Data!$B$2:$B$501,MATCH(A502,Data!$A$2:$A$501,0)),"Not in current directory"))</f>
        <v/>
      </c>
      <c r="C502" s="8"/>
      <c r="D502" s="8"/>
      <c r="E502" s="9"/>
      <c r="F502" s="8"/>
      <c r="G502" s="9"/>
      <c r="H502" s="8"/>
      <c r="I502" s="8"/>
      <c r="J502" s="8"/>
      <c r="K502" s="8"/>
      <c r="L502" s="2" t="str">
        <f>IF(A502="","",IF(COUNTIFS($A$8:$A$507,A502)&lt;&gt;1,"Duplicate ID",IF(COUNTIFS(Data!$A$2:$A$501,A502)&lt;&gt;1,"Not current","Current")))</f>
        <v/>
      </c>
    </row>
    <row r="503" spans="1:12" ht="32" customHeight="1">
      <c r="A503" s="2"/>
      <c r="B503" s="10" t="str">
        <f>IF(A503="","",IF(COUNTIFS(Data!$A$2:$A$501,A503)=1,INDEX(Data!$B$2:$B$501,MATCH(A503,Data!$A$2:$A$501,0)),"Not in current directory"))</f>
        <v/>
      </c>
      <c r="C503" s="8"/>
      <c r="D503" s="8"/>
      <c r="E503" s="9"/>
      <c r="F503" s="8"/>
      <c r="G503" s="9"/>
      <c r="H503" s="8"/>
      <c r="I503" s="8"/>
      <c r="J503" s="8"/>
      <c r="K503" s="8"/>
      <c r="L503" s="2" t="str">
        <f>IF(A503="","",IF(COUNTIFS($A$8:$A$507,A503)&lt;&gt;1,"Duplicate ID",IF(COUNTIFS(Data!$A$2:$A$501,A503)&lt;&gt;1,"Not current","Current")))</f>
        <v/>
      </c>
    </row>
    <row r="504" spans="1:12" ht="32" customHeight="1">
      <c r="A504" s="2"/>
      <c r="B504" s="10" t="str">
        <f>IF(A504="","",IF(COUNTIFS(Data!$A$2:$A$501,A504)=1,INDEX(Data!$B$2:$B$501,MATCH(A504,Data!$A$2:$A$501,0)),"Not in current directory"))</f>
        <v/>
      </c>
      <c r="C504" s="8"/>
      <c r="D504" s="8"/>
      <c r="E504" s="9"/>
      <c r="F504" s="8"/>
      <c r="G504" s="9"/>
      <c r="H504" s="8"/>
      <c r="I504" s="8"/>
      <c r="J504" s="8"/>
      <c r="K504" s="8"/>
      <c r="L504" s="2" t="str">
        <f>IF(A504="","",IF(COUNTIFS($A$8:$A$507,A504)&lt;&gt;1,"Duplicate ID",IF(COUNTIFS(Data!$A$2:$A$501,A504)&lt;&gt;1,"Not current","Current")))</f>
        <v/>
      </c>
    </row>
    <row r="505" spans="1:12" ht="32" customHeight="1">
      <c r="A505" s="2"/>
      <c r="B505" s="10" t="str">
        <f>IF(A505="","",IF(COUNTIFS(Data!$A$2:$A$501,A505)=1,INDEX(Data!$B$2:$B$501,MATCH(A505,Data!$A$2:$A$501,0)),"Not in current directory"))</f>
        <v/>
      </c>
      <c r="C505" s="8"/>
      <c r="D505" s="8"/>
      <c r="E505" s="9"/>
      <c r="F505" s="8"/>
      <c r="G505" s="9"/>
      <c r="H505" s="8"/>
      <c r="I505" s="8"/>
      <c r="J505" s="8"/>
      <c r="K505" s="8"/>
      <c r="L505" s="2" t="str">
        <f>IF(A505="","",IF(COUNTIFS($A$8:$A$507,A505)&lt;&gt;1,"Duplicate ID",IF(COUNTIFS(Data!$A$2:$A$501,A505)&lt;&gt;1,"Not current","Current")))</f>
        <v/>
      </c>
    </row>
    <row r="506" spans="1:12" ht="32" customHeight="1">
      <c r="A506" s="2"/>
      <c r="B506" s="10" t="str">
        <f>IF(A506="","",IF(COUNTIFS(Data!$A$2:$A$501,A506)=1,INDEX(Data!$B$2:$B$501,MATCH(A506,Data!$A$2:$A$501,0)),"Not in current directory"))</f>
        <v/>
      </c>
      <c r="C506" s="8"/>
      <c r="D506" s="8"/>
      <c r="E506" s="9"/>
      <c r="F506" s="8"/>
      <c r="G506" s="9"/>
      <c r="H506" s="8"/>
      <c r="I506" s="8"/>
      <c r="J506" s="8"/>
      <c r="K506" s="8"/>
      <c r="L506" s="2" t="str">
        <f>IF(A506="","",IF(COUNTIFS($A$8:$A$507,A506)&lt;&gt;1,"Duplicate ID",IF(COUNTIFS(Data!$A$2:$A$501,A506)&lt;&gt;1,"Not current","Current")))</f>
        <v/>
      </c>
    </row>
    <row r="507" spans="1:12" ht="32" customHeight="1">
      <c r="A507" s="2"/>
      <c r="B507" s="10" t="str">
        <f>IF(A507="","",IF(COUNTIFS(Data!$A$2:$A$501,A507)=1,INDEX(Data!$B$2:$B$501,MATCH(A507,Data!$A$2:$A$501,0)),"Not in current directory"))</f>
        <v/>
      </c>
      <c r="C507" s="8"/>
      <c r="D507" s="8"/>
      <c r="E507" s="9"/>
      <c r="F507" s="8"/>
      <c r="G507" s="9"/>
      <c r="H507" s="8"/>
      <c r="I507" s="8"/>
      <c r="J507" s="8"/>
      <c r="K507" s="8"/>
      <c r="L507" s="2" t="str">
        <f>IF(A507="","",IF(COUNTIFS($A$8:$A$507,A507)&lt;&gt;1,"Duplicate ID",IF(COUNTIFS(Data!$A$2:$A$501,A507)&lt;&gt;1,"Not current","Current")))</f>
        <v/>
      </c>
    </row>
    <row r="508" spans="1:12" ht="2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2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22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22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22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22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22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22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22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22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22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22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22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22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22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22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22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22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22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22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22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22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22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22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22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22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22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22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22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22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22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22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22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22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22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22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22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22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22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22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22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22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2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</sheetData>
  <conditionalFormatting sqref="C8:C507">
    <cfRule type="cellIs" dxfId="0" priority="1" operator="equal">
      <formula>"Yes"</formula>
    </cfRule>
  </conditionalFormatting>
  <dataValidations count="5">
    <dataValidation type="list" sqref="C8:C507" xr:uid="{00000000-0002-0000-0300-000000000000}">
      <formula1>"No,Yes"</formula1>
    </dataValidation>
    <dataValidation type="list" sqref="J8:J507" xr:uid="{00000000-0002-0000-0300-000001000000}">
      <formula1>"Not contacted,Contacted,Interested,On hold,Declined"</formula1>
    </dataValidation>
    <dataValidation type="list" sqref="K8:K507" xr:uid="{00000000-0002-0000-0300-000002000000}">
      <formula1>"Unknown,Ready,Support needed,Not ready"</formula1>
    </dataValidation>
    <dataValidation type="decimal" sqref="D8:D507" xr:uid="{00000000-0002-0000-0300-000003000000}">
      <formula1>0</formula1>
      <formula2>100</formula2>
    </dataValidation>
    <dataValidation type="whole" sqref="F8:F507" xr:uid="{00000000-0002-0000-0300-000004000000}">
      <formula1>0</formula1>
      <formula2>1000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64C8-4AF0-4D56-B6A4-4CB02CE26D5E}">
  <dimension ref="A1:O512"/>
  <sheetViews>
    <sheetView showGridLines="0" zoomScale="73" zoomScaleNormal="75" workbookViewId="0">
      <pane ySplit="12" topLeftCell="A13" activePane="bottomLeft" state="frozen"/>
      <selection pane="bottomLeft" activeCell="J10" sqref="J10:K10"/>
    </sheetView>
  </sheetViews>
  <sheetFormatPr defaultRowHeight="14"/>
  <cols>
    <col min="1" max="1" width="8" customWidth="1"/>
    <col min="2" max="2" width="39" customWidth="1"/>
    <col min="3" max="3" width="12" customWidth="1"/>
    <col min="4" max="4" width="23" customWidth="1"/>
    <col min="5" max="7" width="12" customWidth="1"/>
    <col min="8" max="8" width="13" customWidth="1"/>
    <col min="9" max="9" width="12" customWidth="1"/>
    <col min="10" max="10" width="18" customWidth="1"/>
    <col min="11" max="11" width="40" customWidth="1"/>
    <col min="12" max="12" width="14" customWidth="1"/>
    <col min="13" max="13" width="19" customWidth="1"/>
    <col min="14" max="14" width="28" customWidth="1"/>
    <col min="15" max="15" width="32" customWidth="1"/>
    <col min="16" max="16" width="0" hidden="1" customWidth="1"/>
  </cols>
  <sheetData>
    <row r="1" spans="1:15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ht="21.5">
      <c r="A2" s="107" t="s">
        <v>4641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>
      <c r="A3" s="106" t="s">
        <v>4642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ht="28" customHeight="1" thickBot="1">
      <c r="A9" s="106" t="s">
        <v>36</v>
      </c>
      <c r="B9" s="106"/>
      <c r="C9" s="106"/>
      <c r="D9" s="106" t="s">
        <v>4628</v>
      </c>
      <c r="E9" s="106"/>
      <c r="F9" s="106"/>
      <c r="G9" s="106" t="s">
        <v>4630</v>
      </c>
      <c r="H9" s="106"/>
      <c r="I9" s="106"/>
      <c r="J9" s="106" t="s">
        <v>4631</v>
      </c>
      <c r="K9" s="106"/>
      <c r="L9" s="106"/>
      <c r="M9" s="123" t="s">
        <v>4639</v>
      </c>
      <c r="N9" s="123"/>
      <c r="O9" s="123"/>
    </row>
    <row r="10" spans="1:15" ht="30" customHeight="1" thickBot="1">
      <c r="A10" s="124" t="s">
        <v>39</v>
      </c>
      <c r="B10" s="125"/>
      <c r="C10" s="125"/>
      <c r="D10" s="125" t="s">
        <v>39</v>
      </c>
      <c r="E10" s="125"/>
      <c r="F10" s="125"/>
      <c r="G10" s="125" t="s">
        <v>4632</v>
      </c>
      <c r="H10" s="125"/>
      <c r="I10" s="125"/>
      <c r="J10" s="125" t="s">
        <v>4633</v>
      </c>
      <c r="K10" s="126"/>
      <c r="L10" s="106"/>
      <c r="M10" s="106"/>
      <c r="N10" s="106"/>
      <c r="O10" s="106"/>
    </row>
    <row r="11" spans="1:15" ht="25" customHeight="1">
      <c r="A11" s="122" t="str">
        <f ca="1">IF(SUM(Data!$AT$2051:$AT$2550)=0,"No matching schools. Change the filters above.",SUM(Data!$AT$2051:$AT$2550)&amp;" matching rankable schools. Select All to reset each filter.")</f>
        <v>293 matching rankable schools. Select All to reset each filter.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06"/>
      <c r="M11" s="106"/>
      <c r="N11" s="106"/>
      <c r="O11" s="106"/>
    </row>
    <row r="12" spans="1:15" ht="44" customHeight="1">
      <c r="A12" s="127" t="s">
        <v>11</v>
      </c>
      <c r="B12" s="128" t="s">
        <v>12</v>
      </c>
      <c r="C12" s="128" t="s">
        <v>13</v>
      </c>
      <c r="D12" s="128" t="s">
        <v>4628</v>
      </c>
      <c r="E12" s="128" t="s">
        <v>14</v>
      </c>
      <c r="F12" s="128" t="s">
        <v>15</v>
      </c>
      <c r="G12" s="128" t="s">
        <v>16</v>
      </c>
      <c r="H12" s="128" t="s">
        <v>17</v>
      </c>
      <c r="I12" s="128" t="s">
        <v>18</v>
      </c>
      <c r="J12" s="128" t="s">
        <v>19</v>
      </c>
      <c r="K12" s="128" t="s">
        <v>20</v>
      </c>
      <c r="L12" s="128" t="s">
        <v>4640</v>
      </c>
      <c r="M12" s="129" t="s">
        <v>4643</v>
      </c>
      <c r="N12" s="130" t="s">
        <v>4649</v>
      </c>
    </row>
    <row r="13" spans="1:15" ht="40" customHeight="1">
      <c r="A13" s="135">
        <f ca="1">IF($M13=0,"",INDEX(Data!$W$2051:$W$2550,$M13))</f>
        <v>1</v>
      </c>
      <c r="B13" s="138" t="str">
        <f ca="1">IF($M13=0,"",INDEX(Data!$B$2051:$B$2550,$M13))</f>
        <v>Tacony Academy Charter School</v>
      </c>
      <c r="C13" s="141" t="str">
        <f ca="1">IF($M13=0,"",INDEX(Data!$C$2051:$C$2550,$M13))</f>
        <v>Charter</v>
      </c>
      <c r="D13" s="141" t="str">
        <f ca="1">IF($M13=0,"",INDEX(Data!$D$2051:$D$2550,$M13))</f>
        <v>Elementary-Middle-High</v>
      </c>
      <c r="E13" s="142">
        <f ca="1">IF($M13=0,"",INDEX(Data!$G$2051:$G$2550,$M13))</f>
        <v>0.72040000000000004</v>
      </c>
      <c r="F13" s="141">
        <f ca="1">IF($M13=0,"",INDEX(Data!$F$2051:$F$2550,$M13))</f>
        <v>1090</v>
      </c>
      <c r="G13" s="143">
        <f ca="1">IF($M13=0,"",INDEX(Data!$K$2051:$K$2550,$M13))</f>
        <v>0.77847905884412827</v>
      </c>
      <c r="H13" s="141">
        <f ca="1">IF($M13=0,"",INDEX(Data!$L$2051:$L$2550,$M13))</f>
        <v>0</v>
      </c>
      <c r="I13" s="144">
        <f ca="1">IF($M13=0,"",INDEX(Data!$T$2051:$T$2550,$M13))</f>
        <v>70</v>
      </c>
      <c r="J13" s="141" t="str">
        <f ca="1">IF($M13=0,"",INDEX(Data!$U$2051:$U$2550,$M13))</f>
        <v>Listed</v>
      </c>
      <c r="K13" s="141" t="str">
        <f ca="1">IF($M13=0,"",INDEX(Data!$AA$2051:$AA$2550,$M13))</f>
        <v>72% economic need; 0.78 mi fresh access; 0 nearby resources</v>
      </c>
      <c r="L13" s="141" t="str">
        <f ca="1">IF($M13=0,"",IF(INDEX(Data!$AN$2051:$AN$2550,$M13)=0,"",IF(INDEX(Data!$U$41:$U$540,INDEX(Data!$AN$2051:$AN$2550,$M13))="","",INDEX(Data!$U$41:$U$540,INDEX(Data!$AN$2051:$AN$2550,$M13)))))</f>
        <v/>
      </c>
      <c r="M13" s="132">
        <f ca="1">IF(COUNTIFS(Data!$AV$2051:$AV$2550,1)=1,MATCH(1,Data!$AV$2051:$AV$2550,0),0)</f>
        <v>126</v>
      </c>
      <c r="N13" s="145" t="str">
        <f ca="1">IF($M13=0,"",IF(INDEX(Data!$I$2051:$I$2550,$M13)=0,"Add ID","Row "&amp;(INDEX(Data!$I$2051:$I$2550,$M13)+7)))</f>
        <v>Row 287</v>
      </c>
    </row>
    <row r="14" spans="1:15" ht="40" customHeight="1">
      <c r="A14" s="136">
        <f ca="1">IF($M14=0,"",INDEX(Data!$W$2051:$W$2550,$M14))</f>
        <v>2</v>
      </c>
      <c r="B14" s="139" t="str">
        <f ca="1">IF($M14=0,"",INDEX(Data!$B$2051:$B$2550,$M14))</f>
        <v>Joseph H. Brown School</v>
      </c>
      <c r="C14" s="146" t="str">
        <f ca="1">IF($M14=0,"",INDEX(Data!$C$2051:$C$2550,$M14))</f>
        <v>District</v>
      </c>
      <c r="D14" s="146" t="str">
        <f ca="1">IF($M14=0,"",INDEX(Data!$D$2051:$D$2550,$M14))</f>
        <v>Elementary-Middle</v>
      </c>
      <c r="E14" s="147">
        <f ca="1">IF($M14=0,"",INDEX(Data!$G$2051:$G$2550,$M14))</f>
        <v>0.80559999999999998</v>
      </c>
      <c r="F14" s="146">
        <f ca="1">IF($M14=0,"",INDEX(Data!$F$2051:$F$2550,$M14))</f>
        <v>427</v>
      </c>
      <c r="G14" s="148">
        <f ca="1">IF($M14=0,"",INDEX(Data!$K$2051:$K$2550,$M14))</f>
        <v>0.99422840329417839</v>
      </c>
      <c r="H14" s="146">
        <f ca="1">IF($M14=0,"",INDEX(Data!$L$2051:$L$2550,$M14))</f>
        <v>1</v>
      </c>
      <c r="I14" s="149">
        <f ca="1">IF($M14=0,"",INDEX(Data!$T$2051:$T$2550,$M14))</f>
        <v>68</v>
      </c>
      <c r="J14" s="146" t="str">
        <f ca="1">IF($M14=0,"",INDEX(Data!$U$2051:$U$2550,$M14))</f>
        <v>Listed</v>
      </c>
      <c r="K14" s="146" t="str">
        <f ca="1">IF($M14=0,"",INDEX(Data!$AA$2051:$AA$2550,$M14))</f>
        <v>81% economic need; 0.99 mi fresh access; 1 nearby resources</v>
      </c>
      <c r="L14" s="146" t="str">
        <f ca="1">IF($M14=0,"",IF(INDEX(Data!$AN$2051:$AN$2550,$M14)=0,"",IF(INDEX(Data!$U$41:$U$540,INDEX(Data!$AN$2051:$AN$2550,$M14))="","",INDEX(Data!$U$41:$U$540,INDEX(Data!$AN$2051:$AN$2550,$M14)))))</f>
        <v>215-400-3320</v>
      </c>
      <c r="M14" s="132">
        <f ca="1">IF(COUNTIFS(Data!$AV$2051:$AV$2550,2)=1,MATCH(2,Data!$AV$2051:$AV$2550,0),0)</f>
        <v>299</v>
      </c>
      <c r="N14" s="150" t="str">
        <f ca="1">IF($M14=0,"",IF(INDEX(Data!$I$2051:$I$2550,$M14)=0,"Add ID","Row "&amp;(INDEX(Data!$I$2051:$I$2550,$M14)+7)))</f>
        <v>Row 154</v>
      </c>
    </row>
    <row r="15" spans="1:15" ht="40" customHeight="1">
      <c r="A15" s="135">
        <f ca="1">IF($M15=0,"",INDEX(Data!$W$2051:$W$2550,$M15))</f>
        <v>3</v>
      </c>
      <c r="B15" s="138" t="str">
        <f ca="1">IF($M15=0,"",INDEX(Data!$B$2051:$B$2550,$M15))</f>
        <v>New Foundations Charter School</v>
      </c>
      <c r="C15" s="141" t="str">
        <f ca="1">IF($M15=0,"",INDEX(Data!$C$2051:$C$2550,$M15))</f>
        <v>Charter</v>
      </c>
      <c r="D15" s="141" t="str">
        <f ca="1">IF($M15=0,"",INDEX(Data!$D$2051:$D$2550,$M15))</f>
        <v>Elementary-Middle-High</v>
      </c>
      <c r="E15" s="142">
        <f ca="1">IF($M15=0,"",INDEX(Data!$G$2051:$G$2550,$M15))</f>
        <v>0.70840000000000003</v>
      </c>
      <c r="F15" s="141">
        <f ca="1">IF($M15=0,"",INDEX(Data!$F$2051:$F$2550,$M15))</f>
        <v>1538</v>
      </c>
      <c r="G15" s="143">
        <f ca="1">IF($M15=0,"",INDEX(Data!$K$2051:$K$2550,$M15))</f>
        <v>1.3873237300055541</v>
      </c>
      <c r="H15" s="141">
        <f ca="1">IF($M15=0,"",INDEX(Data!$L$2051:$L$2550,$M15))</f>
        <v>2</v>
      </c>
      <c r="I15" s="144">
        <f ca="1">IF($M15=0,"",INDEX(Data!$T$2051:$T$2550,$M15))</f>
        <v>65</v>
      </c>
      <c r="J15" s="141" t="str">
        <f ca="1">IF($M15=0,"",INDEX(Data!$U$2051:$U$2550,$M15))</f>
        <v>Listed</v>
      </c>
      <c r="K15" s="141" t="str">
        <f ca="1">IF($M15=0,"",INDEX(Data!$AA$2051:$AA$2550,$M15))</f>
        <v>71% economic need; 1.39 mi fresh access; 2 nearby resources</v>
      </c>
      <c r="L15" s="141" t="str">
        <f ca="1">IF($M15=0,"",IF(INDEX(Data!$AN$2051:$AN$2550,$M15)=0,"",IF(INDEX(Data!$U$41:$U$540,INDEX(Data!$AN$2051:$AN$2550,$M15))="","",INDEX(Data!$U$41:$U$540,INDEX(Data!$AN$2051:$AN$2550,$M15)))))</f>
        <v>215-624-8100</v>
      </c>
      <c r="M15" s="132">
        <f ca="1">IF(COUNTIFS(Data!$AV$2051:$AV$2550,3)=1,MATCH(3,Data!$AV$2051:$AV$2550,0),0)</f>
        <v>94</v>
      </c>
      <c r="N15" s="145" t="str">
        <f ca="1">IF($M15=0,"",IF(INDEX(Data!$I$2051:$I$2550,$M15)=0,"Add ID","Row "&amp;(INDEX(Data!$I$2051:$I$2550,$M15)+7)))</f>
        <v>Row 211</v>
      </c>
    </row>
    <row r="16" spans="1:15" ht="40" customHeight="1">
      <c r="A16" s="136">
        <f ca="1">IF($M16=0,"",INDEX(Data!$W$2051:$W$2550,$M16))</f>
        <v>4</v>
      </c>
      <c r="B16" s="139" t="str">
        <f ca="1">IF($M16=0,"",INDEX(Data!$B$2051:$B$2550,$M16))</f>
        <v>Southwest Leadership Academy Charter School</v>
      </c>
      <c r="C16" s="146" t="str">
        <f ca="1">IF($M16=0,"",INDEX(Data!$C$2051:$C$2550,$M16))</f>
        <v>Charter</v>
      </c>
      <c r="D16" s="146" t="str">
        <f ca="1">IF($M16=0,"",INDEX(Data!$D$2051:$D$2550,$M16))</f>
        <v>Elementary-Middle</v>
      </c>
      <c r="E16" s="147">
        <f ca="1">IF($M16=0,"",INDEX(Data!$G$2051:$G$2550,$M16))</f>
        <v>1</v>
      </c>
      <c r="F16" s="146">
        <f ca="1">IF($M16=0,"",INDEX(Data!$F$2051:$F$2550,$M16))</f>
        <v>690</v>
      </c>
      <c r="G16" s="148">
        <f ca="1">IF($M16=0,"",INDEX(Data!$K$2051:$K$2550,$M16))</f>
        <v>0.74331399043601476</v>
      </c>
      <c r="H16" s="146">
        <f ca="1">IF($M16=0,"",INDEX(Data!$L$2051:$L$2550,$M16))</f>
        <v>2</v>
      </c>
      <c r="I16" s="149">
        <f ca="1">IF($M16=0,"",INDEX(Data!$T$2051:$T$2550,$M16))</f>
        <v>64</v>
      </c>
      <c r="J16" s="146" t="str">
        <f ca="1">IF($M16=0,"",INDEX(Data!$U$2051:$U$2550,$M16))</f>
        <v>Listed</v>
      </c>
      <c r="K16" s="146" t="str">
        <f ca="1">IF($M16=0,"",INDEX(Data!$AA$2051:$AA$2550,$M16))</f>
        <v>100% economic need; 0.74 mi fresh access; 2 nearby resources</v>
      </c>
      <c r="L16" s="146" t="str">
        <f ca="1">IF($M16=0,"",IF(INDEX(Data!$AN$2051:$AN$2550,$M16)=0,"",IF(INDEX(Data!$U$41:$U$540,INDEX(Data!$AN$2051:$AN$2550,$M16))="","",INDEX(Data!$U$41:$U$540,INDEX(Data!$AN$2051:$AN$2550,$M16)))))</f>
        <v>215-729-1939</v>
      </c>
      <c r="M16" s="132">
        <f ca="1">IF(COUNTIFS(Data!$AV$2051:$AV$2550,4)=1,MATCH(4,Data!$AV$2051:$AV$2550,0),0)</f>
        <v>120</v>
      </c>
      <c r="N16" s="150" t="str">
        <f ca="1">IF($M16=0,"",IF(INDEX(Data!$I$2051:$I$2550,$M16)=0,"Add ID","Row "&amp;(INDEX(Data!$I$2051:$I$2550,$M16)+7)))</f>
        <v>Row 280</v>
      </c>
    </row>
    <row r="17" spans="1:14" ht="40" customHeight="1">
      <c r="A17" s="135">
        <f ca="1">IF($M17=0,"",INDEX(Data!$W$2051:$W$2550,$M17))</f>
        <v>5</v>
      </c>
      <c r="B17" s="138" t="str">
        <f ca="1">IF($M17=0,"",INDEX(Data!$B$2051:$B$2550,$M17))</f>
        <v>Ad Prima Charter School</v>
      </c>
      <c r="C17" s="141" t="str">
        <f ca="1">IF($M17=0,"",INDEX(Data!$C$2051:$C$2550,$M17))</f>
        <v>Charter</v>
      </c>
      <c r="D17" s="141" t="str">
        <f ca="1">IF($M17=0,"",INDEX(Data!$D$2051:$D$2550,$M17))</f>
        <v>Elementary-Middle</v>
      </c>
      <c r="E17" s="142">
        <f ca="1">IF($M17=0,"",INDEX(Data!$G$2051:$G$2550,$M17))</f>
        <v>0.9274</v>
      </c>
      <c r="F17" s="141">
        <f ca="1">IF($M17=0,"",INDEX(Data!$F$2051:$F$2550,$M17))</f>
        <v>617</v>
      </c>
      <c r="G17" s="143">
        <f ca="1">IF($M17=0,"",INDEX(Data!$K$2051:$K$2550,$M17))</f>
        <v>1.2644636123923818</v>
      </c>
      <c r="H17" s="141">
        <f ca="1">IF($M17=0,"",INDEX(Data!$L$2051:$L$2550,$M17))</f>
        <v>4</v>
      </c>
      <c r="I17" s="144">
        <f ca="1">IF($M17=0,"",INDEX(Data!$T$2051:$T$2550,$M17))</f>
        <v>64</v>
      </c>
      <c r="J17" s="141" t="str">
        <f ca="1">IF($M17=0,"",INDEX(Data!$U$2051:$U$2550,$M17))</f>
        <v>Listed</v>
      </c>
      <c r="K17" s="141" t="str">
        <f ca="1">IF($M17=0,"",INDEX(Data!$AA$2051:$AA$2550,$M17))</f>
        <v>93% economic need; 1.26 mi fresh access; 4 nearby resources</v>
      </c>
      <c r="L17" s="141" t="str">
        <f ca="1">IF($M17=0,"",IF(INDEX(Data!$AN$2051:$AN$2550,$M17)=0,"",IF(INDEX(Data!$U$41:$U$540,INDEX(Data!$AN$2051:$AN$2550,$M17))="","",INDEX(Data!$U$41:$U$540,INDEX(Data!$AN$2051:$AN$2550,$M17)))))</f>
        <v>267-403-2672</v>
      </c>
      <c r="M17" s="132">
        <f ca="1">IF(COUNTIFS(Data!$AV$2051:$AV$2550,5)=1,MATCH(5,Data!$AV$2051:$AV$2550,0),0)</f>
        <v>113</v>
      </c>
      <c r="N17" s="145" t="str">
        <f ca="1">IF($M17=0,"",IF(INDEX(Data!$I$2051:$I$2550,$M17)=0,"Add ID","Row "&amp;(INDEX(Data!$I$2051:$I$2550,$M17)+7)))</f>
        <v>Row 15</v>
      </c>
    </row>
    <row r="18" spans="1:14" ht="40" customHeight="1">
      <c r="A18" s="136">
        <f ca="1">IF($M18=0,"",INDEX(Data!$W$2051:$W$2550,$M18))</f>
        <v>6</v>
      </c>
      <c r="B18" s="139" t="str">
        <f ca="1">IF($M18=0,"",INDEX(Data!$B$2051:$B$2550,$M18))</f>
        <v>Rhawnhurst School</v>
      </c>
      <c r="C18" s="146" t="str">
        <f ca="1">IF($M18=0,"",INDEX(Data!$C$2051:$C$2550,$M18))</f>
        <v>District</v>
      </c>
      <c r="D18" s="146" t="str">
        <f ca="1">IF($M18=0,"",INDEX(Data!$D$2051:$D$2550,$M18))</f>
        <v>Elementary</v>
      </c>
      <c r="E18" s="147">
        <f ca="1">IF($M18=0,"",INDEX(Data!$G$2051:$G$2550,$M18))</f>
        <v>0.76370000000000005</v>
      </c>
      <c r="F18" s="146">
        <f ca="1">IF($M18=0,"",INDEX(Data!$F$2051:$F$2550,$M18))</f>
        <v>584</v>
      </c>
      <c r="G18" s="148">
        <f ca="1">IF($M18=0,"",INDEX(Data!$K$2051:$K$2550,$M18))</f>
        <v>0.51437216105070149</v>
      </c>
      <c r="H18" s="146">
        <f ca="1">IF($M18=0,"",INDEX(Data!$L$2051:$L$2550,$M18))</f>
        <v>0</v>
      </c>
      <c r="I18" s="149">
        <f ca="1">IF($M18=0,"",INDEX(Data!$T$2051:$T$2550,$M18))</f>
        <v>64</v>
      </c>
      <c r="J18" s="146" t="str">
        <f ca="1">IF($M18=0,"",INDEX(Data!$U$2051:$U$2550,$M18))</f>
        <v>Listed</v>
      </c>
      <c r="K18" s="146" t="str">
        <f ca="1">IF($M18=0,"",INDEX(Data!$AA$2051:$AA$2550,$M18))</f>
        <v>76% economic need; 0.51 mi fresh access; 0 nearby resources</v>
      </c>
      <c r="L18" s="146" t="str">
        <f ca="1">IF($M18=0,"",IF(INDEX(Data!$AN$2051:$AN$2550,$M18)=0,"",IF(INDEX(Data!$U$41:$U$540,INDEX(Data!$AN$2051:$AN$2550,$M18))="","",INDEX(Data!$U$41:$U$540,INDEX(Data!$AN$2051:$AN$2550,$M18)))))</f>
        <v>215-400-3220</v>
      </c>
      <c r="M18" s="132">
        <f ca="1">IF(COUNTIFS(Data!$AV$2051:$AV$2550,6)=1,MATCH(6,Data!$AV$2051:$AV$2550,0),0)</f>
        <v>309</v>
      </c>
      <c r="N18" s="150" t="str">
        <f ca="1">IF($M18=0,"",IF(INDEX(Data!$I$2051:$I$2550,$M18)=0,"Add ID","Row "&amp;(INDEX(Data!$I$2051:$I$2550,$M18)+7)))</f>
        <v>Row 254</v>
      </c>
    </row>
    <row r="19" spans="1:14" ht="40" customHeight="1">
      <c r="A19" s="135">
        <f ca="1">IF($M19=0,"",INDEX(Data!$W$2051:$W$2550,$M19))</f>
        <v>7</v>
      </c>
      <c r="B19" s="138" t="str">
        <f ca="1">IF($M19=0,"",INDEX(Data!$B$2051:$B$2550,$M19))</f>
        <v>Penrose School</v>
      </c>
      <c r="C19" s="141" t="str">
        <f ca="1">IF($M19=0,"",INDEX(Data!$C$2051:$C$2550,$M19))</f>
        <v>District</v>
      </c>
      <c r="D19" s="141" t="str">
        <f ca="1">IF($M19=0,"",INDEX(Data!$D$2051:$D$2550,$M19))</f>
        <v>Elementary-Middle</v>
      </c>
      <c r="E19" s="142">
        <f ca="1">IF($M19=0,"",INDEX(Data!$G$2051:$G$2550,$M19))</f>
        <v>0.83720000000000006</v>
      </c>
      <c r="F19" s="141">
        <f ca="1">IF($M19=0,"",INDEX(Data!$F$2051:$F$2550,$M19))</f>
        <v>429</v>
      </c>
      <c r="G19" s="143">
        <f ca="1">IF($M19=0,"",INDEX(Data!$K$2051:$K$2550,$M19))</f>
        <v>0.50154308981642015</v>
      </c>
      <c r="H19" s="141">
        <f ca="1">IF($M19=0,"",INDEX(Data!$L$2051:$L$2550,$M19))</f>
        <v>1</v>
      </c>
      <c r="I19" s="144">
        <f ca="1">IF($M19=0,"",INDEX(Data!$T$2051:$T$2550,$M19))</f>
        <v>63</v>
      </c>
      <c r="J19" s="141" t="str">
        <f ca="1">IF($M19=0,"",INDEX(Data!$U$2051:$U$2550,$M19))</f>
        <v>Listed</v>
      </c>
      <c r="K19" s="141" t="str">
        <f ca="1">IF($M19=0,"",INDEX(Data!$AA$2051:$AA$2550,$M19))</f>
        <v>84% economic need; 0.50 mi fresh access; 1 nearby resources</v>
      </c>
      <c r="L19" s="141" t="str">
        <f ca="1">IF($M19=0,"",IF(INDEX(Data!$AN$2051:$AN$2550,$M19)=0,"",IF(INDEX(Data!$U$41:$U$540,INDEX(Data!$AN$2051:$AN$2550,$M19))="","",INDEX(Data!$U$41:$U$540,INDEX(Data!$AN$2051:$AN$2550,$M19)))))</f>
        <v>215-400-8310</v>
      </c>
      <c r="M19" s="132">
        <f ca="1">IF(COUNTIFS(Data!$AV$2051:$AV$2550,7)=1,MATCH(7,Data!$AV$2051:$AV$2550,0),0)</f>
        <v>24</v>
      </c>
      <c r="N19" s="145" t="str">
        <f ca="1">IF($M19=0,"",IF(INDEX(Data!$I$2051:$I$2550,$M19)=0,"Add ID","Row "&amp;(INDEX(Data!$I$2051:$I$2550,$M19)+7)))</f>
        <v>Row 236</v>
      </c>
    </row>
    <row r="20" spans="1:14" ht="40" customHeight="1">
      <c r="A20" s="136">
        <f ca="1">IF($M20=0,"",INDEX(Data!$W$2051:$W$2550,$M20))</f>
        <v>8</v>
      </c>
      <c r="B20" s="139" t="str">
        <f ca="1">IF($M20=0,"",INDEX(Data!$B$2051:$B$2550,$M20))</f>
        <v>Robert E. Lamberton School</v>
      </c>
      <c r="C20" s="146" t="str">
        <f ca="1">IF($M20=0,"",INDEX(Data!$C$2051:$C$2550,$M20))</f>
        <v>District</v>
      </c>
      <c r="D20" s="146" t="str">
        <f ca="1">IF($M20=0,"",INDEX(Data!$D$2051:$D$2550,$M20))</f>
        <v>Elementary-Middle</v>
      </c>
      <c r="E20" s="147">
        <f ca="1">IF($M20=0,"",INDEX(Data!$G$2051:$G$2550,$M20))</f>
        <v>0.83550000000000002</v>
      </c>
      <c r="F20" s="146">
        <f ca="1">IF($M20=0,"",INDEX(Data!$F$2051:$F$2550,$M20))</f>
        <v>362</v>
      </c>
      <c r="G20" s="148">
        <f ca="1">IF($M20=0,"",INDEX(Data!$K$2051:$K$2550,$M20))</f>
        <v>0.31893513589770489</v>
      </c>
      <c r="H20" s="146">
        <f ca="1">IF($M20=0,"",INDEX(Data!$L$2051:$L$2550,$M20))</f>
        <v>0</v>
      </c>
      <c r="I20" s="149">
        <f ca="1">IF($M20=0,"",INDEX(Data!$T$2051:$T$2550,$M20))</f>
        <v>63</v>
      </c>
      <c r="J20" s="146" t="str">
        <f ca="1">IF($M20=0,"",INDEX(Data!$U$2051:$U$2550,$M20))</f>
        <v>Listed</v>
      </c>
      <c r="K20" s="146" t="str">
        <f ca="1">IF($M20=0,"",INDEX(Data!$AA$2051:$AA$2550,$M20))</f>
        <v>84% economic need; 0.32 mi fresh access; 0 nearby resources</v>
      </c>
      <c r="L20" s="146" t="str">
        <f ca="1">IF($M20=0,"",IF(INDEX(Data!$AN$2051:$AN$2550,$M20)=0,"",IF(INDEX(Data!$U$41:$U$540,INDEX(Data!$AN$2051:$AN$2550,$M20))="","",INDEX(Data!$U$41:$U$540,INDEX(Data!$AN$2051:$AN$2550,$M20)))))</f>
        <v>215-400-7530</v>
      </c>
      <c r="M20" s="132">
        <f ca="1">IF(COUNTIFS(Data!$AV$2051:$AV$2550,8)=1,MATCH(8,Data!$AV$2051:$AV$2550,0),0)</f>
        <v>166</v>
      </c>
      <c r="N20" s="150" t="str">
        <f ca="1">IF($M20=0,"",IF(INDEX(Data!$I$2051:$I$2550,$M20)=0,"Add ID","Row "&amp;(INDEX(Data!$I$2051:$I$2550,$M20)+7)))</f>
        <v>Row 259</v>
      </c>
    </row>
    <row r="21" spans="1:14" ht="40" customHeight="1">
      <c r="A21" s="135">
        <f ca="1">IF($M21=0,"",INDEX(Data!$W$2051:$W$2550,$M21))</f>
        <v>9</v>
      </c>
      <c r="B21" s="138" t="str">
        <f ca="1">IF($M21=0,"",INDEX(Data!$B$2051:$B$2550,$M21))</f>
        <v>Lankenau High School</v>
      </c>
      <c r="C21" s="141" t="str">
        <f ca="1">IF($M21=0,"",INDEX(Data!$C$2051:$C$2550,$M21))</f>
        <v>District</v>
      </c>
      <c r="D21" s="141" t="str">
        <f ca="1">IF($M21=0,"",INDEX(Data!$D$2051:$D$2550,$M21))</f>
        <v>High</v>
      </c>
      <c r="E21" s="142">
        <f ca="1">IF($M21=0,"",INDEX(Data!$G$2051:$G$2550,$M21))</f>
        <v>0.64</v>
      </c>
      <c r="F21" s="141">
        <f ca="1">IF($M21=0,"",INDEX(Data!$F$2051:$F$2550,$M21))</f>
        <v>225</v>
      </c>
      <c r="G21" s="143">
        <f ca="1">IF($M21=0,"",INDEX(Data!$K$2051:$K$2550,$M21))</f>
        <v>0.86714508435949522</v>
      </c>
      <c r="H21" s="141">
        <f ca="1">IF($M21=0,"",INDEX(Data!$L$2051:$L$2550,$M21))</f>
        <v>0</v>
      </c>
      <c r="I21" s="144">
        <f ca="1">IF($M21=0,"",INDEX(Data!$T$2051:$T$2550,$M21))</f>
        <v>62</v>
      </c>
      <c r="J21" s="141" t="str">
        <f ca="1">IF($M21=0,"",INDEX(Data!$U$2051:$U$2550,$M21))</f>
        <v>Listed</v>
      </c>
      <c r="K21" s="141" t="str">
        <f ca="1">IF($M21=0,"",INDEX(Data!$AA$2051:$AA$2550,$M21))</f>
        <v>64% economic need; 0.87 mi fresh access; 0 nearby resources</v>
      </c>
      <c r="L21" s="141" t="str">
        <f ca="1">IF($M21=0,"",IF(INDEX(Data!$AN$2051:$AN$2550,$M21)=0,"",IF(INDEX(Data!$U$41:$U$540,INDEX(Data!$AN$2051:$AN$2550,$M21))="","",INDEX(Data!$U$41:$U$540,INDEX(Data!$AN$2051:$AN$2550,$M21)))))</f>
        <v>215-400-3420</v>
      </c>
      <c r="M21" s="132">
        <f ca="1">IF(COUNTIFS(Data!$AV$2051:$AV$2550,9)=1,MATCH(9,Data!$AV$2051:$AV$2550,0),0)</f>
        <v>251</v>
      </c>
      <c r="N21" s="145" t="str">
        <f ca="1">IF($M21=0,"",IF(INDEX(Data!$I$2051:$I$2550,$M21)=0,"Add ID","Row "&amp;(INDEX(Data!$I$2051:$I$2550,$M21)+7)))</f>
        <v>Row 174</v>
      </c>
    </row>
    <row r="22" spans="1:14" ht="40" customHeight="1">
      <c r="A22" s="136">
        <f ca="1">IF($M22=0,"",INDEX(Data!$W$2051:$W$2550,$M22))</f>
        <v>10</v>
      </c>
      <c r="B22" s="139" t="str">
        <f ca="1">IF($M22=0,"",INDEX(Data!$B$2051:$B$2550,$M22))</f>
        <v>Robert B. Pollock School</v>
      </c>
      <c r="C22" s="146" t="str">
        <f ca="1">IF($M22=0,"",INDEX(Data!$C$2051:$C$2550,$M22))</f>
        <v>District</v>
      </c>
      <c r="D22" s="146" t="str">
        <f ca="1">IF($M22=0,"",INDEX(Data!$D$2051:$D$2550,$M22))</f>
        <v>Elementary-Middle</v>
      </c>
      <c r="E22" s="147">
        <f ca="1">IF($M22=0,"",INDEX(Data!$G$2051:$G$2550,$M22))</f>
        <v>0.73409999999999997</v>
      </c>
      <c r="F22" s="146">
        <f ca="1">IF($M22=0,"",INDEX(Data!$F$2051:$F$2550,$M22))</f>
        <v>900</v>
      </c>
      <c r="G22" s="148">
        <f ca="1">IF($M22=0,"",INDEX(Data!$K$2051:$K$2550,$M22))</f>
        <v>0.80763086314446486</v>
      </c>
      <c r="H22" s="146">
        <f ca="1">IF($M22=0,"",INDEX(Data!$L$2051:$L$2550,$M22))</f>
        <v>2</v>
      </c>
      <c r="I22" s="149">
        <f ca="1">IF($M22=0,"",INDEX(Data!$T$2051:$T$2550,$M22))</f>
        <v>60</v>
      </c>
      <c r="J22" s="146" t="str">
        <f ca="1">IF($M22=0,"",INDEX(Data!$U$2051:$U$2550,$M22))</f>
        <v>Listed</v>
      </c>
      <c r="K22" s="146" t="str">
        <f ca="1">IF($M22=0,"",INDEX(Data!$AA$2051:$AA$2550,$M22))</f>
        <v>73% economic need; 0.81 mi fresh access; 2 nearby resources</v>
      </c>
      <c r="L22" s="146" t="str">
        <f ca="1">IF($M22=0,"",IF(INDEX(Data!$AN$2051:$AN$2550,$M22)=0,"",IF(INDEX(Data!$U$41:$U$540,INDEX(Data!$AN$2051:$AN$2550,$M22))="","",INDEX(Data!$U$41:$U$540,INDEX(Data!$AN$2051:$AN$2550,$M22)))))</f>
        <v>215-400-3210</v>
      </c>
      <c r="M22" s="132">
        <f ca="1">IF(COUNTIFS(Data!$AV$2051:$AV$2550,10)=1,MATCH(10,Data!$AV$2051:$AV$2550,0),0)</f>
        <v>314</v>
      </c>
      <c r="N22" s="150" t="str">
        <f ca="1">IF($M22=0,"",IF(INDEX(Data!$I$2051:$I$2550,$M22)=0,"Add ID","Row "&amp;(INDEX(Data!$I$2051:$I$2550,$M22)+7)))</f>
        <v>Row 258</v>
      </c>
    </row>
    <row r="23" spans="1:14" ht="40" customHeight="1">
      <c r="A23" s="135">
        <f ca="1">IF($M23=0,"",INDEX(Data!$W$2051:$W$2550,$M23))</f>
        <v>11</v>
      </c>
      <c r="B23" s="138" t="str">
        <f ca="1">IF($M23=0,"",INDEX(Data!$B$2051:$B$2550,$M23))</f>
        <v>Northeast High School</v>
      </c>
      <c r="C23" s="141" t="str">
        <f ca="1">IF($M23=0,"",INDEX(Data!$C$2051:$C$2550,$M23))</f>
        <v>District</v>
      </c>
      <c r="D23" s="141" t="str">
        <f ca="1">IF($M23=0,"",INDEX(Data!$D$2051:$D$2550,$M23))</f>
        <v>High</v>
      </c>
      <c r="E23" s="142">
        <f ca="1">IF($M23=0,"",INDEX(Data!$G$2051:$G$2550,$M23))</f>
        <v>0.71919999999999995</v>
      </c>
      <c r="F23" s="141">
        <f ca="1">IF($M23=0,"",INDEX(Data!$F$2051:$F$2550,$M23))</f>
        <v>3541</v>
      </c>
      <c r="G23" s="143">
        <f ca="1">IF($M23=0,"",INDEX(Data!$K$2051:$K$2550,$M23))</f>
        <v>0.37970186361207736</v>
      </c>
      <c r="H23" s="141">
        <f ca="1">IF($M23=0,"",INDEX(Data!$L$2051:$L$2550,$M23))</f>
        <v>0</v>
      </c>
      <c r="I23" s="144">
        <f ca="1">IF($M23=0,"",INDEX(Data!$T$2051:$T$2550,$M23))</f>
        <v>60</v>
      </c>
      <c r="J23" s="141" t="str">
        <f ca="1">IF($M23=0,"",INDEX(Data!$U$2051:$U$2550,$M23))</f>
        <v>Listed</v>
      </c>
      <c r="K23" s="141" t="str">
        <f ca="1">IF($M23=0,"",INDEX(Data!$AA$2051:$AA$2550,$M23))</f>
        <v>72% economic need; 0.38 mi fresh access; 0 nearby resources</v>
      </c>
      <c r="L23" s="141" t="str">
        <f ca="1">IF($M23=0,"",IF(INDEX(Data!$AN$2051:$AN$2550,$M23)=0,"",IF(INDEX(Data!$U$41:$U$540,INDEX(Data!$AN$2051:$AN$2550,$M23))="","",INDEX(Data!$U$41:$U$540,INDEX(Data!$AN$2051:$AN$2550,$M23)))))</f>
        <v>215-400-3200</v>
      </c>
      <c r="M23" s="132">
        <f ca="1">IF(COUNTIFS(Data!$AV$2051:$AV$2550,11)=1,MATCH(11,Data!$AV$2051:$AV$2550,0),0)</f>
        <v>287</v>
      </c>
      <c r="N23" s="145" t="str">
        <f ca="1">IF($M23=0,"",IF(INDEX(Data!$I$2051:$I$2550,$M23)=0,"Add ID","Row "&amp;(INDEX(Data!$I$2051:$I$2550,$M23)+7)))</f>
        <v>Row 213</v>
      </c>
    </row>
    <row r="24" spans="1:14" ht="40" customHeight="1">
      <c r="A24" s="136">
        <f ca="1">IF($M24=0,"",INDEX(Data!$W$2051:$W$2550,$M24))</f>
        <v>12</v>
      </c>
      <c r="B24" s="139" t="str">
        <f ca="1">IF($M24=0,"",INDEX(Data!$B$2051:$B$2550,$M24))</f>
        <v>Aloysius L. Fitzpatrick School</v>
      </c>
      <c r="C24" s="146" t="str">
        <f ca="1">IF($M24=0,"",INDEX(Data!$C$2051:$C$2550,$M24))</f>
        <v>District</v>
      </c>
      <c r="D24" s="146" t="str">
        <f ca="1">IF($M24=0,"",INDEX(Data!$D$2051:$D$2550,$M24))</f>
        <v>Elementary-Middle</v>
      </c>
      <c r="E24" s="147">
        <f ca="1">IF($M24=0,"",INDEX(Data!$G$2051:$G$2550,$M24))</f>
        <v>0.71760000000000002</v>
      </c>
      <c r="F24" s="146">
        <f ca="1">IF($M24=0,"",INDEX(Data!$F$2051:$F$2550,$M24))</f>
        <v>868</v>
      </c>
      <c r="G24" s="148">
        <f ca="1">IF($M24=0,"",INDEX(Data!$K$2051:$K$2550,$M24))</f>
        <v>0.48645902345094222</v>
      </c>
      <c r="H24" s="146">
        <f ca="1">IF($M24=0,"",INDEX(Data!$L$2051:$L$2550,$M24))</f>
        <v>0</v>
      </c>
      <c r="I24" s="149">
        <f ca="1">IF($M24=0,"",INDEX(Data!$T$2051:$T$2550,$M24))</f>
        <v>60</v>
      </c>
      <c r="J24" s="146" t="str">
        <f ca="1">IF($M24=0,"",INDEX(Data!$U$2051:$U$2550,$M24))</f>
        <v>Listed</v>
      </c>
      <c r="K24" s="146" t="str">
        <f ca="1">IF($M24=0,"",INDEX(Data!$AA$2051:$AA$2550,$M24))</f>
        <v>72% economic need; 0.49 mi fresh access; 0 nearby resources</v>
      </c>
      <c r="L24" s="146" t="str">
        <f ca="1">IF($M24=0,"",IF(INDEX(Data!$AN$2051:$AN$2550,$M24)=0,"",IF(INDEX(Data!$U$41:$U$540,INDEX(Data!$AN$2051:$AN$2550,$M24))="","",INDEX(Data!$U$41:$U$540,INDEX(Data!$AN$2051:$AN$2550,$M24)))))</f>
        <v>215-400-3060</v>
      </c>
      <c r="M24" s="132">
        <f ca="1">IF(COUNTIFS(Data!$AV$2051:$AV$2550,12)=1,MATCH(12,Data!$AV$2051:$AV$2550,0),0)</f>
        <v>312</v>
      </c>
      <c r="N24" s="150" t="str">
        <f ca="1">IF($M24=0,"",IF(INDEX(Data!$I$2051:$I$2550,$M24)=0,"Add ID","Row "&amp;(INDEX(Data!$I$2051:$I$2550,$M24)+7)))</f>
        <v>Row 23</v>
      </c>
    </row>
    <row r="25" spans="1:14" ht="40" customHeight="1">
      <c r="A25" s="135">
        <f ca="1">IF($M25=0,"",INDEX(Data!$W$2051:$W$2550,$M25))</f>
        <v>13</v>
      </c>
      <c r="B25" s="138" t="str">
        <f ca="1">IF($M25=0,"",INDEX(Data!$B$2051:$B$2550,$M25))</f>
        <v>Franklin Towne Charter Elementary School</v>
      </c>
      <c r="C25" s="141" t="str">
        <f ca="1">IF($M25=0,"",INDEX(Data!$C$2051:$C$2550,$M25))</f>
        <v>Charter</v>
      </c>
      <c r="D25" s="141" t="str">
        <f ca="1">IF($M25=0,"",INDEX(Data!$D$2051:$D$2550,$M25))</f>
        <v>Elementary-Middle</v>
      </c>
      <c r="E25" s="142">
        <f ca="1">IF($M25=0,"",INDEX(Data!$G$2051:$G$2550,$M25))</f>
        <v>0.67669999999999997</v>
      </c>
      <c r="F25" s="141">
        <f ca="1">IF($M25=0,"",INDEX(Data!$F$2051:$F$2550,$M25))</f>
        <v>958</v>
      </c>
      <c r="G25" s="143">
        <f ca="1">IF($M25=0,"",INDEX(Data!$K$2051:$K$2550,$M25))</f>
        <v>0.80801878161764606</v>
      </c>
      <c r="H25" s="141">
        <f ca="1">IF($M25=0,"",INDEX(Data!$L$2051:$L$2550,$M25))</f>
        <v>1</v>
      </c>
      <c r="I25" s="144">
        <f ca="1">IF($M25=0,"",INDEX(Data!$T$2051:$T$2550,$M25))</f>
        <v>60</v>
      </c>
      <c r="J25" s="141" t="str">
        <f ca="1">IF($M25=0,"",INDEX(Data!$U$2051:$U$2550,$M25))</f>
        <v>Listed</v>
      </c>
      <c r="K25" s="141" t="str">
        <f ca="1">IF($M25=0,"",INDEX(Data!$AA$2051:$AA$2550,$M25))</f>
        <v>68% economic need; 0.81 mi fresh access; 1 nearby resources</v>
      </c>
      <c r="L25" s="141" t="str">
        <f ca="1">IF($M25=0,"",IF(INDEX(Data!$AN$2051:$AN$2550,$M25)=0,"",IF(INDEX(Data!$U$41:$U$540,INDEX(Data!$AN$2051:$AN$2550,$M25))="","",INDEX(Data!$U$41:$U$540,INDEX(Data!$AN$2051:$AN$2550,$M25)))))</f>
        <v/>
      </c>
      <c r="M25" s="132">
        <f ca="1">IF(COUNTIFS(Data!$AV$2051:$AV$2550,13)=1,MATCH(13,Data!$AV$2051:$AV$2550,0),0)</f>
        <v>125</v>
      </c>
      <c r="N25" s="145" t="str">
        <f ca="1">IF($M25=0,"",IF(INDEX(Data!$I$2051:$I$2550,$M25)=0,"Add ID","Row "&amp;(INDEX(Data!$I$2051:$I$2550,$M25)+7)))</f>
        <v>Row 92</v>
      </c>
    </row>
    <row r="26" spans="1:14" ht="40" customHeight="1">
      <c r="A26" s="136">
        <f ca="1">IF($M26=0,"",INDEX(Data!$W$2051:$W$2550,$M26))</f>
        <v>14</v>
      </c>
      <c r="B26" s="139" t="str">
        <f ca="1">IF($M26=0,"",INDEX(Data!$B$2051:$B$2550,$M26))</f>
        <v>Charles C.A. Baldi Middle School</v>
      </c>
      <c r="C26" s="146" t="str">
        <f ca="1">IF($M26=0,"",INDEX(Data!$C$2051:$C$2550,$M26))</f>
        <v>District</v>
      </c>
      <c r="D26" s="146" t="str">
        <f ca="1">IF($M26=0,"",INDEX(Data!$D$2051:$D$2550,$M26))</f>
        <v>Middle</v>
      </c>
      <c r="E26" s="147">
        <f ca="1">IF($M26=0,"",INDEX(Data!$G$2051:$G$2550,$M26))</f>
        <v>0.66830000000000001</v>
      </c>
      <c r="F26" s="146">
        <f ca="1">IF($M26=0,"",INDEX(Data!$F$2051:$F$2550,$M26))</f>
        <v>1424</v>
      </c>
      <c r="G26" s="148">
        <f ca="1">IF($M26=0,"",INDEX(Data!$K$2051:$K$2550,$M26))</f>
        <v>0.56351640587517471</v>
      </c>
      <c r="H26" s="146">
        <f ca="1">IF($M26=0,"",INDEX(Data!$L$2051:$L$2550,$M26))</f>
        <v>0</v>
      </c>
      <c r="I26" s="149">
        <f ca="1">IF($M26=0,"",INDEX(Data!$T$2051:$T$2550,$M26))</f>
        <v>60</v>
      </c>
      <c r="J26" s="146" t="str">
        <f ca="1">IF($M26=0,"",INDEX(Data!$U$2051:$U$2550,$M26))</f>
        <v>Listed</v>
      </c>
      <c r="K26" s="146" t="str">
        <f ca="1">IF($M26=0,"",INDEX(Data!$AA$2051:$AA$2550,$M26))</f>
        <v>67% economic need; 0.56 mi fresh access; 0 nearby resources</v>
      </c>
      <c r="L26" s="146" t="str">
        <f ca="1">IF($M26=0,"",IF(INDEX(Data!$AN$2051:$AN$2550,$M26)=0,"",IF(INDEX(Data!$U$41:$U$540,INDEX(Data!$AN$2051:$AN$2550,$M26))="","",INDEX(Data!$U$41:$U$540,INDEX(Data!$AN$2051:$AN$2550,$M26)))))</f>
        <v>215-400-3090</v>
      </c>
      <c r="M26" s="132">
        <f ca="1">IF(COUNTIFS(Data!$AV$2051:$AV$2550,14)=1,MATCH(14,Data!$AV$2051:$AV$2550,0),0)</f>
        <v>296</v>
      </c>
      <c r="N26" s="150" t="str">
        <f ca="1">IF($M26=0,"",IF(INDEX(Data!$I$2051:$I$2550,$M26)=0,"Add ID","Row "&amp;(INDEX(Data!$I$2051:$I$2550,$M26)+7)))</f>
        <v>Row 47</v>
      </c>
    </row>
    <row r="27" spans="1:14" ht="40" customHeight="1">
      <c r="A27" s="135">
        <f ca="1">IF($M27=0,"",INDEX(Data!$W$2051:$W$2550,$M27))</f>
        <v>15</v>
      </c>
      <c r="B27" s="138" t="str">
        <f ca="1">IF($M27=0,"",INDEX(Data!$B$2051:$B$2550,$M27))</f>
        <v>Joseph Greenberg School</v>
      </c>
      <c r="C27" s="141" t="str">
        <f ca="1">IF($M27=0,"",INDEX(Data!$C$2051:$C$2550,$M27))</f>
        <v>District</v>
      </c>
      <c r="D27" s="141" t="str">
        <f ca="1">IF($M27=0,"",INDEX(Data!$D$2051:$D$2550,$M27))</f>
        <v>Elementary-Middle</v>
      </c>
      <c r="E27" s="142">
        <f ca="1">IF($M27=0,"",INDEX(Data!$G$2051:$G$2550,$M27))</f>
        <v>0.52339999999999998</v>
      </c>
      <c r="F27" s="141">
        <f ca="1">IF($M27=0,"",INDEX(Data!$F$2051:$F$2550,$M27))</f>
        <v>1048</v>
      </c>
      <c r="G27" s="143">
        <f ca="1">IF($M27=0,"",INDEX(Data!$K$2051:$K$2550,$M27))</f>
        <v>0.90583823073951042</v>
      </c>
      <c r="H27" s="141">
        <f ca="1">IF($M27=0,"",INDEX(Data!$L$2051:$L$2550,$M27))</f>
        <v>0</v>
      </c>
      <c r="I27" s="144">
        <f ca="1">IF($M27=0,"",INDEX(Data!$T$2051:$T$2550,$M27))</f>
        <v>60</v>
      </c>
      <c r="J27" s="141" t="str">
        <f ca="1">IF($M27=0,"",INDEX(Data!$U$2051:$U$2550,$M27))</f>
        <v>Listed</v>
      </c>
      <c r="K27" s="141" t="str">
        <f ca="1">IF($M27=0,"",INDEX(Data!$AA$2051:$AA$2550,$M27))</f>
        <v>52% economic need; 0.91 mi fresh access; 0 nearby resources</v>
      </c>
      <c r="L27" s="141" t="str">
        <f ca="1">IF($M27=0,"",IF(INDEX(Data!$AN$2051:$AN$2550,$M27)=0,"",IF(INDEX(Data!$U$41:$U$540,INDEX(Data!$AN$2051:$AN$2550,$M27))="","",INDEX(Data!$U$41:$U$540,INDEX(Data!$AN$2051:$AN$2550,$M27)))))</f>
        <v>215-400-3080</v>
      </c>
      <c r="M27" s="132">
        <f ca="1">IF(COUNTIFS(Data!$AV$2051:$AV$2550,15)=1,MATCH(15,Data!$AV$2051:$AV$2550,0),0)</f>
        <v>316</v>
      </c>
      <c r="N27" s="145" t="str">
        <f ca="1">IF($M27=0,"",IF(INDEX(Data!$I$2051:$I$2550,$M27)=0,"Add ID","Row "&amp;(INDEX(Data!$I$2051:$I$2550,$M27)+7)))</f>
        <v>Row 153</v>
      </c>
    </row>
    <row r="28" spans="1:14" ht="40" customHeight="1">
      <c r="A28" s="136">
        <f ca="1">IF($M28=0,"",INDEX(Data!$W$2051:$W$2550,$M28))</f>
        <v>16</v>
      </c>
      <c r="B28" s="139" t="str">
        <f ca="1">IF($M28=0,"",INDEX(Data!$B$2051:$B$2550,$M28))</f>
        <v>Bridesburg School</v>
      </c>
      <c r="C28" s="146" t="str">
        <f ca="1">IF($M28=0,"",INDEX(Data!$C$2051:$C$2550,$M28))</f>
        <v>District</v>
      </c>
      <c r="D28" s="146" t="str">
        <f ca="1">IF($M28=0,"",INDEX(Data!$D$2051:$D$2550,$M28))</f>
        <v>Elementary-Middle</v>
      </c>
      <c r="E28" s="147">
        <f ca="1">IF($M28=0,"",INDEX(Data!$G$2051:$G$2550,$M28))</f>
        <v>0.69340000000000002</v>
      </c>
      <c r="F28" s="146">
        <f ca="1">IF($M28=0,"",INDEX(Data!$F$2051:$F$2550,$M28))</f>
        <v>522</v>
      </c>
      <c r="G28" s="148">
        <f ca="1">IF($M28=0,"",INDEX(Data!$K$2051:$K$2550,$M28))</f>
        <v>0.79035879691660538</v>
      </c>
      <c r="H28" s="146">
        <f ca="1">IF($M28=0,"",INDEX(Data!$L$2051:$L$2550,$M28))</f>
        <v>1</v>
      </c>
      <c r="I28" s="149">
        <f ca="1">IF($M28=0,"",INDEX(Data!$T$2051:$T$2550,$M28))</f>
        <v>59</v>
      </c>
      <c r="J28" s="146" t="str">
        <f ca="1">IF($M28=0,"",INDEX(Data!$U$2051:$U$2550,$M28))</f>
        <v>Listed</v>
      </c>
      <c r="K28" s="146" t="str">
        <f ca="1">IF($M28=0,"",INDEX(Data!$AA$2051:$AA$2550,$M28))</f>
        <v>69% economic need; 0.79 mi fresh access; 1 nearby resources</v>
      </c>
      <c r="L28" s="146" t="str">
        <f ca="1">IF($M28=0,"",IF(INDEX(Data!$AN$2051:$AN$2550,$M28)=0,"",IF(INDEX(Data!$U$41:$U$540,INDEX(Data!$AN$2051:$AN$2550,$M28))="","",INDEX(Data!$U$41:$U$540,INDEX(Data!$AN$2051:$AN$2550,$M28)))))</f>
        <v>215-400-7240</v>
      </c>
      <c r="M28" s="132">
        <f ca="1">IF(COUNTIFS(Data!$AV$2051:$AV$2550,16)=1,MATCH(16,Data!$AV$2051:$AV$2550,0),0)</f>
        <v>280</v>
      </c>
      <c r="N28" s="150" t="str">
        <f ca="1">IF($M28=0,"",IF(INDEX(Data!$I$2051:$I$2550,$M28)=0,"Add ID","Row "&amp;(INDEX(Data!$I$2051:$I$2550,$M28)+7)))</f>
        <v>Row 41</v>
      </c>
    </row>
    <row r="29" spans="1:14" ht="40" customHeight="1">
      <c r="A29" s="135">
        <f ca="1">IF($M29=0,"",INDEX(Data!$W$2051:$W$2550,$M29))</f>
        <v>17</v>
      </c>
      <c r="B29" s="138" t="str">
        <f ca="1">IF($M29=0,"",INDEX(Data!$B$2051:$B$2550,$M29))</f>
        <v>Kensington High School</v>
      </c>
      <c r="C29" s="141" t="str">
        <f ca="1">IF($M29=0,"",INDEX(Data!$C$2051:$C$2550,$M29))</f>
        <v>District</v>
      </c>
      <c r="D29" s="141" t="str">
        <f ca="1">IF($M29=0,"",INDEX(Data!$D$2051:$D$2550,$M29))</f>
        <v>High</v>
      </c>
      <c r="E29" s="142">
        <f ca="1">IF($M29=0,"",INDEX(Data!$G$2051:$G$2550,$M29))</f>
        <v>0.85189999999999999</v>
      </c>
      <c r="F29" s="141">
        <f ca="1">IF($M29=0,"",INDEX(Data!$F$2051:$F$2550,$M29))</f>
        <v>447</v>
      </c>
      <c r="G29" s="143">
        <f ca="1">IF($M29=0,"",INDEX(Data!$K$2051:$K$2550,$M29))</f>
        <v>0.61090703009295655</v>
      </c>
      <c r="H29" s="141">
        <f ca="1">IF($M29=0,"",INDEX(Data!$L$2051:$L$2550,$M29))</f>
        <v>2</v>
      </c>
      <c r="I29" s="144">
        <f ca="1">IF($M29=0,"",INDEX(Data!$T$2051:$T$2550,$M29))</f>
        <v>58</v>
      </c>
      <c r="J29" s="141" t="str">
        <f ca="1">IF($M29=0,"",INDEX(Data!$U$2051:$U$2550,$M29))</f>
        <v>Listed</v>
      </c>
      <c r="K29" s="141" t="str">
        <f ca="1">IF($M29=0,"",INDEX(Data!$AA$2051:$AA$2550,$M29))</f>
        <v>85% economic need; 0.61 mi fresh access; 2 nearby resources</v>
      </c>
      <c r="L29" s="141" t="str">
        <f ca="1">IF($M29=0,"",IF(INDEX(Data!$AN$2051:$AN$2550,$M29)=0,"",IF(INDEX(Data!$U$41:$U$540,INDEX(Data!$AN$2051:$AN$2550,$M29))="","",INDEX(Data!$U$41:$U$540,INDEX(Data!$AN$2051:$AN$2550,$M29)))))</f>
        <v>215-400-7700</v>
      </c>
      <c r="M29" s="132">
        <f ca="1">IF(COUNTIFS(Data!$AV$2051:$AV$2550,17)=1,MATCH(17,Data!$AV$2051:$AV$2550,0),0)</f>
        <v>221</v>
      </c>
      <c r="N29" s="145" t="str">
        <f ca="1">IF($M29=0,"",IF(INDEX(Data!$I$2051:$I$2550,$M29)=0,"Add ID","Row "&amp;(INDEX(Data!$I$2051:$I$2550,$M29)+7)))</f>
        <v>Row 165</v>
      </c>
    </row>
    <row r="30" spans="1:14" ht="40" customHeight="1">
      <c r="A30" s="136">
        <f ca="1">IF($M30=0,"",INDEX(Data!$W$2051:$W$2550,$M30))</f>
        <v>18</v>
      </c>
      <c r="B30" s="139" t="str">
        <f ca="1">IF($M30=0,"",INDEX(Data!$B$2051:$B$2550,$M30))</f>
        <v>Walter B. Saul High School</v>
      </c>
      <c r="C30" s="146" t="str">
        <f ca="1">IF($M30=0,"",INDEX(Data!$C$2051:$C$2550,$M30))</f>
        <v>District</v>
      </c>
      <c r="D30" s="146" t="str">
        <f ca="1">IF($M30=0,"",INDEX(Data!$D$2051:$D$2550,$M30))</f>
        <v>High</v>
      </c>
      <c r="E30" s="147">
        <f ca="1">IF($M30=0,"",INDEX(Data!$G$2051:$G$2550,$M30))</f>
        <v>0.67400000000000004</v>
      </c>
      <c r="F30" s="146">
        <f ca="1">IF($M30=0,"",INDEX(Data!$F$2051:$F$2550,$M30))</f>
        <v>406</v>
      </c>
      <c r="G30" s="148">
        <f ca="1">IF($M30=0,"",INDEX(Data!$K$2051:$K$2550,$M30))</f>
        <v>0.56905153586304957</v>
      </c>
      <c r="H30" s="146">
        <f ca="1">IF($M30=0,"",INDEX(Data!$L$2051:$L$2550,$M30))</f>
        <v>0</v>
      </c>
      <c r="I30" s="149">
        <f ca="1">IF($M30=0,"",INDEX(Data!$T$2051:$T$2550,$M30))</f>
        <v>58</v>
      </c>
      <c r="J30" s="146" t="str">
        <f ca="1">IF($M30=0,"",INDEX(Data!$U$2051:$U$2550,$M30))</f>
        <v>Listed</v>
      </c>
      <c r="K30" s="146" t="str">
        <f ca="1">IF($M30=0,"",INDEX(Data!$AA$2051:$AA$2550,$M30))</f>
        <v>67% economic need; 0.57 mi fresh access; 0 nearby resources</v>
      </c>
      <c r="L30" s="146" t="str">
        <f ca="1">IF($M30=0,"",IF(INDEX(Data!$AN$2051:$AN$2550,$M30)=0,"",IF(INDEX(Data!$U$41:$U$540,INDEX(Data!$AN$2051:$AN$2550,$M30))="","",INDEX(Data!$U$41:$U$540,INDEX(Data!$AN$2051:$AN$2550,$M30)))))</f>
        <v>215-400-3450</v>
      </c>
      <c r="M30" s="132">
        <f ca="1">IF(COUNTIFS(Data!$AV$2051:$AV$2550,18)=1,MATCH(18,Data!$AV$2051:$AV$2550,0),0)</f>
        <v>225</v>
      </c>
      <c r="N30" s="150" t="str">
        <f ca="1">IF($M30=0,"",IF(INDEX(Data!$I$2051:$I$2550,$M30)=0,"Add ID","Row "&amp;(INDEX(Data!$I$2051:$I$2550,$M30)+7)))</f>
        <v>Row 312</v>
      </c>
    </row>
    <row r="31" spans="1:14" ht="40" customHeight="1">
      <c r="A31" s="135">
        <f ca="1">IF($M31=0,"",INDEX(Data!$W$2051:$W$2550,$M31))</f>
        <v>19</v>
      </c>
      <c r="B31" s="138" t="str">
        <f ca="1">IF($M31=0,"",INDEX(Data!$B$2051:$B$2550,$M31))</f>
        <v>Shawmont School</v>
      </c>
      <c r="C31" s="141" t="str">
        <f ca="1">IF($M31=0,"",INDEX(Data!$C$2051:$C$2550,$M31))</f>
        <v>District</v>
      </c>
      <c r="D31" s="141" t="str">
        <f ca="1">IF($M31=0,"",INDEX(Data!$D$2051:$D$2550,$M31))</f>
        <v>Elementary-Middle</v>
      </c>
      <c r="E31" s="142">
        <f ca="1">IF($M31=0,"",INDEX(Data!$G$2051:$G$2550,$M31))</f>
        <v>0.62839999999999996</v>
      </c>
      <c r="F31" s="141">
        <f ca="1">IF($M31=0,"",INDEX(Data!$F$2051:$F$2550,$M31))</f>
        <v>457</v>
      </c>
      <c r="G31" s="143">
        <f ca="1">IF($M31=0,"",INDEX(Data!$K$2051:$K$2550,$M31))</f>
        <v>0.57084825977341969</v>
      </c>
      <c r="H31" s="141">
        <f ca="1">IF($M31=0,"",INDEX(Data!$L$2051:$L$2550,$M31))</f>
        <v>0</v>
      </c>
      <c r="I31" s="144">
        <f ca="1">IF($M31=0,"",INDEX(Data!$T$2051:$T$2550,$M31))</f>
        <v>58</v>
      </c>
      <c r="J31" s="141" t="str">
        <f ca="1">IF($M31=0,"",INDEX(Data!$U$2051:$U$2550,$M31))</f>
        <v>Listed</v>
      </c>
      <c r="K31" s="141" t="str">
        <f ca="1">IF($M31=0,"",INDEX(Data!$AA$2051:$AA$2550,$M31))</f>
        <v>63% economic need; 0.57 mi fresh access; 0 nearby resources</v>
      </c>
      <c r="L31" s="141" t="str">
        <f ca="1">IF($M31=0,"",IF(INDEX(Data!$AN$2051:$AN$2550,$M31)=0,"",IF(INDEX(Data!$U$41:$U$540,INDEX(Data!$AN$2051:$AN$2550,$M31))="","",INDEX(Data!$U$41:$U$540,INDEX(Data!$AN$2051:$AN$2550,$M31)))))</f>
        <v>215-400-3440</v>
      </c>
      <c r="M31" s="132">
        <f ca="1">IF(COUNTIFS(Data!$AV$2051:$AV$2550,19)=1,MATCH(19,Data!$AV$2051:$AV$2550,0),0)</f>
        <v>242</v>
      </c>
      <c r="N31" s="145" t="str">
        <f ca="1">IF($M31=0,"",IF(INDEX(Data!$I$2051:$I$2550,$M31)=0,"Add ID","Row "&amp;(INDEX(Data!$I$2051:$I$2550,$M31)+7)))</f>
        <v>Row 275</v>
      </c>
    </row>
    <row r="32" spans="1:14" ht="40" customHeight="1">
      <c r="A32" s="136">
        <f ca="1">IF($M32=0,"",INDEX(Data!$W$2051:$W$2550,$M32))</f>
        <v>20</v>
      </c>
      <c r="B32" s="139" t="str">
        <f ca="1">IF($M32=0,"",INDEX(Data!$B$2051:$B$2550,$M32))</f>
        <v>John F. McCloskey School</v>
      </c>
      <c r="C32" s="146" t="str">
        <f ca="1">IF($M32=0,"",INDEX(Data!$C$2051:$C$2550,$M32))</f>
        <v>District</v>
      </c>
      <c r="D32" s="146" t="str">
        <f ca="1">IF($M32=0,"",INDEX(Data!$D$2051:$D$2550,$M32))</f>
        <v>Elementary-Middle</v>
      </c>
      <c r="E32" s="147">
        <f ca="1">IF($M32=0,"",INDEX(Data!$G$2051:$G$2550,$M32))</f>
        <v>0.75570000000000004</v>
      </c>
      <c r="F32" s="146">
        <f ca="1">IF($M32=0,"",INDEX(Data!$F$2051:$F$2550,$M32))</f>
        <v>217</v>
      </c>
      <c r="G32" s="148">
        <f ca="1">IF($M32=0,"",INDEX(Data!$K$2051:$K$2550,$M32))</f>
        <v>0.25948804250327318</v>
      </c>
      <c r="H32" s="146">
        <f ca="1">IF($M32=0,"",INDEX(Data!$L$2051:$L$2550,$M32))</f>
        <v>0</v>
      </c>
      <c r="I32" s="149">
        <f ca="1">IF($M32=0,"",INDEX(Data!$T$2051:$T$2550,$M32))</f>
        <v>57</v>
      </c>
      <c r="J32" s="146" t="str">
        <f ca="1">IF($M32=0,"",INDEX(Data!$U$2051:$U$2550,$M32))</f>
        <v>Listed</v>
      </c>
      <c r="K32" s="146" t="str">
        <f ca="1">IF($M32=0,"",INDEX(Data!$AA$2051:$AA$2550,$M32))</f>
        <v>76% economic need; 0.26 mi fresh access; 0 nearby resources</v>
      </c>
      <c r="L32" s="146" t="str">
        <f ca="1">IF($M32=0,"",IF(INDEX(Data!$AN$2051:$AN$2550,$M32)=0,"",IF(INDEX(Data!$U$41:$U$540,INDEX(Data!$AN$2051:$AN$2550,$M32))="","",INDEX(Data!$U$41:$U$540,INDEX(Data!$AN$2051:$AN$2550,$M32)))))</f>
        <v>215-400-3380</v>
      </c>
      <c r="M32" s="132">
        <f ca="1">IF(COUNTIFS(Data!$AV$2051:$AV$2550,20)=1,MATCH(20,Data!$AV$2051:$AV$2550,0),0)</f>
        <v>237</v>
      </c>
      <c r="N32" s="150" t="str">
        <f ca="1">IF($M32=0,"",IF(INDEX(Data!$I$2051:$I$2550,$M32)=0,"Add ID","Row "&amp;(INDEX(Data!$I$2051:$I$2550,$M32)+7)))</f>
        <v>Row 145</v>
      </c>
    </row>
    <row r="33" spans="1:14" ht="40" customHeight="1">
      <c r="A33" s="135">
        <f ca="1">IF($M33=0,"",INDEX(Data!$W$2051:$W$2550,$M33))</f>
        <v>21</v>
      </c>
      <c r="B33" s="138" t="str">
        <f ca="1">IF($M33=0,"",INDEX(Data!$B$2051:$B$2550,$M33))</f>
        <v>Kennedy C. Crossan School</v>
      </c>
      <c r="C33" s="141" t="str">
        <f ca="1">IF($M33=0,"",INDEX(Data!$C$2051:$C$2550,$M33))</f>
        <v>District</v>
      </c>
      <c r="D33" s="141" t="str">
        <f ca="1">IF($M33=0,"",INDEX(Data!$D$2051:$D$2550,$M33))</f>
        <v>Elementary</v>
      </c>
      <c r="E33" s="142">
        <f ca="1">IF($M33=0,"",INDEX(Data!$G$2051:$G$2550,$M33))</f>
        <v>0.73580000000000001</v>
      </c>
      <c r="F33" s="141">
        <f ca="1">IF($M33=0,"",INDEX(Data!$F$2051:$F$2550,$M33))</f>
        <v>318</v>
      </c>
      <c r="G33" s="143">
        <f ca="1">IF($M33=0,"",INDEX(Data!$K$2051:$K$2550,$M33))</f>
        <v>0.82466884245046634</v>
      </c>
      <c r="H33" s="141">
        <f ca="1">IF($M33=0,"",INDEX(Data!$L$2051:$L$2550,$M33))</f>
        <v>2</v>
      </c>
      <c r="I33" s="144">
        <f ca="1">IF($M33=0,"",INDEX(Data!$T$2051:$T$2550,$M33))</f>
        <v>57</v>
      </c>
      <c r="J33" s="141" t="str">
        <f ca="1">IF($M33=0,"",INDEX(Data!$U$2051:$U$2550,$M33))</f>
        <v>Listed</v>
      </c>
      <c r="K33" s="141" t="str">
        <f ca="1">IF($M33=0,"",INDEX(Data!$AA$2051:$AA$2550,$M33))</f>
        <v>74% economic need; 0.82 mi fresh access; 2 nearby resources</v>
      </c>
      <c r="L33" s="141" t="str">
        <f ca="1">IF($M33=0,"",IF(INDEX(Data!$AN$2051:$AN$2550,$M33)=0,"",IF(INDEX(Data!$U$41:$U$540,INDEX(Data!$AN$2051:$AN$2550,$M33))="","",INDEX(Data!$U$41:$U$540,INDEX(Data!$AN$2051:$AN$2550,$M33)))))</f>
        <v>215-400-3160</v>
      </c>
      <c r="M33" s="132">
        <f ca="1">IF(COUNTIFS(Data!$AV$2051:$AV$2550,21)=1,MATCH(21,Data!$AV$2051:$AV$2550,0),0)</f>
        <v>300</v>
      </c>
      <c r="N33" s="145" t="str">
        <f ca="1">IF($M33=0,"",IF(INDEX(Data!$I$2051:$I$2550,$M33)=0,"Add ID","Row "&amp;(INDEX(Data!$I$2051:$I$2550,$M33)+7)))</f>
        <v>Row 163</v>
      </c>
    </row>
    <row r="34" spans="1:14" ht="40" customHeight="1">
      <c r="A34" s="136">
        <f ca="1">IF($M34=0,"",INDEX(Data!$W$2051:$W$2550,$M34))</f>
        <v>22</v>
      </c>
      <c r="B34" s="139" t="str">
        <f ca="1">IF($M34=0,"",INDEX(Data!$B$2051:$B$2550,$M34))</f>
        <v>Samuel Gompers School</v>
      </c>
      <c r="C34" s="146" t="str">
        <f ca="1">IF($M34=0,"",INDEX(Data!$C$2051:$C$2550,$M34))</f>
        <v>District</v>
      </c>
      <c r="D34" s="146" t="str">
        <f ca="1">IF($M34=0,"",INDEX(Data!$D$2051:$D$2550,$M34))</f>
        <v>Elementary-Middle</v>
      </c>
      <c r="E34" s="147">
        <f ca="1">IF($M34=0,"",INDEX(Data!$G$2051:$G$2550,$M34))</f>
        <v>0.72030000000000005</v>
      </c>
      <c r="F34" s="146">
        <f ca="1">IF($M34=0,"",INDEX(Data!$F$2051:$F$2550,$M34))</f>
        <v>236</v>
      </c>
      <c r="G34" s="148">
        <f ca="1">IF($M34=0,"",INDEX(Data!$K$2051:$K$2550,$M34))</f>
        <v>1.0969192688329938</v>
      </c>
      <c r="H34" s="146">
        <f ca="1">IF($M34=0,"",INDEX(Data!$L$2051:$L$2550,$M34))</f>
        <v>3</v>
      </c>
      <c r="I34" s="149">
        <f ca="1">IF($M34=0,"",INDEX(Data!$T$2051:$T$2550,$M34))</f>
        <v>57</v>
      </c>
      <c r="J34" s="146" t="str">
        <f ca="1">IF($M34=0,"",INDEX(Data!$U$2051:$U$2550,$M34))</f>
        <v>Listed</v>
      </c>
      <c r="K34" s="146" t="str">
        <f ca="1">IF($M34=0,"",INDEX(Data!$AA$2051:$AA$2550,$M34))</f>
        <v>72% economic need; 1.10 mi fresh access; 3 nearby resources</v>
      </c>
      <c r="L34" s="146" t="str">
        <f ca="1">IF($M34=0,"",IF(INDEX(Data!$AN$2051:$AN$2550,$M34)=0,"",IF(INDEX(Data!$U$41:$U$540,INDEX(Data!$AN$2051:$AN$2550,$M34))="","",INDEX(Data!$U$41:$U$540,INDEX(Data!$AN$2051:$AN$2550,$M34)))))</f>
        <v>215-400-7250</v>
      </c>
      <c r="M34" s="132">
        <f ca="1">IF(COUNTIFS(Data!$AV$2051:$AV$2550,22)=1,MATCH(22,Data!$AV$2051:$AV$2550,0),0)</f>
        <v>164</v>
      </c>
      <c r="N34" s="150" t="str">
        <f ca="1">IF($M34=0,"",IF(INDEX(Data!$I$2051:$I$2550,$M34)=0,"Add ID","Row "&amp;(INDEX(Data!$I$2051:$I$2550,$M34)+7)))</f>
        <v>Row 269</v>
      </c>
    </row>
    <row r="35" spans="1:14" ht="40" customHeight="1">
      <c r="A35" s="135">
        <f ca="1">IF($M35=0,"",INDEX(Data!$W$2051:$W$2550,$M35))</f>
        <v>23</v>
      </c>
      <c r="B35" s="138" t="str">
        <f ca="1">IF($M35=0,"",INDEX(Data!$B$2051:$B$2550,$M35))</f>
        <v>Philadelphia Montessori Charter School</v>
      </c>
      <c r="C35" s="141" t="str">
        <f ca="1">IF($M35=0,"",INDEX(Data!$C$2051:$C$2550,$M35))</f>
        <v>Charter</v>
      </c>
      <c r="D35" s="141" t="str">
        <f ca="1">IF($M35=0,"",INDEX(Data!$D$2051:$D$2550,$M35))</f>
        <v>Elementary</v>
      </c>
      <c r="E35" s="142">
        <f ca="1">IF($M35=0,"",INDEX(Data!$G$2051:$G$2550,$M35))</f>
        <v>0.67059999999999997</v>
      </c>
      <c r="F35" s="141">
        <f ca="1">IF($M35=0,"",INDEX(Data!$F$2051:$F$2550,$M35))</f>
        <v>249</v>
      </c>
      <c r="G35" s="143">
        <f ca="1">IF($M35=0,"",INDEX(Data!$K$2051:$K$2550,$M35))</f>
        <v>0.91191315893029967</v>
      </c>
      <c r="H35" s="141">
        <f ca="1">IF($M35=0,"",INDEX(Data!$L$2051:$L$2550,$M35))</f>
        <v>1</v>
      </c>
      <c r="I35" s="144">
        <f ca="1">IF($M35=0,"",INDEX(Data!$T$2051:$T$2550,$M35))</f>
        <v>57</v>
      </c>
      <c r="J35" s="141" t="str">
        <f ca="1">IF($M35=0,"",INDEX(Data!$U$2051:$U$2550,$M35))</f>
        <v>Listed</v>
      </c>
      <c r="K35" s="141" t="str">
        <f ca="1">IF($M35=0,"",INDEX(Data!$AA$2051:$AA$2550,$M35))</f>
        <v>67% economic need; 0.91 mi fresh access; 1 nearby resources</v>
      </c>
      <c r="L35" s="141" t="str">
        <f ca="1">IF($M35=0,"",IF(INDEX(Data!$AN$2051:$AN$2550,$M35)=0,"",IF(INDEX(Data!$U$41:$U$540,INDEX(Data!$AN$2051:$AN$2550,$M35))="","",INDEX(Data!$U$41:$U$540,INDEX(Data!$AN$2051:$AN$2550,$M35)))))</f>
        <v>215-365-4011</v>
      </c>
      <c r="M35" s="132">
        <f ca="1">IF(COUNTIFS(Data!$AV$2051:$AV$2550,23)=1,MATCH(23,Data!$AV$2051:$AV$2550,0),0)</f>
        <v>112</v>
      </c>
      <c r="N35" s="145" t="str">
        <f ca="1">IF($M35=0,"",IF(INDEX(Data!$I$2051:$I$2550,$M35)=0,"Add ID","Row "&amp;(INDEX(Data!$I$2051:$I$2550,$M35)+7)))</f>
        <v>Row 247</v>
      </c>
    </row>
    <row r="36" spans="1:14" ht="40" customHeight="1">
      <c r="A36" s="136">
        <f ca="1">IF($M36=0,"",INDEX(Data!$W$2051:$W$2550,$M36))</f>
        <v>24</v>
      </c>
      <c r="B36" s="139" t="str">
        <f ca="1">IF($M36=0,"",INDEX(Data!$B$2051:$B$2550,$M36))</f>
        <v>West Oak Lane Charter School</v>
      </c>
      <c r="C36" s="146" t="str">
        <f ca="1">IF($M36=0,"",INDEX(Data!$C$2051:$C$2550,$M36))</f>
        <v>Charter</v>
      </c>
      <c r="D36" s="146" t="str">
        <f ca="1">IF($M36=0,"",INDEX(Data!$D$2051:$D$2550,$M36))</f>
        <v>Elementary-Middle</v>
      </c>
      <c r="E36" s="147">
        <f ca="1">IF($M36=0,"",INDEX(Data!$G$2051:$G$2550,$M36))</f>
        <v>0.9637</v>
      </c>
      <c r="F36" s="146">
        <f ca="1">IF($M36=0,"",INDEX(Data!$F$2051:$F$2550,$M36))</f>
        <v>1007</v>
      </c>
      <c r="G36" s="148">
        <f ca="1">IF($M36=0,"",INDEX(Data!$K$2051:$K$2550,$M36))</f>
        <v>0.78787322910509983</v>
      </c>
      <c r="H36" s="146">
        <f ca="1">IF($M36=0,"",INDEX(Data!$L$2051:$L$2550,$M36))</f>
        <v>8</v>
      </c>
      <c r="I36" s="149">
        <f ca="1">IF($M36=0,"",INDEX(Data!$T$2051:$T$2550,$M36))</f>
        <v>55</v>
      </c>
      <c r="J36" s="146" t="str">
        <f ca="1">IF($M36=0,"",INDEX(Data!$U$2051:$U$2550,$M36))</f>
        <v>Listed</v>
      </c>
      <c r="K36" s="146" t="str">
        <f ca="1">IF($M36=0,"",INDEX(Data!$AA$2051:$AA$2550,$M36))</f>
        <v>96% economic need; 0.79 mi fresh access; 8 nearby resources</v>
      </c>
      <c r="L36" s="146" t="str">
        <f ca="1">IF($M36=0,"",IF(INDEX(Data!$AN$2051:$AN$2550,$M36)=0,"",IF(INDEX(Data!$U$41:$U$540,INDEX(Data!$AN$2051:$AN$2550,$M36))="","",INDEX(Data!$U$41:$U$540,INDEX(Data!$AN$2051:$AN$2550,$M36)))))</f>
        <v>215-927-7995</v>
      </c>
      <c r="M36" s="132">
        <f ca="1">IF(COUNTIFS(Data!$AV$2051:$AV$2550,24)=1,MATCH(24,Data!$AV$2051:$AV$2550,0),0)</f>
        <v>83</v>
      </c>
      <c r="N36" s="150" t="str">
        <f ca="1">IF($M36=0,"",IF(INDEX(Data!$I$2051:$I$2550,$M36)=0,"Add ID","Row "&amp;(INDEX(Data!$I$2051:$I$2550,$M36)+7)))</f>
        <v>Row 315</v>
      </c>
    </row>
    <row r="37" spans="1:14" ht="40" customHeight="1">
      <c r="A37" s="135">
        <f ca="1">IF($M37=0,"",INDEX(Data!$W$2051:$W$2550,$M37))</f>
        <v>25</v>
      </c>
      <c r="B37" s="138" t="str">
        <f ca="1">IF($M37=0,"",INDEX(Data!$B$2051:$B$2550,$M37))</f>
        <v>Edwin Forrest School</v>
      </c>
      <c r="C37" s="141" t="str">
        <f ca="1">IF($M37=0,"",INDEX(Data!$C$2051:$C$2550,$M37))</f>
        <v>District</v>
      </c>
      <c r="D37" s="141" t="str">
        <f ca="1">IF($M37=0,"",INDEX(Data!$D$2051:$D$2550,$M37))</f>
        <v>Elementary</v>
      </c>
      <c r="E37" s="142">
        <f ca="1">IF($M37=0,"",INDEX(Data!$G$2051:$G$2550,$M37))</f>
        <v>0.77600000000000002</v>
      </c>
      <c r="F37" s="141">
        <f ca="1">IF($M37=0,"",INDEX(Data!$F$2051:$F$2550,$M37))</f>
        <v>798</v>
      </c>
      <c r="G37" s="143">
        <f ca="1">IF($M37=0,"",INDEX(Data!$K$2051:$K$2550,$M37))</f>
        <v>0.7703459815748348</v>
      </c>
      <c r="H37" s="141">
        <f ca="1">IF($M37=0,"",INDEX(Data!$L$2051:$L$2550,$M37))</f>
        <v>3</v>
      </c>
      <c r="I37" s="144">
        <f ca="1">IF($M37=0,"",INDEX(Data!$T$2051:$T$2550,$M37))</f>
        <v>55</v>
      </c>
      <c r="J37" s="141" t="str">
        <f ca="1">IF($M37=0,"",INDEX(Data!$U$2051:$U$2550,$M37))</f>
        <v>Listed</v>
      </c>
      <c r="K37" s="141" t="str">
        <f ca="1">IF($M37=0,"",INDEX(Data!$AA$2051:$AA$2550,$M37))</f>
        <v>78% economic need; 0.77 mi fresh access; 3 nearby resources</v>
      </c>
      <c r="L37" s="141" t="str">
        <f ca="1">IF($M37=0,"",IF(INDEX(Data!$AN$2051:$AN$2550,$M37)=0,"",IF(INDEX(Data!$U$41:$U$540,INDEX(Data!$AN$2051:$AN$2550,$M37))="","",INDEX(Data!$U$41:$U$540,INDEX(Data!$AN$2051:$AN$2550,$M37)))))</f>
        <v>215-400-3330</v>
      </c>
      <c r="M37" s="132">
        <f ca="1">IF(COUNTIFS(Data!$AV$2051:$AV$2550,25)=1,MATCH(25,Data!$AV$2051:$AV$2550,0),0)</f>
        <v>302</v>
      </c>
      <c r="N37" s="145" t="str">
        <f ca="1">IF($M37=0,"",IF(INDEX(Data!$I$2051:$I$2550,$M37)=0,"Add ID","Row "&amp;(INDEX(Data!$I$2051:$I$2550,$M37)+7)))</f>
        <v>Row 65</v>
      </c>
    </row>
    <row r="38" spans="1:14" ht="40" customHeight="1">
      <c r="A38" s="136">
        <f ca="1">IF($M38=0,"",INDEX(Data!$W$2051:$W$2550,$M38))</f>
        <v>26</v>
      </c>
      <c r="B38" s="139" t="str">
        <f ca="1">IF($M38=0,"",INDEX(Data!$B$2051:$B$2550,$M38))</f>
        <v>Northeast Community Propel Academy</v>
      </c>
      <c r="C38" s="146" t="str">
        <f ca="1">IF($M38=0,"",INDEX(Data!$C$2051:$C$2550,$M38))</f>
        <v>District</v>
      </c>
      <c r="D38" s="146" t="str">
        <f ca="1">IF($M38=0,"",INDEX(Data!$D$2051:$D$2550,$M38))</f>
        <v>Elementary-Middle</v>
      </c>
      <c r="E38" s="147">
        <f ca="1">IF($M38=0,"",INDEX(Data!$G$2051:$G$2550,$M38))</f>
        <v>0.75070000000000003</v>
      </c>
      <c r="F38" s="146">
        <f ca="1">IF($M38=0,"",INDEX(Data!$F$2051:$F$2550,$M38))</f>
        <v>1715</v>
      </c>
      <c r="G38" s="148">
        <f ca="1">IF($M38=0,"",INDEX(Data!$K$2051:$K$2550,$M38))</f>
        <v>0.61933032419567058</v>
      </c>
      <c r="H38" s="146">
        <f ca="1">IF($M38=0,"",INDEX(Data!$L$2051:$L$2550,$M38))</f>
        <v>2</v>
      </c>
      <c r="I38" s="149">
        <f ca="1">IF($M38=0,"",INDEX(Data!$T$2051:$T$2550,$M38))</f>
        <v>55</v>
      </c>
      <c r="J38" s="146" t="str">
        <f ca="1">IF($M38=0,"",INDEX(Data!$U$2051:$U$2550,$M38))</f>
        <v>Listed</v>
      </c>
      <c r="K38" s="146" t="str">
        <f ca="1">IF($M38=0,"",INDEX(Data!$AA$2051:$AA$2550,$M38))</f>
        <v>75% economic need; 0.62 mi fresh access; 2 nearby resources</v>
      </c>
      <c r="L38" s="146" t="str">
        <f ca="1">IF($M38=0,"",IF(INDEX(Data!$AN$2051:$AN$2550,$M38)=0,"",IF(INDEX(Data!$U$41:$U$540,INDEX(Data!$AN$2051:$AN$2550,$M38))="","",INDEX(Data!$U$41:$U$540,INDEX(Data!$AN$2051:$AN$2550,$M38)))))</f>
        <v>215-400-8350</v>
      </c>
      <c r="M38" s="132">
        <f ca="1">IF(COUNTIFS(Data!$AV$2051:$AV$2550,26)=1,MATCH(26,Data!$AV$2051:$AV$2550,0),0)</f>
        <v>295</v>
      </c>
      <c r="N38" s="150" t="str">
        <f ca="1">IF($M38=0,"",IF(INDEX(Data!$I$2051:$I$2550,$M38)=0,"Add ID","Row "&amp;(INDEX(Data!$I$2051:$I$2550,$M38)+7)))</f>
        <v>Row 212</v>
      </c>
    </row>
    <row r="39" spans="1:14" ht="40" customHeight="1">
      <c r="A39" s="135">
        <f ca="1">IF($M39=0,"",INDEX(Data!$W$2051:$W$2550,$M39))</f>
        <v>27</v>
      </c>
      <c r="B39" s="138" t="str">
        <f ca="1">IF($M39=0,"",INDEX(Data!$B$2051:$B$2550,$M39))</f>
        <v>Abraham Lincoln High School</v>
      </c>
      <c r="C39" s="141" t="str">
        <f ca="1">IF($M39=0,"",INDEX(Data!$C$2051:$C$2550,$M39))</f>
        <v>District</v>
      </c>
      <c r="D39" s="141" t="str">
        <f ca="1">IF($M39=0,"",INDEX(Data!$D$2051:$D$2550,$M39))</f>
        <v>High</v>
      </c>
      <c r="E39" s="142">
        <f ca="1">IF($M39=0,"",INDEX(Data!$G$2051:$G$2550,$M39))</f>
        <v>0.73819999999999997</v>
      </c>
      <c r="F39" s="141">
        <f ca="1">IF($M39=0,"",INDEX(Data!$F$2051:$F$2550,$M39))</f>
        <v>2332</v>
      </c>
      <c r="G39" s="143">
        <f ca="1">IF($M39=0,"",INDEX(Data!$K$2051:$K$2550,$M39))</f>
        <v>0.53087781898475694</v>
      </c>
      <c r="H39" s="141">
        <f ca="1">IF($M39=0,"",INDEX(Data!$L$2051:$L$2550,$M39))</f>
        <v>2</v>
      </c>
      <c r="I39" s="144">
        <f ca="1">IF($M39=0,"",INDEX(Data!$T$2051:$T$2550,$M39))</f>
        <v>55</v>
      </c>
      <c r="J39" s="141" t="str">
        <f ca="1">IF($M39=0,"",INDEX(Data!$U$2051:$U$2550,$M39))</f>
        <v>Listed</v>
      </c>
      <c r="K39" s="141" t="str">
        <f ca="1">IF($M39=0,"",INDEX(Data!$AA$2051:$AA$2550,$M39))</f>
        <v>74% economic need; 0.53 mi fresh access; 2 nearby resources</v>
      </c>
      <c r="L39" s="141" t="str">
        <f ca="1">IF($M39=0,"",IF(INDEX(Data!$AN$2051:$AN$2550,$M39)=0,"",IF(INDEX(Data!$U$41:$U$540,INDEX(Data!$AN$2051:$AN$2550,$M39))="","",INDEX(Data!$U$41:$U$540,INDEX(Data!$AN$2051:$AN$2550,$M39)))))</f>
        <v>215-400-3300</v>
      </c>
      <c r="M39" s="132">
        <f ca="1">IF(COUNTIFS(Data!$AV$2051:$AV$2550,27)=1,MATCH(27,Data!$AV$2051:$AV$2550,0),0)</f>
        <v>286</v>
      </c>
      <c r="N39" s="145" t="str">
        <f ca="1">IF($M39=0,"",IF(INDEX(Data!$I$2051:$I$2550,$M39)=0,"Add ID","Row "&amp;(INDEX(Data!$I$2051:$I$2550,$M39)+7)))</f>
        <v>Row 9</v>
      </c>
    </row>
    <row r="40" spans="1:14" ht="40" customHeight="1">
      <c r="A40" s="136">
        <f ca="1">IF($M40=0,"",INDEX(Data!$W$2051:$W$2550,$M40))</f>
        <v>28</v>
      </c>
      <c r="B40" s="139" t="str">
        <f ca="1">IF($M40=0,"",INDEX(Data!$B$2051:$B$2550,$M40))</f>
        <v>Swenson Arts and Technology High School</v>
      </c>
      <c r="C40" s="146" t="str">
        <f ca="1">IF($M40=0,"",INDEX(Data!$C$2051:$C$2550,$M40))</f>
        <v>District</v>
      </c>
      <c r="D40" s="146" t="str">
        <f ca="1">IF($M40=0,"",INDEX(Data!$D$2051:$D$2550,$M40))</f>
        <v>High</v>
      </c>
      <c r="E40" s="147">
        <f ca="1">IF($M40=0,"",INDEX(Data!$G$2051:$G$2550,$M40))</f>
        <v>0.73129999999999995</v>
      </c>
      <c r="F40" s="146">
        <f ca="1">IF($M40=0,"",INDEX(Data!$F$2051:$F$2550,$M40))</f>
        <v>780</v>
      </c>
      <c r="G40" s="148">
        <f ca="1">IF($M40=0,"",INDEX(Data!$K$2051:$K$2550,$M40))</f>
        <v>0.74643934453215777</v>
      </c>
      <c r="H40" s="146">
        <f ca="1">IF($M40=0,"",INDEX(Data!$L$2051:$L$2550,$M40))</f>
        <v>2</v>
      </c>
      <c r="I40" s="149">
        <f ca="1">IF($M40=0,"",INDEX(Data!$T$2051:$T$2550,$M40))</f>
        <v>55</v>
      </c>
      <c r="J40" s="146" t="str">
        <f ca="1">IF($M40=0,"",INDEX(Data!$U$2051:$U$2550,$M40))</f>
        <v>Listed</v>
      </c>
      <c r="K40" s="146" t="str">
        <f ca="1">IF($M40=0,"",INDEX(Data!$AA$2051:$AA$2550,$M40))</f>
        <v>73% economic need; 0.75 mi fresh access; 2 nearby resources</v>
      </c>
      <c r="L40" s="146" t="str">
        <f ca="1">IF($M40=0,"",IF(INDEX(Data!$AN$2051:$AN$2550,$M40)=0,"",IF(INDEX(Data!$U$41:$U$540,INDEX(Data!$AN$2051:$AN$2550,$M40))="","",INDEX(Data!$U$41:$U$540,INDEX(Data!$AN$2051:$AN$2550,$M40)))))</f>
        <v>215-400-3140</v>
      </c>
      <c r="M40" s="132">
        <f ca="1">IF(COUNTIFS(Data!$AV$2051:$AV$2550,28)=1,MATCH(28,Data!$AV$2051:$AV$2550,0),0)</f>
        <v>292</v>
      </c>
      <c r="N40" s="150" t="str">
        <f ca="1">IF($M40=0,"",IF(INDEX(Data!$I$2051:$I$2550,$M40)=0,"Add ID","Row "&amp;(INDEX(Data!$I$2051:$I$2550,$M40)+7)))</f>
        <v>Row 286</v>
      </c>
    </row>
    <row r="41" spans="1:14" ht="40" customHeight="1">
      <c r="A41" s="135">
        <f ca="1">IF($M41=0,"",INDEX(Data!$W$2051:$W$2550,$M41))</f>
        <v>29</v>
      </c>
      <c r="B41" s="138" t="str">
        <f ca="1">IF($M41=0,"",INDEX(Data!$B$2051:$B$2550,$M41))</f>
        <v>Louis H. Farrell School</v>
      </c>
      <c r="C41" s="141" t="str">
        <f ca="1">IF($M41=0,"",INDEX(Data!$C$2051:$C$2550,$M41))</f>
        <v>District</v>
      </c>
      <c r="D41" s="141" t="str">
        <f ca="1">IF($M41=0,"",INDEX(Data!$D$2051:$D$2550,$M41))</f>
        <v>Elementary-Middle</v>
      </c>
      <c r="E41" s="142">
        <f ca="1">IF($M41=0,"",INDEX(Data!$G$2051:$G$2550,$M41))</f>
        <v>0.71479999999999999</v>
      </c>
      <c r="F41" s="141">
        <f ca="1">IF($M41=0,"",INDEX(Data!$F$2051:$F$2550,$M41))</f>
        <v>1255</v>
      </c>
      <c r="G41" s="143">
        <f ca="1">IF($M41=0,"",INDEX(Data!$K$2051:$K$2550,$M41))</f>
        <v>8.1529450428878991E-2</v>
      </c>
      <c r="H41" s="141">
        <f ca="1">IF($M41=0,"",INDEX(Data!$L$2051:$L$2550,$M41))</f>
        <v>0</v>
      </c>
      <c r="I41" s="144">
        <f ca="1">IF($M41=0,"",INDEX(Data!$T$2051:$T$2550,$M41))</f>
        <v>55</v>
      </c>
      <c r="J41" s="141" t="str">
        <f ca="1">IF($M41=0,"",INDEX(Data!$U$2051:$U$2550,$M41))</f>
        <v>Listed</v>
      </c>
      <c r="K41" s="141" t="str">
        <f ca="1">IF($M41=0,"",INDEX(Data!$AA$2051:$AA$2550,$M41))</f>
        <v>71% economic need; 0.08 mi fresh access; 0 nearby resources</v>
      </c>
      <c r="L41" s="141" t="str">
        <f ca="1">IF($M41=0,"",IF(INDEX(Data!$AN$2051:$AN$2550,$M41)=0,"",IF(INDEX(Data!$U$41:$U$540,INDEX(Data!$AN$2051:$AN$2550,$M41))="","",INDEX(Data!$U$41:$U$540,INDEX(Data!$AN$2051:$AN$2550,$M41)))))</f>
        <v>215-400-3230</v>
      </c>
      <c r="M41" s="132">
        <f ca="1">IF(COUNTIFS(Data!$AV$2051:$AV$2550,29)=1,MATCH(29,Data!$AV$2051:$AV$2550,0),0)</f>
        <v>311</v>
      </c>
      <c r="N41" s="145" t="str">
        <f ca="1">IF($M41=0,"",IF(INDEX(Data!$I$2051:$I$2550,$M41)=0,"Add ID","Row "&amp;(INDEX(Data!$I$2051:$I$2550,$M41)+7)))</f>
        <v>Row 179</v>
      </c>
    </row>
    <row r="42" spans="1:14" ht="40" customHeight="1">
      <c r="A42" s="136">
        <f ca="1">IF($M42=0,"",INDEX(Data!$W$2051:$W$2550,$M42))</f>
        <v>30</v>
      </c>
      <c r="B42" s="139" t="str">
        <f ca="1">IF($M42=0,"",INDEX(Data!$B$2051:$B$2550,$M42))</f>
        <v>MAST Community Charter School III</v>
      </c>
      <c r="C42" s="146" t="str">
        <f ca="1">IF($M42=0,"",INDEX(Data!$C$2051:$C$2550,$M42))</f>
        <v>Charter</v>
      </c>
      <c r="D42" s="146" t="str">
        <f ca="1">IF($M42=0,"",INDEX(Data!$D$2051:$D$2550,$M42))</f>
        <v>Elementary</v>
      </c>
      <c r="E42" s="147">
        <f ca="1">IF($M42=0,"",INDEX(Data!$G$2051:$G$2550,$M42))</f>
        <v>0.68469999999999998</v>
      </c>
      <c r="F42" s="146">
        <f ca="1">IF($M42=0,"",INDEX(Data!$F$2051:$F$2550,$M42))</f>
        <v>1328</v>
      </c>
      <c r="G42" s="148">
        <f ca="1">IF($M42=0,"",INDEX(Data!$K$2051:$K$2550,$M42))</f>
        <v>0.56566903169902805</v>
      </c>
      <c r="H42" s="146">
        <f ca="1">IF($M42=0,"",INDEX(Data!$L$2051:$L$2550,$M42))</f>
        <v>1</v>
      </c>
      <c r="I42" s="149">
        <f ca="1">IF($M42=0,"",INDEX(Data!$T$2051:$T$2550,$M42))</f>
        <v>55</v>
      </c>
      <c r="J42" s="146" t="str">
        <f ca="1">IF($M42=0,"",INDEX(Data!$U$2051:$U$2550,$M42))</f>
        <v>Listed</v>
      </c>
      <c r="K42" s="146" t="str">
        <f ca="1">IF($M42=0,"",INDEX(Data!$AA$2051:$AA$2550,$M42))</f>
        <v>68% economic need; 0.57 mi fresh access; 1 nearby resources</v>
      </c>
      <c r="L42" s="146" t="str">
        <f ca="1">IF($M42=0,"",IF(INDEX(Data!$AN$2051:$AN$2550,$M42)=0,"",IF(INDEX(Data!$U$41:$U$540,INDEX(Data!$AN$2051:$AN$2550,$M42))="","",INDEX(Data!$U$41:$U$540,INDEX(Data!$AN$2051:$AN$2550,$M42)))))</f>
        <v/>
      </c>
      <c r="M42" s="132">
        <f ca="1">IF(COUNTIFS(Data!$AV$2051:$AV$2550,30)=1,MATCH(30,Data!$AV$2051:$AV$2550,0),0)</f>
        <v>150</v>
      </c>
      <c r="N42" s="150" t="str">
        <f ca="1">IF($M42=0,"",IF(INDEX(Data!$I$2051:$I$2550,$M42)=0,"Add ID","Row "&amp;(INDEX(Data!$I$2051:$I$2550,$M42)+7)))</f>
        <v>Row 187</v>
      </c>
    </row>
    <row r="43" spans="1:14" ht="40" customHeight="1">
      <c r="A43" s="135">
        <f ca="1">IF($M43=0,"",INDEX(Data!$W$2051:$W$2550,$M43))</f>
        <v>31</v>
      </c>
      <c r="B43" s="138" t="str">
        <f ca="1">IF($M43=0,"",INDEX(Data!$B$2051:$B$2550,$M43))</f>
        <v>Hancock, John Demonstration School</v>
      </c>
      <c r="C43" s="141" t="str">
        <f ca="1">IF($M43=0,"",INDEX(Data!$C$2051:$C$2550,$M43))</f>
        <v>District</v>
      </c>
      <c r="D43" s="141" t="str">
        <f ca="1">IF($M43=0,"",INDEX(Data!$D$2051:$D$2550,$M43))</f>
        <v>Elementary-Middle</v>
      </c>
      <c r="E43" s="142">
        <f ca="1">IF($M43=0,"",INDEX(Data!$G$2051:$G$2550,$M43))</f>
        <v>0.67159999999999997</v>
      </c>
      <c r="F43" s="141">
        <f ca="1">IF($M43=0,"",INDEX(Data!$F$2051:$F$2550,$M43))</f>
        <v>869</v>
      </c>
      <c r="G43" s="143">
        <f ca="1">IF($M43=0,"",INDEX(Data!$K$2051:$K$2550,$M43))</f>
        <v>0.33709717399389799</v>
      </c>
      <c r="H43" s="141">
        <f ca="1">IF($M43=0,"",INDEX(Data!$L$2051:$L$2550,$M43))</f>
        <v>0</v>
      </c>
      <c r="I43" s="144">
        <f ca="1">IF($M43=0,"",INDEX(Data!$T$2051:$T$2550,$M43))</f>
        <v>55</v>
      </c>
      <c r="J43" s="141" t="str">
        <f ca="1">IF($M43=0,"",INDEX(Data!$U$2051:$U$2550,$M43))</f>
        <v>Listed</v>
      </c>
      <c r="K43" s="141" t="str">
        <f ca="1">IF($M43=0,"",INDEX(Data!$AA$2051:$AA$2550,$M43))</f>
        <v>67% economic need; 0.34 mi fresh access; 0 nearby resources</v>
      </c>
      <c r="L43" s="141" t="str">
        <f ca="1">IF($M43=0,"",IF(INDEX(Data!$AN$2051:$AN$2550,$M43)=0,"",IF(INDEX(Data!$U$41:$U$540,INDEX(Data!$AN$2051:$AN$2550,$M43))="","",INDEX(Data!$U$41:$U$540,INDEX(Data!$AN$2051:$AN$2550,$M43)))))</f>
        <v>215-400-3120</v>
      </c>
      <c r="M43" s="132">
        <f ca="1">IF(COUNTIFS(Data!$AV$2051:$AV$2550,31)=1,MATCH(31,Data!$AV$2051:$AV$2550,0),0)</f>
        <v>324</v>
      </c>
      <c r="N43" s="145" t="str">
        <f ca="1">IF($M43=0,"",IF(INDEX(Data!$I$2051:$I$2550,$M43)=0,"Add ID","Row "&amp;(INDEX(Data!$I$2051:$I$2550,$M43)+7)))</f>
        <v>Row 114</v>
      </c>
    </row>
    <row r="44" spans="1:14" ht="40" customHeight="1">
      <c r="A44" s="136">
        <f ca="1">IF($M44=0,"",INDEX(Data!$W$2051:$W$2550,$M44))</f>
        <v>32</v>
      </c>
      <c r="B44" s="139" t="str">
        <f ca="1">IF($M44=0,"",INDEX(Data!$B$2051:$B$2550,$M44))</f>
        <v>Stephen Decatur School</v>
      </c>
      <c r="C44" s="146" t="str">
        <f ca="1">IF($M44=0,"",INDEX(Data!$C$2051:$C$2550,$M44))</f>
        <v>District</v>
      </c>
      <c r="D44" s="146" t="str">
        <f ca="1">IF($M44=0,"",INDEX(Data!$D$2051:$D$2550,$M44))</f>
        <v>Elementary-Middle</v>
      </c>
      <c r="E44" s="147">
        <f ca="1">IF($M44=0,"",INDEX(Data!$G$2051:$G$2550,$M44))</f>
        <v>0.66920000000000002</v>
      </c>
      <c r="F44" s="146">
        <f ca="1">IF($M44=0,"",INDEX(Data!$F$2051:$F$2550,$M44))</f>
        <v>1041</v>
      </c>
      <c r="G44" s="148">
        <f ca="1">IF($M44=0,"",INDEX(Data!$K$2051:$K$2550,$M44))</f>
        <v>0.6602426050811474</v>
      </c>
      <c r="H44" s="146">
        <f ca="1">IF($M44=0,"",INDEX(Data!$L$2051:$L$2550,$M44))</f>
        <v>1</v>
      </c>
      <c r="I44" s="149">
        <f ca="1">IF($M44=0,"",INDEX(Data!$T$2051:$T$2550,$M44))</f>
        <v>55</v>
      </c>
      <c r="J44" s="146" t="str">
        <f ca="1">IF($M44=0,"",INDEX(Data!$U$2051:$U$2550,$M44))</f>
        <v>Listed</v>
      </c>
      <c r="K44" s="146" t="str">
        <f ca="1">IF($M44=0,"",INDEX(Data!$AA$2051:$AA$2550,$M44))</f>
        <v>67% economic need; 0.66 mi fresh access; 1 nearby resources</v>
      </c>
      <c r="L44" s="146" t="str">
        <f ca="1">IF($M44=0,"",IF(INDEX(Data!$AN$2051:$AN$2550,$M44)=0,"",IF(INDEX(Data!$U$41:$U$540,INDEX(Data!$AN$2051:$AN$2550,$M44))="","",INDEX(Data!$U$41:$U$540,INDEX(Data!$AN$2051:$AN$2550,$M44)))))</f>
        <v>215-400-3050</v>
      </c>
      <c r="M44" s="132">
        <f ca="1">IF(COUNTIFS(Data!$AV$2051:$AV$2550,32)=1,MATCH(32,Data!$AV$2051:$AV$2550,0),0)</f>
        <v>315</v>
      </c>
      <c r="N44" s="150" t="str">
        <f ca="1">IF($M44=0,"",IF(INDEX(Data!$I$2051:$I$2550,$M44)=0,"Add ID","Row "&amp;(INDEX(Data!$I$2051:$I$2550,$M44)+7)))</f>
        <v>Row 282</v>
      </c>
    </row>
    <row r="45" spans="1:14" ht="40" customHeight="1">
      <c r="A45" s="135">
        <f ca="1">IF($M45=0,"",INDEX(Data!$W$2051:$W$2550,$M45))</f>
        <v>33</v>
      </c>
      <c r="B45" s="138" t="str">
        <f ca="1">IF($M45=0,"",INDEX(Data!$B$2051:$B$2550,$M45))</f>
        <v>Roxborough High School</v>
      </c>
      <c r="C45" s="141" t="str">
        <f ca="1">IF($M45=0,"",INDEX(Data!$C$2051:$C$2550,$M45))</f>
        <v>District</v>
      </c>
      <c r="D45" s="141" t="str">
        <f ca="1">IF($M45=0,"",INDEX(Data!$D$2051:$D$2550,$M45))</f>
        <v>High</v>
      </c>
      <c r="E45" s="142">
        <f ca="1">IF($M45=0,"",INDEX(Data!$G$2051:$G$2550,$M45))</f>
        <v>0.77939999999999998</v>
      </c>
      <c r="F45" s="141">
        <f ca="1">IF($M45=0,"",INDEX(Data!$F$2051:$F$2550,$M45))</f>
        <v>529</v>
      </c>
      <c r="G45" s="143">
        <f ca="1">IF($M45=0,"",INDEX(Data!$K$2051:$K$2550,$M45))</f>
        <v>0.44340961937886253</v>
      </c>
      <c r="H45" s="141">
        <f ca="1">IF($M45=0,"",INDEX(Data!$L$2051:$L$2550,$M45))</f>
        <v>1</v>
      </c>
      <c r="I45" s="144">
        <f ca="1">IF($M45=0,"",INDEX(Data!$T$2051:$T$2550,$M45))</f>
        <v>54</v>
      </c>
      <c r="J45" s="141" t="str">
        <f ca="1">IF($M45=0,"",INDEX(Data!$U$2051:$U$2550,$M45))</f>
        <v>Listed</v>
      </c>
      <c r="K45" s="141" t="str">
        <f ca="1">IF($M45=0,"",INDEX(Data!$AA$2051:$AA$2550,$M45))</f>
        <v>78% economic need; 0.44 mi fresh access; 1 nearby resources</v>
      </c>
      <c r="L45" s="141" t="str">
        <f ca="1">IF($M45=0,"",IF(INDEX(Data!$AN$2051:$AN$2550,$M45)=0,"",IF(INDEX(Data!$U$41:$U$540,INDEX(Data!$AN$2051:$AN$2550,$M45))="","",INDEX(Data!$U$41:$U$540,INDEX(Data!$AN$2051:$AN$2550,$M45)))))</f>
        <v>215-400-3400</v>
      </c>
      <c r="M45" s="132">
        <f ca="1">IF(COUNTIFS(Data!$AV$2051:$AV$2550,33)=1,MATCH(33,Data!$AV$2051:$AV$2550,0),0)</f>
        <v>224</v>
      </c>
      <c r="N45" s="145" t="str">
        <f ca="1">IF($M45=0,"",IF(INDEX(Data!$I$2051:$I$2550,$M45)=0,"Add ID","Row "&amp;(INDEX(Data!$I$2051:$I$2550,$M45)+7)))</f>
        <v>Row 262</v>
      </c>
    </row>
    <row r="46" spans="1:14" ht="40" customHeight="1">
      <c r="A46" s="136">
        <f ca="1">IF($M46=0,"",INDEX(Data!$W$2051:$W$2550,$M46))</f>
        <v>34</v>
      </c>
      <c r="B46" s="139" t="str">
        <f ca="1">IF($M46=0,"",INDEX(Data!$B$2051:$B$2550,$M46))</f>
        <v>Fox Chase School</v>
      </c>
      <c r="C46" s="146" t="str">
        <f ca="1">IF($M46=0,"",INDEX(Data!$C$2051:$C$2550,$M46))</f>
        <v>District</v>
      </c>
      <c r="D46" s="146" t="str">
        <f ca="1">IF($M46=0,"",INDEX(Data!$D$2051:$D$2550,$M46))</f>
        <v>Elementary</v>
      </c>
      <c r="E46" s="147">
        <f ca="1">IF($M46=0,"",INDEX(Data!$G$2051:$G$2550,$M46))</f>
        <v>0.68469999999999998</v>
      </c>
      <c r="F46" s="146">
        <f ca="1">IF($M46=0,"",INDEX(Data!$F$2051:$F$2550,$M46))</f>
        <v>500</v>
      </c>
      <c r="G46" s="148">
        <f ca="1">IF($M46=0,"",INDEX(Data!$K$2051:$K$2550,$M46))</f>
        <v>0.86765671809517808</v>
      </c>
      <c r="H46" s="146">
        <f ca="1">IF($M46=0,"",INDEX(Data!$L$2051:$L$2550,$M46))</f>
        <v>2</v>
      </c>
      <c r="I46" s="149">
        <f ca="1">IF($M46=0,"",INDEX(Data!$T$2051:$T$2550,$M46))</f>
        <v>54</v>
      </c>
      <c r="J46" s="146" t="str">
        <f ca="1">IF($M46=0,"",INDEX(Data!$U$2051:$U$2550,$M46))</f>
        <v>Listed</v>
      </c>
      <c r="K46" s="146" t="str">
        <f ca="1">IF($M46=0,"",INDEX(Data!$AA$2051:$AA$2550,$M46))</f>
        <v>68% economic need; 0.87 mi fresh access; 2 nearby resources</v>
      </c>
      <c r="L46" s="146" t="str">
        <f ca="1">IF($M46=0,"",IF(INDEX(Data!$AN$2051:$AN$2550,$M46)=0,"",IF(INDEX(Data!$U$41:$U$540,INDEX(Data!$AN$2051:$AN$2550,$M46))="","",INDEX(Data!$U$41:$U$540,INDEX(Data!$AN$2051:$AN$2550,$M46)))))</f>
        <v>215-400-3170</v>
      </c>
      <c r="M46" s="132">
        <f ca="1">IF(COUNTIFS(Data!$AV$2051:$AV$2550,34)=1,MATCH(34,Data!$AV$2051:$AV$2550,0),0)</f>
        <v>303</v>
      </c>
      <c r="N46" s="150" t="str">
        <f ca="1">IF($M46=0,"",IF(INDEX(Data!$I$2051:$I$2550,$M46)=0,"Add ID","Row "&amp;(INDEX(Data!$I$2051:$I$2550,$M46)+7)))</f>
        <v>Row 85</v>
      </c>
    </row>
    <row r="47" spans="1:14" ht="40" customHeight="1">
      <c r="A47" s="135">
        <f ca="1">IF($M47=0,"",INDEX(Data!$W$2051:$W$2550,$M47))</f>
        <v>35</v>
      </c>
      <c r="B47" s="138" t="str">
        <f ca="1">IF($M47=0,"",INDEX(Data!$B$2051:$B$2550,$M47))</f>
        <v>John M. Patterson School</v>
      </c>
      <c r="C47" s="141" t="str">
        <f ca="1">IF($M47=0,"",INDEX(Data!$C$2051:$C$2550,$M47))</f>
        <v>District</v>
      </c>
      <c r="D47" s="141" t="str">
        <f ca="1">IF($M47=0,"",INDEX(Data!$D$2051:$D$2550,$M47))</f>
        <v>Elementary</v>
      </c>
      <c r="E47" s="142">
        <f ca="1">IF($M47=0,"",INDEX(Data!$G$2051:$G$2550,$M47))</f>
        <v>0.84250000000000003</v>
      </c>
      <c r="F47" s="141">
        <f ca="1">IF($M47=0,"",INDEX(Data!$F$2051:$F$2550,$M47))</f>
        <v>353</v>
      </c>
      <c r="G47" s="143">
        <f ca="1">IF($M47=0,"",INDEX(Data!$K$2051:$K$2550,$M47))</f>
        <v>0.73087419427995581</v>
      </c>
      <c r="H47" s="141">
        <f ca="1">IF($M47=0,"",INDEX(Data!$L$2051:$L$2550,$M47))</f>
        <v>3</v>
      </c>
      <c r="I47" s="144">
        <f ca="1">IF($M47=0,"",INDEX(Data!$T$2051:$T$2550,$M47))</f>
        <v>53</v>
      </c>
      <c r="J47" s="141" t="str">
        <f ca="1">IF($M47=0,"",INDEX(Data!$U$2051:$U$2550,$M47))</f>
        <v>Listed</v>
      </c>
      <c r="K47" s="141" t="str">
        <f ca="1">IF($M47=0,"",INDEX(Data!$AA$2051:$AA$2550,$M47))</f>
        <v>84% economic need; 0.73 mi fresh access; 3 nearby resources</v>
      </c>
      <c r="L47" s="141" t="str">
        <f ca="1">IF($M47=0,"",IF(INDEX(Data!$AN$2051:$AN$2550,$M47)=0,"",IF(INDEX(Data!$U$41:$U$540,INDEX(Data!$AN$2051:$AN$2550,$M47))="","",INDEX(Data!$U$41:$U$540,INDEX(Data!$AN$2051:$AN$2550,$M47)))))</f>
        <v>215-400-8190</v>
      </c>
      <c r="M47" s="132">
        <f ca="1">IF(COUNTIFS(Data!$AV$2051:$AV$2550,35)=1,MATCH(35,Data!$AV$2051:$AV$2550,0),0)</f>
        <v>21</v>
      </c>
      <c r="N47" s="145" t="str">
        <f ca="1">IF($M47=0,"",IF(INDEX(Data!$I$2051:$I$2550,$M47)=0,"Add ID","Row "&amp;(INDEX(Data!$I$2051:$I$2550,$M47)+7)))</f>
        <v>Row 148</v>
      </c>
    </row>
    <row r="48" spans="1:14" ht="40" customHeight="1">
      <c r="A48" s="136">
        <f ca="1">IF($M48=0,"",INDEX(Data!$W$2051:$W$2550,$M48))</f>
        <v>36</v>
      </c>
      <c r="B48" s="139" t="str">
        <f ca="1">IF($M48=0,"",INDEX(Data!$B$2051:$B$2550,$M48))</f>
        <v>Kenderton School</v>
      </c>
      <c r="C48" s="146" t="str">
        <f ca="1">IF($M48=0,"",INDEX(Data!$C$2051:$C$2550,$M48))</f>
        <v>District</v>
      </c>
      <c r="D48" s="146" t="str">
        <f ca="1">IF($M48=0,"",INDEX(Data!$D$2051:$D$2550,$M48))</f>
        <v>Elementary-Middle</v>
      </c>
      <c r="E48" s="147">
        <f ca="1">IF($M48=0,"",INDEX(Data!$G$2051:$G$2550,$M48))</f>
        <v>0.91249999999999998</v>
      </c>
      <c r="F48" s="146">
        <f ca="1">IF($M48=0,"",INDEX(Data!$F$2051:$F$2550,$M48))</f>
        <v>271</v>
      </c>
      <c r="G48" s="148">
        <f ca="1">IF($M48=0,"",INDEX(Data!$K$2051:$K$2550,$M48))</f>
        <v>0.90176727678550506</v>
      </c>
      <c r="H48" s="146">
        <f ca="1">IF($M48=0,"",INDEX(Data!$L$2051:$L$2550,$M48))</f>
        <v>10</v>
      </c>
      <c r="I48" s="149">
        <f ca="1">IF($M48=0,"",INDEX(Data!$T$2051:$T$2550,$M48))</f>
        <v>52</v>
      </c>
      <c r="J48" s="146" t="str">
        <f ca="1">IF($M48=0,"",INDEX(Data!$U$2051:$U$2550,$M48))</f>
        <v>Listed</v>
      </c>
      <c r="K48" s="146" t="str">
        <f ca="1">IF($M48=0,"",INDEX(Data!$AA$2051:$AA$2550,$M48))</f>
        <v>91% economic need; 0.90 mi fresh access; 10 nearby resources</v>
      </c>
      <c r="L48" s="146" t="str">
        <f ca="1">IF($M48=0,"",IF(INDEX(Data!$AN$2051:$AN$2550,$M48)=0,"",IF(INDEX(Data!$U$41:$U$540,INDEX(Data!$AN$2051:$AN$2550,$M48))="","",INDEX(Data!$U$41:$U$540,INDEX(Data!$AN$2051:$AN$2550,$M48)))))</f>
        <v>215-400-8340</v>
      </c>
      <c r="M48" s="132">
        <f ca="1">IF(COUNTIFS(Data!$AV$2051:$AV$2550,36)=1,MATCH(36,Data!$AV$2051:$AV$2550,0),0)</f>
        <v>168</v>
      </c>
      <c r="N48" s="150" t="str">
        <f ca="1">IF($M48=0,"",IF(INDEX(Data!$I$2051:$I$2550,$M48)=0,"Add ID","Row "&amp;(INDEX(Data!$I$2051:$I$2550,$M48)+7)))</f>
        <v>Row 162</v>
      </c>
    </row>
    <row r="49" spans="1:14" ht="40" customHeight="1">
      <c r="A49" s="135">
        <f ca="1">IF($M49=0,"",INDEX(Data!$W$2051:$W$2550,$M49))</f>
        <v>37</v>
      </c>
      <c r="B49" s="138" t="str">
        <f ca="1">IF($M49=0,"",INDEX(Data!$B$2051:$B$2550,$M49))</f>
        <v>Overbrook Elementary School</v>
      </c>
      <c r="C49" s="141" t="str">
        <f ca="1">IF($M49=0,"",INDEX(Data!$C$2051:$C$2550,$M49))</f>
        <v>District</v>
      </c>
      <c r="D49" s="141" t="str">
        <f ca="1">IF($M49=0,"",INDEX(Data!$D$2051:$D$2550,$M49))</f>
        <v>Elementary-Middle</v>
      </c>
      <c r="E49" s="142">
        <f ca="1">IF($M49=0,"",INDEX(Data!$G$2051:$G$2550,$M49))</f>
        <v>0.85580000000000001</v>
      </c>
      <c r="F49" s="141">
        <f ca="1">IF($M49=0,"",INDEX(Data!$F$2051:$F$2550,$M49))</f>
        <v>215</v>
      </c>
      <c r="G49" s="143">
        <f ca="1">IF($M49=0,"",INDEX(Data!$K$2051:$K$2550,$M49))</f>
        <v>1.1247382610709691</v>
      </c>
      <c r="H49" s="141">
        <f ca="1">IF($M49=0,"",INDEX(Data!$L$2051:$L$2550,$M49))</f>
        <v>6</v>
      </c>
      <c r="I49" s="144">
        <f ca="1">IF($M49=0,"",INDEX(Data!$T$2051:$T$2550,$M49))</f>
        <v>52</v>
      </c>
      <c r="J49" s="141" t="str">
        <f ca="1">IF($M49=0,"",INDEX(Data!$U$2051:$U$2550,$M49))</f>
        <v>Listed</v>
      </c>
      <c r="K49" s="141" t="str">
        <f ca="1">IF($M49=0,"",INDEX(Data!$AA$2051:$AA$2550,$M49))</f>
        <v>86% economic need; 1.12 mi fresh access; 6 nearby resources</v>
      </c>
      <c r="L49" s="141" t="str">
        <f ca="1">IF($M49=0,"",IF(INDEX(Data!$AN$2051:$AN$2550,$M49)=0,"",IF(INDEX(Data!$U$41:$U$540,INDEX(Data!$AN$2051:$AN$2550,$M49))="","",INDEX(Data!$U$41:$U$540,INDEX(Data!$AN$2051:$AN$2550,$M49)))))</f>
        <v>215-400-7520</v>
      </c>
      <c r="M49" s="132">
        <f ca="1">IF(COUNTIFS(Data!$AV$2051:$AV$2550,37)=1,MATCH(37,Data!$AV$2051:$AV$2550,0),0)</f>
        <v>169</v>
      </c>
      <c r="N49" s="145" t="str">
        <f ca="1">IF($M49=0,"",IF(INDEX(Data!$I$2051:$I$2550,$M49)=0,"Add ID","Row "&amp;(INDEX(Data!$I$2051:$I$2550,$M49)+7)))</f>
        <v>Row 226</v>
      </c>
    </row>
    <row r="50" spans="1:14" ht="40" customHeight="1">
      <c r="A50" s="136">
        <f ca="1">IF($M50=0,"",INDEX(Data!$W$2051:$W$2550,$M50))</f>
        <v>38</v>
      </c>
      <c r="B50" s="139" t="str">
        <f ca="1">IF($M50=0,"",INDEX(Data!$B$2051:$B$2550,$M50))</f>
        <v>F. Amedee Bregy School</v>
      </c>
      <c r="C50" s="146" t="str">
        <f ca="1">IF($M50=0,"",INDEX(Data!$C$2051:$C$2550,$M50))</f>
        <v>District</v>
      </c>
      <c r="D50" s="146" t="str">
        <f ca="1">IF($M50=0,"",INDEX(Data!$D$2051:$D$2550,$M50))</f>
        <v>Elementary-Middle</v>
      </c>
      <c r="E50" s="147">
        <f ca="1">IF($M50=0,"",INDEX(Data!$G$2051:$G$2550,$M50))</f>
        <v>0.81910000000000005</v>
      </c>
      <c r="F50" s="146">
        <f ca="1">IF($M50=0,"",INDEX(Data!$F$2051:$F$2550,$M50))</f>
        <v>244</v>
      </c>
      <c r="G50" s="148">
        <f ca="1">IF($M50=0,"",INDEX(Data!$K$2051:$K$2550,$M50))</f>
        <v>0.2488858573081863</v>
      </c>
      <c r="H50" s="146">
        <f ca="1">IF($M50=0,"",INDEX(Data!$L$2051:$L$2550,$M50))</f>
        <v>1</v>
      </c>
      <c r="I50" s="149">
        <f ca="1">IF($M50=0,"",INDEX(Data!$T$2051:$T$2550,$M50))</f>
        <v>52</v>
      </c>
      <c r="J50" s="146" t="str">
        <f ca="1">IF($M50=0,"",INDEX(Data!$U$2051:$U$2550,$M50))</f>
        <v>Listed</v>
      </c>
      <c r="K50" s="146" t="str">
        <f ca="1">IF($M50=0,"",INDEX(Data!$AA$2051:$AA$2550,$M50))</f>
        <v>82% economic need; 0.25 mi fresh access; 1 nearby resources</v>
      </c>
      <c r="L50" s="146" t="str">
        <f ca="1">IF($M50=0,"",IF(INDEX(Data!$AN$2051:$AN$2550,$M50)=0,"",IF(INDEX(Data!$U$41:$U$540,INDEX(Data!$AN$2051:$AN$2550,$M50))="","",INDEX(Data!$U$41:$U$540,INDEX(Data!$AN$2051:$AN$2550,$M50)))))</f>
        <v>215-400-8210</v>
      </c>
      <c r="M50" s="132">
        <f ca="1">IF(COUNTIFS(Data!$AV$2051:$AV$2550,38)=1,MATCH(38,Data!$AV$2051:$AV$2550,0),0)</f>
        <v>37</v>
      </c>
      <c r="N50" s="150" t="str">
        <f ca="1">IF($M50=0,"",IF(INDEX(Data!$I$2051:$I$2550,$M50)=0,"Add ID","Row "&amp;(INDEX(Data!$I$2051:$I$2550,$M50)+7)))</f>
        <v>Row 78</v>
      </c>
    </row>
    <row r="51" spans="1:14" ht="40" customHeight="1">
      <c r="A51" s="135">
        <f ca="1">IF($M51=0,"",INDEX(Data!$W$2051:$W$2550,$M51))</f>
        <v>39</v>
      </c>
      <c r="B51" s="138" t="str">
        <f ca="1">IF($M51=0,"",INDEX(Data!$B$2051:$B$2550,$M51))</f>
        <v>General David B. Birney Charter School</v>
      </c>
      <c r="C51" s="141" t="str">
        <f ca="1">IF($M51=0,"",INDEX(Data!$C$2051:$C$2550,$M51))</f>
        <v>Charter</v>
      </c>
      <c r="D51" s="141" t="str">
        <f ca="1">IF($M51=0,"",INDEX(Data!$D$2051:$D$2550,$M51))</f>
        <v>Elementary-Middle</v>
      </c>
      <c r="E51" s="142">
        <f ca="1">IF($M51=0,"",INDEX(Data!$G$2051:$G$2550,$M51))</f>
        <v>0.91879999999999995</v>
      </c>
      <c r="F51" s="141">
        <f ca="1">IF($M51=0,"",INDEX(Data!$F$2051:$F$2550,$M51))</f>
        <v>721</v>
      </c>
      <c r="G51" s="143">
        <f ca="1">IF($M51=0,"",INDEX(Data!$K$2051:$K$2550,$M51))</f>
        <v>0.69744530076782285</v>
      </c>
      <c r="H51" s="141">
        <f ca="1">IF($M51=0,"",INDEX(Data!$L$2051:$L$2550,$M51))</f>
        <v>11</v>
      </c>
      <c r="I51" s="144">
        <f ca="1">IF($M51=0,"",INDEX(Data!$T$2051:$T$2550,$M51))</f>
        <v>50</v>
      </c>
      <c r="J51" s="141" t="str">
        <f ca="1">IF($M51=0,"",INDEX(Data!$U$2051:$U$2550,$M51))</f>
        <v>Listed</v>
      </c>
      <c r="K51" s="141" t="str">
        <f ca="1">IF($M51=0,"",INDEX(Data!$AA$2051:$AA$2550,$M51))</f>
        <v>92% economic need; 0.70 mi fresh access; 11 nearby resources</v>
      </c>
      <c r="L51" s="141" t="str">
        <f ca="1">IF($M51=0,"",IF(INDEX(Data!$AN$2051:$AN$2550,$M51)=0,"",IF(INDEX(Data!$U$41:$U$540,INDEX(Data!$AN$2051:$AN$2550,$M51))="","",INDEX(Data!$U$41:$U$540,INDEX(Data!$AN$2051:$AN$2550,$M51)))))</f>
        <v/>
      </c>
      <c r="M51" s="132">
        <f ca="1">IF(COUNTIFS(Data!$AV$2051:$AV$2550,39)=1,MATCH(39,Data!$AV$2051:$AV$2550,0),0)</f>
        <v>134</v>
      </c>
      <c r="N51" s="145" t="str">
        <f ca="1">IF($M51=0,"",IF(INDEX(Data!$I$2051:$I$2550,$M51)=0,"Add ID","Row "&amp;(INDEX(Data!$I$2051:$I$2550,$M51)+7)))</f>
        <v>Row 96</v>
      </c>
    </row>
    <row r="52" spans="1:14" ht="40" customHeight="1">
      <c r="A52" s="136">
        <f ca="1">IF($M52=0,"",INDEX(Data!$W$2051:$W$2550,$M52))</f>
        <v>40</v>
      </c>
      <c r="B52" s="139" t="str">
        <f ca="1">IF($M52=0,"",INDEX(Data!$B$2051:$B$2550,$M52))</f>
        <v>Mastery Charter School at Thomas Campus</v>
      </c>
      <c r="C52" s="146" t="str">
        <f ca="1">IF($M52=0,"",INDEX(Data!$C$2051:$C$2550,$M52))</f>
        <v>Charter</v>
      </c>
      <c r="D52" s="146" t="str">
        <f ca="1">IF($M52=0,"",INDEX(Data!$D$2051:$D$2550,$M52))</f>
        <v>Elementary-Middle-High</v>
      </c>
      <c r="E52" s="147">
        <f ca="1">IF($M52=0,"",INDEX(Data!$G$2051:$G$2550,$M52))</f>
        <v>0.90980000000000005</v>
      </c>
      <c r="F52" s="146">
        <f ca="1">IF($M52=0,"",INDEX(Data!$F$2051:$F$2550,$M52))</f>
        <v>1269</v>
      </c>
      <c r="G52" s="148">
        <f ca="1">IF($M52=0,"",INDEX(Data!$K$2051:$K$2550,$M52))</f>
        <v>0.43348121766882752</v>
      </c>
      <c r="H52" s="146">
        <f ca="1">IF($M52=0,"",INDEX(Data!$L$2051:$L$2550,$M52))</f>
        <v>4</v>
      </c>
      <c r="I52" s="149">
        <f ca="1">IF($M52=0,"",INDEX(Data!$T$2051:$T$2550,$M52))</f>
        <v>50</v>
      </c>
      <c r="J52" s="146" t="str">
        <f ca="1">IF($M52=0,"",INDEX(Data!$U$2051:$U$2550,$M52))</f>
        <v>Listed</v>
      </c>
      <c r="K52" s="146" t="str">
        <f ca="1">IF($M52=0,"",INDEX(Data!$AA$2051:$AA$2550,$M52))</f>
        <v>91% economic need; 0.43 mi fresh access; 4 nearby resources</v>
      </c>
      <c r="L52" s="146" t="str">
        <f ca="1">IF($M52=0,"",IF(INDEX(Data!$AN$2051:$AN$2550,$M52)=0,"",IF(INDEX(Data!$U$41:$U$540,INDEX(Data!$AN$2051:$AN$2550,$M52))="","",INDEX(Data!$U$41:$U$540,INDEX(Data!$AN$2051:$AN$2550,$M52)))))</f>
        <v>267-236-0036</v>
      </c>
      <c r="M52" s="132">
        <f ca="1">IF(COUNTIFS(Data!$AV$2051:$AV$2550,40)=1,MATCH(40,Data!$AV$2051:$AV$2550,0),0)</f>
        <v>116</v>
      </c>
      <c r="N52" s="150" t="str">
        <f ca="1">IF($M52=0,"",IF(INDEX(Data!$I$2051:$I$2550,$M52)=0,"Add ID","Row "&amp;(INDEX(Data!$I$2051:$I$2550,$M52)+7)))</f>
        <v>Row 200</v>
      </c>
    </row>
    <row r="53" spans="1:14" ht="40" customHeight="1">
      <c r="A53" s="135">
        <f ca="1">IF($M53=0,"",INDEX(Data!$W$2051:$W$2550,$M53))</f>
        <v>41</v>
      </c>
      <c r="B53" s="138" t="str">
        <f ca="1">IF($M53=0,"",INDEX(Data!$B$2051:$B$2550,$M53))</f>
        <v>Mastery Charter School at Hardy Williams</v>
      </c>
      <c r="C53" s="141" t="str">
        <f ca="1">IF($M53=0,"",INDEX(Data!$C$2051:$C$2550,$M53))</f>
        <v>Charter</v>
      </c>
      <c r="D53" s="141" t="str">
        <f ca="1">IF($M53=0,"",INDEX(Data!$D$2051:$D$2550,$M53))</f>
        <v>Elementary-Middle-High</v>
      </c>
      <c r="E53" s="142">
        <f ca="1">IF($M53=0,"",INDEX(Data!$G$2051:$G$2550,$M53))</f>
        <v>0.90759999999999996</v>
      </c>
      <c r="F53" s="141">
        <f ca="1">IF($M53=0,"",INDEX(Data!$F$2051:$F$2550,$M53))</f>
        <v>1211</v>
      </c>
      <c r="G53" s="143">
        <f ca="1">IF($M53=0,"",INDEX(Data!$K$2051:$K$2550,$M53))</f>
        <v>0.54181121682101918</v>
      </c>
      <c r="H53" s="141">
        <f ca="1">IF($M53=0,"",INDEX(Data!$L$2051:$L$2550,$M53))</f>
        <v>10</v>
      </c>
      <c r="I53" s="144">
        <f ca="1">IF($M53=0,"",INDEX(Data!$T$2051:$T$2550,$M53))</f>
        <v>50</v>
      </c>
      <c r="J53" s="141" t="str">
        <f ca="1">IF($M53=0,"",INDEX(Data!$U$2051:$U$2550,$M53))</f>
        <v>Listed</v>
      </c>
      <c r="K53" s="141" t="str">
        <f ca="1">IF($M53=0,"",INDEX(Data!$AA$2051:$AA$2550,$M53))</f>
        <v>91% economic need; 0.54 mi fresh access; 10 nearby resources</v>
      </c>
      <c r="L53" s="141" t="str">
        <f ca="1">IF($M53=0,"",IF(INDEX(Data!$AN$2051:$AN$2550,$M53)=0,"",IF(INDEX(Data!$U$41:$U$540,INDEX(Data!$AN$2051:$AN$2550,$M53))="","",INDEX(Data!$U$41:$U$540,INDEX(Data!$AN$2051:$AN$2550,$M53)))))</f>
        <v>215-724-2343</v>
      </c>
      <c r="M53" s="132">
        <f ca="1">IF(COUNTIFS(Data!$AV$2051:$AV$2550,41)=1,MATCH(41,Data!$AV$2051:$AV$2550,0),0)</f>
        <v>87</v>
      </c>
      <c r="N53" s="145" t="str">
        <f ca="1">IF($M53=0,"",IF(INDEX(Data!$I$2051:$I$2550,$M53)=0,"Add ID","Row "&amp;(INDEX(Data!$I$2051:$I$2550,$M53)+7)))</f>
        <v>Row 193</v>
      </c>
    </row>
    <row r="54" spans="1:14" ht="40" customHeight="1">
      <c r="A54" s="136">
        <f ca="1">IF($M54=0,"",INDEX(Data!$W$2051:$W$2550,$M54))</f>
        <v>42</v>
      </c>
      <c r="B54" s="139" t="str">
        <f ca="1">IF($M54=0,"",INDEX(Data!$B$2051:$B$2550,$M54))</f>
        <v>Juniata Park Academy</v>
      </c>
      <c r="C54" s="146" t="str">
        <f ca="1">IF($M54=0,"",INDEX(Data!$C$2051:$C$2550,$M54))</f>
        <v>District</v>
      </c>
      <c r="D54" s="146" t="str">
        <f ca="1">IF($M54=0,"",INDEX(Data!$D$2051:$D$2550,$M54))</f>
        <v>Elementary-Middle</v>
      </c>
      <c r="E54" s="147">
        <f ca="1">IF($M54=0,"",INDEX(Data!$G$2051:$G$2550,$M54))</f>
        <v>0.87990000000000002</v>
      </c>
      <c r="F54" s="146">
        <f ca="1">IF($M54=0,"",INDEX(Data!$F$2051:$F$2550,$M54))</f>
        <v>784</v>
      </c>
      <c r="G54" s="148">
        <f ca="1">IF($M54=0,"",INDEX(Data!$K$2051:$K$2550,$M54))</f>
        <v>0.26634925426293254</v>
      </c>
      <c r="H54" s="146">
        <f ca="1">IF($M54=0,"",INDEX(Data!$L$2051:$L$2550,$M54))</f>
        <v>3</v>
      </c>
      <c r="I54" s="149">
        <f ca="1">IF($M54=0,"",INDEX(Data!$T$2051:$T$2550,$M54))</f>
        <v>50</v>
      </c>
      <c r="J54" s="146" t="str">
        <f ca="1">IF($M54=0,"",INDEX(Data!$U$2051:$U$2550,$M54))</f>
        <v>Listed</v>
      </c>
      <c r="K54" s="146" t="str">
        <f ca="1">IF($M54=0,"",INDEX(Data!$AA$2051:$AA$2550,$M54))</f>
        <v>88% economic need; 0.27 mi fresh access; 3 nearby resources</v>
      </c>
      <c r="L54" s="146" t="str">
        <f ca="1">IF($M54=0,"",IF(INDEX(Data!$AN$2051:$AN$2550,$M54)=0,"",IF(INDEX(Data!$U$41:$U$540,INDEX(Data!$AN$2051:$AN$2550,$M54))="","",INDEX(Data!$U$41:$U$540,INDEX(Data!$AN$2051:$AN$2550,$M54)))))</f>
        <v>215-400-7010</v>
      </c>
      <c r="M54" s="132">
        <f ca="1">IF(COUNTIFS(Data!$AV$2051:$AV$2550,42)=1,MATCH(42,Data!$AV$2051:$AV$2550,0),0)</f>
        <v>260</v>
      </c>
      <c r="N54" s="150" t="str">
        <f ca="1">IF($M54=0,"",IF(INDEX(Data!$I$2051:$I$2550,$M54)=0,"Add ID","Row "&amp;(INDEX(Data!$I$2051:$I$2550,$M54)+7)))</f>
        <v>Row 161</v>
      </c>
    </row>
    <row r="55" spans="1:14" ht="40" customHeight="1">
      <c r="A55" s="135">
        <f ca="1">IF($M55=0,"",INDEX(Data!$W$2051:$W$2550,$M55))</f>
        <v>43</v>
      </c>
      <c r="B55" s="138" t="str">
        <f ca="1">IF($M55=0,"",INDEX(Data!$B$2051:$B$2550,$M55))</f>
        <v>Thomas Holme School</v>
      </c>
      <c r="C55" s="141" t="str">
        <f ca="1">IF($M55=0,"",INDEX(Data!$C$2051:$C$2550,$M55))</f>
        <v>District</v>
      </c>
      <c r="D55" s="141" t="str">
        <f ca="1">IF($M55=0,"",INDEX(Data!$D$2051:$D$2550,$M55))</f>
        <v>Elementary-Middle</v>
      </c>
      <c r="E55" s="142">
        <f ca="1">IF($M55=0,"",INDEX(Data!$G$2051:$G$2550,$M55))</f>
        <v>0.77980000000000005</v>
      </c>
      <c r="F55" s="141">
        <f ca="1">IF($M55=0,"",INDEX(Data!$F$2051:$F$2550,$M55))</f>
        <v>801</v>
      </c>
      <c r="G55" s="143">
        <f ca="1">IF($M55=0,"",INDEX(Data!$K$2051:$K$2550,$M55))</f>
        <v>0.21108360174862981</v>
      </c>
      <c r="H55" s="141">
        <f ca="1">IF($M55=0,"",INDEX(Data!$L$2051:$L$2550,$M55))</f>
        <v>1</v>
      </c>
      <c r="I55" s="144">
        <f ca="1">IF($M55=0,"",INDEX(Data!$T$2051:$T$2550,$M55))</f>
        <v>50</v>
      </c>
      <c r="J55" s="141" t="str">
        <f ca="1">IF($M55=0,"",INDEX(Data!$U$2051:$U$2550,$M55))</f>
        <v>Listed</v>
      </c>
      <c r="K55" s="141" t="str">
        <f ca="1">IF($M55=0,"",INDEX(Data!$AA$2051:$AA$2550,$M55))</f>
        <v>78% economic need; 0.21 mi fresh access; 1 nearby resources</v>
      </c>
      <c r="L55" s="141" t="str">
        <f ca="1">IF($M55=0,"",IF(INDEX(Data!$AN$2051:$AN$2550,$M55)=0,"",IF(INDEX(Data!$U$41:$U$540,INDEX(Data!$AN$2051:$AN$2550,$M55))="","",INDEX(Data!$U$41:$U$540,INDEX(Data!$AN$2051:$AN$2550,$M55)))))</f>
        <v>215-400-3130</v>
      </c>
      <c r="M55" s="132">
        <f ca="1">IF(COUNTIFS(Data!$AV$2051:$AV$2550,43)=1,MATCH(43,Data!$AV$2051:$AV$2550,0),0)</f>
        <v>304</v>
      </c>
      <c r="N55" s="145" t="str">
        <f ca="1">IF($M55=0,"",IF(INDEX(Data!$I$2051:$I$2550,$M55)=0,"Add ID","Row "&amp;(INDEX(Data!$I$2051:$I$2550,$M55)+7)))</f>
        <v>Row 301</v>
      </c>
    </row>
    <row r="56" spans="1:14" ht="40" customHeight="1">
      <c r="A56" s="136">
        <f ca="1">IF($M56=0,"",INDEX(Data!$W$2051:$W$2550,$M56))</f>
        <v>44</v>
      </c>
      <c r="B56" s="139" t="str">
        <f ca="1">IF($M56=0,"",INDEX(Data!$B$2051:$B$2550,$M56))</f>
        <v>J. Hampton Moore School</v>
      </c>
      <c r="C56" s="146" t="str">
        <f ca="1">IF($M56=0,"",INDEX(Data!$C$2051:$C$2550,$M56))</f>
        <v>District</v>
      </c>
      <c r="D56" s="146" t="str">
        <f ca="1">IF($M56=0,"",INDEX(Data!$D$2051:$D$2550,$M56))</f>
        <v>Elementary</v>
      </c>
      <c r="E56" s="147">
        <f ca="1">IF($M56=0,"",INDEX(Data!$G$2051:$G$2550,$M56))</f>
        <v>0.77949999999999997</v>
      </c>
      <c r="F56" s="146">
        <f ca="1">IF($M56=0,"",INDEX(Data!$F$2051:$F$2550,$M56))</f>
        <v>1162</v>
      </c>
      <c r="G56" s="148">
        <f ca="1">IF($M56=0,"",INDEX(Data!$K$2051:$K$2550,$M56))</f>
        <v>0.48677921687658265</v>
      </c>
      <c r="H56" s="146">
        <f ca="1">IF($M56=0,"",INDEX(Data!$L$2051:$L$2550,$M56))</f>
        <v>2</v>
      </c>
      <c r="I56" s="149">
        <f ca="1">IF($M56=0,"",INDEX(Data!$T$2051:$T$2550,$M56))</f>
        <v>50</v>
      </c>
      <c r="J56" s="146" t="str">
        <f ca="1">IF($M56=0,"",INDEX(Data!$U$2051:$U$2550,$M56))</f>
        <v>Listed</v>
      </c>
      <c r="K56" s="146" t="str">
        <f ca="1">IF($M56=0,"",INDEX(Data!$AA$2051:$AA$2550,$M56))</f>
        <v>78% economic need; 0.49 mi fresh access; 2 nearby resources</v>
      </c>
      <c r="L56" s="146" t="str">
        <f ca="1">IF($M56=0,"",IF(INDEX(Data!$AN$2051:$AN$2550,$M56)=0,"",IF(INDEX(Data!$U$41:$U$540,INDEX(Data!$AN$2051:$AN$2550,$M56))="","",INDEX(Data!$U$41:$U$540,INDEX(Data!$AN$2051:$AN$2550,$M56)))))</f>
        <v>215-400-3180</v>
      </c>
      <c r="M56" s="132">
        <f ca="1">IF(COUNTIFS(Data!$AV$2051:$AV$2550,44)=1,MATCH(44,Data!$AV$2051:$AV$2550,0),0)</f>
        <v>306</v>
      </c>
      <c r="N56" s="150" t="str">
        <f ca="1">IF($M56=0,"",IF(INDEX(Data!$I$2051:$I$2550,$M56)=0,"Add ID","Row "&amp;(INDEX(Data!$I$2051:$I$2550,$M56)+7)))</f>
        <v>Row 131</v>
      </c>
    </row>
    <row r="57" spans="1:14" ht="40" customHeight="1">
      <c r="A57" s="135">
        <f ca="1">IF($M57=0,"",INDEX(Data!$W$2051:$W$2550,$M57))</f>
        <v>45</v>
      </c>
      <c r="B57" s="138" t="str">
        <f ca="1">IF($M57=0,"",INDEX(Data!$B$2051:$B$2550,$M57))</f>
        <v>Castor Gardens Middle School</v>
      </c>
      <c r="C57" s="141" t="str">
        <f ca="1">IF($M57=0,"",INDEX(Data!$C$2051:$C$2550,$M57))</f>
        <v>District</v>
      </c>
      <c r="D57" s="141" t="str">
        <f ca="1">IF($M57=0,"",INDEX(Data!$D$2051:$D$2550,$M57))</f>
        <v>Middle</v>
      </c>
      <c r="E57" s="142">
        <f ca="1">IF($M57=0,"",INDEX(Data!$G$2051:$G$2550,$M57))</f>
        <v>0.75729999999999997</v>
      </c>
      <c r="F57" s="141">
        <f ca="1">IF($M57=0,"",INDEX(Data!$F$2051:$F$2550,$M57))</f>
        <v>1340</v>
      </c>
      <c r="G57" s="143">
        <f ca="1">IF($M57=0,"",INDEX(Data!$K$2051:$K$2550,$M57))</f>
        <v>0.21854622660693576</v>
      </c>
      <c r="H57" s="141">
        <f ca="1">IF($M57=0,"",INDEX(Data!$L$2051:$L$2550,$M57))</f>
        <v>1</v>
      </c>
      <c r="I57" s="144">
        <f ca="1">IF($M57=0,"",INDEX(Data!$T$2051:$T$2550,$M57))</f>
        <v>50</v>
      </c>
      <c r="J57" s="141" t="str">
        <f ca="1">IF($M57=0,"",INDEX(Data!$U$2051:$U$2550,$M57))</f>
        <v>Listed</v>
      </c>
      <c r="K57" s="141" t="str">
        <f ca="1">IF($M57=0,"",INDEX(Data!$AA$2051:$AA$2550,$M57))</f>
        <v>76% economic need; 0.22 mi fresh access; 1 nearby resources</v>
      </c>
      <c r="L57" s="141" t="str">
        <f ca="1">IF($M57=0,"",IF(INDEX(Data!$AN$2051:$AN$2550,$M57)=0,"",IF(INDEX(Data!$U$41:$U$540,INDEX(Data!$AN$2051:$AN$2550,$M57))="","",INDEX(Data!$U$41:$U$540,INDEX(Data!$AN$2051:$AN$2550,$M57)))))</f>
        <v>215-400-3190</v>
      </c>
      <c r="M57" s="132">
        <f ca="1">IF(COUNTIFS(Data!$AV$2051:$AV$2550,45)=1,MATCH(45,Data!$AV$2051:$AV$2550,0),0)</f>
        <v>294</v>
      </c>
      <c r="N57" s="145" t="str">
        <f ca="1">IF($M57=0,"",IF(INDEX(Data!$I$2051:$I$2550,$M57)=0,"Add ID","Row "&amp;(INDEX(Data!$I$2051:$I$2550,$M57)+7)))</f>
        <v>Row 44</v>
      </c>
    </row>
    <row r="58" spans="1:14" ht="40" customHeight="1">
      <c r="A58" s="136">
        <f ca="1">IF($M58=0,"",INDEX(Data!$W$2051:$W$2550,$M58))</f>
        <v>46</v>
      </c>
      <c r="B58" s="139" t="str">
        <f ca="1">IF($M58=0,"",INDEX(Data!$B$2051:$B$2550,$M58))</f>
        <v>West Philadelphia Achievement Charter School</v>
      </c>
      <c r="C58" s="146" t="str">
        <f ca="1">IF($M58=0,"",INDEX(Data!$C$2051:$C$2550,$M58))</f>
        <v>Charter</v>
      </c>
      <c r="D58" s="146" t="str">
        <f ca="1">IF($M58=0,"",INDEX(Data!$D$2051:$D$2550,$M58))</f>
        <v>Elementary</v>
      </c>
      <c r="E58" s="147">
        <f ca="1">IF($M58=0,"",INDEX(Data!$G$2051:$G$2550,$M58))</f>
        <v>1</v>
      </c>
      <c r="F58" s="146">
        <f ca="1">IF($M58=0,"",INDEX(Data!$F$2051:$F$2550,$M58))</f>
        <v>613</v>
      </c>
      <c r="G58" s="148">
        <f ca="1">IF($M58=0,"",INDEX(Data!$K$2051:$K$2550,$M58))</f>
        <v>0.52753063504001518</v>
      </c>
      <c r="H58" s="146">
        <f ca="1">IF($M58=0,"",INDEX(Data!$L$2051:$L$2550,$M58))</f>
        <v>7</v>
      </c>
      <c r="I58" s="149">
        <f ca="1">IF($M58=0,"",INDEX(Data!$T$2051:$T$2550,$M58))</f>
        <v>49</v>
      </c>
      <c r="J58" s="146" t="str">
        <f ca="1">IF($M58=0,"",INDEX(Data!$U$2051:$U$2550,$M58))</f>
        <v>Listed</v>
      </c>
      <c r="K58" s="146" t="str">
        <f ca="1">IF($M58=0,"",INDEX(Data!$AA$2051:$AA$2550,$M58))</f>
        <v>100% economic need; 0.53 mi fresh access; 7 nearby resources</v>
      </c>
      <c r="L58" s="146" t="str">
        <f ca="1">IF($M58=0,"",IF(INDEX(Data!$AN$2051:$AN$2550,$M58)=0,"",IF(INDEX(Data!$U$41:$U$540,INDEX(Data!$AN$2051:$AN$2550,$M58))="","",INDEX(Data!$U$41:$U$540,INDEX(Data!$AN$2051:$AN$2550,$M58)))))</f>
        <v>215-476-6471</v>
      </c>
      <c r="M58" s="132">
        <f ca="1">IF(COUNTIFS(Data!$AV$2051:$AV$2550,46)=1,MATCH(46,Data!$AV$2051:$AV$2550,0),0)</f>
        <v>100</v>
      </c>
      <c r="N58" s="150" t="str">
        <f ca="1">IF($M58=0,"",IF(INDEX(Data!$I$2051:$I$2550,$M58)=0,"Add ID","Row "&amp;(INDEX(Data!$I$2051:$I$2550,$M58)+7)))</f>
        <v>Row 316</v>
      </c>
    </row>
    <row r="59" spans="1:14" ht="40" customHeight="1">
      <c r="A59" s="135">
        <f ca="1">IF($M59=0,"",INDEX(Data!$W$2051:$W$2550,$M59))</f>
        <v>47</v>
      </c>
      <c r="B59" s="138" t="str">
        <f ca="1">IF($M59=0,"",INDEX(Data!$B$2051:$B$2550,$M59))</f>
        <v>Mastery Charter School at Wister</v>
      </c>
      <c r="C59" s="141" t="str">
        <f ca="1">IF($M59=0,"",INDEX(Data!$C$2051:$C$2550,$M59))</f>
        <v>Charter</v>
      </c>
      <c r="D59" s="141" t="str">
        <f ca="1">IF($M59=0,"",INDEX(Data!$D$2051:$D$2550,$M59))</f>
        <v>Elementary</v>
      </c>
      <c r="E59" s="142">
        <f ca="1">IF($M59=0,"",INDEX(Data!$G$2051:$G$2550,$M59))</f>
        <v>0.998</v>
      </c>
      <c r="F59" s="141">
        <f ca="1">IF($M59=0,"",INDEX(Data!$F$2051:$F$2550,$M59))</f>
        <v>505</v>
      </c>
      <c r="G59" s="143">
        <f ca="1">IF($M59=0,"",INDEX(Data!$K$2051:$K$2550,$M59))</f>
        <v>0.62541190004521929</v>
      </c>
      <c r="H59" s="141">
        <f ca="1">IF($M59=0,"",INDEX(Data!$L$2051:$L$2550,$M59))</f>
        <v>19</v>
      </c>
      <c r="I59" s="144">
        <f ca="1">IF($M59=0,"",INDEX(Data!$T$2051:$T$2550,$M59))</f>
        <v>49</v>
      </c>
      <c r="J59" s="141" t="str">
        <f ca="1">IF($M59=0,"",INDEX(Data!$U$2051:$U$2550,$M59))</f>
        <v>Listed</v>
      </c>
      <c r="K59" s="141" t="str">
        <f ca="1">IF($M59=0,"",INDEX(Data!$AA$2051:$AA$2550,$M59))</f>
        <v>100% economic need; 0.63 mi fresh access; 19 nearby resources</v>
      </c>
      <c r="L59" s="141" t="str">
        <f ca="1">IF($M59=0,"",IF(INDEX(Data!$AN$2051:$AN$2550,$M59)=0,"",IF(INDEX(Data!$U$41:$U$540,INDEX(Data!$AN$2051:$AN$2550,$M59))="","",INDEX(Data!$U$41:$U$540,INDEX(Data!$AN$2051:$AN$2550,$M59)))))</f>
        <v/>
      </c>
      <c r="M59" s="132">
        <f ca="1">IF(COUNTIFS(Data!$AV$2051:$AV$2550,47)=1,MATCH(47,Data!$AV$2051:$AV$2550,0),0)</f>
        <v>140</v>
      </c>
      <c r="N59" s="145" t="str">
        <f ca="1">IF($M59=0,"",IF(INDEX(Data!$I$2051:$I$2550,$M59)=0,"Add ID","Row "&amp;(INDEX(Data!$I$2051:$I$2550,$M59)+7)))</f>
        <v>Row 201</v>
      </c>
    </row>
    <row r="60" spans="1:14" ht="40" customHeight="1">
      <c r="A60" s="136">
        <f ca="1">IF($M60=0,"",INDEX(Data!$W$2051:$W$2550,$M60))</f>
        <v>48</v>
      </c>
      <c r="B60" s="139" t="str">
        <f ca="1">IF($M60=0,"",INDEX(Data!$B$2051:$B$2550,$M60))</f>
        <v>Mastery Prep Elementary Charter School</v>
      </c>
      <c r="C60" s="146" t="str">
        <f ca="1">IF($M60=0,"",INDEX(Data!$C$2051:$C$2550,$M60))</f>
        <v>Charter</v>
      </c>
      <c r="D60" s="146" t="str">
        <f ca="1">IF($M60=0,"",INDEX(Data!$D$2051:$D$2550,$M60))</f>
        <v>Elementary</v>
      </c>
      <c r="E60" s="147">
        <f ca="1">IF($M60=0,"",INDEX(Data!$G$2051:$G$2550,$M60))</f>
        <v>0.91520000000000001</v>
      </c>
      <c r="F60" s="146">
        <f ca="1">IF($M60=0,"",INDEX(Data!$F$2051:$F$2550,$M60))</f>
        <v>602</v>
      </c>
      <c r="G60" s="148">
        <f ca="1">IF($M60=0,"",INDEX(Data!$K$2051:$K$2550,$M60))</f>
        <v>0.65998673866220969</v>
      </c>
      <c r="H60" s="146">
        <f ca="1">IF($M60=0,"",INDEX(Data!$L$2051:$L$2550,$M60))</f>
        <v>9</v>
      </c>
      <c r="I60" s="149">
        <f ca="1">IF($M60=0,"",INDEX(Data!$T$2051:$T$2550,$M60))</f>
        <v>49</v>
      </c>
      <c r="J60" s="146" t="str">
        <f ca="1">IF($M60=0,"",INDEX(Data!$U$2051:$U$2550,$M60))</f>
        <v>Listed</v>
      </c>
      <c r="K60" s="146" t="str">
        <f ca="1">IF($M60=0,"",INDEX(Data!$AA$2051:$AA$2550,$M60))</f>
        <v>92% economic need; 0.66 mi fresh access; 9 nearby resources</v>
      </c>
      <c r="L60" s="146" t="str">
        <f ca="1">IF($M60=0,"",IF(INDEX(Data!$AN$2051:$AN$2550,$M60)=0,"",IF(INDEX(Data!$U$41:$U$540,INDEX(Data!$AN$2051:$AN$2550,$M60))="","",INDEX(Data!$U$41:$U$540,INDEX(Data!$AN$2051:$AN$2550,$M60)))))</f>
        <v/>
      </c>
      <c r="M60" s="132">
        <f ca="1">IF(COUNTIFS(Data!$AV$2051:$AV$2550,48)=1,MATCH(48,Data!$AV$2051:$AV$2550,0),0)</f>
        <v>145</v>
      </c>
      <c r="N60" s="150" t="str">
        <f ca="1">IF($M60=0,"",IF(INDEX(Data!$I$2051:$I$2550,$M60)=0,"Add ID","Row "&amp;(INDEX(Data!$I$2051:$I$2550,$M60)+7)))</f>
        <v>Row 202</v>
      </c>
    </row>
    <row r="61" spans="1:14" ht="40" customHeight="1">
      <c r="A61" s="135">
        <f ca="1">IF($M61=0,"",INDEX(Data!$W$2051:$W$2550,$M61))</f>
        <v>49</v>
      </c>
      <c r="B61" s="138" t="str">
        <f ca="1">IF($M61=0,"",INDEX(Data!$B$2051:$B$2550,$M61))</f>
        <v>Mastery Charter High School</v>
      </c>
      <c r="C61" s="141" t="str">
        <f ca="1">IF($M61=0,"",INDEX(Data!$C$2051:$C$2550,$M61))</f>
        <v>Charter</v>
      </c>
      <c r="D61" s="141" t="str">
        <f ca="1">IF($M61=0,"",INDEX(Data!$D$2051:$D$2550,$M61))</f>
        <v>Middle-High</v>
      </c>
      <c r="E61" s="142">
        <f ca="1">IF($M61=0,"",INDEX(Data!$G$2051:$G$2550,$M61))</f>
        <v>0.8921</v>
      </c>
      <c r="F61" s="141">
        <f ca="1">IF($M61=0,"",INDEX(Data!$F$2051:$F$2550,$M61))</f>
        <v>614</v>
      </c>
      <c r="G61" s="143">
        <f ca="1">IF($M61=0,"",INDEX(Data!$K$2051:$K$2550,$M61))</f>
        <v>0.32748912729383622</v>
      </c>
      <c r="H61" s="141">
        <f ca="1">IF($M61=0,"",INDEX(Data!$L$2051:$L$2550,$M61))</f>
        <v>3</v>
      </c>
      <c r="I61" s="144">
        <f ca="1">IF($M61=0,"",INDEX(Data!$T$2051:$T$2550,$M61))</f>
        <v>49</v>
      </c>
      <c r="J61" s="141" t="str">
        <f ca="1">IF($M61=0,"",INDEX(Data!$U$2051:$U$2550,$M61))</f>
        <v>Listed</v>
      </c>
      <c r="K61" s="141" t="str">
        <f ca="1">IF($M61=0,"",INDEX(Data!$AA$2051:$AA$2550,$M61))</f>
        <v>89% economic need; 0.33 mi fresh access; 3 nearby resources</v>
      </c>
      <c r="L61" s="141" t="str">
        <f ca="1">IF($M61=0,"",IF(INDEX(Data!$AN$2051:$AN$2550,$M61)=0,"",IF(INDEX(Data!$U$41:$U$540,INDEX(Data!$AN$2051:$AN$2550,$M61))="","",INDEX(Data!$U$41:$U$540,INDEX(Data!$AN$2051:$AN$2550,$M61)))))</f>
        <v>215-922-1902</v>
      </c>
      <c r="M61" s="132">
        <f ca="1">IF(COUNTIFS(Data!$AV$2051:$AV$2550,49)=1,MATCH(49,Data!$AV$2051:$AV$2550,0),0)</f>
        <v>104</v>
      </c>
      <c r="N61" s="145" t="str">
        <f ca="1">IF($M61=0,"",IF(INDEX(Data!$I$2051:$I$2550,$M61)=0,"Add ID","Row "&amp;(INDEX(Data!$I$2051:$I$2550,$M61)+7)))</f>
        <v>Row 188</v>
      </c>
    </row>
    <row r="62" spans="1:14" ht="40" customHeight="1">
      <c r="A62" s="136">
        <f ca="1">IF($M62=0,"",INDEX(Data!$W$2051:$W$2550,$M62))</f>
        <v>50</v>
      </c>
      <c r="B62" s="139" t="str">
        <f ca="1">IF($M62=0,"",INDEX(Data!$B$2051:$B$2550,$M62))</f>
        <v>High School of the Future</v>
      </c>
      <c r="C62" s="146" t="str">
        <f ca="1">IF($M62=0,"",INDEX(Data!$C$2051:$C$2550,$M62))</f>
        <v>District</v>
      </c>
      <c r="D62" s="146" t="str">
        <f ca="1">IF($M62=0,"",INDEX(Data!$D$2051:$D$2550,$M62))</f>
        <v>High</v>
      </c>
      <c r="E62" s="147">
        <f ca="1">IF($M62=0,"",INDEX(Data!$G$2051:$G$2550,$M62))</f>
        <v>0.84160000000000001</v>
      </c>
      <c r="F62" s="146">
        <f ca="1">IF($M62=0,"",INDEX(Data!$F$2051:$F$2550,$M62))</f>
        <v>648</v>
      </c>
      <c r="G62" s="148">
        <f ca="1">IF($M62=0,"",INDEX(Data!$K$2051:$K$2550,$M62))</f>
        <v>0.92711382178907253</v>
      </c>
      <c r="H62" s="146">
        <f ca="1">IF($M62=0,"",INDEX(Data!$L$2051:$L$2550,$M62))</f>
        <v>9</v>
      </c>
      <c r="I62" s="149">
        <f ca="1">IF($M62=0,"",INDEX(Data!$T$2051:$T$2550,$M62))</f>
        <v>49</v>
      </c>
      <c r="J62" s="146" t="str">
        <f ca="1">IF($M62=0,"",INDEX(Data!$U$2051:$U$2550,$M62))</f>
        <v>Listed</v>
      </c>
      <c r="K62" s="146" t="str">
        <f ca="1">IF($M62=0,"",INDEX(Data!$AA$2051:$AA$2550,$M62))</f>
        <v>84% economic need; 0.93 mi fresh access; 9 nearby resources</v>
      </c>
      <c r="L62" s="146" t="str">
        <f ca="1">IF($M62=0,"",IF(INDEX(Data!$AN$2051:$AN$2550,$M62)=0,"",IF(INDEX(Data!$U$41:$U$540,INDEX(Data!$AN$2051:$AN$2550,$M62))="","",INDEX(Data!$U$41:$U$540,INDEX(Data!$AN$2051:$AN$2550,$M62)))))</f>
        <v>215-400-7790</v>
      </c>
      <c r="M62" s="132">
        <f ca="1">IF(COUNTIFS(Data!$AV$2051:$AV$2550,50)=1,MATCH(50,Data!$AV$2051:$AV$2550,0),0)</f>
        <v>3</v>
      </c>
      <c r="N62" s="150" t="str">
        <f ca="1">IF($M62=0,"",IF(INDEX(Data!$I$2051:$I$2550,$M62)=0,"Add ID","Row "&amp;(INDEX(Data!$I$2051:$I$2550,$M62)+7)))</f>
        <v>Row 121</v>
      </c>
    </row>
    <row r="63" spans="1:14" ht="40" customHeight="1">
      <c r="A63" s="135">
        <f ca="1">IF($M63=0,"",INDEX(Data!$W$2051:$W$2550,$M63))</f>
        <v>51</v>
      </c>
      <c r="B63" s="138" t="str">
        <f ca="1">IF($M63=0,"",INDEX(Data!$B$2051:$B$2550,$M63))</f>
        <v>Henry W. Lawton School</v>
      </c>
      <c r="C63" s="141" t="str">
        <f ca="1">IF($M63=0,"",INDEX(Data!$C$2051:$C$2550,$M63))</f>
        <v>District</v>
      </c>
      <c r="D63" s="141" t="str">
        <f ca="1">IF($M63=0,"",INDEX(Data!$D$2051:$D$2550,$M63))</f>
        <v>Elementary</v>
      </c>
      <c r="E63" s="142">
        <f ca="1">IF($M63=0,"",INDEX(Data!$G$2051:$G$2550,$M63))</f>
        <v>0.82750000000000001</v>
      </c>
      <c r="F63" s="141">
        <f ca="1">IF($M63=0,"",INDEX(Data!$F$2051:$F$2550,$M63))</f>
        <v>513</v>
      </c>
      <c r="G63" s="143">
        <f ca="1">IF($M63=0,"",INDEX(Data!$K$2051:$K$2550,$M63))</f>
        <v>0.36615105059730751</v>
      </c>
      <c r="H63" s="141">
        <f ca="1">IF($M63=0,"",INDEX(Data!$L$2051:$L$2550,$M63))</f>
        <v>3</v>
      </c>
      <c r="I63" s="144">
        <f ca="1">IF($M63=0,"",INDEX(Data!$T$2051:$T$2550,$M63))</f>
        <v>49</v>
      </c>
      <c r="J63" s="141" t="str">
        <f ca="1">IF($M63=0,"",INDEX(Data!$U$2051:$U$2550,$M63))</f>
        <v>Listed</v>
      </c>
      <c r="K63" s="141" t="str">
        <f ca="1">IF($M63=0,"",INDEX(Data!$AA$2051:$AA$2550,$M63))</f>
        <v>83% economic need; 0.37 mi fresh access; 3 nearby resources</v>
      </c>
      <c r="L63" s="141" t="str">
        <f ca="1">IF($M63=0,"",IF(INDEX(Data!$AN$2051:$AN$2550,$M63)=0,"",IF(INDEX(Data!$U$41:$U$540,INDEX(Data!$AN$2051:$AN$2550,$M63))="","",INDEX(Data!$U$41:$U$540,INDEX(Data!$AN$2051:$AN$2550,$M63)))))</f>
        <v>215-400-3340</v>
      </c>
      <c r="M63" s="132">
        <f ca="1">IF(COUNTIFS(Data!$AV$2051:$AV$2550,51)=1,MATCH(51,Data!$AV$2051:$AV$2550,0),0)</f>
        <v>270</v>
      </c>
      <c r="N63" s="145" t="str">
        <f ca="1">IF($M63=0,"",IF(INDEX(Data!$I$2051:$I$2550,$M63)=0,"Add ID","Row "&amp;(INDEX(Data!$I$2051:$I$2550,$M63)+7)))</f>
        <v>Row 119</v>
      </c>
    </row>
    <row r="64" spans="1:14" ht="40" customHeight="1">
      <c r="A64" s="136">
        <f ca="1">IF($M64=0,"",INDEX(Data!$W$2051:$W$2550,$M64))</f>
        <v>52</v>
      </c>
      <c r="B64" s="139" t="str">
        <f ca="1">IF($M64=0,"",INDEX(Data!$B$2051:$B$2550,$M64))</f>
        <v>Martin Luther King High School</v>
      </c>
      <c r="C64" s="146" t="str">
        <f ca="1">IF($M64=0,"",INDEX(Data!$C$2051:$C$2550,$M64))</f>
        <v>District</v>
      </c>
      <c r="D64" s="146" t="str">
        <f ca="1">IF($M64=0,"",INDEX(Data!$D$2051:$D$2550,$M64))</f>
        <v>High</v>
      </c>
      <c r="E64" s="147">
        <f ca="1">IF($M64=0,"",INDEX(Data!$G$2051:$G$2550,$M64))</f>
        <v>0.80659999999999998</v>
      </c>
      <c r="F64" s="146">
        <f ca="1">IF($M64=0,"",INDEX(Data!$F$2051:$F$2550,$M64))</f>
        <v>604</v>
      </c>
      <c r="G64" s="148">
        <f ca="1">IF($M64=0,"",INDEX(Data!$K$2051:$K$2550,$M64))</f>
        <v>0.75924370962115928</v>
      </c>
      <c r="H64" s="146">
        <f ca="1">IF($M64=0,"",INDEX(Data!$L$2051:$L$2550,$M64))</f>
        <v>9</v>
      </c>
      <c r="I64" s="149">
        <f ca="1">IF($M64=0,"",INDEX(Data!$T$2051:$T$2550,$M64))</f>
        <v>49</v>
      </c>
      <c r="J64" s="146" t="str">
        <f ca="1">IF($M64=0,"",INDEX(Data!$U$2051:$U$2550,$M64))</f>
        <v>Listed</v>
      </c>
      <c r="K64" s="146" t="str">
        <f ca="1">IF($M64=0,"",INDEX(Data!$AA$2051:$AA$2550,$M64))</f>
        <v>81% economic need; 0.76 mi fresh access; 9 nearby resources</v>
      </c>
      <c r="L64" s="146" t="str">
        <f ca="1">IF($M64=0,"",IF(INDEX(Data!$AN$2051:$AN$2550,$M64)=0,"",IF(INDEX(Data!$U$41:$U$540,INDEX(Data!$AN$2051:$AN$2550,$M64))="","",INDEX(Data!$U$41:$U$540,INDEX(Data!$AN$2051:$AN$2550,$M64)))))</f>
        <v>215-400-3500</v>
      </c>
      <c r="M64" s="132">
        <f ca="1">IF(COUNTIFS(Data!$AV$2051:$AV$2550,52)=1,MATCH(52,Data!$AV$2051:$AV$2550,0),0)</f>
        <v>227</v>
      </c>
      <c r="N64" s="150" t="str">
        <f ca="1">IF($M64=0,"",IF(INDEX(Data!$I$2051:$I$2550,$M64)=0,"Add ID","Row "&amp;(INDEX(Data!$I$2051:$I$2550,$M64)+7)))</f>
        <v>Row 184</v>
      </c>
    </row>
    <row r="65" spans="1:14" ht="40" customHeight="1">
      <c r="A65" s="135">
        <f ca="1">IF($M65=0,"",INDEX(Data!$W$2051:$W$2550,$M65))</f>
        <v>53</v>
      </c>
      <c r="B65" s="138" t="str">
        <f ca="1">IF($M65=0,"",INDEX(Data!$B$2051:$B$2550,$M65))</f>
        <v>Hill-Freedman World Academy</v>
      </c>
      <c r="C65" s="141" t="str">
        <f ca="1">IF($M65=0,"",INDEX(Data!$C$2051:$C$2550,$M65))</f>
        <v>District</v>
      </c>
      <c r="D65" s="141" t="str">
        <f ca="1">IF($M65=0,"",INDEX(Data!$D$2051:$D$2550,$M65))</f>
        <v>Middle-High</v>
      </c>
      <c r="E65" s="142">
        <f ca="1">IF($M65=0,"",INDEX(Data!$G$2051:$G$2550,$M65))</f>
        <v>0.67810000000000004</v>
      </c>
      <c r="F65" s="141">
        <f ca="1">IF($M65=0,"",INDEX(Data!$F$2051:$F$2550,$M65))</f>
        <v>650</v>
      </c>
      <c r="G65" s="143">
        <f ca="1">IF($M65=0,"",INDEX(Data!$K$2051:$K$2550,$M65))</f>
        <v>0.83599563873424443</v>
      </c>
      <c r="H65" s="141">
        <f ca="1">IF($M65=0,"",INDEX(Data!$L$2051:$L$2550,$M65))</f>
        <v>3</v>
      </c>
      <c r="I65" s="144">
        <f ca="1">IF($M65=0,"",INDEX(Data!$T$2051:$T$2550,$M65))</f>
        <v>49</v>
      </c>
      <c r="J65" s="141" t="str">
        <f ca="1">IF($M65=0,"",INDEX(Data!$U$2051:$U$2550,$M65))</f>
        <v>Listed</v>
      </c>
      <c r="K65" s="141" t="str">
        <f ca="1">IF($M65=0,"",INDEX(Data!$AA$2051:$AA$2550,$M65))</f>
        <v>68% economic need; 0.84 mi fresh access; 3 nearby resources</v>
      </c>
      <c r="L65" s="141" t="str">
        <f ca="1">IF($M65=0,"",IF(INDEX(Data!$AN$2051:$AN$2550,$M65)=0,"",IF(INDEX(Data!$U$41:$U$540,INDEX(Data!$AN$2051:$AN$2550,$M65))="","",INDEX(Data!$U$41:$U$540,INDEX(Data!$AN$2051:$AN$2550,$M65)))))</f>
        <v>215-400-3530</v>
      </c>
      <c r="M65" s="132">
        <f ca="1">IF(COUNTIFS(Data!$AV$2051:$AV$2550,53)=1,MATCH(53,Data!$AV$2051:$AV$2550,0),0)</f>
        <v>248</v>
      </c>
      <c r="N65" s="145" t="str">
        <f ca="1">IF($M65=0,"",IF(INDEX(Data!$I$2051:$I$2550,$M65)=0,"Add ID","Row "&amp;(INDEX(Data!$I$2051:$I$2550,$M65)+7)))</f>
        <v>Row 122</v>
      </c>
    </row>
    <row r="66" spans="1:14" ht="40" customHeight="1">
      <c r="A66" s="136">
        <f ca="1">IF($M66=0,"",INDEX(Data!$W$2051:$W$2550,$M66))</f>
        <v>54</v>
      </c>
      <c r="B66" s="139" t="str">
        <f ca="1">IF($M66=0,"",INDEX(Data!$B$2051:$B$2550,$M66))</f>
        <v>Watson Comly School</v>
      </c>
      <c r="C66" s="146" t="str">
        <f ca="1">IF($M66=0,"",INDEX(Data!$C$2051:$C$2550,$M66))</f>
        <v>District</v>
      </c>
      <c r="D66" s="146" t="str">
        <f ca="1">IF($M66=0,"",INDEX(Data!$D$2051:$D$2550,$M66))</f>
        <v>Elementary</v>
      </c>
      <c r="E66" s="147">
        <f ca="1">IF($M66=0,"",INDEX(Data!$G$2051:$G$2550,$M66))</f>
        <v>0.66559999999999997</v>
      </c>
      <c r="F66" s="146">
        <f ca="1">IF($M66=0,"",INDEX(Data!$F$2051:$F$2550,$M66))</f>
        <v>660</v>
      </c>
      <c r="G66" s="148">
        <f ca="1">IF($M66=0,"",INDEX(Data!$K$2051:$K$2550,$M66))</f>
        <v>0.42671826805716384</v>
      </c>
      <c r="H66" s="146">
        <f ca="1">IF($M66=0,"",INDEX(Data!$L$2051:$L$2550,$M66))</f>
        <v>1</v>
      </c>
      <c r="I66" s="149">
        <f ca="1">IF($M66=0,"",INDEX(Data!$T$2051:$T$2550,$M66))</f>
        <v>49</v>
      </c>
      <c r="J66" s="146" t="str">
        <f ca="1">IF($M66=0,"",INDEX(Data!$U$2051:$U$2550,$M66))</f>
        <v>Listed</v>
      </c>
      <c r="K66" s="146" t="str">
        <f ca="1">IF($M66=0,"",INDEX(Data!$AA$2051:$AA$2550,$M66))</f>
        <v>67% economic need; 0.43 mi fresh access; 1 nearby resources</v>
      </c>
      <c r="L66" s="146" t="str">
        <f ca="1">IF($M66=0,"",IF(INDEX(Data!$AN$2051:$AN$2550,$M66)=0,"",IF(INDEX(Data!$U$41:$U$540,INDEX(Data!$AN$2051:$AN$2550,$M66))="","",INDEX(Data!$U$41:$U$540,INDEX(Data!$AN$2051:$AN$2550,$M66)))))</f>
        <v>215-400-3010</v>
      </c>
      <c r="M66" s="132">
        <f ca="1">IF(COUNTIFS(Data!$AV$2051:$AV$2550,54)=1,MATCH(54,Data!$AV$2051:$AV$2550,0),0)</f>
        <v>310</v>
      </c>
      <c r="N66" s="150" t="str">
        <f ca="1">IF($M66=0,"",IF(INDEX(Data!$I$2051:$I$2550,$M66)=0,"Add ID","Row "&amp;(INDEX(Data!$I$2051:$I$2550,$M66)+7)))</f>
        <v>Row 314</v>
      </c>
    </row>
    <row r="67" spans="1:14" ht="40" customHeight="1">
      <c r="A67" s="135">
        <f ca="1">IF($M67=0,"",INDEX(Data!$W$2051:$W$2550,$M67))</f>
        <v>55</v>
      </c>
      <c r="B67" s="138" t="str">
        <f ca="1">IF($M67=0,"",INDEX(Data!$B$2051:$B$2550,$M67))</f>
        <v>Arts Academy at Benjamin Rush</v>
      </c>
      <c r="C67" s="141" t="str">
        <f ca="1">IF($M67=0,"",INDEX(Data!$C$2051:$C$2550,$M67))</f>
        <v>District</v>
      </c>
      <c r="D67" s="141" t="str">
        <f ca="1">IF($M67=0,"",INDEX(Data!$D$2051:$D$2550,$M67))</f>
        <v>High</v>
      </c>
      <c r="E67" s="142">
        <f ca="1">IF($M67=0,"",INDEX(Data!$G$2051:$G$2550,$M67))</f>
        <v>0.55810000000000004</v>
      </c>
      <c r="F67" s="141">
        <f ca="1">IF($M67=0,"",INDEX(Data!$F$2051:$F$2550,$M67))</f>
        <v>602</v>
      </c>
      <c r="G67" s="143">
        <f ca="1">IF($M67=0,"",INDEX(Data!$K$2051:$K$2550,$M67))</f>
        <v>0.3281166835630559</v>
      </c>
      <c r="H67" s="141">
        <f ca="1">IF($M67=0,"",INDEX(Data!$L$2051:$L$2550,$M67))</f>
        <v>0</v>
      </c>
      <c r="I67" s="144">
        <f ca="1">IF($M67=0,"",INDEX(Data!$T$2051:$T$2550,$M67))</f>
        <v>49</v>
      </c>
      <c r="J67" s="141" t="str">
        <f ca="1">IF($M67=0,"",INDEX(Data!$U$2051:$U$2550,$M67))</f>
        <v>Listed</v>
      </c>
      <c r="K67" s="141" t="str">
        <f ca="1">IF($M67=0,"",INDEX(Data!$AA$2051:$AA$2550,$M67))</f>
        <v>56% economic need; 0.33 mi fresh access; 0 nearby resources</v>
      </c>
      <c r="L67" s="141" t="str">
        <f ca="1">IF($M67=0,"",IF(INDEX(Data!$AN$2051:$AN$2550,$M67)=0,"",IF(INDEX(Data!$U$41:$U$540,INDEX(Data!$AN$2051:$AN$2550,$M67))="","",INDEX(Data!$U$41:$U$540,INDEX(Data!$AN$2051:$AN$2550,$M67)))))</f>
        <v>215-400-3030</v>
      </c>
      <c r="M67" s="132">
        <f ca="1">IF(COUNTIFS(Data!$AV$2051:$AV$2550,55)=1,MATCH(55,Data!$AV$2051:$AV$2550,0),0)</f>
        <v>289</v>
      </c>
      <c r="N67" s="145" t="str">
        <f ca="1">IF($M67=0,"",IF(INDEX(Data!$I$2051:$I$2550,$M67)=0,"Add ID","Row "&amp;(INDEX(Data!$I$2051:$I$2550,$M67)+7)))</f>
        <v>Row 31</v>
      </c>
    </row>
    <row r="68" spans="1:14" ht="40" customHeight="1">
      <c r="A68" s="136">
        <f ca="1">IF($M68=0,"",INDEX(Data!$W$2051:$W$2550,$M68))</f>
        <v>56</v>
      </c>
      <c r="B68" s="139" t="str">
        <f ca="1">IF($M68=0,"",INDEX(Data!$B$2051:$B$2550,$M68))</f>
        <v>Frances E. Willard School</v>
      </c>
      <c r="C68" s="146" t="str">
        <f ca="1">IF($M68=0,"",INDEX(Data!$C$2051:$C$2550,$M68))</f>
        <v>District</v>
      </c>
      <c r="D68" s="146" t="str">
        <f ca="1">IF($M68=0,"",INDEX(Data!$D$2051:$D$2550,$M68))</f>
        <v>Elementary</v>
      </c>
      <c r="E68" s="147">
        <f ca="1">IF($M68=0,"",INDEX(Data!$G$2051:$G$2550,$M68))</f>
        <v>0.93420000000000003</v>
      </c>
      <c r="F68" s="146">
        <f ca="1">IF($M68=0,"",INDEX(Data!$F$2051:$F$2550,$M68))</f>
        <v>352</v>
      </c>
      <c r="G68" s="148">
        <f ca="1">IF($M68=0,"",INDEX(Data!$K$2051:$K$2550,$M68))</f>
        <v>0.64030941931744734</v>
      </c>
      <c r="H68" s="146">
        <f ca="1">IF($M68=0,"",INDEX(Data!$L$2051:$L$2550,$M68))</f>
        <v>12</v>
      </c>
      <c r="I68" s="149">
        <f ca="1">IF($M68=0,"",INDEX(Data!$T$2051:$T$2550,$M68))</f>
        <v>48</v>
      </c>
      <c r="J68" s="146" t="str">
        <f ca="1">IF($M68=0,"",INDEX(Data!$U$2051:$U$2550,$M68))</f>
        <v>Listed</v>
      </c>
      <c r="K68" s="146" t="str">
        <f ca="1">IF($M68=0,"",INDEX(Data!$AA$2051:$AA$2550,$M68))</f>
        <v>93% economic need; 0.64 mi fresh access; 12 nearby resources</v>
      </c>
      <c r="L68" s="146" t="str">
        <f ca="1">IF($M68=0,"",IF(INDEX(Data!$AN$2051:$AN$2550,$M68)=0,"",IF(INDEX(Data!$U$41:$U$540,INDEX(Data!$AN$2051:$AN$2550,$M68))="","",INDEX(Data!$U$41:$U$540,INDEX(Data!$AN$2051:$AN$2550,$M68)))))</f>
        <v>215-400-7180</v>
      </c>
      <c r="M68" s="132">
        <f ca="1">IF(COUNTIFS(Data!$AV$2051:$AV$2550,56)=1,MATCH(56,Data!$AV$2051:$AV$2550,0),0)</f>
        <v>205</v>
      </c>
      <c r="N68" s="150" t="str">
        <f ca="1">IF($M68=0,"",IF(INDEX(Data!$I$2051:$I$2550,$M68)=0,"Add ID","Row "&amp;(INDEX(Data!$I$2051:$I$2550,$M68)+7)))</f>
        <v>Row 86</v>
      </c>
    </row>
    <row r="69" spans="1:14" ht="40" customHeight="1">
      <c r="A69" s="135">
        <f ca="1">IF($M69=0,"",INDEX(Data!$W$2051:$W$2550,$M69))</f>
        <v>57</v>
      </c>
      <c r="B69" s="138" t="str">
        <f ca="1">IF($M69=0,"",INDEX(Data!$B$2051:$B$2550,$M69))</f>
        <v>E. Washington Rhodes School</v>
      </c>
      <c r="C69" s="141" t="str">
        <f ca="1">IF($M69=0,"",INDEX(Data!$C$2051:$C$2550,$M69))</f>
        <v>District</v>
      </c>
      <c r="D69" s="141" t="str">
        <f ca="1">IF($M69=0,"",INDEX(Data!$D$2051:$D$2550,$M69))</f>
        <v>Elementary-Middle</v>
      </c>
      <c r="E69" s="142">
        <f ca="1">IF($M69=0,"",INDEX(Data!$G$2051:$G$2550,$M69))</f>
        <v>0.92479999999999996</v>
      </c>
      <c r="F69" s="141">
        <f ca="1">IF($M69=0,"",INDEX(Data!$F$2051:$F$2550,$M69))</f>
        <v>350</v>
      </c>
      <c r="G69" s="143">
        <f ca="1">IF($M69=0,"",INDEX(Data!$K$2051:$K$2550,$M69))</f>
        <v>0.5272856449124409</v>
      </c>
      <c r="H69" s="141">
        <f ca="1">IF($M69=0,"",INDEX(Data!$L$2051:$L$2550,$M69))</f>
        <v>9</v>
      </c>
      <c r="I69" s="144">
        <f ca="1">IF($M69=0,"",INDEX(Data!$T$2051:$T$2550,$M69))</f>
        <v>48</v>
      </c>
      <c r="J69" s="141" t="str">
        <f ca="1">IF($M69=0,"",INDEX(Data!$U$2051:$U$2550,$M69))</f>
        <v>Listed</v>
      </c>
      <c r="K69" s="141" t="str">
        <f ca="1">IF($M69=0,"",INDEX(Data!$AA$2051:$AA$2550,$M69))</f>
        <v>92% economic need; 0.53 mi fresh access; 9 nearby resources</v>
      </c>
      <c r="L69" s="141" t="str">
        <f ca="1">IF($M69=0,"",IF(INDEX(Data!$AN$2051:$AN$2550,$M69)=0,"",IF(INDEX(Data!$U$41:$U$540,INDEX(Data!$AN$2051:$AN$2550,$M69))="","",INDEX(Data!$U$41:$U$540,INDEX(Data!$AN$2051:$AN$2550,$M69)))))</f>
        <v>215-400-7060</v>
      </c>
      <c r="M69" s="132">
        <f ca="1">IF(COUNTIFS(Data!$AV$2051:$AV$2550,57)=1,MATCH(57,Data!$AV$2051:$AV$2550,0),0)</f>
        <v>167</v>
      </c>
      <c r="N69" s="145" t="str">
        <f ca="1">IF($M69=0,"",IF(INDEX(Data!$I$2051:$I$2550,$M69)=0,"Add ID","Row "&amp;(INDEX(Data!$I$2051:$I$2550,$M69)+7)))</f>
        <v>Row 60</v>
      </c>
    </row>
    <row r="70" spans="1:14" ht="40" customHeight="1">
      <c r="A70" s="136">
        <f ca="1">IF($M70=0,"",INDEX(Data!$W$2051:$W$2550,$M70))</f>
        <v>58</v>
      </c>
      <c r="B70" s="139" t="str">
        <f ca="1">IF($M70=0,"",INDEX(Data!$B$2051:$B$2550,$M70))</f>
        <v>Mary M. Bethune School</v>
      </c>
      <c r="C70" s="146" t="str">
        <f ca="1">IF($M70=0,"",INDEX(Data!$C$2051:$C$2550,$M70))</f>
        <v>District</v>
      </c>
      <c r="D70" s="146" t="str">
        <f ca="1">IF($M70=0,"",INDEX(Data!$D$2051:$D$2550,$M70))</f>
        <v>Elementary-Middle</v>
      </c>
      <c r="E70" s="147">
        <f ca="1">IF($M70=0,"",INDEX(Data!$G$2051:$G$2550,$M70))</f>
        <v>0.9214</v>
      </c>
      <c r="F70" s="146">
        <f ca="1">IF($M70=0,"",INDEX(Data!$F$2051:$F$2550,$M70))</f>
        <v>353</v>
      </c>
      <c r="G70" s="148">
        <f ca="1">IF($M70=0,"",INDEX(Data!$K$2051:$K$2550,$M70))</f>
        <v>0.67579567641859406</v>
      </c>
      <c r="H70" s="146">
        <f ca="1">IF($M70=0,"",INDEX(Data!$L$2051:$L$2550,$M70))</f>
        <v>10</v>
      </c>
      <c r="I70" s="149">
        <f ca="1">IF($M70=0,"",INDEX(Data!$T$2051:$T$2550,$M70))</f>
        <v>48</v>
      </c>
      <c r="J70" s="146" t="str">
        <f ca="1">IF($M70=0,"",INDEX(Data!$U$2051:$U$2550,$M70))</f>
        <v>Listed</v>
      </c>
      <c r="K70" s="146" t="str">
        <f ca="1">IF($M70=0,"",INDEX(Data!$AA$2051:$AA$2550,$M70))</f>
        <v>92% economic need; 0.68 mi fresh access; 10 nearby resources</v>
      </c>
      <c r="L70" s="146" t="str">
        <f ca="1">IF($M70=0,"",IF(INDEX(Data!$AN$2051:$AN$2550,$M70)=0,"",IF(INDEX(Data!$U$41:$U$540,INDEX(Data!$AN$2051:$AN$2550,$M70))="","",INDEX(Data!$U$41:$U$540,INDEX(Data!$AN$2051:$AN$2550,$M70)))))</f>
        <v>215-400-3890</v>
      </c>
      <c r="M70" s="132">
        <f ca="1">IF(COUNTIFS(Data!$AV$2051:$AV$2550,58)=1,MATCH(58,Data!$AV$2051:$AV$2550,0),0)</f>
        <v>283</v>
      </c>
      <c r="N70" s="150" t="str">
        <f ca="1">IF($M70=0,"",IF(INDEX(Data!$I$2051:$I$2550,$M70)=0,"Add ID","Row "&amp;(INDEX(Data!$I$2051:$I$2550,$M70)+7)))</f>
        <v>Row 185</v>
      </c>
    </row>
    <row r="71" spans="1:14" ht="40" customHeight="1">
      <c r="A71" s="135">
        <f ca="1">IF($M71=0,"",INDEX(Data!$W$2051:$W$2550,$M71))</f>
        <v>59</v>
      </c>
      <c r="B71" s="138" t="str">
        <f ca="1">IF($M71=0,"",INDEX(Data!$B$2051:$B$2550,$M71))</f>
        <v>Tanner G. Duckrey School</v>
      </c>
      <c r="C71" s="141" t="str">
        <f ca="1">IF($M71=0,"",INDEX(Data!$C$2051:$C$2550,$M71))</f>
        <v>District</v>
      </c>
      <c r="D71" s="141" t="str">
        <f ca="1">IF($M71=0,"",INDEX(Data!$D$2051:$D$2550,$M71))</f>
        <v>Elementary-Middle</v>
      </c>
      <c r="E71" s="142">
        <f ca="1">IF($M71=0,"",INDEX(Data!$G$2051:$G$2550,$M71))</f>
        <v>0.90469999999999995</v>
      </c>
      <c r="F71" s="141">
        <f ca="1">IF($M71=0,"",INDEX(Data!$F$2051:$F$2550,$M71))</f>
        <v>402</v>
      </c>
      <c r="G71" s="143">
        <f ca="1">IF($M71=0,"",INDEX(Data!$K$2051:$K$2550,$M71))</f>
        <v>0.59754365481934968</v>
      </c>
      <c r="H71" s="141">
        <f ca="1">IF($M71=0,"",INDEX(Data!$L$2051:$L$2550,$M71))</f>
        <v>14</v>
      </c>
      <c r="I71" s="144">
        <f ca="1">IF($M71=0,"",INDEX(Data!$T$2051:$T$2550,$M71))</f>
        <v>48</v>
      </c>
      <c r="J71" s="141" t="str">
        <f ca="1">IF($M71=0,"",INDEX(Data!$U$2051:$U$2550,$M71))</f>
        <v>Listed</v>
      </c>
      <c r="K71" s="141" t="str">
        <f ca="1">IF($M71=0,"",INDEX(Data!$AA$2051:$AA$2550,$M71))</f>
        <v>90% economic need; 0.60 mi fresh access; 14 nearby resources</v>
      </c>
      <c r="L71" s="141" t="str">
        <f ca="1">IF($M71=0,"",IF(INDEX(Data!$AN$2051:$AN$2550,$M71)=0,"",IF(INDEX(Data!$U$41:$U$540,INDEX(Data!$AN$2051:$AN$2550,$M71))="","",INDEX(Data!$U$41:$U$540,INDEX(Data!$AN$2051:$AN$2550,$M71)))))</f>
        <v>215-400-7350</v>
      </c>
      <c r="M71" s="132">
        <f ca="1">IF(COUNTIFS(Data!$AV$2051:$AV$2550,59)=1,MATCH(59,Data!$AV$2051:$AV$2550,0),0)</f>
        <v>172</v>
      </c>
      <c r="N71" s="145" t="str">
        <f ca="1">IF($M71=0,"",IF(INDEX(Data!$I$2051:$I$2550,$M71)=0,"Add ID","Row "&amp;(INDEX(Data!$I$2051:$I$2550,$M71)+7)))</f>
        <v>Row 288</v>
      </c>
    </row>
    <row r="72" spans="1:14" ht="40" customHeight="1">
      <c r="A72" s="136">
        <f ca="1">IF($M72=0,"",INDEX(Data!$W$2051:$W$2550,$M72))</f>
        <v>60</v>
      </c>
      <c r="B72" s="139" t="str">
        <f ca="1">IF($M72=0,"",INDEX(Data!$B$2051:$B$2550,$M72))</f>
        <v>James R. Lowell School</v>
      </c>
      <c r="C72" s="146" t="str">
        <f ca="1">IF($M72=0,"",INDEX(Data!$C$2051:$C$2550,$M72))</f>
        <v>District</v>
      </c>
      <c r="D72" s="146" t="str">
        <f ca="1">IF($M72=0,"",INDEX(Data!$D$2051:$D$2550,$M72))</f>
        <v>Elementary</v>
      </c>
      <c r="E72" s="147">
        <f ca="1">IF($M72=0,"",INDEX(Data!$G$2051:$G$2550,$M72))</f>
        <v>0.87680000000000002</v>
      </c>
      <c r="F72" s="146">
        <f ca="1">IF($M72=0,"",INDEX(Data!$F$2051:$F$2550,$M72))</f>
        <v>430</v>
      </c>
      <c r="G72" s="148">
        <f ca="1">IF($M72=0,"",INDEX(Data!$K$2051:$K$2550,$M72))</f>
        <v>0.54540436369651768</v>
      </c>
      <c r="H72" s="146">
        <f ca="1">IF($M72=0,"",INDEX(Data!$L$2051:$L$2550,$M72))</f>
        <v>4</v>
      </c>
      <c r="I72" s="149">
        <f ca="1">IF($M72=0,"",INDEX(Data!$T$2051:$T$2550,$M72))</f>
        <v>48</v>
      </c>
      <c r="J72" s="146" t="str">
        <f ca="1">IF($M72=0,"",INDEX(Data!$U$2051:$U$2550,$M72))</f>
        <v>Listed</v>
      </c>
      <c r="K72" s="146" t="str">
        <f ca="1">IF($M72=0,"",INDEX(Data!$AA$2051:$AA$2550,$M72))</f>
        <v>88% economic need; 0.55 mi fresh access; 4 nearby resources</v>
      </c>
      <c r="L72" s="146" t="str">
        <f ca="1">IF($M72=0,"",IF(INDEX(Data!$AN$2051:$AN$2550,$M72)=0,"",IF(INDEX(Data!$U$41:$U$540,INDEX(Data!$AN$2051:$AN$2550,$M72))="","",INDEX(Data!$U$41:$U$540,INDEX(Data!$AN$2051:$AN$2550,$M72)))))</f>
        <v>215-400-3740</v>
      </c>
      <c r="M72" s="132">
        <f ca="1">IF(COUNTIFS(Data!$AV$2051:$AV$2550,60)=1,MATCH(60,Data!$AV$2051:$AV$2550,0),0)</f>
        <v>271</v>
      </c>
      <c r="N72" s="150" t="str">
        <f ca="1">IF($M72=0,"",IF(INDEX(Data!$I$2051:$I$2550,$M72)=0,"Add ID","Row "&amp;(INDEX(Data!$I$2051:$I$2550,$M72)+7)))</f>
        <v>Row 136</v>
      </c>
    </row>
    <row r="73" spans="1:14" ht="40" customHeight="1">
      <c r="A73" s="135">
        <f ca="1">IF($M73=0,"",INDEX(Data!$W$2051:$W$2550,$M73))</f>
        <v>61</v>
      </c>
      <c r="B73" s="138" t="str">
        <f ca="1">IF($M73=0,"",INDEX(Data!$B$2051:$B$2550,$M73))</f>
        <v>Allen M. Stearne School</v>
      </c>
      <c r="C73" s="141" t="str">
        <f ca="1">IF($M73=0,"",INDEX(Data!$C$2051:$C$2550,$M73))</f>
        <v>District</v>
      </c>
      <c r="D73" s="141" t="str">
        <f ca="1">IF($M73=0,"",INDEX(Data!$D$2051:$D$2550,$M73))</f>
        <v>Elementary-Middle</v>
      </c>
      <c r="E73" s="142">
        <f ca="1">IF($M73=0,"",INDEX(Data!$G$2051:$G$2550,$M73))</f>
        <v>0.86639999999999995</v>
      </c>
      <c r="F73" s="141">
        <f ca="1">IF($M73=0,"",INDEX(Data!$F$2051:$F$2550,$M73))</f>
        <v>370</v>
      </c>
      <c r="G73" s="143">
        <f ca="1">IF($M73=0,"",INDEX(Data!$K$2051:$K$2550,$M73))</f>
        <v>0.78220235714954256</v>
      </c>
      <c r="H73" s="141">
        <f ca="1">IF($M73=0,"",INDEX(Data!$L$2051:$L$2550,$M73))</f>
        <v>7</v>
      </c>
      <c r="I73" s="144">
        <f ca="1">IF($M73=0,"",INDEX(Data!$T$2051:$T$2550,$M73))</f>
        <v>48</v>
      </c>
      <c r="J73" s="141" t="str">
        <f ca="1">IF($M73=0,"",INDEX(Data!$U$2051:$U$2550,$M73))</f>
        <v>Listed</v>
      </c>
      <c r="K73" s="141" t="str">
        <f ca="1">IF($M73=0,"",INDEX(Data!$AA$2051:$AA$2550,$M73))</f>
        <v>87% economic need; 0.78 mi fresh access; 7 nearby resources</v>
      </c>
      <c r="L73" s="141" t="str">
        <f ca="1">IF($M73=0,"",IF(INDEX(Data!$AN$2051:$AN$2550,$M73)=0,"",IF(INDEX(Data!$U$41:$U$540,INDEX(Data!$AN$2051:$AN$2550,$M73))="","",INDEX(Data!$U$41:$U$540,INDEX(Data!$AN$2051:$AN$2550,$M73)))))</f>
        <v>215-400-3980</v>
      </c>
      <c r="M73" s="132">
        <f ca="1">IF(COUNTIFS(Data!$AV$2051:$AV$2550,61)=1,MATCH(61,Data!$AV$2051:$AV$2550,0),0)</f>
        <v>266</v>
      </c>
      <c r="N73" s="145" t="str">
        <f ca="1">IF($M73=0,"",IF(INDEX(Data!$I$2051:$I$2550,$M73)=0,"Add ID","Row "&amp;(INDEX(Data!$I$2051:$I$2550,$M73)+7)))</f>
        <v>Row 21</v>
      </c>
    </row>
    <row r="74" spans="1:14" ht="40" customHeight="1">
      <c r="A74" s="136">
        <f ca="1">IF($M74=0,"",INDEX(Data!$W$2051:$W$2550,$M74))</f>
        <v>62</v>
      </c>
      <c r="B74" s="139" t="str">
        <f ca="1">IF($M74=0,"",INDEX(Data!$B$2051:$B$2550,$M74))</f>
        <v>John S. Jenks Academy for the Arts and Sciences</v>
      </c>
      <c r="C74" s="146" t="str">
        <f ca="1">IF($M74=0,"",INDEX(Data!$C$2051:$C$2550,$M74))</f>
        <v>District</v>
      </c>
      <c r="D74" s="146" t="str">
        <f ca="1">IF($M74=0,"",INDEX(Data!$D$2051:$D$2550,$M74))</f>
        <v>Elementary-Middle</v>
      </c>
      <c r="E74" s="147">
        <f ca="1">IF($M74=0,"",INDEX(Data!$G$2051:$G$2550,$M74))</f>
        <v>0.60780000000000001</v>
      </c>
      <c r="F74" s="146">
        <f ca="1">IF($M74=0,"",INDEX(Data!$F$2051:$F$2550,$M74))</f>
        <v>380</v>
      </c>
      <c r="G74" s="148">
        <f ca="1">IF($M74=0,"",INDEX(Data!$K$2051:$K$2550,$M74))</f>
        <v>7.2008835620664083E-2</v>
      </c>
      <c r="H74" s="146">
        <f ca="1">IF($M74=0,"",INDEX(Data!$L$2051:$L$2550,$M74))</f>
        <v>0</v>
      </c>
      <c r="I74" s="149">
        <f ca="1">IF($M74=0,"",INDEX(Data!$T$2051:$T$2550,$M74))</f>
        <v>48</v>
      </c>
      <c r="J74" s="146" t="str">
        <f ca="1">IF($M74=0,"",INDEX(Data!$U$2051:$U$2550,$M74))</f>
        <v>Listed</v>
      </c>
      <c r="K74" s="146" t="str">
        <f ca="1">IF($M74=0,"",INDEX(Data!$AA$2051:$AA$2550,$M74))</f>
        <v>61% economic need; 0.07 mi fresh access; 0 nearby resources</v>
      </c>
      <c r="L74" s="146" t="str">
        <f ca="1">IF($M74=0,"",IF(INDEX(Data!$AN$2051:$AN$2550,$M74)=0,"",IF(INDEX(Data!$U$41:$U$540,INDEX(Data!$AN$2051:$AN$2550,$M74))="","",INDEX(Data!$U$41:$U$540,INDEX(Data!$AN$2051:$AN$2550,$M74)))))</f>
        <v>215-400-3360</v>
      </c>
      <c r="M74" s="132">
        <f ca="1">IF(COUNTIFS(Data!$AV$2051:$AV$2550,62)=1,MATCH(62,Data!$AV$2051:$AV$2550,0),0)</f>
        <v>235</v>
      </c>
      <c r="N74" s="150" t="str">
        <f ca="1">IF($M74=0,"",IF(INDEX(Data!$I$2051:$I$2550,$M74)=0,"Add ID","Row "&amp;(INDEX(Data!$I$2051:$I$2550,$M74)+7)))</f>
        <v>Row 151</v>
      </c>
    </row>
    <row r="75" spans="1:14" ht="40" customHeight="1">
      <c r="A75" s="135">
        <f ca="1">IF($M75=0,"",INDEX(Data!$W$2051:$W$2550,$M75))</f>
        <v>63</v>
      </c>
      <c r="B75" s="138" t="str">
        <f ca="1">IF($M75=0,"",INDEX(Data!$B$2051:$B$2550,$M75))</f>
        <v>Thomas Mifflin School</v>
      </c>
      <c r="C75" s="141" t="str">
        <f ca="1">IF($M75=0,"",INDEX(Data!$C$2051:$C$2550,$M75))</f>
        <v>District</v>
      </c>
      <c r="D75" s="141" t="str">
        <f ca="1">IF($M75=0,"",INDEX(Data!$D$2051:$D$2550,$M75))</f>
        <v>Elementary-Middle</v>
      </c>
      <c r="E75" s="142">
        <f ca="1">IF($M75=0,"",INDEX(Data!$G$2051:$G$2550,$M75))</f>
        <v>0.60370000000000001</v>
      </c>
      <c r="F75" s="141">
        <f ca="1">IF($M75=0,"",INDEX(Data!$F$2051:$F$2550,$M75))</f>
        <v>396</v>
      </c>
      <c r="G75" s="143">
        <f ca="1">IF($M75=0,"",INDEX(Data!$K$2051:$K$2550,$M75))</f>
        <v>0.87254924112408028</v>
      </c>
      <c r="H75" s="141">
        <f ca="1">IF($M75=0,"",INDEX(Data!$L$2051:$L$2550,$M75))</f>
        <v>3</v>
      </c>
      <c r="I75" s="144">
        <f ca="1">IF($M75=0,"",INDEX(Data!$T$2051:$T$2550,$M75))</f>
        <v>48</v>
      </c>
      <c r="J75" s="141" t="str">
        <f ca="1">IF($M75=0,"",INDEX(Data!$U$2051:$U$2550,$M75))</f>
        <v>Listed</v>
      </c>
      <c r="K75" s="141" t="str">
        <f ca="1">IF($M75=0,"",INDEX(Data!$AA$2051:$AA$2550,$M75))</f>
        <v>60% economic need; 0.87 mi fresh access; 3 nearby resources</v>
      </c>
      <c r="L75" s="141" t="str">
        <f ca="1">IF($M75=0,"",IF(INDEX(Data!$AN$2051:$AN$2550,$M75)=0,"",IF(INDEX(Data!$U$41:$U$540,INDEX(Data!$AN$2051:$AN$2550,$M75))="","",INDEX(Data!$U$41:$U$540,INDEX(Data!$AN$2051:$AN$2550,$M75)))))</f>
        <v>215-400-3830</v>
      </c>
      <c r="M75" s="132">
        <f ca="1">IF(COUNTIFS(Data!$AV$2051:$AV$2550,63)=1,MATCH(63,Data!$AV$2051:$AV$2550,0),0)</f>
        <v>238</v>
      </c>
      <c r="N75" s="145" t="str">
        <f ca="1">IF($M75=0,"",IF(INDEX(Data!$I$2051:$I$2550,$M75)=0,"Add ID","Row "&amp;(INDEX(Data!$I$2051:$I$2550,$M75)+7)))</f>
        <v>Row 304</v>
      </c>
    </row>
    <row r="76" spans="1:14" ht="40" customHeight="1">
      <c r="A76" s="136">
        <f ca="1">IF($M76=0,"",INDEX(Data!$W$2051:$W$2550,$M76))</f>
        <v>64</v>
      </c>
      <c r="B76" s="139" t="str">
        <f ca="1">IF($M76=0,"",INDEX(Data!$B$2051:$B$2550,$M76))</f>
        <v>Morton McMichael School</v>
      </c>
      <c r="C76" s="146" t="str">
        <f ca="1">IF($M76=0,"",INDEX(Data!$C$2051:$C$2550,$M76))</f>
        <v>District</v>
      </c>
      <c r="D76" s="146" t="str">
        <f ca="1">IF($M76=0,"",INDEX(Data!$D$2051:$D$2550,$M76))</f>
        <v>Elementary-Middle</v>
      </c>
      <c r="E76" s="147">
        <f ca="1">IF($M76=0,"",INDEX(Data!$G$2051:$G$2550,$M76))</f>
        <v>0.9264</v>
      </c>
      <c r="F76" s="146">
        <f ca="1">IF($M76=0,"",INDEX(Data!$F$2051:$F$2550,$M76))</f>
        <v>286</v>
      </c>
      <c r="G76" s="148">
        <f ca="1">IF($M76=0,"",INDEX(Data!$K$2051:$K$2550,$M76))</f>
        <v>0.7139799402420749</v>
      </c>
      <c r="H76" s="146">
        <f ca="1">IF($M76=0,"",INDEX(Data!$L$2051:$L$2550,$M76))</f>
        <v>11</v>
      </c>
      <c r="I76" s="149">
        <f ca="1">IF($M76=0,"",INDEX(Data!$T$2051:$T$2550,$M76))</f>
        <v>47</v>
      </c>
      <c r="J76" s="146" t="str">
        <f ca="1">IF($M76=0,"",INDEX(Data!$U$2051:$U$2550,$M76))</f>
        <v>Listed</v>
      </c>
      <c r="K76" s="146" t="str">
        <f ca="1">IF($M76=0,"",INDEX(Data!$AA$2051:$AA$2550,$M76))</f>
        <v>93% economic need; 0.71 mi fresh access; 11 nearby resources</v>
      </c>
      <c r="L76" s="146" t="str">
        <f ca="1">IF($M76=0,"",IF(INDEX(Data!$AN$2051:$AN$2550,$M76)=0,"",IF(INDEX(Data!$U$41:$U$540,INDEX(Data!$AN$2051:$AN$2550,$M76))="","",INDEX(Data!$U$41:$U$540,INDEX(Data!$AN$2051:$AN$2550,$M76)))))</f>
        <v>215-400-7750</v>
      </c>
      <c r="M76" s="132">
        <f ca="1">IF(COUNTIFS(Data!$AV$2051:$AV$2550,64)=1,MATCH(64,Data!$AV$2051:$AV$2550,0),0)</f>
        <v>17</v>
      </c>
      <c r="N76" s="150" t="str">
        <f ca="1">IF($M76=0,"",IF(INDEX(Data!$I$2051:$I$2550,$M76)=0,"Add ID","Row "&amp;(INDEX(Data!$I$2051:$I$2550,$M76)+7)))</f>
        <v>Row 207</v>
      </c>
    </row>
    <row r="77" spans="1:14" ht="40" customHeight="1">
      <c r="A77" s="135">
        <f ca="1">IF($M77=0,"",INDEX(Data!$W$2051:$W$2550,$M77))</f>
        <v>65</v>
      </c>
      <c r="B77" s="138" t="str">
        <f ca="1">IF($M77=0,"",INDEX(Data!$B$2051:$B$2550,$M77))</f>
        <v>William D. Kelley School</v>
      </c>
      <c r="C77" s="141" t="str">
        <f ca="1">IF($M77=0,"",INDEX(Data!$C$2051:$C$2550,$M77))</f>
        <v>District</v>
      </c>
      <c r="D77" s="141" t="str">
        <f ca="1">IF($M77=0,"",INDEX(Data!$D$2051:$D$2550,$M77))</f>
        <v>Elementary-Middle</v>
      </c>
      <c r="E77" s="142">
        <f ca="1">IF($M77=0,"",INDEX(Data!$G$2051:$G$2550,$M77))</f>
        <v>0.91149999999999998</v>
      </c>
      <c r="F77" s="141">
        <f ca="1">IF($M77=0,"",INDEX(Data!$F$2051:$F$2550,$M77))</f>
        <v>205</v>
      </c>
      <c r="G77" s="143">
        <f ca="1">IF($M77=0,"",INDEX(Data!$K$2051:$K$2550,$M77))</f>
        <v>0.51824319933366925</v>
      </c>
      <c r="H77" s="141">
        <f ca="1">IF($M77=0,"",INDEX(Data!$L$2051:$L$2550,$M77))</f>
        <v>11</v>
      </c>
      <c r="I77" s="144">
        <f ca="1">IF($M77=0,"",INDEX(Data!$T$2051:$T$2550,$M77))</f>
        <v>47</v>
      </c>
      <c r="J77" s="141" t="str">
        <f ca="1">IF($M77=0,"",INDEX(Data!$U$2051:$U$2550,$M77))</f>
        <v>Listed</v>
      </c>
      <c r="K77" s="141" t="str">
        <f ca="1">IF($M77=0,"",INDEX(Data!$AA$2051:$AA$2550,$M77))</f>
        <v>91% economic need; 0.52 mi fresh access; 11 nearby resources</v>
      </c>
      <c r="L77" s="141" t="str">
        <f ca="1">IF($M77=0,"",IF(INDEX(Data!$AN$2051:$AN$2550,$M77)=0,"",IF(INDEX(Data!$U$41:$U$540,INDEX(Data!$AN$2051:$AN$2550,$M77))="","",INDEX(Data!$U$41:$U$540,INDEX(Data!$AN$2051:$AN$2550,$M77)))))</f>
        <v>215-400-7370</v>
      </c>
      <c r="M77" s="132">
        <f ca="1">IF(COUNTIFS(Data!$AV$2051:$AV$2550,65)=1,MATCH(65,Data!$AV$2051:$AV$2550,0),0)</f>
        <v>177</v>
      </c>
      <c r="N77" s="145" t="str">
        <f ca="1">IF($M77=0,"",IF(INDEX(Data!$I$2051:$I$2550,$M77)=0,"Add ID","Row "&amp;(INDEX(Data!$I$2051:$I$2550,$M77)+7)))</f>
        <v>Row 322</v>
      </c>
    </row>
    <row r="78" spans="1:14" ht="40" customHeight="1">
      <c r="A78" s="136">
        <f ca="1">IF($M78=0,"",INDEX(Data!$W$2051:$W$2550,$M78))</f>
        <v>66</v>
      </c>
      <c r="B78" s="139" t="str">
        <f ca="1">IF($M78=0,"",INDEX(Data!$B$2051:$B$2550,$M78))</f>
        <v>Dr. Ethel Allen School</v>
      </c>
      <c r="C78" s="146" t="str">
        <f ca="1">IF($M78=0,"",INDEX(Data!$C$2051:$C$2550,$M78))</f>
        <v>District</v>
      </c>
      <c r="D78" s="146" t="str">
        <f ca="1">IF($M78=0,"",INDEX(Data!$D$2051:$D$2550,$M78))</f>
        <v>Elementary-Middle</v>
      </c>
      <c r="E78" s="147">
        <f ca="1">IF($M78=0,"",INDEX(Data!$G$2051:$G$2550,$M78))</f>
        <v>0.90620000000000001</v>
      </c>
      <c r="F78" s="146">
        <f ca="1">IF($M78=0,"",INDEX(Data!$F$2051:$F$2550,$M78))</f>
        <v>274</v>
      </c>
      <c r="G78" s="148">
        <f ca="1">IF($M78=0,"",INDEX(Data!$K$2051:$K$2550,$M78))</f>
        <v>0.55178441743296414</v>
      </c>
      <c r="H78" s="146">
        <f ca="1">IF($M78=0,"",INDEX(Data!$L$2051:$L$2550,$M78))</f>
        <v>10</v>
      </c>
      <c r="I78" s="149">
        <f ca="1">IF($M78=0,"",INDEX(Data!$T$2051:$T$2550,$M78))</f>
        <v>47</v>
      </c>
      <c r="J78" s="146" t="str">
        <f ca="1">IF($M78=0,"",INDEX(Data!$U$2051:$U$2550,$M78))</f>
        <v>Listed</v>
      </c>
      <c r="K78" s="146" t="str">
        <f ca="1">IF($M78=0,"",INDEX(Data!$AA$2051:$AA$2550,$M78))</f>
        <v>91% economic need; 0.55 mi fresh access; 10 nearby resources</v>
      </c>
      <c r="L78" s="146" t="str">
        <f ca="1">IF($M78=0,"",IF(INDEX(Data!$AN$2051:$AN$2550,$M78)=0,"",IF(INDEX(Data!$U$41:$U$540,INDEX(Data!$AN$2051:$AN$2550,$M78))="","",INDEX(Data!$U$41:$U$540,INDEX(Data!$AN$2051:$AN$2550,$M78)))))</f>
        <v>215-400-7040</v>
      </c>
      <c r="M78" s="132">
        <f ca="1">IF(COUNTIFS(Data!$AV$2051:$AV$2550,66)=1,MATCH(66,Data!$AV$2051:$AV$2550,0),0)</f>
        <v>171</v>
      </c>
      <c r="N78" s="150" t="str">
        <f ca="1">IF($M78=0,"",IF(INDEX(Data!$I$2051:$I$2550,$M78)=0,"Add ID","Row "&amp;(INDEX(Data!$I$2051:$I$2550,$M78)+7)))</f>
        <v>Row 59</v>
      </c>
    </row>
    <row r="79" spans="1:14" ht="40" customHeight="1">
      <c r="A79" s="135">
        <f ca="1">IF($M79=0,"",INDEX(Data!$W$2051:$W$2550,$M79))</f>
        <v>67</v>
      </c>
      <c r="B79" s="138" t="str">
        <f ca="1">IF($M79=0,"",INDEX(Data!$B$2051:$B$2550,$M79))</f>
        <v>William C. Bryant School</v>
      </c>
      <c r="C79" s="141" t="str">
        <f ca="1">IF($M79=0,"",INDEX(Data!$C$2051:$C$2550,$M79))</f>
        <v>District</v>
      </c>
      <c r="D79" s="141" t="str">
        <f ca="1">IF($M79=0,"",INDEX(Data!$D$2051:$D$2550,$M79))</f>
        <v>Elementary-Middle</v>
      </c>
      <c r="E79" s="142">
        <f ca="1">IF($M79=0,"",INDEX(Data!$G$2051:$G$2550,$M79))</f>
        <v>0.90229999999999999</v>
      </c>
      <c r="F79" s="141">
        <f ca="1">IF($M79=0,"",INDEX(Data!$F$2051:$F$2550,$M79))</f>
        <v>332</v>
      </c>
      <c r="G79" s="143">
        <f ca="1">IF($M79=0,"",INDEX(Data!$K$2051:$K$2550,$M79))</f>
        <v>0.55923747283886038</v>
      </c>
      <c r="H79" s="141">
        <f ca="1">IF($M79=0,"",INDEX(Data!$L$2051:$L$2550,$M79))</f>
        <v>5</v>
      </c>
      <c r="I79" s="144">
        <f ca="1">IF($M79=0,"",INDEX(Data!$T$2051:$T$2550,$M79))</f>
        <v>47</v>
      </c>
      <c r="J79" s="141" t="str">
        <f ca="1">IF($M79=0,"",INDEX(Data!$U$2051:$U$2550,$M79))</f>
        <v>Listed</v>
      </c>
      <c r="K79" s="141" t="str">
        <f ca="1">IF($M79=0,"",INDEX(Data!$AA$2051:$AA$2550,$M79))</f>
        <v>90% economic need; 0.56 mi fresh access; 5 nearby resources</v>
      </c>
      <c r="L79" s="141" t="str">
        <f ca="1">IF($M79=0,"",IF(INDEX(Data!$AN$2051:$AN$2550,$M79)=0,"",IF(INDEX(Data!$U$41:$U$540,INDEX(Data!$AN$2051:$AN$2550,$M79))="","",INDEX(Data!$U$41:$U$540,INDEX(Data!$AN$2051:$AN$2550,$M79)))))</f>
        <v>215-400-7910</v>
      </c>
      <c r="M79" s="132">
        <f ca="1">IF(COUNTIFS(Data!$AV$2051:$AV$2550,67)=1,MATCH(67,Data!$AV$2051:$AV$2550,0),0)</f>
        <v>9</v>
      </c>
      <c r="N79" s="145" t="str">
        <f ca="1">IF($M79=0,"",IF(INDEX(Data!$I$2051:$I$2550,$M79)=0,"Add ID","Row "&amp;(INDEX(Data!$I$2051:$I$2550,$M79)+7)))</f>
        <v>Row 319</v>
      </c>
    </row>
    <row r="80" spans="1:14" ht="40" customHeight="1">
      <c r="A80" s="136">
        <f ca="1">IF($M80=0,"",INDEX(Data!$W$2051:$W$2550,$M80))</f>
        <v>68</v>
      </c>
      <c r="B80" s="139" t="str">
        <f ca="1">IF($M80=0,"",INDEX(Data!$B$2051:$B$2550,$M80))</f>
        <v>James Logan School</v>
      </c>
      <c r="C80" s="146" t="str">
        <f ca="1">IF($M80=0,"",INDEX(Data!$C$2051:$C$2550,$M80))</f>
        <v>District</v>
      </c>
      <c r="D80" s="146" t="str">
        <f ca="1">IF($M80=0,"",INDEX(Data!$D$2051:$D$2550,$M80))</f>
        <v>Elementary</v>
      </c>
      <c r="E80" s="147">
        <f ca="1">IF($M80=0,"",INDEX(Data!$G$2051:$G$2550,$M80))</f>
        <v>0.90229999999999999</v>
      </c>
      <c r="F80" s="146">
        <f ca="1">IF($M80=0,"",INDEX(Data!$F$2051:$F$2550,$M80))</f>
        <v>223</v>
      </c>
      <c r="G80" s="148">
        <f ca="1">IF($M80=0,"",INDEX(Data!$K$2051:$K$2550,$M80))</f>
        <v>0.69701528040601435</v>
      </c>
      <c r="H80" s="146">
        <f ca="1">IF($M80=0,"",INDEX(Data!$L$2051:$L$2550,$M80))</f>
        <v>8</v>
      </c>
      <c r="I80" s="149">
        <f ca="1">IF($M80=0,"",INDEX(Data!$T$2051:$T$2550,$M80))</f>
        <v>47</v>
      </c>
      <c r="J80" s="146" t="str">
        <f ca="1">IF($M80=0,"",INDEX(Data!$U$2051:$U$2550,$M80))</f>
        <v>Listed</v>
      </c>
      <c r="K80" s="146" t="str">
        <f ca="1">IF($M80=0,"",INDEX(Data!$AA$2051:$AA$2550,$M80))</f>
        <v>90% economic need; 0.70 mi fresh access; 8 nearby resources</v>
      </c>
      <c r="L80" s="146" t="str">
        <f ca="1">IF($M80=0,"",IF(INDEX(Data!$AN$2051:$AN$2550,$M80)=0,"",IF(INDEX(Data!$U$41:$U$540,INDEX(Data!$AN$2051:$AN$2550,$M80))="","",INDEX(Data!$U$41:$U$540,INDEX(Data!$AN$2051:$AN$2550,$M80)))))</f>
        <v>215-400-3670</v>
      </c>
      <c r="M80" s="132">
        <f ca="1">IF(COUNTIFS(Data!$AV$2051:$AV$2550,68)=1,MATCH(68,Data!$AV$2051:$AV$2550,0),0)</f>
        <v>236</v>
      </c>
      <c r="N80" s="150" t="str">
        <f ca="1">IF($M80=0,"",IF(INDEX(Data!$I$2051:$I$2550,$M80)=0,"Add ID","Row "&amp;(INDEX(Data!$I$2051:$I$2550,$M80)+7)))</f>
        <v>Row 135</v>
      </c>
    </row>
    <row r="81" spans="1:14" ht="40" customHeight="1">
      <c r="A81" s="135">
        <f ca="1">IF($M81=0,"",INDEX(Data!$W$2051:$W$2550,$M81))</f>
        <v>69</v>
      </c>
      <c r="B81" s="138" t="str">
        <f ca="1">IF($M81=0,"",INDEX(Data!$B$2051:$B$2550,$M81))</f>
        <v>Benjamin B. Comegys School</v>
      </c>
      <c r="C81" s="141" t="str">
        <f ca="1">IF($M81=0,"",INDEX(Data!$C$2051:$C$2550,$M81))</f>
        <v>District</v>
      </c>
      <c r="D81" s="141" t="str">
        <f ca="1">IF($M81=0,"",INDEX(Data!$D$2051:$D$2550,$M81))</f>
        <v>Elementary-Middle</v>
      </c>
      <c r="E81" s="142">
        <f ca="1">IF($M81=0,"",INDEX(Data!$G$2051:$G$2550,$M81))</f>
        <v>0.90139999999999998</v>
      </c>
      <c r="F81" s="141">
        <f ca="1">IF($M81=0,"",INDEX(Data!$F$2051:$F$2550,$M81))</f>
        <v>213</v>
      </c>
      <c r="G81" s="143">
        <f ca="1">IF($M81=0,"",INDEX(Data!$K$2051:$K$2550,$M81))</f>
        <v>0.56455783722068553</v>
      </c>
      <c r="H81" s="141">
        <f ca="1">IF($M81=0,"",INDEX(Data!$L$2051:$L$2550,$M81))</f>
        <v>7</v>
      </c>
      <c r="I81" s="144">
        <f ca="1">IF($M81=0,"",INDEX(Data!$T$2051:$T$2550,$M81))</f>
        <v>47</v>
      </c>
      <c r="J81" s="141" t="str">
        <f ca="1">IF($M81=0,"",INDEX(Data!$U$2051:$U$2550,$M81))</f>
        <v>Listed</v>
      </c>
      <c r="K81" s="141" t="str">
        <f ca="1">IF($M81=0,"",INDEX(Data!$AA$2051:$AA$2550,$M81))</f>
        <v>90% economic need; 0.56 mi fresh access; 7 nearby resources</v>
      </c>
      <c r="L81" s="141" t="str">
        <f ca="1">IF($M81=0,"",IF(INDEX(Data!$AN$2051:$AN$2550,$M81)=0,"",IF(INDEX(Data!$U$41:$U$540,INDEX(Data!$AN$2051:$AN$2550,$M81))="","",INDEX(Data!$U$41:$U$540,INDEX(Data!$AN$2051:$AN$2550,$M81)))))</f>
        <v>215-400-7860</v>
      </c>
      <c r="M81" s="132">
        <f ca="1">IF(COUNTIFS(Data!$AV$2051:$AV$2550,69)=1,MATCH(69,Data!$AV$2051:$AV$2550,0),0)</f>
        <v>11</v>
      </c>
      <c r="N81" s="145" t="str">
        <f ca="1">IF($M81=0,"",IF(INDEX(Data!$I$2051:$I$2550,$M81)=0,"Add ID","Row "&amp;(INDEX(Data!$I$2051:$I$2550,$M81)+7)))</f>
        <v>Row 37</v>
      </c>
    </row>
    <row r="82" spans="1:14" ht="40" customHeight="1">
      <c r="A82" s="136">
        <f ca="1">IF($M82=0,"",INDEX(Data!$W$2051:$W$2550,$M82))</f>
        <v>70</v>
      </c>
      <c r="B82" s="139" t="str">
        <f ca="1">IF($M82=0,"",INDEX(Data!$B$2051:$B$2550,$M82))</f>
        <v>James Dobson School</v>
      </c>
      <c r="C82" s="146" t="str">
        <f ca="1">IF($M82=0,"",INDEX(Data!$C$2051:$C$2550,$M82))</f>
        <v>District</v>
      </c>
      <c r="D82" s="146" t="str">
        <f ca="1">IF($M82=0,"",INDEX(Data!$D$2051:$D$2550,$M82))</f>
        <v>Elementary-Middle</v>
      </c>
      <c r="E82" s="147">
        <f ca="1">IF($M82=0,"",INDEX(Data!$G$2051:$G$2550,$M82))</f>
        <v>0.49009999999999998</v>
      </c>
      <c r="F82" s="146">
        <f ca="1">IF($M82=0,"",INDEX(Data!$F$2051:$F$2550,$M82))</f>
        <v>253</v>
      </c>
      <c r="G82" s="148">
        <f ca="1">IF($M82=0,"",INDEX(Data!$K$2051:$K$2550,$M82))</f>
        <v>0.83432830510015976</v>
      </c>
      <c r="H82" s="146">
        <f ca="1">IF($M82=0,"",INDEX(Data!$L$2051:$L$2550,$M82))</f>
        <v>1</v>
      </c>
      <c r="I82" s="149">
        <f ca="1">IF($M82=0,"",INDEX(Data!$T$2051:$T$2550,$M82))</f>
        <v>47</v>
      </c>
      <c r="J82" s="146" t="str">
        <f ca="1">IF($M82=0,"",INDEX(Data!$U$2051:$U$2550,$M82))</f>
        <v>Listed</v>
      </c>
      <c r="K82" s="146" t="str">
        <f ca="1">IF($M82=0,"",INDEX(Data!$AA$2051:$AA$2550,$M82))</f>
        <v>49% economic need; 0.83 mi fresh access; 1 nearby resources</v>
      </c>
      <c r="L82" s="146" t="str">
        <f ca="1">IF($M82=0,"",IF(INDEX(Data!$AN$2051:$AN$2550,$M82)=0,"",IF(INDEX(Data!$U$41:$U$540,INDEX(Data!$AN$2051:$AN$2550,$M82))="","",INDEX(Data!$U$41:$U$540,INDEX(Data!$AN$2051:$AN$2550,$M82)))))</f>
        <v>215-400-3570</v>
      </c>
      <c r="M82" s="132">
        <f ca="1">IF(COUNTIFS(Data!$AV$2051:$AV$2550,70)=1,MATCH(70,Data!$AV$2051:$AV$2550,0),0)</f>
        <v>247</v>
      </c>
      <c r="N82" s="150" t="str">
        <f ca="1">IF($M82=0,"",IF(INDEX(Data!$I$2051:$I$2550,$M82)=0,"Add ID","Row "&amp;(INDEX(Data!$I$2051:$I$2550,$M82)+7)))</f>
        <v>Row 132</v>
      </c>
    </row>
    <row r="83" spans="1:14" ht="40" customHeight="1">
      <c r="A83" s="135">
        <f ca="1">IF($M83=0,"",INDEX(Data!$W$2051:$W$2550,$M83))</f>
        <v>71</v>
      </c>
      <c r="B83" s="138" t="str">
        <f ca="1">IF($M83=0,"",INDEX(Data!$B$2051:$B$2550,$M83))</f>
        <v>Philadelphia Learning Academy North</v>
      </c>
      <c r="C83" s="141" t="str">
        <f ca="1">IF($M83=0,"",INDEX(Data!$C$2051:$C$2550,$M83))</f>
        <v>District</v>
      </c>
      <c r="D83" s="141" t="str">
        <f ca="1">IF($M83=0,"",INDEX(Data!$D$2051:$D$2550,$M83))</f>
        <v>Transition/Overage School</v>
      </c>
      <c r="E83" s="142">
        <f ca="1">IF($M83=0,"",INDEX(Data!$G$2051:$G$2550,$M83))</f>
        <v>0.90159999999999996</v>
      </c>
      <c r="F83" s="141">
        <f ca="1">IF($M83=0,"",INDEX(Data!$F$2051:$F$2550,$M83))</f>
        <v>67</v>
      </c>
      <c r="G83" s="143">
        <f ca="1">IF($M83=0,"",INDEX(Data!$K$2051:$K$2550,$M83))</f>
        <v>0.51816367324305457</v>
      </c>
      <c r="H83" s="141">
        <f ca="1">IF($M83=0,"",INDEX(Data!$L$2051:$L$2550,$M83))</f>
        <v>10</v>
      </c>
      <c r="I83" s="144">
        <f ca="1">IF($M83=0,"",INDEX(Data!$T$2051:$T$2550,$M83))</f>
        <v>46</v>
      </c>
      <c r="J83" s="141" t="str">
        <f ca="1">IF($M83=0,"",INDEX(Data!$U$2051:$U$2550,$M83))</f>
        <v>Listed</v>
      </c>
      <c r="K83" s="141" t="str">
        <f ca="1">IF($M83=0,"",INDEX(Data!$AA$2051:$AA$2550,$M83))</f>
        <v>90% economic need; 0.52 mi fresh access; 10 nearby resources</v>
      </c>
      <c r="L83" s="141" t="str">
        <f ca="1">IF($M83=0,"",IF(INDEX(Data!$AN$2051:$AN$2550,$M83)=0,"",IF(INDEX(Data!$U$41:$U$540,INDEX(Data!$AN$2051:$AN$2550,$M83))="","",INDEX(Data!$U$41:$U$540,INDEX(Data!$AN$2051:$AN$2550,$M83)))))</f>
        <v>215-400-9050</v>
      </c>
      <c r="M83" s="132">
        <f ca="1">IF(COUNTIFS(Data!$AV$2051:$AV$2550,71)=1,MATCH(71,Data!$AV$2051:$AV$2550,0),0)</f>
        <v>320</v>
      </c>
      <c r="N83" s="145" t="str">
        <f ca="1">IF($M83=0,"",IF(INDEX(Data!$I$2051:$I$2550,$M83)=0,"Add ID","Row "&amp;(INDEX(Data!$I$2051:$I$2550,$M83)+7)))</f>
        <v>Row 244</v>
      </c>
    </row>
    <row r="84" spans="1:14" ht="40" customHeight="1">
      <c r="A84" s="136">
        <f ca="1">IF($M84=0,"",INDEX(Data!$W$2051:$W$2550,$M84))</f>
        <v>72</v>
      </c>
      <c r="B84" s="139" t="str">
        <f ca="1">IF($M84=0,"",INDEX(Data!$B$2051:$B$2550,$M84))</f>
        <v>Fitler Academics Plus School</v>
      </c>
      <c r="C84" s="146" t="str">
        <f ca="1">IF($M84=0,"",INDEX(Data!$C$2051:$C$2550,$M84))</f>
        <v>District</v>
      </c>
      <c r="D84" s="146" t="str">
        <f ca="1">IF($M84=0,"",INDEX(Data!$D$2051:$D$2550,$M84))</f>
        <v>Elementary-Middle</v>
      </c>
      <c r="E84" s="147">
        <f ca="1">IF($M84=0,"",INDEX(Data!$G$2051:$G$2550,$M84))</f>
        <v>0.84740000000000004</v>
      </c>
      <c r="F84" s="146">
        <f ca="1">IF($M84=0,"",INDEX(Data!$F$2051:$F$2550,$M84))</f>
        <v>177</v>
      </c>
      <c r="G84" s="148">
        <f ca="1">IF($M84=0,"",INDEX(Data!$K$2051:$K$2550,$M84))</f>
        <v>0.76489357891222021</v>
      </c>
      <c r="H84" s="146">
        <f ca="1">IF($M84=0,"",INDEX(Data!$L$2051:$L$2550,$M84))</f>
        <v>14</v>
      </c>
      <c r="I84" s="149">
        <f ca="1">IF($M84=0,"",INDEX(Data!$T$2051:$T$2550,$M84))</f>
        <v>46</v>
      </c>
      <c r="J84" s="146" t="str">
        <f ca="1">IF($M84=0,"",INDEX(Data!$U$2051:$U$2550,$M84))</f>
        <v>Listed</v>
      </c>
      <c r="K84" s="146" t="str">
        <f ca="1">IF($M84=0,"",INDEX(Data!$AA$2051:$AA$2550,$M84))</f>
        <v>85% economic need; 0.76 mi fresh access; 14 nearby resources</v>
      </c>
      <c r="L84" s="146" t="str">
        <f ca="1">IF($M84=0,"",IF(INDEX(Data!$AN$2051:$AN$2550,$M84)=0,"",IF(INDEX(Data!$U$41:$U$540,INDEX(Data!$AN$2051:$AN$2550,$M84))="","",INDEX(Data!$U$41:$U$540,INDEX(Data!$AN$2051:$AN$2550,$M84)))))</f>
        <v>215-400-3610</v>
      </c>
      <c r="M84" s="132">
        <f ca="1">IF(COUNTIFS(Data!$AV$2051:$AV$2550,72)=1,MATCH(72,Data!$AV$2051:$AV$2550,0),0)</f>
        <v>232</v>
      </c>
      <c r="N84" s="150" t="str">
        <f ca="1">IF($M84=0,"",IF(INDEX(Data!$I$2051:$I$2550,$M84)=0,"Add ID","Row "&amp;(INDEX(Data!$I$2051:$I$2550,$M84)+7)))</f>
        <v>Row 83</v>
      </c>
    </row>
    <row r="85" spans="1:14" ht="40" customHeight="1">
      <c r="A85" s="135">
        <f ca="1">IF($M85=0,"",INDEX(Data!$W$2051:$W$2550,$M85))</f>
        <v>73</v>
      </c>
      <c r="B85" s="138" t="str">
        <f ca="1">IF($M85=0,"",INDEX(Data!$B$2051:$B$2550,$M85))</f>
        <v>Academy for the Middle Years at Northwest</v>
      </c>
      <c r="C85" s="141" t="str">
        <f ca="1">IF($M85=0,"",INDEX(Data!$C$2051:$C$2550,$M85))</f>
        <v>District</v>
      </c>
      <c r="D85" s="141" t="str">
        <f ca="1">IF($M85=0,"",INDEX(Data!$D$2051:$D$2550,$M85))</f>
        <v>Middle</v>
      </c>
      <c r="E85" s="142">
        <f ca="1">IF($M85=0,"",INDEX(Data!$G$2051:$G$2550,$M85))</f>
        <v>0.77200000000000002</v>
      </c>
      <c r="F85" s="141">
        <f ca="1">IF($M85=0,"",INDEX(Data!$F$2051:$F$2550,$M85))</f>
        <v>136</v>
      </c>
      <c r="G85" s="143">
        <f ca="1">IF($M85=0,"",INDEX(Data!$K$2051:$K$2550,$M85))</f>
        <v>7.6516780020060932E-2</v>
      </c>
      <c r="H85" s="141">
        <f ca="1">IF($M85=0,"",INDEX(Data!$L$2051:$L$2550,$M85))</f>
        <v>1</v>
      </c>
      <c r="I85" s="144">
        <f ca="1">IF($M85=0,"",INDEX(Data!$T$2051:$T$2550,$M85))</f>
        <v>46</v>
      </c>
      <c r="J85" s="141" t="str">
        <f ca="1">IF($M85=0,"",INDEX(Data!$U$2051:$U$2550,$M85))</f>
        <v>Listed</v>
      </c>
      <c r="K85" s="141" t="str">
        <f ca="1">IF($M85=0,"",INDEX(Data!$AA$2051:$AA$2550,$M85))</f>
        <v>77% economic need; 0.08 mi fresh access; 1 nearby resources</v>
      </c>
      <c r="L85" s="141" t="str">
        <f ca="1">IF($M85=0,"",IF(INDEX(Data!$AN$2051:$AN$2550,$M85)=0,"",IF(INDEX(Data!$U$41:$U$540,INDEX(Data!$AN$2051:$AN$2550,$M85))="","",INDEX(Data!$U$41:$U$540,INDEX(Data!$AN$2051:$AN$2550,$M85)))))</f>
        <v>215-400-3460</v>
      </c>
      <c r="M85" s="132">
        <f ca="1">IF(COUNTIFS(Data!$AV$2051:$AV$2550,73)=1,MATCH(73,Data!$AV$2051:$AV$2550,0),0)</f>
        <v>250</v>
      </c>
      <c r="N85" s="145" t="str">
        <f ca="1">IF($M85=0,"",IF(INDEX(Data!$I$2051:$I$2550,$M85)=0,"Add ID","Row "&amp;(INDEX(Data!$I$2051:$I$2550,$M85)+7)))</f>
        <v>Row 12</v>
      </c>
    </row>
    <row r="86" spans="1:14" ht="40" customHeight="1">
      <c r="A86" s="136">
        <f ca="1">IF($M86=0,"",INDEX(Data!$W$2051:$W$2550,$M86))</f>
        <v>74</v>
      </c>
      <c r="B86" s="139" t="str">
        <f ca="1">IF($M86=0,"",INDEX(Data!$B$2051:$B$2550,$M86))</f>
        <v>Mastery Charter School at Gratz</v>
      </c>
      <c r="C86" s="146" t="str">
        <f ca="1">IF($M86=0,"",INDEX(Data!$C$2051:$C$2550,$M86))</f>
        <v>Charter</v>
      </c>
      <c r="D86" s="146" t="str">
        <f ca="1">IF($M86=0,"",INDEX(Data!$D$2051:$D$2550,$M86))</f>
        <v>Middle-High</v>
      </c>
      <c r="E86" s="147">
        <f ca="1">IF($M86=0,"",INDEX(Data!$G$2051:$G$2550,$M86))</f>
        <v>0.88470000000000004</v>
      </c>
      <c r="F86" s="146">
        <f ca="1">IF($M86=0,"",INDEX(Data!$F$2051:$F$2550,$M86))</f>
        <v>1097</v>
      </c>
      <c r="G86" s="148">
        <f ca="1">IF($M86=0,"",INDEX(Data!$K$2051:$K$2550,$M86))</f>
        <v>0.61868295596478018</v>
      </c>
      <c r="H86" s="146">
        <f ca="1">IF($M86=0,"",INDEX(Data!$L$2051:$L$2550,$M86))</f>
        <v>8</v>
      </c>
      <c r="I86" s="149">
        <f ca="1">IF($M86=0,"",INDEX(Data!$T$2051:$T$2550,$M86))</f>
        <v>45</v>
      </c>
      <c r="J86" s="146" t="str">
        <f ca="1">IF($M86=0,"",INDEX(Data!$U$2051:$U$2550,$M86))</f>
        <v>Listed</v>
      </c>
      <c r="K86" s="146" t="str">
        <f ca="1">IF($M86=0,"",INDEX(Data!$AA$2051:$AA$2550,$M86))</f>
        <v>88% economic need; 0.62 mi fresh access; 8 nearby resources</v>
      </c>
      <c r="L86" s="146" t="str">
        <f ca="1">IF($M86=0,"",IF(INDEX(Data!$AN$2051:$AN$2550,$M86)=0,"",IF(INDEX(Data!$U$41:$U$540,INDEX(Data!$AN$2051:$AN$2550,$M86))="","",INDEX(Data!$U$41:$U$540,INDEX(Data!$AN$2051:$AN$2550,$M86)))))</f>
        <v/>
      </c>
      <c r="M86" s="132">
        <f ca="1">IF(COUNTIFS(Data!$AV$2051:$AV$2550,74)=1,MATCH(74,Data!$AV$2051:$AV$2550,0),0)</f>
        <v>132</v>
      </c>
      <c r="N86" s="150" t="str">
        <f ca="1">IF($M86=0,"",IF(INDEX(Data!$I$2051:$I$2550,$M86)=0,"Add ID","Row "&amp;(INDEX(Data!$I$2051:$I$2550,$M86)+7)))</f>
        <v>Row 192</v>
      </c>
    </row>
    <row r="87" spans="1:14" ht="40" customHeight="1">
      <c r="A87" s="135">
        <f ca="1">IF($M87=0,"",INDEX(Data!$W$2051:$W$2550,$M87))</f>
        <v>75</v>
      </c>
      <c r="B87" s="138" t="str">
        <f ca="1">IF($M87=0,"",INDEX(Data!$B$2051:$B$2550,$M87))</f>
        <v>The Philadelphia Charter School for Arts and Sciences</v>
      </c>
      <c r="C87" s="141" t="str">
        <f ca="1">IF($M87=0,"",INDEX(Data!$C$2051:$C$2550,$M87))</f>
        <v>Charter</v>
      </c>
      <c r="D87" s="141" t="str">
        <f ca="1">IF($M87=0,"",INDEX(Data!$D$2051:$D$2550,$M87))</f>
        <v>Elementary-Middle</v>
      </c>
      <c r="E87" s="142">
        <f ca="1">IF($M87=0,"",INDEX(Data!$G$2051:$G$2550,$M87))</f>
        <v>0.84319999999999995</v>
      </c>
      <c r="F87" s="141">
        <f ca="1">IF($M87=0,"",INDEX(Data!$F$2051:$F$2550,$M87))</f>
        <v>837</v>
      </c>
      <c r="G87" s="143">
        <f ca="1">IF($M87=0,"",INDEX(Data!$K$2051:$K$2550,$M87))</f>
        <v>0.53094574008861539</v>
      </c>
      <c r="H87" s="141">
        <f ca="1">IF($M87=0,"",INDEX(Data!$L$2051:$L$2550,$M87))</f>
        <v>7</v>
      </c>
      <c r="I87" s="144">
        <f ca="1">IF($M87=0,"",INDEX(Data!$T$2051:$T$2550,$M87))</f>
        <v>45</v>
      </c>
      <c r="J87" s="141" t="str">
        <f ca="1">IF($M87=0,"",INDEX(Data!$U$2051:$U$2550,$M87))</f>
        <v>Listed</v>
      </c>
      <c r="K87" s="141" t="str">
        <f ca="1">IF($M87=0,"",INDEX(Data!$AA$2051:$AA$2550,$M87))</f>
        <v>84% economic need; 0.53 mi fresh access; 7 nearby resources</v>
      </c>
      <c r="L87" s="141" t="str">
        <f ca="1">IF($M87=0,"",IF(INDEX(Data!$AN$2051:$AN$2550,$M87)=0,"",IF(INDEX(Data!$U$41:$U$540,INDEX(Data!$AN$2051:$AN$2550,$M87))="","",INDEX(Data!$U$41:$U$540,INDEX(Data!$AN$2051:$AN$2550,$M87)))))</f>
        <v>215-537-2520</v>
      </c>
      <c r="M87" s="132">
        <f ca="1">IF(COUNTIFS(Data!$AV$2051:$AV$2550,75)=1,MATCH(75,Data!$AV$2051:$AV$2550,0),0)</f>
        <v>137</v>
      </c>
      <c r="N87" s="145" t="str">
        <f ca="1">IF($M87=0,"",IF(INDEX(Data!$I$2051:$I$2550,$M87)=0,"Add ID","Row "&amp;(INDEX(Data!$I$2051:$I$2550,$M87)+7)))</f>
        <v>Row 294</v>
      </c>
    </row>
    <row r="88" spans="1:14" ht="40" customHeight="1">
      <c r="A88" s="136">
        <f ca="1">IF($M88=0,"",INDEX(Data!$W$2051:$W$2550,$M88))</f>
        <v>76</v>
      </c>
      <c r="B88" s="139" t="str">
        <f ca="1">IF($M88=0,"",INDEX(Data!$B$2051:$B$2550,$M88))</f>
        <v>First Philadelphia Preparatory Charter School</v>
      </c>
      <c r="C88" s="146" t="str">
        <f ca="1">IF($M88=0,"",INDEX(Data!$C$2051:$C$2550,$M88))</f>
        <v>Charter</v>
      </c>
      <c r="D88" s="146" t="str">
        <f ca="1">IF($M88=0,"",INDEX(Data!$D$2051:$D$2550,$M88))</f>
        <v>Elementary-Middle-High</v>
      </c>
      <c r="E88" s="147">
        <f ca="1">IF($M88=0,"",INDEX(Data!$G$2051:$G$2550,$M88))</f>
        <v>0.79779999999999995</v>
      </c>
      <c r="F88" s="146">
        <f ca="1">IF($M88=0,"",INDEX(Data!$F$2051:$F$2550,$M88))</f>
        <v>1880</v>
      </c>
      <c r="G88" s="148">
        <f ca="1">IF($M88=0,"",INDEX(Data!$K$2051:$K$2550,$M88))</f>
        <v>0.75178174201665049</v>
      </c>
      <c r="H88" s="146">
        <f ca="1">IF($M88=0,"",INDEX(Data!$L$2051:$L$2550,$M88))</f>
        <v>7</v>
      </c>
      <c r="I88" s="149">
        <f ca="1">IF($M88=0,"",INDEX(Data!$T$2051:$T$2550,$M88))</f>
        <v>45</v>
      </c>
      <c r="J88" s="146" t="str">
        <f ca="1">IF($M88=0,"",INDEX(Data!$U$2051:$U$2550,$M88))</f>
        <v>Listed</v>
      </c>
      <c r="K88" s="146" t="str">
        <f ca="1">IF($M88=0,"",INDEX(Data!$AA$2051:$AA$2550,$M88))</f>
        <v>80% economic need; 0.75 mi fresh access; 7 nearby resources</v>
      </c>
      <c r="L88" s="146" t="str">
        <f ca="1">IF($M88=0,"",IF(INDEX(Data!$AN$2051:$AN$2550,$M88)=0,"",IF(INDEX(Data!$U$41:$U$540,INDEX(Data!$AN$2051:$AN$2550,$M88))="","",INDEX(Data!$U$41:$U$540,INDEX(Data!$AN$2051:$AN$2550,$M88)))))</f>
        <v>215-743-3100</v>
      </c>
      <c r="M88" s="132">
        <f ca="1">IF(COUNTIFS(Data!$AV$2051:$AV$2550,76)=1,MATCH(76,Data!$AV$2051:$AV$2550,0),0)</f>
        <v>106</v>
      </c>
      <c r="N88" s="150" t="str">
        <f ca="1">IF($M88=0,"",IF(INDEX(Data!$I$2051:$I$2550,$M88)=0,"Add ID","Row "&amp;(INDEX(Data!$I$2051:$I$2550,$M88)+7)))</f>
        <v>Row 82</v>
      </c>
    </row>
    <row r="89" spans="1:14" ht="40" customHeight="1">
      <c r="A89" s="135">
        <f ca="1">IF($M89=0,"",INDEX(Data!$W$2051:$W$2550,$M89))</f>
        <v>77</v>
      </c>
      <c r="B89" s="138" t="str">
        <f ca="1">IF($M89=0,"",INDEX(Data!$B$2051:$B$2550,$M89))</f>
        <v>Solomon Solis-Cohen School</v>
      </c>
      <c r="C89" s="141" t="str">
        <f ca="1">IF($M89=0,"",INDEX(Data!$C$2051:$C$2550,$M89))</f>
        <v>District</v>
      </c>
      <c r="D89" s="141" t="str">
        <f ca="1">IF($M89=0,"",INDEX(Data!$D$2051:$D$2550,$M89))</f>
        <v>Elementary</v>
      </c>
      <c r="E89" s="142">
        <f ca="1">IF($M89=0,"",INDEX(Data!$G$2051:$G$2550,$M89))</f>
        <v>0.79020000000000001</v>
      </c>
      <c r="F89" s="141">
        <f ca="1">IF($M89=0,"",INDEX(Data!$F$2051:$F$2550,$M89))</f>
        <v>1354</v>
      </c>
      <c r="G89" s="143">
        <f ca="1">IF($M89=0,"",INDEX(Data!$K$2051:$K$2550,$M89))</f>
        <v>0.36391859379799124</v>
      </c>
      <c r="H89" s="141">
        <f ca="1">IF($M89=0,"",INDEX(Data!$L$2051:$L$2550,$M89))</f>
        <v>3</v>
      </c>
      <c r="I89" s="144">
        <f ca="1">IF($M89=0,"",INDEX(Data!$T$2051:$T$2550,$M89))</f>
        <v>45</v>
      </c>
      <c r="J89" s="141" t="str">
        <f ca="1">IF($M89=0,"",INDEX(Data!$U$2051:$U$2550,$M89))</f>
        <v>Listed</v>
      </c>
      <c r="K89" s="141" t="str">
        <f ca="1">IF($M89=0,"",INDEX(Data!$AA$2051:$AA$2550,$M89))</f>
        <v>79% economic need; 0.36 mi fresh access; 3 nearby resources</v>
      </c>
      <c r="L89" s="141" t="str">
        <f ca="1">IF($M89=0,"",IF(INDEX(Data!$AN$2051:$AN$2550,$M89)=0,"",IF(INDEX(Data!$U$41:$U$540,INDEX(Data!$AN$2051:$AN$2550,$M89))="","",INDEX(Data!$U$41:$U$540,INDEX(Data!$AN$2051:$AN$2550,$M89)))))</f>
        <v>215-400-3250</v>
      </c>
      <c r="M89" s="132">
        <f ca="1">IF(COUNTIFS(Data!$AV$2051:$AV$2550,77)=1,MATCH(77,Data!$AV$2051:$AV$2550,0),0)</f>
        <v>307</v>
      </c>
      <c r="N89" s="145" t="str">
        <f ca="1">IF($M89=0,"",IF(INDEX(Data!$I$2051:$I$2550,$M89)=0,"Add ID","Row "&amp;(INDEX(Data!$I$2051:$I$2550,$M89)+7)))</f>
        <v>Row 276</v>
      </c>
    </row>
    <row r="90" spans="1:14" ht="40" customHeight="1">
      <c r="A90" s="136">
        <f ca="1">IF($M90=0,"",INDEX(Data!$W$2051:$W$2550,$M90))</f>
        <v>78</v>
      </c>
      <c r="B90" s="139" t="str">
        <f ca="1">IF($M90=0,"",INDEX(Data!$B$2051:$B$2550,$M90))</f>
        <v>Mayfair School</v>
      </c>
      <c r="C90" s="146" t="str">
        <f ca="1">IF($M90=0,"",INDEX(Data!$C$2051:$C$2550,$M90))</f>
        <v>District</v>
      </c>
      <c r="D90" s="146" t="str">
        <f ca="1">IF($M90=0,"",INDEX(Data!$D$2051:$D$2550,$M90))</f>
        <v>Elementary-Middle</v>
      </c>
      <c r="E90" s="147">
        <f ca="1">IF($M90=0,"",INDEX(Data!$G$2051:$G$2550,$M90))</f>
        <v>0.73850000000000005</v>
      </c>
      <c r="F90" s="146">
        <f ca="1">IF($M90=0,"",INDEX(Data!$F$2051:$F$2550,$M90))</f>
        <v>1746</v>
      </c>
      <c r="G90" s="148">
        <f ca="1">IF($M90=0,"",INDEX(Data!$K$2051:$K$2550,$M90))</f>
        <v>0.18475066467909304</v>
      </c>
      <c r="H90" s="146">
        <f ca="1">IF($M90=0,"",INDEX(Data!$L$2051:$L$2550,$M90))</f>
        <v>2</v>
      </c>
      <c r="I90" s="149">
        <f ca="1">IF($M90=0,"",INDEX(Data!$T$2051:$T$2550,$M90))</f>
        <v>45</v>
      </c>
      <c r="J90" s="146" t="str">
        <f ca="1">IF($M90=0,"",INDEX(Data!$U$2051:$U$2550,$M90))</f>
        <v>Listed</v>
      </c>
      <c r="K90" s="146" t="str">
        <f ca="1">IF($M90=0,"",INDEX(Data!$AA$2051:$AA$2550,$M90))</f>
        <v>74% economic need; 0.18 mi fresh access; 2 nearby resources</v>
      </c>
      <c r="L90" s="146" t="str">
        <f ca="1">IF($M90=0,"",IF(INDEX(Data!$AN$2051:$AN$2550,$M90)=0,"",IF(INDEX(Data!$U$41:$U$540,INDEX(Data!$AN$2051:$AN$2550,$M90))="","",INDEX(Data!$U$41:$U$540,INDEX(Data!$AN$2051:$AN$2550,$M90)))))</f>
        <v>215-400-3280</v>
      </c>
      <c r="M90" s="132">
        <f ca="1">IF(COUNTIFS(Data!$AV$2051:$AV$2550,78)=1,MATCH(78,Data!$AV$2051:$AV$2550,0),0)</f>
        <v>305</v>
      </c>
      <c r="N90" s="150" t="str">
        <f ca="1">IF($M90=0,"",IF(INDEX(Data!$I$2051:$I$2550,$M90)=0,"Add ID","Row "&amp;(INDEX(Data!$I$2051:$I$2550,$M90)+7)))</f>
        <v>Row 204</v>
      </c>
    </row>
    <row r="91" spans="1:14" ht="40" customHeight="1">
      <c r="A91" s="135">
        <f ca="1">IF($M91=0,"",INDEX(Data!$W$2051:$W$2550,$M91))</f>
        <v>79</v>
      </c>
      <c r="B91" s="138" t="str">
        <f ca="1">IF($M91=0,"",INDEX(Data!$B$2051:$B$2550,$M91))</f>
        <v>Anne Frank School</v>
      </c>
      <c r="C91" s="141" t="str">
        <f ca="1">IF($M91=0,"",INDEX(Data!$C$2051:$C$2550,$M91))</f>
        <v>District</v>
      </c>
      <c r="D91" s="141" t="str">
        <f ca="1">IF($M91=0,"",INDEX(Data!$D$2051:$D$2550,$M91))</f>
        <v>Elementary</v>
      </c>
      <c r="E91" s="142">
        <f ca="1">IF($M91=0,"",INDEX(Data!$G$2051:$G$2550,$M91))</f>
        <v>0.68479999999999996</v>
      </c>
      <c r="F91" s="141">
        <f ca="1">IF($M91=0,"",INDEX(Data!$F$2051:$F$2550,$M91))</f>
        <v>1687</v>
      </c>
      <c r="G91" s="143">
        <f ca="1">IF($M91=0,"",INDEX(Data!$K$2051:$K$2550,$M91))</f>
        <v>0.32586149861755442</v>
      </c>
      <c r="H91" s="141">
        <f ca="1">IF($M91=0,"",INDEX(Data!$L$2051:$L$2550,$M91))</f>
        <v>2</v>
      </c>
      <c r="I91" s="144">
        <f ca="1">IF($M91=0,"",INDEX(Data!$T$2051:$T$2550,$M91))</f>
        <v>45</v>
      </c>
      <c r="J91" s="141" t="str">
        <f ca="1">IF($M91=0,"",INDEX(Data!$U$2051:$U$2550,$M91))</f>
        <v>Listed</v>
      </c>
      <c r="K91" s="141" t="str">
        <f ca="1">IF($M91=0,"",INDEX(Data!$AA$2051:$AA$2550,$M91))</f>
        <v>68% economic need; 0.33 mi fresh access; 2 nearby resources</v>
      </c>
      <c r="L91" s="141" t="str">
        <f ca="1">IF($M91=0,"",IF(INDEX(Data!$AN$2051:$AN$2550,$M91)=0,"",IF(INDEX(Data!$U$41:$U$540,INDEX(Data!$AN$2051:$AN$2550,$M91))="","",INDEX(Data!$U$41:$U$540,INDEX(Data!$AN$2051:$AN$2550,$M91)))))</f>
        <v>215-400-3070</v>
      </c>
      <c r="M91" s="132">
        <f ca="1">IF(COUNTIFS(Data!$AV$2051:$AV$2550,79)=1,MATCH(79,Data!$AV$2051:$AV$2550,0),0)</f>
        <v>313</v>
      </c>
      <c r="N91" s="145" t="str">
        <f ca="1">IF($M91=0,"",IF(INDEX(Data!$I$2051:$I$2550,$M91)=0,"Add ID","Row "&amp;(INDEX(Data!$I$2051:$I$2550,$M91)+7)))</f>
        <v>Row 29</v>
      </c>
    </row>
    <row r="92" spans="1:14" ht="40" customHeight="1">
      <c r="A92" s="136">
        <f ca="1">IF($M92=0,"",INDEX(Data!$W$2051:$W$2550,$M92))</f>
        <v>80</v>
      </c>
      <c r="B92" s="139" t="str">
        <f ca="1">IF($M92=0,"",INDEX(Data!$B$2051:$B$2550,$M92))</f>
        <v>Mathematics, Science, and Technology Community Charter School (MaST)</v>
      </c>
      <c r="C92" s="146" t="str">
        <f ca="1">IF($M92=0,"",INDEX(Data!$C$2051:$C$2550,$M92))</f>
        <v>Charter</v>
      </c>
      <c r="D92" s="146" t="str">
        <f ca="1">IF($M92=0,"",INDEX(Data!$D$2051:$D$2550,$M92))</f>
        <v>Elementary-Middle-High</v>
      </c>
      <c r="E92" s="147">
        <f ca="1">IF($M92=0,"",INDEX(Data!$G$2051:$G$2550,$M92))</f>
        <v>0.41120000000000001</v>
      </c>
      <c r="F92" s="146">
        <f ca="1">IF($M92=0,"",INDEX(Data!$F$2051:$F$2550,$M92))</f>
        <v>1486</v>
      </c>
      <c r="G92" s="148">
        <f ca="1">IF($M92=0,"",INDEX(Data!$K$2051:$K$2550,$M92))</f>
        <v>0.51504147697237534</v>
      </c>
      <c r="H92" s="146">
        <f ca="1">IF($M92=0,"",INDEX(Data!$L$2051:$L$2550,$M92))</f>
        <v>1</v>
      </c>
      <c r="I92" s="149">
        <f ca="1">IF($M92=0,"",INDEX(Data!$T$2051:$T$2550,$M92))</f>
        <v>45</v>
      </c>
      <c r="J92" s="146" t="str">
        <f ca="1">IF($M92=0,"",INDEX(Data!$U$2051:$U$2550,$M92))</f>
        <v>Listed</v>
      </c>
      <c r="K92" s="146" t="str">
        <f ca="1">IF($M92=0,"",INDEX(Data!$AA$2051:$AA$2550,$M92))</f>
        <v>41% economic need; 0.52 mi fresh access; 1 nearby resources</v>
      </c>
      <c r="L92" s="146" t="str">
        <f ca="1">IF($M92=0,"",IF(INDEX(Data!$AN$2051:$AN$2550,$M92)=0,"",IF(INDEX(Data!$U$41:$U$540,INDEX(Data!$AN$2051:$AN$2550,$M92))="","",INDEX(Data!$U$41:$U$540,INDEX(Data!$AN$2051:$AN$2550,$M92)))))</f>
        <v>267-348-1100</v>
      </c>
      <c r="M92" s="132">
        <f ca="1">IF(COUNTIFS(Data!$AV$2051:$AV$2550,80)=1,MATCH(80,Data!$AV$2051:$AV$2550,0),0)</f>
        <v>89</v>
      </c>
      <c r="N92" s="150" t="str">
        <f ca="1">IF($M92=0,"",IF(INDEX(Data!$I$2051:$I$2550,$M92)=0,"Add ID","Row "&amp;(INDEX(Data!$I$2051:$I$2550,$M92)+7)))</f>
        <v>Row 203</v>
      </c>
    </row>
    <row r="93" spans="1:14" ht="40" customHeight="1">
      <c r="A93" s="135">
        <f ca="1">IF($M93=0,"",INDEX(Data!$W$2051:$W$2550,$M93))</f>
        <v>81</v>
      </c>
      <c r="B93" s="138" t="str">
        <f ca="1">IF($M93=0,"",INDEX(Data!$B$2051:$B$2550,$M93))</f>
        <v>Mastery Charter School at Douglass</v>
      </c>
      <c r="C93" s="141" t="str">
        <f ca="1">IF($M93=0,"",INDEX(Data!$C$2051:$C$2550,$M93))</f>
        <v>Charter</v>
      </c>
      <c r="D93" s="141" t="str">
        <f ca="1">IF($M93=0,"",INDEX(Data!$D$2051:$D$2550,$M93))</f>
        <v>Elementary-Middle</v>
      </c>
      <c r="E93" s="142">
        <f ca="1">IF($M93=0,"",INDEX(Data!$G$2051:$G$2550,$M93))</f>
        <v>0.99280000000000002</v>
      </c>
      <c r="F93" s="141">
        <f ca="1">IF($M93=0,"",INDEX(Data!$F$2051:$F$2550,$M93))</f>
        <v>559</v>
      </c>
      <c r="G93" s="143">
        <f ca="1">IF($M93=0,"",INDEX(Data!$K$2051:$K$2550,$M93))</f>
        <v>0.46190672527788151</v>
      </c>
      <c r="H93" s="141">
        <f ca="1">IF($M93=0,"",INDEX(Data!$L$2051:$L$2550,$M93))</f>
        <v>19</v>
      </c>
      <c r="I93" s="144">
        <f ca="1">IF($M93=0,"",INDEX(Data!$T$2051:$T$2550,$M93))</f>
        <v>44</v>
      </c>
      <c r="J93" s="141" t="str">
        <f ca="1">IF($M93=0,"",INDEX(Data!$U$2051:$U$2550,$M93))</f>
        <v>Listed</v>
      </c>
      <c r="K93" s="141" t="str">
        <f ca="1">IF($M93=0,"",INDEX(Data!$AA$2051:$AA$2550,$M93))</f>
        <v>99% economic need; 0.46 mi fresh access; 19 nearby resources</v>
      </c>
      <c r="L93" s="141" t="str">
        <f ca="1">IF($M93=0,"",IF(INDEX(Data!$AN$2051:$AN$2550,$M93)=0,"",IF(INDEX(Data!$U$41:$U$540,INDEX(Data!$AN$2051:$AN$2550,$M93))="","",INDEX(Data!$U$41:$U$540,INDEX(Data!$AN$2051:$AN$2550,$M93)))))</f>
        <v>215-684-5063</v>
      </c>
      <c r="M93" s="132">
        <f ca="1">IF(COUNTIFS(Data!$AV$2051:$AV$2550,81)=1,MATCH(81,Data!$AV$2051:$AV$2550,0),0)</f>
        <v>130</v>
      </c>
      <c r="N93" s="145" t="str">
        <f ca="1">IF($M93=0,"",IF(INDEX(Data!$I$2051:$I$2550,$M93)=0,"Add ID","Row "&amp;(INDEX(Data!$I$2051:$I$2550,$M93)+7)))</f>
        <v>Row 191</v>
      </c>
    </row>
    <row r="94" spans="1:14" ht="40" customHeight="1">
      <c r="A94" s="136">
        <f ca="1">IF($M94=0,"",INDEX(Data!$W$2051:$W$2550,$M94))</f>
        <v>82</v>
      </c>
      <c r="B94" s="139" t="str">
        <f ca="1">IF($M94=0,"",INDEX(Data!$B$2051:$B$2550,$M94))</f>
        <v>Universal Charter School at Audenried</v>
      </c>
      <c r="C94" s="146" t="str">
        <f ca="1">IF($M94=0,"",INDEX(Data!$C$2051:$C$2550,$M94))</f>
        <v>Charter</v>
      </c>
      <c r="D94" s="146" t="str">
        <f ca="1">IF($M94=0,"",INDEX(Data!$D$2051:$D$2550,$M94))</f>
        <v>High</v>
      </c>
      <c r="E94" s="147">
        <f ca="1">IF($M94=0,"",INDEX(Data!$G$2051:$G$2550,$M94))</f>
        <v>0.97829999999999995</v>
      </c>
      <c r="F94" s="146">
        <f ca="1">IF($M94=0,"",INDEX(Data!$F$2051:$F$2550,$M94))</f>
        <v>606</v>
      </c>
      <c r="G94" s="148">
        <f ca="1">IF($M94=0,"",INDEX(Data!$K$2051:$K$2550,$M94))</f>
        <v>0.45171754911048706</v>
      </c>
      <c r="H94" s="146">
        <f ca="1">IF($M94=0,"",INDEX(Data!$L$2051:$L$2550,$M94))</f>
        <v>6</v>
      </c>
      <c r="I94" s="149">
        <f ca="1">IF($M94=0,"",INDEX(Data!$T$2051:$T$2550,$M94))</f>
        <v>44</v>
      </c>
      <c r="J94" s="146" t="str">
        <f ca="1">IF($M94=0,"",INDEX(Data!$U$2051:$U$2550,$M94))</f>
        <v>Listed</v>
      </c>
      <c r="K94" s="146" t="str">
        <f ca="1">IF($M94=0,"",INDEX(Data!$AA$2051:$AA$2550,$M94))</f>
        <v>98% economic need; 0.45 mi fresh access; 6 nearby resources</v>
      </c>
      <c r="L94" s="146" t="str">
        <f ca="1">IF($M94=0,"",IF(INDEX(Data!$AN$2051:$AN$2550,$M94)=0,"",IF(INDEX(Data!$U$41:$U$540,INDEX(Data!$AN$2051:$AN$2550,$M94))="","",INDEX(Data!$U$41:$U$540,INDEX(Data!$AN$2051:$AN$2550,$M94)))))</f>
        <v/>
      </c>
      <c r="M94" s="132">
        <f ca="1">IF(COUNTIFS(Data!$AV$2051:$AV$2550,82)=1,MATCH(82,Data!$AV$2051:$AV$2550,0),0)</f>
        <v>133</v>
      </c>
      <c r="N94" s="150" t="str">
        <f ca="1">IF($M94=0,"",IF(INDEX(Data!$I$2051:$I$2550,$M94)=0,"Add ID","Row "&amp;(INDEX(Data!$I$2051:$I$2550,$M94)+7)))</f>
        <v>Row 307</v>
      </c>
    </row>
    <row r="95" spans="1:14" ht="40" customHeight="1">
      <c r="A95" s="135">
        <f ca="1">IF($M95=0,"",INDEX(Data!$W$2051:$W$2550,$M95))</f>
        <v>83</v>
      </c>
      <c r="B95" s="138" t="str">
        <f ca="1">IF($M95=0,"",INDEX(Data!$B$2051:$B$2550,$M95))</f>
        <v>Russell Byers Charter School</v>
      </c>
      <c r="C95" s="141" t="str">
        <f ca="1">IF($M95=0,"",INDEX(Data!$C$2051:$C$2550,$M95))</f>
        <v>Charter</v>
      </c>
      <c r="D95" s="141" t="str">
        <f ca="1">IF($M95=0,"",INDEX(Data!$D$2051:$D$2550,$M95))</f>
        <v>Elementary-Middle</v>
      </c>
      <c r="E95" s="142">
        <f ca="1">IF($M95=0,"",INDEX(Data!$G$2051:$G$2550,$M95))</f>
        <v>0.97470000000000001</v>
      </c>
      <c r="F95" s="141">
        <f ca="1">IF($M95=0,"",INDEX(Data!$F$2051:$F$2550,$M95))</f>
        <v>681</v>
      </c>
      <c r="G95" s="143">
        <f ca="1">IF($M95=0,"",INDEX(Data!$K$2051:$K$2550,$M95))</f>
        <v>0.28034979991197007</v>
      </c>
      <c r="H95" s="141">
        <f ca="1">IF($M95=0,"",INDEX(Data!$L$2051:$L$2550,$M95))</f>
        <v>5</v>
      </c>
      <c r="I95" s="144">
        <f ca="1">IF($M95=0,"",INDEX(Data!$T$2051:$T$2550,$M95))</f>
        <v>44</v>
      </c>
      <c r="J95" s="141" t="str">
        <f ca="1">IF($M95=0,"",INDEX(Data!$U$2051:$U$2550,$M95))</f>
        <v>Listed</v>
      </c>
      <c r="K95" s="141" t="str">
        <f ca="1">IF($M95=0,"",INDEX(Data!$AA$2051:$AA$2550,$M95))</f>
        <v>97% economic need; 0.28 mi fresh access; 5 nearby resources</v>
      </c>
      <c r="L95" s="141" t="str">
        <f ca="1">IF($M95=0,"",IF(INDEX(Data!$AN$2051:$AN$2550,$M95)=0,"",IF(INDEX(Data!$U$41:$U$540,INDEX(Data!$AN$2051:$AN$2550,$M95))="","",INDEX(Data!$U$41:$U$540,INDEX(Data!$AN$2051:$AN$2550,$M95)))))</f>
        <v>215-972-1700</v>
      </c>
      <c r="M95" s="132">
        <f ca="1">IF(COUNTIFS(Data!$AV$2051:$AV$2550,83)=1,MATCH(83,Data!$AV$2051:$AV$2550,0),0)</f>
        <v>103</v>
      </c>
      <c r="N95" s="145" t="str">
        <f ca="1">IF($M95=0,"",IF(INDEX(Data!$I$2051:$I$2550,$M95)=0,"Add ID","Row "&amp;(INDEX(Data!$I$2051:$I$2550,$M95)+7)))</f>
        <v>Row 264</v>
      </c>
    </row>
    <row r="96" spans="1:14" ht="40" customHeight="1">
      <c r="A96" s="136">
        <f ca="1">IF($M96=0,"",INDEX(Data!$W$2051:$W$2550,$M96))</f>
        <v>84</v>
      </c>
      <c r="B96" s="139" t="str">
        <f ca="1">IF($M96=0,"",INDEX(Data!$B$2051:$B$2550,$M96))</f>
        <v>Julia de Burgos School</v>
      </c>
      <c r="C96" s="146" t="str">
        <f ca="1">IF($M96=0,"",INDEX(Data!$C$2051:$C$2550,$M96))</f>
        <v>District</v>
      </c>
      <c r="D96" s="146" t="str">
        <f ca="1">IF($M96=0,"",INDEX(Data!$D$2051:$D$2550,$M96))</f>
        <v>Elementary-Middle</v>
      </c>
      <c r="E96" s="147">
        <f ca="1">IF($M96=0,"",INDEX(Data!$G$2051:$G$2550,$M96))</f>
        <v>0.90029999999999999</v>
      </c>
      <c r="F96" s="146">
        <f ca="1">IF($M96=0,"",INDEX(Data!$F$2051:$F$2550,$M96))</f>
        <v>512</v>
      </c>
      <c r="G96" s="148">
        <f ca="1">IF($M96=0,"",INDEX(Data!$K$2051:$K$2550,$M96))</f>
        <v>0.28858847730923592</v>
      </c>
      <c r="H96" s="146">
        <f ca="1">IF($M96=0,"",INDEX(Data!$L$2051:$L$2550,$M96))</f>
        <v>14</v>
      </c>
      <c r="I96" s="149">
        <f ca="1">IF($M96=0,"",INDEX(Data!$T$2051:$T$2550,$M96))</f>
        <v>44</v>
      </c>
      <c r="J96" s="146" t="str">
        <f ca="1">IF($M96=0,"",INDEX(Data!$U$2051:$U$2550,$M96))</f>
        <v>Listed</v>
      </c>
      <c r="K96" s="146" t="str">
        <f ca="1">IF($M96=0,"",INDEX(Data!$AA$2051:$AA$2550,$M96))</f>
        <v>90% economic need; 0.29 mi fresh access; 14 nearby resources</v>
      </c>
      <c r="L96" s="146" t="str">
        <f ca="1">IF($M96=0,"",IF(INDEX(Data!$AN$2051:$AN$2550,$M96)=0,"",IF(INDEX(Data!$U$41:$U$540,INDEX(Data!$AN$2051:$AN$2550,$M96))="","",INDEX(Data!$U$41:$U$540,INDEX(Data!$AN$2051:$AN$2550,$M96)))))</f>
        <v>215-400-7080</v>
      </c>
      <c r="M96" s="132">
        <f ca="1">IF(COUNTIFS(Data!$AV$2051:$AV$2550,84)=1,MATCH(84,Data!$AV$2051:$AV$2550,0),0)</f>
        <v>187</v>
      </c>
      <c r="N96" s="150" t="str">
        <f ca="1">IF($M96=0,"",IF(INDEX(Data!$I$2051:$I$2550,$M96)=0,"Add ID","Row "&amp;(INDEX(Data!$I$2051:$I$2550,$M96)+7)))</f>
        <v>Row 158</v>
      </c>
    </row>
    <row r="97" spans="1:14" ht="40" customHeight="1">
      <c r="A97" s="135">
        <f ca="1">IF($M97=0,"",INDEX(Data!$W$2051:$W$2550,$M97))</f>
        <v>85</v>
      </c>
      <c r="B97" s="138" t="str">
        <f ca="1">IF($M97=0,"",INDEX(Data!$B$2051:$B$2550,$M97))</f>
        <v>Mastery Charter School at Mann</v>
      </c>
      <c r="C97" s="141" t="str">
        <f ca="1">IF($M97=0,"",INDEX(Data!$C$2051:$C$2550,$M97))</f>
        <v>Charter</v>
      </c>
      <c r="D97" s="141" t="str">
        <f ca="1">IF($M97=0,"",INDEX(Data!$D$2051:$D$2550,$M97))</f>
        <v>Elementary</v>
      </c>
      <c r="E97" s="142">
        <f ca="1">IF($M97=0,"",INDEX(Data!$G$2051:$G$2550,$M97))</f>
        <v>0.88360000000000005</v>
      </c>
      <c r="F97" s="141">
        <f ca="1">IF($M97=0,"",INDEX(Data!$F$2051:$F$2550,$M97))</f>
        <v>549</v>
      </c>
      <c r="G97" s="143">
        <f ca="1">IF($M97=0,"",INDEX(Data!$K$2051:$K$2550,$M97))</f>
        <v>0.59459036029679779</v>
      </c>
      <c r="H97" s="141">
        <f ca="1">IF($M97=0,"",INDEX(Data!$L$2051:$L$2550,$M97))</f>
        <v>5</v>
      </c>
      <c r="I97" s="144">
        <f ca="1">IF($M97=0,"",INDEX(Data!$T$2051:$T$2550,$M97))</f>
        <v>44</v>
      </c>
      <c r="J97" s="141" t="str">
        <f ca="1">IF($M97=0,"",INDEX(Data!$U$2051:$U$2550,$M97))</f>
        <v>Listed</v>
      </c>
      <c r="K97" s="141" t="str">
        <f ca="1">IF($M97=0,"",INDEX(Data!$AA$2051:$AA$2550,$M97))</f>
        <v>88% economic need; 0.59 mi fresh access; 5 nearby resources</v>
      </c>
      <c r="L97" s="141" t="str">
        <f ca="1">IF($M97=0,"",IF(INDEX(Data!$AN$2051:$AN$2550,$M97)=0,"",IF(INDEX(Data!$U$41:$U$540,INDEX(Data!$AN$2051:$AN$2550,$M97))="","",INDEX(Data!$U$41:$U$540,INDEX(Data!$AN$2051:$AN$2550,$M97)))))</f>
        <v>215-581-5516</v>
      </c>
      <c r="M97" s="132">
        <f ca="1">IF(COUNTIFS(Data!$AV$2051:$AV$2550,85)=1,MATCH(85,Data!$AV$2051:$AV$2550,0),0)</f>
        <v>128</v>
      </c>
      <c r="N97" s="145" t="str">
        <f ca="1">IF($M97=0,"",IF(INDEX(Data!$I$2051:$I$2550,$M97)=0,"Add ID","Row "&amp;(INDEX(Data!$I$2051:$I$2550,$M97)+7)))</f>
        <v>Row 195</v>
      </c>
    </row>
    <row r="98" spans="1:14" ht="40" customHeight="1">
      <c r="A98" s="136">
        <f ca="1">IF($M98=0,"",INDEX(Data!$W$2051:$W$2550,$M98))</f>
        <v>86</v>
      </c>
      <c r="B98" s="139" t="str">
        <f ca="1">IF($M98=0,"",INDEX(Data!$B$2051:$B$2550,$M98))</f>
        <v>Jules E. Mastbaum Area Vocational Technical High School</v>
      </c>
      <c r="C98" s="146" t="str">
        <f ca="1">IF($M98=0,"",INDEX(Data!$C$2051:$C$2550,$M98))</f>
        <v>District</v>
      </c>
      <c r="D98" s="146" t="str">
        <f ca="1">IF($M98=0,"",INDEX(Data!$D$2051:$D$2550,$M98))</f>
        <v>High</v>
      </c>
      <c r="E98" s="147">
        <f ca="1">IF($M98=0,"",INDEX(Data!$G$2051:$G$2550,$M98))</f>
        <v>0.87949999999999995</v>
      </c>
      <c r="F98" s="146">
        <f ca="1">IF($M98=0,"",INDEX(Data!$F$2051:$F$2550,$M98))</f>
        <v>676</v>
      </c>
      <c r="G98" s="148">
        <f ca="1">IF($M98=0,"",INDEX(Data!$K$2051:$K$2550,$M98))</f>
        <v>0.70127199729099987</v>
      </c>
      <c r="H98" s="146">
        <f ca="1">IF($M98=0,"",INDEX(Data!$L$2051:$L$2550,$M98))</f>
        <v>9</v>
      </c>
      <c r="I98" s="149">
        <f ca="1">IF($M98=0,"",INDEX(Data!$T$2051:$T$2550,$M98))</f>
        <v>44</v>
      </c>
      <c r="J98" s="146" t="str">
        <f ca="1">IF($M98=0,"",INDEX(Data!$U$2051:$U$2550,$M98))</f>
        <v>Listed</v>
      </c>
      <c r="K98" s="146" t="str">
        <f ca="1">IF($M98=0,"",INDEX(Data!$AA$2051:$AA$2550,$M98))</f>
        <v>88% economic need; 0.70 mi fresh access; 9 nearby resources</v>
      </c>
      <c r="L98" s="146" t="str">
        <f ca="1">IF($M98=0,"",IF(INDEX(Data!$AN$2051:$AN$2550,$M98)=0,"",IF(INDEX(Data!$U$41:$U$540,INDEX(Data!$AN$2051:$AN$2550,$M98))="","",INDEX(Data!$U$41:$U$540,INDEX(Data!$AN$2051:$AN$2550,$M98)))))</f>
        <v>215-400-7220</v>
      </c>
      <c r="M98" s="132">
        <f ca="1">IF(COUNTIFS(Data!$AV$2051:$AV$2550,86)=1,MATCH(86,Data!$AV$2051:$AV$2550,0),0)</f>
        <v>181</v>
      </c>
      <c r="N98" s="150" t="str">
        <f ca="1">IF($M98=0,"",IF(INDEX(Data!$I$2051:$I$2550,$M98)=0,"Add ID","Row "&amp;(INDEX(Data!$I$2051:$I$2550,$M98)+7)))</f>
        <v>Row 157</v>
      </c>
    </row>
    <row r="99" spans="1:14" ht="40" customHeight="1">
      <c r="A99" s="135">
        <f ca="1">IF($M99=0,"",INDEX(Data!$W$2051:$W$2550,$M99))</f>
        <v>87</v>
      </c>
      <c r="B99" s="138" t="str">
        <f ca="1">IF($M99=0,"",INDEX(Data!$B$2051:$B$2550,$M99))</f>
        <v>John Bartram High School</v>
      </c>
      <c r="C99" s="141" t="str">
        <f ca="1">IF($M99=0,"",INDEX(Data!$C$2051:$C$2550,$M99))</f>
        <v>District</v>
      </c>
      <c r="D99" s="141" t="str">
        <f ca="1">IF($M99=0,"",INDEX(Data!$D$2051:$D$2550,$M99))</f>
        <v>High</v>
      </c>
      <c r="E99" s="142">
        <f ca="1">IF($M99=0,"",INDEX(Data!$G$2051:$G$2550,$M99))</f>
        <v>0.80530000000000002</v>
      </c>
      <c r="F99" s="141">
        <f ca="1">IF($M99=0,"",INDEX(Data!$F$2051:$F$2550,$M99))</f>
        <v>594</v>
      </c>
      <c r="G99" s="143">
        <f ca="1">IF($M99=0,"",INDEX(Data!$K$2051:$K$2550,$M99))</f>
        <v>0.3397819435174283</v>
      </c>
      <c r="H99" s="141">
        <f ca="1">IF($M99=0,"",INDEX(Data!$L$2051:$L$2550,$M99))</f>
        <v>4</v>
      </c>
      <c r="I99" s="144">
        <f ca="1">IF($M99=0,"",INDEX(Data!$T$2051:$T$2550,$M99))</f>
        <v>44</v>
      </c>
      <c r="J99" s="141" t="str">
        <f ca="1">IF($M99=0,"",INDEX(Data!$U$2051:$U$2550,$M99))</f>
        <v>Listed</v>
      </c>
      <c r="K99" s="141" t="str">
        <f ca="1">IF($M99=0,"",INDEX(Data!$AA$2051:$AA$2550,$M99))</f>
        <v>81% economic need; 0.34 mi fresh access; 4 nearby resources</v>
      </c>
      <c r="L99" s="141" t="str">
        <f ca="1">IF($M99=0,"",IF(INDEX(Data!$AN$2051:$AN$2550,$M99)=0,"",IF(INDEX(Data!$U$41:$U$540,INDEX(Data!$AN$2051:$AN$2550,$M99))="","",INDEX(Data!$U$41:$U$540,INDEX(Data!$AN$2051:$AN$2550,$M99)))))</f>
        <v>215-400-8100</v>
      </c>
      <c r="M99" s="132">
        <f ca="1">IF(COUNTIFS(Data!$AV$2051:$AV$2550,87)=1,MATCH(87,Data!$AV$2051:$AV$2550,0),0)</f>
        <v>1</v>
      </c>
      <c r="N99" s="145" t="str">
        <f ca="1">IF($M99=0,"",IF(INDEX(Data!$I$2051:$I$2550,$M99)=0,"Add ID","Row "&amp;(INDEX(Data!$I$2051:$I$2550,$M99)+7)))</f>
        <v>Row 143</v>
      </c>
    </row>
    <row r="100" spans="1:14" ht="40" customHeight="1">
      <c r="A100" s="136">
        <f ca="1">IF($M100=0,"",INDEX(Data!$W$2051:$W$2550,$M100))</f>
        <v>88</v>
      </c>
      <c r="B100" s="139" t="str">
        <f ca="1">IF($M100=0,"",INDEX(Data!$B$2051:$B$2550,$M100))</f>
        <v>Philadelphia Hebrew Public Charter School</v>
      </c>
      <c r="C100" s="146" t="str">
        <f ca="1">IF($M100=0,"",INDEX(Data!$C$2051:$C$2550,$M100))</f>
        <v>Charter</v>
      </c>
      <c r="D100" s="146" t="str">
        <f ca="1">IF($M100=0,"",INDEX(Data!$D$2051:$D$2550,$M100))</f>
        <v>Elementary</v>
      </c>
      <c r="E100" s="147">
        <f ca="1">IF($M100=0,"",INDEX(Data!$G$2051:$G$2550,$M100))</f>
        <v>0.78690000000000004</v>
      </c>
      <c r="F100" s="146">
        <f ca="1">IF($M100=0,"",INDEX(Data!$F$2051:$F$2550,$M100))</f>
        <v>614</v>
      </c>
      <c r="G100" s="148">
        <f ca="1">IF($M100=0,"",INDEX(Data!$K$2051:$K$2550,$M100))</f>
        <v>0.4940020933208758</v>
      </c>
      <c r="H100" s="146">
        <f ca="1">IF($M100=0,"",INDEX(Data!$L$2051:$L$2550,$M100))</f>
        <v>3</v>
      </c>
      <c r="I100" s="149">
        <f ca="1">IF($M100=0,"",INDEX(Data!$T$2051:$T$2550,$M100))</f>
        <v>44</v>
      </c>
      <c r="J100" s="146" t="str">
        <f ca="1">IF($M100=0,"",INDEX(Data!$U$2051:$U$2550,$M100))</f>
        <v>Listed</v>
      </c>
      <c r="K100" s="146" t="str">
        <f ca="1">IF($M100=0,"",INDEX(Data!$AA$2051:$AA$2550,$M100))</f>
        <v>79% economic need; 0.49 mi fresh access; 3 nearby resources</v>
      </c>
      <c r="L100" s="146" t="str">
        <f ca="1">IF($M100=0,"",IF(INDEX(Data!$AN$2051:$AN$2550,$M100)=0,"",IF(INDEX(Data!$U$41:$U$540,INDEX(Data!$AN$2051:$AN$2550,$M100))="","",INDEX(Data!$U$41:$U$540,INDEX(Data!$AN$2051:$AN$2550,$M100)))))</f>
        <v/>
      </c>
      <c r="M100" s="132">
        <f ca="1">IF(COUNTIFS(Data!$AV$2051:$AV$2550,88)=1,MATCH(88,Data!$AV$2051:$AV$2550,0),0)</f>
        <v>151</v>
      </c>
      <c r="N100" s="150" t="str">
        <f ca="1">IF($M100=0,"",IF(INDEX(Data!$I$2051:$I$2550,$M100)=0,"Add ID","Row "&amp;(INDEX(Data!$I$2051:$I$2550,$M100)+7)))</f>
        <v>Row 241</v>
      </c>
    </row>
    <row r="101" spans="1:14" ht="40" customHeight="1">
      <c r="A101" s="135">
        <f ca="1">IF($M101=0,"",INDEX(Data!$W$2051:$W$2550,$M101))</f>
        <v>89</v>
      </c>
      <c r="B101" s="138" t="str">
        <f ca="1">IF($M101=0,"",INDEX(Data!$B$2051:$B$2550,$M101))</f>
        <v>Eugenio Maria De Hostos Charter School</v>
      </c>
      <c r="C101" s="141" t="str">
        <f ca="1">IF($M101=0,"",INDEX(Data!$C$2051:$C$2550,$M101))</f>
        <v>Charter</v>
      </c>
      <c r="D101" s="141" t="str">
        <f ca="1">IF($M101=0,"",INDEX(Data!$D$2051:$D$2550,$M101))</f>
        <v>Elementary-Middle</v>
      </c>
      <c r="E101" s="142">
        <f ca="1">IF($M101=0,"",INDEX(Data!$G$2051:$G$2550,$M101))</f>
        <v>0.76470000000000005</v>
      </c>
      <c r="F101" s="141">
        <f ca="1">IF($M101=0,"",INDEX(Data!$F$2051:$F$2550,$M101))</f>
        <v>697</v>
      </c>
      <c r="G101" s="143">
        <f ca="1">IF($M101=0,"",INDEX(Data!$K$2051:$K$2550,$M101))</f>
        <v>0.2923713862135881</v>
      </c>
      <c r="H101" s="141">
        <f ca="1">IF($M101=0,"",INDEX(Data!$L$2051:$L$2550,$M101))</f>
        <v>3</v>
      </c>
      <c r="I101" s="144">
        <f ca="1">IF($M101=0,"",INDEX(Data!$T$2051:$T$2550,$M101))</f>
        <v>44</v>
      </c>
      <c r="J101" s="141" t="str">
        <f ca="1">IF($M101=0,"",INDEX(Data!$U$2051:$U$2550,$M101))</f>
        <v>Listed</v>
      </c>
      <c r="K101" s="141" t="str">
        <f ca="1">IF($M101=0,"",INDEX(Data!$AA$2051:$AA$2550,$M101))</f>
        <v>76% economic need; 0.29 mi fresh access; 3 nearby resources</v>
      </c>
      <c r="L101" s="141" t="str">
        <f ca="1">IF($M101=0,"",IF(INDEX(Data!$AN$2051:$AN$2550,$M101)=0,"",IF(INDEX(Data!$U$41:$U$540,INDEX(Data!$AN$2051:$AN$2550,$M101))="","",INDEX(Data!$U$41:$U$540,INDEX(Data!$AN$2051:$AN$2550,$M101)))))</f>
        <v>215-455-2300</v>
      </c>
      <c r="M101" s="132">
        <f ca="1">IF(COUNTIFS(Data!$AV$2051:$AV$2550,89)=1,MATCH(89,Data!$AV$2051:$AV$2550,0),0)</f>
        <v>77</v>
      </c>
      <c r="N101" s="145" t="str">
        <f ca="1">IF($M101=0,"",IF(INDEX(Data!$I$2051:$I$2550,$M101)=0,"Add ID","Row "&amp;(INDEX(Data!$I$2051:$I$2550,$M101)+7)))</f>
        <v>Row 73</v>
      </c>
    </row>
    <row r="102" spans="1:14" ht="40" customHeight="1">
      <c r="A102" s="136">
        <f ca="1">IF($M102=0,"",INDEX(Data!$W$2051:$W$2550,$M102))</f>
        <v>90</v>
      </c>
      <c r="B102" s="139" t="str">
        <f ca="1">IF($M102=0,"",INDEX(Data!$B$2051:$B$2550,$M102))</f>
        <v>Mastery Charter School at Clymer</v>
      </c>
      <c r="C102" s="146" t="str">
        <f ca="1">IF($M102=0,"",INDEX(Data!$C$2051:$C$2550,$M102))</f>
        <v>Charter</v>
      </c>
      <c r="D102" s="146" t="str">
        <f ca="1">IF($M102=0,"",INDEX(Data!$D$2051:$D$2550,$M102))</f>
        <v>Elementary</v>
      </c>
      <c r="E102" s="147">
        <f ca="1">IF($M102=0,"",INDEX(Data!$G$2051:$G$2550,$M102))</f>
        <v>0.98080000000000001</v>
      </c>
      <c r="F102" s="146">
        <f ca="1">IF($M102=0,"",INDEX(Data!$F$2051:$F$2550,$M102))</f>
        <v>417</v>
      </c>
      <c r="G102" s="148">
        <f ca="1">IF($M102=0,"",INDEX(Data!$K$2051:$K$2550,$M102))</f>
        <v>0.36645928419428137</v>
      </c>
      <c r="H102" s="146">
        <f ca="1">IF($M102=0,"",INDEX(Data!$L$2051:$L$2550,$M102))</f>
        <v>14</v>
      </c>
      <c r="I102" s="149">
        <f ca="1">IF($M102=0,"",INDEX(Data!$T$2051:$T$2550,$M102))</f>
        <v>43</v>
      </c>
      <c r="J102" s="146" t="str">
        <f ca="1">IF($M102=0,"",INDEX(Data!$U$2051:$U$2550,$M102))</f>
        <v>Listed</v>
      </c>
      <c r="K102" s="146" t="str">
        <f ca="1">IF($M102=0,"",INDEX(Data!$AA$2051:$AA$2550,$M102))</f>
        <v>98% economic need; 0.37 mi fresh access; 14 nearby resources</v>
      </c>
      <c r="L102" s="146" t="str">
        <f ca="1">IF($M102=0,"",IF(INDEX(Data!$AN$2051:$AN$2550,$M102)=0,"",IF(INDEX(Data!$U$41:$U$540,INDEX(Data!$AN$2051:$AN$2550,$M102))="","",INDEX(Data!$U$41:$U$540,INDEX(Data!$AN$2051:$AN$2550,$M102)))))</f>
        <v/>
      </c>
      <c r="M102" s="132">
        <f ca="1">IF(COUNTIFS(Data!$AV$2051:$AV$2550,90)=1,MATCH(90,Data!$AV$2051:$AV$2550,0),0)</f>
        <v>131</v>
      </c>
      <c r="N102" s="150" t="str">
        <f ca="1">IF($M102=0,"",IF(INDEX(Data!$I$2051:$I$2550,$M102)=0,"Add ID","Row "&amp;(INDEX(Data!$I$2051:$I$2550,$M102)+7)))</f>
        <v>Row 190</v>
      </c>
    </row>
    <row r="103" spans="1:14" ht="40" customHeight="1">
      <c r="A103" s="135">
        <f ca="1">IF($M103=0,"",INDEX(Data!$W$2051:$W$2550,$M103))</f>
        <v>91</v>
      </c>
      <c r="B103" s="138" t="str">
        <f ca="1">IF($M103=0,"",INDEX(Data!$B$2051:$B$2550,$M103))</f>
        <v>James Rhoads School</v>
      </c>
      <c r="C103" s="141" t="str">
        <f ca="1">IF($M103=0,"",INDEX(Data!$C$2051:$C$2550,$M103))</f>
        <v>District</v>
      </c>
      <c r="D103" s="141" t="str">
        <f ca="1">IF($M103=0,"",INDEX(Data!$D$2051:$D$2550,$M103))</f>
        <v>Elementary-Middle</v>
      </c>
      <c r="E103" s="142">
        <f ca="1">IF($M103=0,"",INDEX(Data!$G$2051:$G$2550,$M103))</f>
        <v>0.92700000000000005</v>
      </c>
      <c r="F103" s="141">
        <f ca="1">IF($M103=0,"",INDEX(Data!$F$2051:$F$2550,$M103))</f>
        <v>415</v>
      </c>
      <c r="G103" s="143">
        <f ca="1">IF($M103=0,"",INDEX(Data!$K$2051:$K$2550,$M103))</f>
        <v>0.3555034706883109</v>
      </c>
      <c r="H103" s="141">
        <f ca="1">IF($M103=0,"",INDEX(Data!$L$2051:$L$2550,$M103))</f>
        <v>12</v>
      </c>
      <c r="I103" s="144">
        <f ca="1">IF($M103=0,"",INDEX(Data!$T$2051:$T$2550,$M103))</f>
        <v>43</v>
      </c>
      <c r="J103" s="141" t="str">
        <f ca="1">IF($M103=0,"",INDEX(Data!$U$2051:$U$2550,$M103))</f>
        <v>Listed</v>
      </c>
      <c r="K103" s="141" t="str">
        <f ca="1">IF($M103=0,"",INDEX(Data!$AA$2051:$AA$2550,$M103))</f>
        <v>93% economic need; 0.36 mi fresh access; 12 nearby resources</v>
      </c>
      <c r="L103" s="141" t="str">
        <f ca="1">IF($M103=0,"",IF(INDEX(Data!$AN$2051:$AN$2550,$M103)=0,"",IF(INDEX(Data!$U$41:$U$540,INDEX(Data!$AN$2051:$AN$2550,$M103))="","",INDEX(Data!$U$41:$U$540,INDEX(Data!$AN$2051:$AN$2550,$M103)))))</f>
        <v>215-400-7680</v>
      </c>
      <c r="M103" s="132">
        <f ca="1">IF(COUNTIFS(Data!$AV$2051:$AV$2550,91)=1,MATCH(91,Data!$AV$2051:$AV$2550,0),0)</f>
        <v>22</v>
      </c>
      <c r="N103" s="145" t="str">
        <f ca="1">IF($M103=0,"",IF(INDEX(Data!$I$2051:$I$2550,$M103)=0,"Add ID","Row "&amp;(INDEX(Data!$I$2051:$I$2550,$M103)+7)))</f>
        <v>Row 138</v>
      </c>
    </row>
    <row r="104" spans="1:14" ht="40" customHeight="1">
      <c r="A104" s="136">
        <f ca="1">IF($M104=0,"",INDEX(Data!$W$2051:$W$2550,$M104))</f>
        <v>92</v>
      </c>
      <c r="B104" s="139" t="str">
        <f ca="1">IF($M104=0,"",INDEX(Data!$B$2051:$B$2550,$M104))</f>
        <v>John Barry School</v>
      </c>
      <c r="C104" s="146" t="str">
        <f ca="1">IF($M104=0,"",INDEX(Data!$C$2051:$C$2550,$M104))</f>
        <v>District</v>
      </c>
      <c r="D104" s="146" t="str">
        <f ca="1">IF($M104=0,"",INDEX(Data!$D$2051:$D$2550,$M104))</f>
        <v>Elementary-Middle</v>
      </c>
      <c r="E104" s="147">
        <f ca="1">IF($M104=0,"",INDEX(Data!$G$2051:$G$2550,$M104))</f>
        <v>0.91180000000000005</v>
      </c>
      <c r="F104" s="146">
        <f ca="1">IF($M104=0,"",INDEX(Data!$F$2051:$F$2550,$M104))</f>
        <v>442</v>
      </c>
      <c r="G104" s="148">
        <f ca="1">IF($M104=0,"",INDEX(Data!$K$2051:$K$2550,$M104))</f>
        <v>0.35473149935309223</v>
      </c>
      <c r="H104" s="146">
        <f ca="1">IF($M104=0,"",INDEX(Data!$L$2051:$L$2550,$M104))</f>
        <v>11</v>
      </c>
      <c r="I104" s="149">
        <f ca="1">IF($M104=0,"",INDEX(Data!$T$2051:$T$2550,$M104))</f>
        <v>43</v>
      </c>
      <c r="J104" s="146" t="str">
        <f ca="1">IF($M104=0,"",INDEX(Data!$U$2051:$U$2550,$M104))</f>
        <v>Listed</v>
      </c>
      <c r="K104" s="146" t="str">
        <f ca="1">IF($M104=0,"",INDEX(Data!$AA$2051:$AA$2550,$M104))</f>
        <v>91% economic need; 0.35 mi fresh access; 11 nearby resources</v>
      </c>
      <c r="L104" s="146" t="str">
        <f ca="1">IF($M104=0,"",IF(INDEX(Data!$AN$2051:$AN$2550,$M104)=0,"",IF(INDEX(Data!$U$41:$U$540,INDEX(Data!$AN$2051:$AN$2550,$M104))="","",INDEX(Data!$U$41:$U$540,INDEX(Data!$AN$2051:$AN$2550,$M104)))))</f>
        <v>215-400-7640</v>
      </c>
      <c r="M104" s="132">
        <f ca="1">IF(COUNTIFS(Data!$AV$2051:$AV$2550,92)=1,MATCH(92,Data!$AV$2051:$AV$2550,0),0)</f>
        <v>8</v>
      </c>
      <c r="N104" s="150" t="str">
        <f ca="1">IF($M104=0,"",IF(INDEX(Data!$I$2051:$I$2550,$M104)=0,"Add ID","Row "&amp;(INDEX(Data!$I$2051:$I$2550,$M104)+7)))</f>
        <v>Row 142</v>
      </c>
    </row>
    <row r="105" spans="1:14" ht="40" customHeight="1">
      <c r="A105" s="135">
        <f ca="1">IF($M105=0,"",INDEX(Data!$W$2051:$W$2550,$M105))</f>
        <v>93</v>
      </c>
      <c r="B105" s="138" t="str">
        <f ca="1">IF($M105=0,"",INDEX(Data!$B$2051:$B$2550,$M105))</f>
        <v>Lewis Elkin School</v>
      </c>
      <c r="C105" s="141" t="str">
        <f ca="1">IF($M105=0,"",INDEX(Data!$C$2051:$C$2550,$M105))</f>
        <v>District</v>
      </c>
      <c r="D105" s="141" t="str">
        <f ca="1">IF($M105=0,"",INDEX(Data!$D$2051:$D$2550,$M105))</f>
        <v>Elementary</v>
      </c>
      <c r="E105" s="142">
        <f ca="1">IF($M105=0,"",INDEX(Data!$G$2051:$G$2550,$M105))</f>
        <v>0.90690000000000004</v>
      </c>
      <c r="F105" s="141">
        <f ca="1">IF($M105=0,"",INDEX(Data!$F$2051:$F$2550,$M105))</f>
        <v>431</v>
      </c>
      <c r="G105" s="143">
        <f ca="1">IF($M105=0,"",INDEX(Data!$K$2051:$K$2550,$M105))</f>
        <v>0.32714422014659533</v>
      </c>
      <c r="H105" s="141">
        <f ca="1">IF($M105=0,"",INDEX(Data!$L$2051:$L$2550,$M105))</f>
        <v>10</v>
      </c>
      <c r="I105" s="144">
        <f ca="1">IF($M105=0,"",INDEX(Data!$T$2051:$T$2550,$M105))</f>
        <v>43</v>
      </c>
      <c r="J105" s="141" t="str">
        <f ca="1">IF($M105=0,"",INDEX(Data!$U$2051:$U$2550,$M105))</f>
        <v>Listed</v>
      </c>
      <c r="K105" s="141" t="str">
        <f ca="1">IF($M105=0,"",INDEX(Data!$AA$2051:$AA$2550,$M105))</f>
        <v>91% economic need; 0.33 mi fresh access; 10 nearby resources</v>
      </c>
      <c r="L105" s="141" t="str">
        <f ca="1">IF($M105=0,"",IF(INDEX(Data!$AN$2051:$AN$2550,$M105)=0,"",IF(INDEX(Data!$U$41:$U$540,INDEX(Data!$AN$2051:$AN$2550,$M105))="","",INDEX(Data!$U$41:$U$540,INDEX(Data!$AN$2051:$AN$2550,$M105)))))</f>
        <v>215-400-7140</v>
      </c>
      <c r="M105" s="132">
        <f ca="1">IF(COUNTIFS(Data!$AV$2051:$AV$2550,93)=1,MATCH(93,Data!$AV$2051:$AV$2550,0),0)</f>
        <v>193</v>
      </c>
      <c r="N105" s="145" t="str">
        <f ca="1">IF($M105=0,"",IF(INDEX(Data!$I$2051:$I$2550,$M105)=0,"Add ID","Row "&amp;(INDEX(Data!$I$2051:$I$2550,$M105)+7)))</f>
        <v>Row 178</v>
      </c>
    </row>
    <row r="106" spans="1:14" ht="40" customHeight="1">
      <c r="A106" s="136">
        <f ca="1">IF($M106=0,"",INDEX(Data!$W$2051:$W$2550,$M106))</f>
        <v>94</v>
      </c>
      <c r="B106" s="139" t="str">
        <f ca="1">IF($M106=0,"",INDEX(Data!$B$2051:$B$2550,$M106))</f>
        <v>William H. Hunter School</v>
      </c>
      <c r="C106" s="146" t="str">
        <f ca="1">IF($M106=0,"",INDEX(Data!$C$2051:$C$2550,$M106))</f>
        <v>District</v>
      </c>
      <c r="D106" s="146" t="str">
        <f ca="1">IF($M106=0,"",INDEX(Data!$D$2051:$D$2550,$M106))</f>
        <v>Elementary-Middle</v>
      </c>
      <c r="E106" s="147">
        <f ca="1">IF($M106=0,"",INDEX(Data!$G$2051:$G$2550,$M106))</f>
        <v>0.90310000000000001</v>
      </c>
      <c r="F106" s="146">
        <f ca="1">IF($M106=0,"",INDEX(Data!$F$2051:$F$2550,$M106))</f>
        <v>357</v>
      </c>
      <c r="G106" s="148">
        <f ca="1">IF($M106=0,"",INDEX(Data!$K$2051:$K$2550,$M106))</f>
        <v>0.26515504946539381</v>
      </c>
      <c r="H106" s="146">
        <f ca="1">IF($M106=0,"",INDEX(Data!$L$2051:$L$2550,$M106))</f>
        <v>12</v>
      </c>
      <c r="I106" s="149">
        <f ca="1">IF($M106=0,"",INDEX(Data!$T$2051:$T$2550,$M106))</f>
        <v>43</v>
      </c>
      <c r="J106" s="146" t="str">
        <f ca="1">IF($M106=0,"",INDEX(Data!$U$2051:$U$2550,$M106))</f>
        <v>Listed</v>
      </c>
      <c r="K106" s="146" t="str">
        <f ca="1">IF($M106=0,"",INDEX(Data!$AA$2051:$AA$2550,$M106))</f>
        <v>90% economic need; 0.27 mi fresh access; 12 nearby resources</v>
      </c>
      <c r="L106" s="146" t="str">
        <f ca="1">IF($M106=0,"",IF(INDEX(Data!$AN$2051:$AN$2550,$M106)=0,"",IF(INDEX(Data!$U$41:$U$540,INDEX(Data!$AN$2051:$AN$2550,$M106))="","",INDEX(Data!$U$41:$U$540,INDEX(Data!$AN$2051:$AN$2550,$M106)))))</f>
        <v>215-400-7110</v>
      </c>
      <c r="M106" s="132">
        <f ca="1">IF(COUNTIFS(Data!$AV$2051:$AV$2550,94)=1,MATCH(94,Data!$AV$2051:$AV$2550,0),0)</f>
        <v>196</v>
      </c>
      <c r="N106" s="150" t="str">
        <f ca="1">IF($M106=0,"",IF(INDEX(Data!$I$2051:$I$2550,$M106)=0,"Add ID","Row "&amp;(INDEX(Data!$I$2051:$I$2550,$M106)+7)))</f>
        <v>Row 324</v>
      </c>
    </row>
    <row r="107" spans="1:14" ht="40" customHeight="1">
      <c r="A107" s="135">
        <f ca="1">IF($M107=0,"",INDEX(Data!$W$2051:$W$2550,$M107))</f>
        <v>95</v>
      </c>
      <c r="B107" s="138" t="str">
        <f ca="1">IF($M107=0,"",INDEX(Data!$B$2051:$B$2550,$M107))</f>
        <v>Andrew Hamilton School</v>
      </c>
      <c r="C107" s="141" t="str">
        <f ca="1">IF($M107=0,"",INDEX(Data!$C$2051:$C$2550,$M107))</f>
        <v>District</v>
      </c>
      <c r="D107" s="141" t="str">
        <f ca="1">IF($M107=0,"",INDEX(Data!$D$2051:$D$2550,$M107))</f>
        <v>Elementary-Middle</v>
      </c>
      <c r="E107" s="142">
        <f ca="1">IF($M107=0,"",INDEX(Data!$G$2051:$G$2550,$M107))</f>
        <v>0.90129999999999999</v>
      </c>
      <c r="F107" s="141">
        <f ca="1">IF($M107=0,"",INDEX(Data!$F$2051:$F$2550,$M107))</f>
        <v>366</v>
      </c>
      <c r="G107" s="143">
        <f ca="1">IF($M107=0,"",INDEX(Data!$K$2051:$K$2550,$M107))</f>
        <v>0.30289871613356184</v>
      </c>
      <c r="H107" s="141">
        <f ca="1">IF($M107=0,"",INDEX(Data!$L$2051:$L$2550,$M107))</f>
        <v>10</v>
      </c>
      <c r="I107" s="144">
        <f ca="1">IF($M107=0,"",INDEX(Data!$T$2051:$T$2550,$M107))</f>
        <v>43</v>
      </c>
      <c r="J107" s="141" t="str">
        <f ca="1">IF($M107=0,"",INDEX(Data!$U$2051:$U$2550,$M107))</f>
        <v>Listed</v>
      </c>
      <c r="K107" s="141" t="str">
        <f ca="1">IF($M107=0,"",INDEX(Data!$AA$2051:$AA$2550,$M107))</f>
        <v>90% economic need; 0.30 mi fresh access; 10 nearby resources</v>
      </c>
      <c r="L107" s="141" t="str">
        <f ca="1">IF($M107=0,"",IF(INDEX(Data!$AN$2051:$AN$2550,$M107)=0,"",IF(INDEX(Data!$U$41:$U$540,INDEX(Data!$AN$2051:$AN$2550,$M107))="","",INDEX(Data!$U$41:$U$540,INDEX(Data!$AN$2051:$AN$2550,$M107)))))</f>
        <v>215-400-7650</v>
      </c>
      <c r="M107" s="132">
        <f ca="1">IF(COUNTIFS(Data!$AV$2051:$AV$2550,95)=1,MATCH(95,Data!$AV$2051:$AV$2550,0),0)</f>
        <v>13</v>
      </c>
      <c r="N107" s="145" t="str">
        <f ca="1">IF($M107=0,"",IF(INDEX(Data!$I$2051:$I$2550,$M107)=0,"Add ID","Row "&amp;(INDEX(Data!$I$2051:$I$2550,$M107)+7)))</f>
        <v>Row 25</v>
      </c>
    </row>
    <row r="108" spans="1:14" ht="40" customHeight="1">
      <c r="A108" s="136">
        <f ca="1">IF($M108=0,"",INDEX(Data!$W$2051:$W$2550,$M108))</f>
        <v>96</v>
      </c>
      <c r="B108" s="139" t="str">
        <f ca="1">IF($M108=0,"",INDEX(Data!$B$2051:$B$2550,$M108))</f>
        <v>Guion S. Bluford School</v>
      </c>
      <c r="C108" s="146" t="str">
        <f ca="1">IF($M108=0,"",INDEX(Data!$C$2051:$C$2550,$M108))</f>
        <v>District</v>
      </c>
      <c r="D108" s="146" t="str">
        <f ca="1">IF($M108=0,"",INDEX(Data!$D$2051:$D$2550,$M108))</f>
        <v>Elementary-Middle</v>
      </c>
      <c r="E108" s="147">
        <f ca="1">IF($M108=0,"",INDEX(Data!$G$2051:$G$2550,$M108))</f>
        <v>0.89890000000000003</v>
      </c>
      <c r="F108" s="146">
        <f ca="1">IF($M108=0,"",INDEX(Data!$F$2051:$F$2550,$M108))</f>
        <v>490</v>
      </c>
      <c r="G108" s="148">
        <f ca="1">IF($M108=0,"",INDEX(Data!$K$2051:$K$2550,$M108))</f>
        <v>0.59682532312868697</v>
      </c>
      <c r="H108" s="146">
        <f ca="1">IF($M108=0,"",INDEX(Data!$L$2051:$L$2550,$M108))</f>
        <v>12</v>
      </c>
      <c r="I108" s="149">
        <f ca="1">IF($M108=0,"",INDEX(Data!$T$2051:$T$2550,$M108))</f>
        <v>43</v>
      </c>
      <c r="J108" s="146" t="str">
        <f ca="1">IF($M108=0,"",INDEX(Data!$U$2051:$U$2550,$M108))</f>
        <v>Listed</v>
      </c>
      <c r="K108" s="146" t="str">
        <f ca="1">IF($M108=0,"",INDEX(Data!$AA$2051:$AA$2550,$M108))</f>
        <v>90% economic need; 0.60 mi fresh access; 12 nearby resources</v>
      </c>
      <c r="L108" s="146" t="str">
        <f ca="1">IF($M108=0,"",IF(INDEX(Data!$AN$2051:$AN$2550,$M108)=0,"",IF(INDEX(Data!$U$41:$U$540,INDEX(Data!$AN$2051:$AN$2550,$M108))="","",INDEX(Data!$U$41:$U$540,INDEX(Data!$AN$2051:$AN$2550,$M108)))))</f>
        <v>215-400-9170</v>
      </c>
      <c r="M108" s="132">
        <f ca="1">IF(COUNTIFS(Data!$AV$2051:$AV$2550,96)=1,MATCH(96,Data!$AV$2051:$AV$2550,0),0)</f>
        <v>175</v>
      </c>
      <c r="N108" s="150" t="str">
        <f ca="1">IF($M108=0,"",IF(INDEX(Data!$I$2051:$I$2550,$M108)=0,"Add ID","Row "&amp;(INDEX(Data!$I$2051:$I$2550,$M108)+7)))</f>
        <v>Row 112</v>
      </c>
    </row>
    <row r="109" spans="1:14" ht="40" customHeight="1">
      <c r="A109" s="135">
        <f ca="1">IF($M109=0,"",INDEX(Data!$W$2051:$W$2550,$M109))</f>
        <v>97</v>
      </c>
      <c r="B109" s="138" t="str">
        <f ca="1">IF($M109=0,"",INDEX(Data!$B$2051:$B$2550,$M109))</f>
        <v>Overbrook High School</v>
      </c>
      <c r="C109" s="141" t="str">
        <f ca="1">IF($M109=0,"",INDEX(Data!$C$2051:$C$2550,$M109))</f>
        <v>District</v>
      </c>
      <c r="D109" s="141" t="str">
        <f ca="1">IF($M109=0,"",INDEX(Data!$D$2051:$D$2550,$M109))</f>
        <v>High</v>
      </c>
      <c r="E109" s="142">
        <f ca="1">IF($M109=0,"",INDEX(Data!$G$2051:$G$2550,$M109))</f>
        <v>0.82320000000000004</v>
      </c>
      <c r="F109" s="141">
        <f ca="1">IF($M109=0,"",INDEX(Data!$F$2051:$F$2550,$M109))</f>
        <v>466</v>
      </c>
      <c r="G109" s="143">
        <f ca="1">IF($M109=0,"",INDEX(Data!$K$2051:$K$2550,$M109))</f>
        <v>0.72953283618444287</v>
      </c>
      <c r="H109" s="141">
        <f ca="1">IF($M109=0,"",INDEX(Data!$L$2051:$L$2550,$M109))</f>
        <v>8</v>
      </c>
      <c r="I109" s="144">
        <f ca="1">IF($M109=0,"",INDEX(Data!$T$2051:$T$2550,$M109))</f>
        <v>43</v>
      </c>
      <c r="J109" s="141" t="str">
        <f ca="1">IF($M109=0,"",INDEX(Data!$U$2051:$U$2550,$M109))</f>
        <v>Listed</v>
      </c>
      <c r="K109" s="141" t="str">
        <f ca="1">IF($M109=0,"",INDEX(Data!$AA$2051:$AA$2550,$M109))</f>
        <v>82% economic need; 0.73 mi fresh access; 8 nearby resources</v>
      </c>
      <c r="L109" s="141" t="str">
        <f ca="1">IF($M109=0,"",IF(INDEX(Data!$AN$2051:$AN$2550,$M109)=0,"",IF(INDEX(Data!$U$41:$U$540,INDEX(Data!$AN$2051:$AN$2550,$M109))="","",INDEX(Data!$U$41:$U$540,INDEX(Data!$AN$2051:$AN$2550,$M109)))))</f>
        <v>215-400-7300</v>
      </c>
      <c r="M109" s="132">
        <f ca="1">IF(COUNTIFS(Data!$AV$2051:$AV$2550,97)=1,MATCH(97,Data!$AV$2051:$AV$2550,0),0)</f>
        <v>157</v>
      </c>
      <c r="N109" s="145" t="str">
        <f ca="1">IF($M109=0,"",IF(INDEX(Data!$I$2051:$I$2550,$M109)=0,"Add ID","Row "&amp;(INDEX(Data!$I$2051:$I$2550,$M109)+7)))</f>
        <v>Row 227</v>
      </c>
    </row>
    <row r="110" spans="1:14" ht="40" customHeight="1">
      <c r="A110" s="136">
        <f ca="1">IF($M110=0,"",INDEX(Data!$W$2051:$W$2550,$M110))</f>
        <v>98</v>
      </c>
      <c r="B110" s="139" t="str">
        <f ca="1">IF($M110=0,"",INDEX(Data!$B$2051:$B$2550,$M110))</f>
        <v>Franklin S. Edmonds School</v>
      </c>
      <c r="C110" s="146" t="str">
        <f ca="1">IF($M110=0,"",INDEX(Data!$C$2051:$C$2550,$M110))</f>
        <v>District</v>
      </c>
      <c r="D110" s="146" t="str">
        <f ca="1">IF($M110=0,"",INDEX(Data!$D$2051:$D$2550,$M110))</f>
        <v>Elementary-Middle</v>
      </c>
      <c r="E110" s="147">
        <f ca="1">IF($M110=0,"",INDEX(Data!$G$2051:$G$2550,$M110))</f>
        <v>0.79059999999999997</v>
      </c>
      <c r="F110" s="146">
        <f ca="1">IF($M110=0,"",INDEX(Data!$F$2051:$F$2550,$M110))</f>
        <v>376</v>
      </c>
      <c r="G110" s="148">
        <f ca="1">IF($M110=0,"",INDEX(Data!$K$2051:$K$2550,$M110))</f>
        <v>0.69991420185199138</v>
      </c>
      <c r="H110" s="146">
        <f ca="1">IF($M110=0,"",INDEX(Data!$L$2051:$L$2550,$M110))</f>
        <v>4</v>
      </c>
      <c r="I110" s="149">
        <f ca="1">IF($M110=0,"",INDEX(Data!$T$2051:$T$2550,$M110))</f>
        <v>43</v>
      </c>
      <c r="J110" s="146" t="str">
        <f ca="1">IF($M110=0,"",INDEX(Data!$U$2051:$U$2550,$M110))</f>
        <v>Listed</v>
      </c>
      <c r="K110" s="146" t="str">
        <f ca="1">IF($M110=0,"",INDEX(Data!$AA$2051:$AA$2550,$M110))</f>
        <v>79% economic need; 0.70 mi fresh access; 4 nearby resources</v>
      </c>
      <c r="L110" s="146" t="str">
        <f ca="1">IF($M110=0,"",IF(INDEX(Data!$AN$2051:$AN$2550,$M110)=0,"",IF(INDEX(Data!$U$41:$U$540,INDEX(Data!$AN$2051:$AN$2550,$M110))="","",INDEX(Data!$U$41:$U$540,INDEX(Data!$AN$2051:$AN$2550,$M110)))))</f>
        <v>215-400-3370</v>
      </c>
      <c r="M110" s="132">
        <f ca="1">IF(COUNTIFS(Data!$AV$2051:$AV$2550,98)=1,MATCH(98,Data!$AV$2051:$AV$2550,0),0)</f>
        <v>230</v>
      </c>
      <c r="N110" s="150" t="str">
        <f ca="1">IF($M110=0,"",IF(INDEX(Data!$I$2051:$I$2550,$M110)=0,"Add ID","Row "&amp;(INDEX(Data!$I$2051:$I$2550,$M110)+7)))</f>
        <v>Row 91</v>
      </c>
    </row>
    <row r="111" spans="1:14" ht="40" customHeight="1">
      <c r="A111" s="135">
        <f ca="1">IF($M111=0,"",INDEX(Data!$W$2051:$W$2550,$M111))</f>
        <v>99</v>
      </c>
      <c r="B111" s="138" t="str">
        <f ca="1">IF($M111=0,"",INDEX(Data!$B$2051:$B$2550,$M111))</f>
        <v>Lewis C. Cassidy Academics Plus School</v>
      </c>
      <c r="C111" s="141" t="str">
        <f ca="1">IF($M111=0,"",INDEX(Data!$C$2051:$C$2550,$M111))</f>
        <v>District</v>
      </c>
      <c r="D111" s="141" t="str">
        <f ca="1">IF($M111=0,"",INDEX(Data!$D$2051:$D$2550,$M111))</f>
        <v>Elementary-Middle</v>
      </c>
      <c r="E111" s="142">
        <f ca="1">IF($M111=0,"",INDEX(Data!$G$2051:$G$2550,$M111))</f>
        <v>0.74790000000000001</v>
      </c>
      <c r="F111" s="141">
        <f ca="1">IF($M111=0,"",INDEX(Data!$F$2051:$F$2550,$M111))</f>
        <v>363</v>
      </c>
      <c r="G111" s="143">
        <f ca="1">IF($M111=0,"",INDEX(Data!$K$2051:$K$2550,$M111))</f>
        <v>0.8875990918896205</v>
      </c>
      <c r="H111" s="141">
        <f ca="1">IF($M111=0,"",INDEX(Data!$L$2051:$L$2550,$M111))</f>
        <v>6</v>
      </c>
      <c r="I111" s="144">
        <f ca="1">IF($M111=0,"",INDEX(Data!$T$2051:$T$2550,$M111))</f>
        <v>43</v>
      </c>
      <c r="J111" s="141" t="str">
        <f ca="1">IF($M111=0,"",INDEX(Data!$U$2051:$U$2550,$M111))</f>
        <v>Listed</v>
      </c>
      <c r="K111" s="141" t="str">
        <f ca="1">IF($M111=0,"",INDEX(Data!$AA$2051:$AA$2550,$M111))</f>
        <v>75% economic need; 0.89 mi fresh access; 6 nearby resources</v>
      </c>
      <c r="L111" s="141" t="str">
        <f ca="1">IF($M111=0,"",IF(INDEX(Data!$AN$2051:$AN$2550,$M111)=0,"",IF(INDEX(Data!$U$41:$U$540,INDEX(Data!$AN$2051:$AN$2550,$M111))="","",INDEX(Data!$U$41:$U$540,INDEX(Data!$AN$2051:$AN$2550,$M111)))))</f>
        <v>215-400-7510</v>
      </c>
      <c r="M111" s="132">
        <f ca="1">IF(COUNTIFS(Data!$AV$2051:$AV$2550,99)=1,MATCH(99,Data!$AV$2051:$AV$2550,0),0)</f>
        <v>162</v>
      </c>
      <c r="N111" s="145" t="str">
        <f ca="1">IF($M111=0,"",IF(INDEX(Data!$I$2051:$I$2550,$M111)=0,"Add ID","Row "&amp;(INDEX(Data!$I$2051:$I$2550,$M111)+7)))</f>
        <v>Row 177</v>
      </c>
    </row>
    <row r="112" spans="1:14" ht="40" customHeight="1">
      <c r="A112" s="136">
        <f ca="1">IF($M112=0,"",INDEX(Data!$W$2051:$W$2550,$M112))</f>
        <v>100</v>
      </c>
      <c r="B112" s="139" t="str">
        <f ca="1">IF($M112=0,"",INDEX(Data!$B$2051:$B$2550,$M112))</f>
        <v>Cook-Wissahickon School</v>
      </c>
      <c r="C112" s="146" t="str">
        <f ca="1">IF($M112=0,"",INDEX(Data!$C$2051:$C$2550,$M112))</f>
        <v>District</v>
      </c>
      <c r="D112" s="146" t="str">
        <f ca="1">IF($M112=0,"",INDEX(Data!$D$2051:$D$2550,$M112))</f>
        <v>Elementary-Middle</v>
      </c>
      <c r="E112" s="147">
        <f ca="1">IF($M112=0,"",INDEX(Data!$G$2051:$G$2550,$M112))</f>
        <v>0.47399999999999998</v>
      </c>
      <c r="F112" s="146">
        <f ca="1">IF($M112=0,"",INDEX(Data!$F$2051:$F$2550,$M112))</f>
        <v>426</v>
      </c>
      <c r="G112" s="148">
        <f ca="1">IF($M112=0,"",INDEX(Data!$K$2051:$K$2550,$M112))</f>
        <v>0.64413707291291522</v>
      </c>
      <c r="H112" s="146">
        <f ca="1">IF($M112=0,"",INDEX(Data!$L$2051:$L$2550,$M112))</f>
        <v>1</v>
      </c>
      <c r="I112" s="149">
        <f ca="1">IF($M112=0,"",INDEX(Data!$T$2051:$T$2550,$M112))</f>
        <v>43</v>
      </c>
      <c r="J112" s="146" t="str">
        <f ca="1">IF($M112=0,"",INDEX(Data!$U$2051:$U$2550,$M112))</f>
        <v>Listed</v>
      </c>
      <c r="K112" s="146" t="str">
        <f ca="1">IF($M112=0,"",INDEX(Data!$AA$2051:$AA$2550,$M112))</f>
        <v>47% economic need; 0.64 mi fresh access; 1 nearby resources</v>
      </c>
      <c r="L112" s="146" t="str">
        <f ca="1">IF($M112=0,"",IF(INDEX(Data!$AN$2051:$AN$2550,$M112)=0,"",IF(INDEX(Data!$U$41:$U$540,INDEX(Data!$AN$2051:$AN$2550,$M112))="","",INDEX(Data!$U$41:$U$540,INDEX(Data!$AN$2051:$AN$2550,$M112)))))</f>
        <v>215-400-3430</v>
      </c>
      <c r="M112" s="132">
        <f ca="1">IF(COUNTIFS(Data!$AV$2051:$AV$2550,100)=1,MATCH(100,Data!$AV$2051:$AV$2550,0),0)</f>
        <v>245</v>
      </c>
      <c r="N112" s="150" t="str">
        <f ca="1">IF($M112=0,"",IF(INDEX(Data!$I$2051:$I$2550,$M112)=0,"Add ID","Row "&amp;(INDEX(Data!$I$2051:$I$2550,$M112)+7)))</f>
        <v>Row 53</v>
      </c>
    </row>
    <row r="113" spans="1:14" ht="40" customHeight="1">
      <c r="A113" s="135">
        <f ca="1">IF($M113=0,"",INDEX(Data!$W$2051:$W$2550,$M113))</f>
        <v>101</v>
      </c>
      <c r="B113" s="138" t="str">
        <f ca="1">IF($M113=0,"",INDEX(Data!$B$2051:$B$2550,$M113))</f>
        <v>Richard Allen Preparatory Charter School</v>
      </c>
      <c r="C113" s="141" t="str">
        <f ca="1">IF($M113=0,"",INDEX(Data!$C$2051:$C$2550,$M113))</f>
        <v>Charter</v>
      </c>
      <c r="D113" s="141" t="str">
        <f ca="1">IF($M113=0,"",INDEX(Data!$D$2051:$D$2550,$M113))</f>
        <v>Middle</v>
      </c>
      <c r="E113" s="142">
        <f ca="1">IF($M113=0,"",INDEX(Data!$G$2051:$G$2550,$M113))</f>
        <v>1</v>
      </c>
      <c r="F113" s="141">
        <f ca="1">IF($M113=0,"",INDEX(Data!$F$2051:$F$2550,$M113))</f>
        <v>309</v>
      </c>
      <c r="G113" s="143">
        <f ca="1">IF($M113=0,"",INDEX(Data!$K$2051:$K$2550,$M113))</f>
        <v>0.41092523794122804</v>
      </c>
      <c r="H113" s="141">
        <f ca="1">IF($M113=0,"",INDEX(Data!$L$2051:$L$2550,$M113))</f>
        <v>7</v>
      </c>
      <c r="I113" s="144">
        <f ca="1">IF($M113=0,"",INDEX(Data!$T$2051:$T$2550,$M113))</f>
        <v>42</v>
      </c>
      <c r="J113" s="141" t="str">
        <f ca="1">IF($M113=0,"",INDEX(Data!$U$2051:$U$2550,$M113))</f>
        <v>Listed</v>
      </c>
      <c r="K113" s="141" t="str">
        <f ca="1">IF($M113=0,"",INDEX(Data!$AA$2051:$AA$2550,$M113))</f>
        <v>100% economic need; 0.41 mi fresh access; 7 nearby resources</v>
      </c>
      <c r="L113" s="141" t="str">
        <f ca="1">IF($M113=0,"",IF(INDEX(Data!$AN$2051:$AN$2550,$M113)=0,"",IF(INDEX(Data!$U$41:$U$540,INDEX(Data!$AN$2051:$AN$2550,$M113))="","",INDEX(Data!$U$41:$U$540,INDEX(Data!$AN$2051:$AN$2550,$M113)))))</f>
        <v>215-878-5144</v>
      </c>
      <c r="M113" s="132">
        <f ca="1">IF(COUNTIFS(Data!$AV$2051:$AV$2550,101)=1,MATCH(101,Data!$AV$2051:$AV$2550,0),0)</f>
        <v>102</v>
      </c>
      <c r="N113" s="145" t="str">
        <f ca="1">IF($M113=0,"",IF(INDEX(Data!$I$2051:$I$2550,$M113)=0,"Add ID","Row "&amp;(INDEX(Data!$I$2051:$I$2550,$M113)+7)))</f>
        <v>Row 255</v>
      </c>
    </row>
    <row r="114" spans="1:14" ht="40" customHeight="1">
      <c r="A114" s="136">
        <f ca="1">IF($M114=0,"",INDEX(Data!$W$2051:$W$2550,$M114))</f>
        <v>102</v>
      </c>
      <c r="B114" s="139" t="str">
        <f ca="1">IF($M114=0,"",INDEX(Data!$B$2051:$B$2550,$M114))</f>
        <v>William Dick School</v>
      </c>
      <c r="C114" s="146" t="str">
        <f ca="1">IF($M114=0,"",INDEX(Data!$C$2051:$C$2550,$M114))</f>
        <v>District</v>
      </c>
      <c r="D114" s="146" t="str">
        <f ca="1">IF($M114=0,"",INDEX(Data!$D$2051:$D$2550,$M114))</f>
        <v>Elementary-Middle</v>
      </c>
      <c r="E114" s="147">
        <f ca="1">IF($M114=0,"",INDEX(Data!$G$2051:$G$2550,$M114))</f>
        <v>0.96379999999999999</v>
      </c>
      <c r="F114" s="146">
        <f ca="1">IF($M114=0,"",INDEX(Data!$F$2051:$F$2550,$M114))</f>
        <v>306</v>
      </c>
      <c r="G114" s="148">
        <f ca="1">IF($M114=0,"",INDEX(Data!$K$2051:$K$2550,$M114))</f>
        <v>0.35343027900899937</v>
      </c>
      <c r="H114" s="146">
        <f ca="1">IF($M114=0,"",INDEX(Data!$L$2051:$L$2550,$M114))</f>
        <v>18</v>
      </c>
      <c r="I114" s="149">
        <f ca="1">IF($M114=0,"",INDEX(Data!$T$2051:$T$2550,$M114))</f>
        <v>42</v>
      </c>
      <c r="J114" s="146" t="str">
        <f ca="1">IF($M114=0,"",INDEX(Data!$U$2051:$U$2550,$M114))</f>
        <v>Listed</v>
      </c>
      <c r="K114" s="146" t="str">
        <f ca="1">IF($M114=0,"",INDEX(Data!$AA$2051:$AA$2550,$M114))</f>
        <v>96% economic need; 0.35 mi fresh access; 18 nearby resources</v>
      </c>
      <c r="L114" s="146" t="str">
        <f ca="1">IF($M114=0,"",IF(INDEX(Data!$AN$2051:$AN$2550,$M114)=0,"",IF(INDEX(Data!$U$41:$U$540,INDEX(Data!$AN$2051:$AN$2550,$M114))="","",INDEX(Data!$U$41:$U$540,INDEX(Data!$AN$2051:$AN$2550,$M114)))))</f>
        <v>215-400-7340</v>
      </c>
      <c r="M114" s="132">
        <f ca="1">IF(COUNTIFS(Data!$AV$2051:$AV$2550,102)=1,MATCH(102,Data!$AV$2051:$AV$2550,0),0)</f>
        <v>163</v>
      </c>
      <c r="N114" s="150" t="str">
        <f ca="1">IF($M114=0,"",IF(INDEX(Data!$I$2051:$I$2550,$M114)=0,"Add ID","Row "&amp;(INDEX(Data!$I$2051:$I$2550,$M114)+7)))</f>
        <v>Row 323</v>
      </c>
    </row>
    <row r="115" spans="1:14" ht="40" customHeight="1">
      <c r="A115" s="135">
        <f ca="1">IF($M115=0,"",INDEX(Data!$W$2051:$W$2550,$M115))</f>
        <v>103</v>
      </c>
      <c r="B115" s="138" t="str">
        <f ca="1">IF($M115=0,"",INDEX(Data!$B$2051:$B$2550,$M115))</f>
        <v>Thomas M. Peirce School</v>
      </c>
      <c r="C115" s="141" t="str">
        <f ca="1">IF($M115=0,"",INDEX(Data!$C$2051:$C$2550,$M115))</f>
        <v>District</v>
      </c>
      <c r="D115" s="141" t="str">
        <f ca="1">IF($M115=0,"",INDEX(Data!$D$2051:$D$2550,$M115))</f>
        <v>Elementary</v>
      </c>
      <c r="E115" s="142">
        <f ca="1">IF($M115=0,"",INDEX(Data!$G$2051:$G$2550,$M115))</f>
        <v>0.9375</v>
      </c>
      <c r="F115" s="141">
        <f ca="1">IF($M115=0,"",INDEX(Data!$F$2051:$F$2550,$M115))</f>
        <v>292</v>
      </c>
      <c r="G115" s="143">
        <f ca="1">IF($M115=0,"",INDEX(Data!$K$2051:$K$2550,$M115))</f>
        <v>0.26794264837210008</v>
      </c>
      <c r="H115" s="141">
        <f ca="1">IF($M115=0,"",INDEX(Data!$L$2051:$L$2550,$M115))</f>
        <v>12</v>
      </c>
      <c r="I115" s="144">
        <f ca="1">IF($M115=0,"",INDEX(Data!$T$2051:$T$2550,$M115))</f>
        <v>42</v>
      </c>
      <c r="J115" s="141" t="str">
        <f ca="1">IF($M115=0,"",INDEX(Data!$U$2051:$U$2550,$M115))</f>
        <v>Listed</v>
      </c>
      <c r="K115" s="141" t="str">
        <f ca="1">IF($M115=0,"",INDEX(Data!$AA$2051:$AA$2550,$M115))</f>
        <v>94% economic need; 0.27 mi fresh access; 12 nearby resources</v>
      </c>
      <c r="L115" s="141" t="str">
        <f ca="1">IF($M115=0,"",IF(INDEX(Data!$AN$2051:$AN$2550,$M115)=0,"",IF(INDEX(Data!$U$41:$U$540,INDEX(Data!$AN$2051:$AN$2550,$M115))="","",INDEX(Data!$U$41:$U$540,INDEX(Data!$AN$2051:$AN$2550,$M115)))))</f>
        <v>215-400-7020</v>
      </c>
      <c r="M115" s="132">
        <f ca="1">IF(COUNTIFS(Data!$AV$2051:$AV$2550,103)=1,MATCH(103,Data!$AV$2051:$AV$2550,0),0)</f>
        <v>170</v>
      </c>
      <c r="N115" s="145" t="str">
        <f ca="1">IF($M115=0,"",IF(INDEX(Data!$I$2051:$I$2550,$M115)=0,"Add ID","Row "&amp;(INDEX(Data!$I$2051:$I$2550,$M115)+7)))</f>
        <v>Row 303</v>
      </c>
    </row>
    <row r="116" spans="1:14" ht="40" customHeight="1">
      <c r="A116" s="136">
        <f ca="1">IF($M116=0,"",INDEX(Data!$W$2051:$W$2550,$M116))</f>
        <v>104</v>
      </c>
      <c r="B116" s="139" t="str">
        <f ca="1">IF($M116=0,"",INDEX(Data!$B$2051:$B$2550,$M116))</f>
        <v>Young Scholars Charter School</v>
      </c>
      <c r="C116" s="146" t="str">
        <f ca="1">IF($M116=0,"",INDEX(Data!$C$2051:$C$2550,$M116))</f>
        <v>Charter</v>
      </c>
      <c r="D116" s="146" t="str">
        <f ca="1">IF($M116=0,"",INDEX(Data!$D$2051:$D$2550,$M116))</f>
        <v>Middle</v>
      </c>
      <c r="E116" s="147">
        <f ca="1">IF($M116=0,"",INDEX(Data!$G$2051:$G$2550,$M116))</f>
        <v>0.92849999999999999</v>
      </c>
      <c r="F116" s="146">
        <f ca="1">IF($M116=0,"",INDEX(Data!$F$2051:$F$2550,$M116))</f>
        <v>285</v>
      </c>
      <c r="G116" s="148">
        <f ca="1">IF($M116=0,"",INDEX(Data!$K$2051:$K$2550,$M116))</f>
        <v>0.40122889962049074</v>
      </c>
      <c r="H116" s="146">
        <f ca="1">IF($M116=0,"",INDEX(Data!$L$2051:$L$2550,$M116))</f>
        <v>11</v>
      </c>
      <c r="I116" s="149">
        <f ca="1">IF($M116=0,"",INDEX(Data!$T$2051:$T$2550,$M116))</f>
        <v>42</v>
      </c>
      <c r="J116" s="146" t="str">
        <f ca="1">IF($M116=0,"",INDEX(Data!$U$2051:$U$2550,$M116))</f>
        <v>Listed</v>
      </c>
      <c r="K116" s="146" t="str">
        <f ca="1">IF($M116=0,"",INDEX(Data!$AA$2051:$AA$2550,$M116))</f>
        <v>93% economic need; 0.40 mi fresh access; 11 nearby resources</v>
      </c>
      <c r="L116" s="146" t="str">
        <f ca="1">IF($M116=0,"",IF(INDEX(Data!$AN$2051:$AN$2550,$M116)=0,"",IF(INDEX(Data!$U$41:$U$540,INDEX(Data!$AN$2051:$AN$2550,$M116))="","",INDEX(Data!$U$41:$U$540,INDEX(Data!$AN$2051:$AN$2550,$M116)))))</f>
        <v>215-232-9727</v>
      </c>
      <c r="M116" s="132">
        <f ca="1">IF(COUNTIFS(Data!$AV$2051:$AV$2550,104)=1,MATCH(104,Data!$AV$2051:$AV$2550,0),0)</f>
        <v>90</v>
      </c>
      <c r="N116" s="150" t="str">
        <f ca="1">IF($M116=0,"",IF(INDEX(Data!$I$2051:$I$2550,$M116)=0,"Add ID","Row "&amp;(INDEX(Data!$I$2051:$I$2550,$M116)+7)))</f>
        <v>Row 335</v>
      </c>
    </row>
    <row r="117" spans="1:14" ht="40" customHeight="1">
      <c r="A117" s="135">
        <f ca="1">IF($M117=0,"",INDEX(Data!$W$2051:$W$2550,$M117))</f>
        <v>105</v>
      </c>
      <c r="B117" s="138" t="str">
        <f ca="1">IF($M117=0,"",INDEX(Data!$B$2051:$B$2550,$M117))</f>
        <v>Martha Washington School</v>
      </c>
      <c r="C117" s="141" t="str">
        <f ca="1">IF($M117=0,"",INDEX(Data!$C$2051:$C$2550,$M117))</f>
        <v>District</v>
      </c>
      <c r="D117" s="141" t="str">
        <f ca="1">IF($M117=0,"",INDEX(Data!$D$2051:$D$2550,$M117))</f>
        <v>Elementary-Middle</v>
      </c>
      <c r="E117" s="142">
        <f ca="1">IF($M117=0,"",INDEX(Data!$G$2051:$G$2550,$M117))</f>
        <v>0.92449999999999999</v>
      </c>
      <c r="F117" s="141">
        <f ca="1">IF($M117=0,"",INDEX(Data!$F$2051:$F$2550,$M117))</f>
        <v>213</v>
      </c>
      <c r="G117" s="143">
        <f ca="1">IF($M117=0,"",INDEX(Data!$K$2051:$K$2550,$M117))</f>
        <v>0.48816221862959508</v>
      </c>
      <c r="H117" s="141">
        <f ca="1">IF($M117=0,"",INDEX(Data!$L$2051:$L$2550,$M117))</f>
        <v>14</v>
      </c>
      <c r="I117" s="144">
        <f ca="1">IF($M117=0,"",INDEX(Data!$T$2051:$T$2550,$M117))</f>
        <v>42</v>
      </c>
      <c r="J117" s="141" t="str">
        <f ca="1">IF($M117=0,"",INDEX(Data!$U$2051:$U$2550,$M117))</f>
        <v>Listed</v>
      </c>
      <c r="K117" s="141" t="str">
        <f ca="1">IF($M117=0,"",INDEX(Data!$AA$2051:$AA$2550,$M117))</f>
        <v>92% economic need; 0.49 mi fresh access; 14 nearby resources</v>
      </c>
      <c r="L117" s="141" t="str">
        <f ca="1">IF($M117=0,"",IF(INDEX(Data!$AN$2051:$AN$2550,$M117)=0,"",IF(INDEX(Data!$U$41:$U$540,INDEX(Data!$AN$2051:$AN$2550,$M117))="","",INDEX(Data!$U$41:$U$540,INDEX(Data!$AN$2051:$AN$2550,$M117)))))</f>
        <v>215-400-7770</v>
      </c>
      <c r="M117" s="132">
        <f ca="1">IF(COUNTIFS(Data!$AV$2051:$AV$2550,105)=1,MATCH(105,Data!$AV$2051:$AV$2550,0),0)</f>
        <v>23</v>
      </c>
      <c r="N117" s="145" t="str">
        <f ca="1">IF($M117=0,"",IF(INDEX(Data!$I$2051:$I$2550,$M117)=0,"Add ID","Row "&amp;(INDEX(Data!$I$2051:$I$2550,$M117)+7)))</f>
        <v>Row 183</v>
      </c>
    </row>
    <row r="118" spans="1:14" ht="40" customHeight="1">
      <c r="A118" s="136">
        <f ca="1">IF($M118=0,"",INDEX(Data!$W$2051:$W$2550,$M118))</f>
        <v>106</v>
      </c>
      <c r="B118" s="139" t="str">
        <f ca="1">IF($M118=0,"",INDEX(Data!$B$2051:$B$2550,$M118))</f>
        <v>Prince Hall School</v>
      </c>
      <c r="C118" s="146" t="str">
        <f ca="1">IF($M118=0,"",INDEX(Data!$C$2051:$C$2550,$M118))</f>
        <v>District</v>
      </c>
      <c r="D118" s="146" t="str">
        <f ca="1">IF($M118=0,"",INDEX(Data!$D$2051:$D$2550,$M118))</f>
        <v>Elementary</v>
      </c>
      <c r="E118" s="147">
        <f ca="1">IF($M118=0,"",INDEX(Data!$G$2051:$G$2550,$M118))</f>
        <v>0.91690000000000005</v>
      </c>
      <c r="F118" s="146">
        <f ca="1">IF($M118=0,"",INDEX(Data!$F$2051:$F$2550,$M118))</f>
        <v>317</v>
      </c>
      <c r="G118" s="148">
        <f ca="1">IF($M118=0,"",INDEX(Data!$K$2051:$K$2550,$M118))</f>
        <v>0.35373085831047146</v>
      </c>
      <c r="H118" s="146">
        <f ca="1">IF($M118=0,"",INDEX(Data!$L$2051:$L$2550,$M118))</f>
        <v>12</v>
      </c>
      <c r="I118" s="149">
        <f ca="1">IF($M118=0,"",INDEX(Data!$T$2051:$T$2550,$M118))</f>
        <v>42</v>
      </c>
      <c r="J118" s="146" t="str">
        <f ca="1">IF($M118=0,"",INDEX(Data!$U$2051:$U$2550,$M118))</f>
        <v>Listed</v>
      </c>
      <c r="K118" s="146" t="str">
        <f ca="1">IF($M118=0,"",INDEX(Data!$AA$2051:$AA$2550,$M118))</f>
        <v>92% economic need; 0.35 mi fresh access; 12 nearby resources</v>
      </c>
      <c r="L118" s="146" t="str">
        <f ca="1">IF($M118=0,"",IF(INDEX(Data!$AN$2051:$AN$2550,$M118)=0,"",IF(INDEX(Data!$U$41:$U$540,INDEX(Data!$AN$2051:$AN$2550,$M118))="","",INDEX(Data!$U$41:$U$540,INDEX(Data!$AN$2051:$AN$2550,$M118)))))</f>
        <v>215-400-3690</v>
      </c>
      <c r="M118" s="132">
        <f ca="1">IF(COUNTIFS(Data!$AV$2051:$AV$2550,106)=1,MATCH(106,Data!$AV$2051:$AV$2550,0),0)</f>
        <v>281</v>
      </c>
      <c r="N118" s="150" t="str">
        <f ca="1">IF($M118=0,"",IF(INDEX(Data!$I$2051:$I$2550,$M118)=0,"Add ID","Row "&amp;(INDEX(Data!$I$2051:$I$2550,$M118)+7)))</f>
        <v>Row 252</v>
      </c>
    </row>
    <row r="119" spans="1:14" ht="40" customHeight="1">
      <c r="A119" s="135">
        <f ca="1">IF($M119=0,"",INDEX(Data!$W$2051:$W$2550,$M119))</f>
        <v>107</v>
      </c>
      <c r="B119" s="138" t="str">
        <f ca="1">IF($M119=0,"",INDEX(Data!$B$2051:$B$2550,$M119))</f>
        <v>Edward Heston School</v>
      </c>
      <c r="C119" s="141" t="str">
        <f ca="1">IF($M119=0,"",INDEX(Data!$C$2051:$C$2550,$M119))</f>
        <v>District</v>
      </c>
      <c r="D119" s="141" t="str">
        <f ca="1">IF($M119=0,"",INDEX(Data!$D$2051:$D$2550,$M119))</f>
        <v>Elementary-Middle</v>
      </c>
      <c r="E119" s="142">
        <f ca="1">IF($M119=0,"",INDEX(Data!$G$2051:$G$2550,$M119))</f>
        <v>0.91110000000000002</v>
      </c>
      <c r="F119" s="141">
        <f ca="1">IF($M119=0,"",INDEX(Data!$F$2051:$F$2550,$M119))</f>
        <v>219</v>
      </c>
      <c r="G119" s="143">
        <f ca="1">IF($M119=0,"",INDEX(Data!$K$2051:$K$2550,$M119))</f>
        <v>0.25223782033026793</v>
      </c>
      <c r="H119" s="141">
        <f ca="1">IF($M119=0,"",INDEX(Data!$L$2051:$L$2550,$M119))</f>
        <v>11</v>
      </c>
      <c r="I119" s="144">
        <f ca="1">IF($M119=0,"",INDEX(Data!$T$2051:$T$2550,$M119))</f>
        <v>42</v>
      </c>
      <c r="J119" s="141" t="str">
        <f ca="1">IF($M119=0,"",INDEX(Data!$U$2051:$U$2550,$M119))</f>
        <v>Listed</v>
      </c>
      <c r="K119" s="141" t="str">
        <f ca="1">IF($M119=0,"",INDEX(Data!$AA$2051:$AA$2550,$M119))</f>
        <v>91% economic need; 0.25 mi fresh access; 11 nearby resources</v>
      </c>
      <c r="L119" s="141" t="str">
        <f ca="1">IF($M119=0,"",IF(INDEX(Data!$AN$2051:$AN$2550,$M119)=0,"",IF(INDEX(Data!$U$41:$U$540,INDEX(Data!$AN$2051:$AN$2550,$M119))="","",INDEX(Data!$U$41:$U$540,INDEX(Data!$AN$2051:$AN$2550,$M119)))))</f>
        <v>215-400-7290</v>
      </c>
      <c r="M119" s="132">
        <f ca="1">IF(COUNTIFS(Data!$AV$2051:$AV$2550,107)=1,MATCH(107,Data!$AV$2051:$AV$2550,0),0)</f>
        <v>165</v>
      </c>
      <c r="N119" s="145" t="str">
        <f ca="1">IF($M119=0,"",IF(INDEX(Data!$I$2051:$I$2550,$M119)=0,"Add ID","Row "&amp;(INDEX(Data!$I$2051:$I$2550,$M119)+7)))</f>
        <v>Row 63</v>
      </c>
    </row>
    <row r="120" spans="1:14" ht="40" customHeight="1">
      <c r="A120" s="136">
        <f ca="1">IF($M120=0,"",INDEX(Data!$W$2051:$W$2550,$M120))</f>
        <v>108</v>
      </c>
      <c r="B120" s="139" t="str">
        <f ca="1">IF($M120=0,"",INDEX(Data!$B$2051:$B$2550,$M120))</f>
        <v>Deep Roots Charter School</v>
      </c>
      <c r="C120" s="146" t="str">
        <f ca="1">IF($M120=0,"",INDEX(Data!$C$2051:$C$2550,$M120))</f>
        <v>Charter</v>
      </c>
      <c r="D120" s="146" t="str">
        <f ca="1">IF($M120=0,"",INDEX(Data!$D$2051:$D$2550,$M120))</f>
        <v>Elementary</v>
      </c>
      <c r="E120" s="147">
        <f ca="1">IF($M120=0,"",INDEX(Data!$G$2051:$G$2550,$M120))</f>
        <v>0.90739999999999998</v>
      </c>
      <c r="F120" s="146">
        <f ca="1">IF($M120=0,"",INDEX(Data!$F$2051:$F$2550,$M120))</f>
        <v>343</v>
      </c>
      <c r="G120" s="148">
        <f ca="1">IF($M120=0,"",INDEX(Data!$K$2051:$K$2550,$M120))</f>
        <v>0.36937979163708123</v>
      </c>
      <c r="H120" s="146">
        <f ca="1">IF($M120=0,"",INDEX(Data!$L$2051:$L$2550,$M120))</f>
        <v>7</v>
      </c>
      <c r="I120" s="149">
        <f ca="1">IF($M120=0,"",INDEX(Data!$T$2051:$T$2550,$M120))</f>
        <v>42</v>
      </c>
      <c r="J120" s="146" t="str">
        <f ca="1">IF($M120=0,"",INDEX(Data!$U$2051:$U$2550,$M120))</f>
        <v>Listed</v>
      </c>
      <c r="K120" s="146" t="str">
        <f ca="1">IF($M120=0,"",INDEX(Data!$AA$2051:$AA$2550,$M120))</f>
        <v>91% economic need; 0.37 mi fresh access; 7 nearby resources</v>
      </c>
      <c r="L120" s="146" t="str">
        <f ca="1">IF($M120=0,"",IF(INDEX(Data!$AN$2051:$AN$2550,$M120)=0,"",IF(INDEX(Data!$U$41:$U$540,INDEX(Data!$AN$2051:$AN$2550,$M120))="","",INDEX(Data!$U$41:$U$540,INDEX(Data!$AN$2051:$AN$2550,$M120)))))</f>
        <v/>
      </c>
      <c r="M120" s="132">
        <f ca="1">IF(COUNTIFS(Data!$AV$2051:$AV$2550,108)=1,MATCH(108,Data!$AV$2051:$AV$2550,0),0)</f>
        <v>144</v>
      </c>
      <c r="N120" s="150" t="str">
        <f ca="1">IF($M120=0,"",IF(INDEX(Data!$I$2051:$I$2550,$M120)=0,"Add ID","Row "&amp;(INDEX(Data!$I$2051:$I$2550,$M120)+7)))</f>
        <v>Row 57</v>
      </c>
    </row>
    <row r="121" spans="1:14" ht="40" customHeight="1">
      <c r="A121" s="135">
        <f ca="1">IF($M121=0,"",INDEX(Data!$W$2051:$W$2550,$M121))</f>
        <v>109</v>
      </c>
      <c r="B121" s="138" t="str">
        <f ca="1">IF($M121=0,"",INDEX(Data!$B$2051:$B$2550,$M121))</f>
        <v>William Cramp School</v>
      </c>
      <c r="C121" s="141" t="str">
        <f ca="1">IF($M121=0,"",INDEX(Data!$C$2051:$C$2550,$M121))</f>
        <v>District</v>
      </c>
      <c r="D121" s="141" t="str">
        <f ca="1">IF($M121=0,"",INDEX(Data!$D$2051:$D$2550,$M121))</f>
        <v>Elementary</v>
      </c>
      <c r="E121" s="142">
        <f ca="1">IF($M121=0,"",INDEX(Data!$G$2051:$G$2550,$M121))</f>
        <v>0.90280000000000005</v>
      </c>
      <c r="F121" s="141">
        <f ca="1">IF($M121=0,"",INDEX(Data!$F$2051:$F$2550,$M121))</f>
        <v>317</v>
      </c>
      <c r="G121" s="143">
        <f ca="1">IF($M121=0,"",INDEX(Data!$K$2051:$K$2550,$M121))</f>
        <v>0.3393336462114892</v>
      </c>
      <c r="H121" s="141">
        <f ca="1">IF($M121=0,"",INDEX(Data!$L$2051:$L$2550,$M121))</f>
        <v>13</v>
      </c>
      <c r="I121" s="144">
        <f ca="1">IF($M121=0,"",INDEX(Data!$T$2051:$T$2550,$M121))</f>
        <v>42</v>
      </c>
      <c r="J121" s="141" t="str">
        <f ca="1">IF($M121=0,"",INDEX(Data!$U$2051:$U$2550,$M121))</f>
        <v>Listed</v>
      </c>
      <c r="K121" s="141" t="str">
        <f ca="1">IF($M121=0,"",INDEX(Data!$AA$2051:$AA$2550,$M121))</f>
        <v>90% economic need; 0.34 mi fresh access; 13 nearby resources</v>
      </c>
      <c r="L121" s="141" t="str">
        <f ca="1">IF($M121=0,"",IF(INDEX(Data!$AN$2051:$AN$2550,$M121)=0,"",IF(INDEX(Data!$U$41:$U$540,INDEX(Data!$AN$2051:$AN$2550,$M121))="","",INDEX(Data!$U$41:$U$540,INDEX(Data!$AN$2051:$AN$2550,$M121)))))</f>
        <v>215-400-3860</v>
      </c>
      <c r="M121" s="132">
        <f ca="1">IF(COUNTIFS(Data!$AV$2051:$AV$2550,109)=1,MATCH(109,Data!$AV$2051:$AV$2550,0),0)</f>
        <v>206</v>
      </c>
      <c r="N121" s="145" t="str">
        <f ca="1">IF($M121=0,"",IF(INDEX(Data!$I$2051:$I$2550,$M121)=0,"Add ID","Row "&amp;(INDEX(Data!$I$2051:$I$2550,$M121)+7)))</f>
        <v>Row 321</v>
      </c>
    </row>
    <row r="122" spans="1:14" ht="40" customHeight="1">
      <c r="A122" s="136">
        <f ca="1">IF($M122=0,"",INDEX(Data!$W$2051:$W$2550,$M122))</f>
        <v>110</v>
      </c>
      <c r="B122" s="139" t="str">
        <f ca="1">IF($M122=0,"",INDEX(Data!$B$2051:$B$2550,$M122))</f>
        <v>Potter-Thomas School</v>
      </c>
      <c r="C122" s="146" t="str">
        <f ca="1">IF($M122=0,"",INDEX(Data!$C$2051:$C$2550,$M122))</f>
        <v>District</v>
      </c>
      <c r="D122" s="146" t="str">
        <f ca="1">IF($M122=0,"",INDEX(Data!$D$2051:$D$2550,$M122))</f>
        <v>Elementary-Middle</v>
      </c>
      <c r="E122" s="147">
        <f ca="1">IF($M122=0,"",INDEX(Data!$G$2051:$G$2550,$M122))</f>
        <v>0.90259999999999996</v>
      </c>
      <c r="F122" s="146">
        <f ca="1">IF($M122=0,"",INDEX(Data!$F$2051:$F$2550,$M122))</f>
        <v>341</v>
      </c>
      <c r="G122" s="148">
        <f ca="1">IF($M122=0,"",INDEX(Data!$K$2051:$K$2550,$M122))</f>
        <v>0.26977388594570439</v>
      </c>
      <c r="H122" s="146">
        <f ca="1">IF($M122=0,"",INDEX(Data!$L$2051:$L$2550,$M122))</f>
        <v>13</v>
      </c>
      <c r="I122" s="149">
        <f ca="1">IF($M122=0,"",INDEX(Data!$T$2051:$T$2550,$M122))</f>
        <v>42</v>
      </c>
      <c r="J122" s="146" t="str">
        <f ca="1">IF($M122=0,"",INDEX(Data!$U$2051:$U$2550,$M122))</f>
        <v>Listed</v>
      </c>
      <c r="K122" s="146" t="str">
        <f ca="1">IF($M122=0,"",INDEX(Data!$AA$2051:$AA$2550,$M122))</f>
        <v>90% economic need; 0.27 mi fresh access; 13 nearby resources</v>
      </c>
      <c r="L122" s="146" t="str">
        <f ca="1">IF($M122=0,"",IF(INDEX(Data!$AN$2051:$AN$2550,$M122)=0,"",IF(INDEX(Data!$U$41:$U$540,INDEX(Data!$AN$2051:$AN$2550,$M122))="","",INDEX(Data!$U$41:$U$540,INDEX(Data!$AN$2051:$AN$2550,$M122)))))</f>
        <v>215-400-7120</v>
      </c>
      <c r="M122" s="132">
        <f ca="1">IF(COUNTIFS(Data!$AV$2051:$AV$2550,110)=1,MATCH(110,Data!$AV$2051:$AV$2550,0),0)</f>
        <v>200</v>
      </c>
      <c r="N122" s="150" t="str">
        <f ca="1">IF($M122=0,"",IF(INDEX(Data!$I$2051:$I$2550,$M122)=0,"Add ID","Row "&amp;(INDEX(Data!$I$2051:$I$2550,$M122)+7)))</f>
        <v>Row 250</v>
      </c>
    </row>
    <row r="123" spans="1:14" ht="40" customHeight="1">
      <c r="A123" s="135">
        <f ca="1">IF($M123=0,"",INDEX(Data!$W$2051:$W$2550,$M123))</f>
        <v>111</v>
      </c>
      <c r="B123" s="138" t="str">
        <f ca="1">IF($M123=0,"",INDEX(Data!$B$2051:$B$2550,$M123))</f>
        <v>Robert Morris School</v>
      </c>
      <c r="C123" s="141" t="str">
        <f ca="1">IF($M123=0,"",INDEX(Data!$C$2051:$C$2550,$M123))</f>
        <v>District</v>
      </c>
      <c r="D123" s="141" t="str">
        <f ca="1">IF($M123=0,"",INDEX(Data!$D$2051:$D$2550,$M123))</f>
        <v>Elementary-Middle</v>
      </c>
      <c r="E123" s="142">
        <f ca="1">IF($M123=0,"",INDEX(Data!$G$2051:$G$2550,$M123))</f>
        <v>0.90229999999999999</v>
      </c>
      <c r="F123" s="141">
        <f ca="1">IF($M123=0,"",INDEX(Data!$F$2051:$F$2550,$M123))</f>
        <v>216</v>
      </c>
      <c r="G123" s="143">
        <f ca="1">IF($M123=0,"",INDEX(Data!$K$2051:$K$2550,$M123))</f>
        <v>0.45576305239908549</v>
      </c>
      <c r="H123" s="141">
        <f ca="1">IF($M123=0,"",INDEX(Data!$L$2051:$L$2550,$M123))</f>
        <v>9</v>
      </c>
      <c r="I123" s="144">
        <f ca="1">IF($M123=0,"",INDEX(Data!$T$2051:$T$2550,$M123))</f>
        <v>42</v>
      </c>
      <c r="J123" s="141" t="str">
        <f ca="1">IF($M123=0,"",INDEX(Data!$U$2051:$U$2550,$M123))</f>
        <v>Listed</v>
      </c>
      <c r="K123" s="141" t="str">
        <f ca="1">IF($M123=0,"",INDEX(Data!$AA$2051:$AA$2550,$M123))</f>
        <v>90% economic need; 0.46 mi fresh access; 9 nearby resources</v>
      </c>
      <c r="L123" s="141" t="str">
        <f ca="1">IF($M123=0,"",IF(INDEX(Data!$AN$2051:$AN$2550,$M123)=0,"",IF(INDEX(Data!$U$41:$U$540,INDEX(Data!$AN$2051:$AN$2550,$M123))="","",INDEX(Data!$U$41:$U$540,INDEX(Data!$AN$2051:$AN$2550,$M123)))))</f>
        <v>215-400-7320</v>
      </c>
      <c r="M123" s="132">
        <f ca="1">IF(COUNTIFS(Data!$AV$2051:$AV$2550,111)=1,MATCH(111,Data!$AV$2051:$AV$2550,0),0)</f>
        <v>45</v>
      </c>
      <c r="N123" s="145" t="str">
        <f ca="1">IF($M123=0,"",IF(INDEX(Data!$I$2051:$I$2550,$M123)=0,"Add ID","Row "&amp;(INDEX(Data!$I$2051:$I$2550,$M123)+7)))</f>
        <v>Row 260</v>
      </c>
    </row>
    <row r="124" spans="1:14" ht="40" customHeight="1">
      <c r="A124" s="136">
        <f ca="1">IF($M124=0,"",INDEX(Data!$W$2051:$W$2550,$M124))</f>
        <v>112</v>
      </c>
      <c r="B124" s="139" t="str">
        <f ca="1">IF($M124=0,"",INDEX(Data!$B$2051:$B$2550,$M124))</f>
        <v>Edward T. Steel School</v>
      </c>
      <c r="C124" s="146" t="str">
        <f ca="1">IF($M124=0,"",INDEX(Data!$C$2051:$C$2550,$M124))</f>
        <v>District</v>
      </c>
      <c r="D124" s="146" t="str">
        <f ca="1">IF($M124=0,"",INDEX(Data!$D$2051:$D$2550,$M124))</f>
        <v>Elementary-Middle</v>
      </c>
      <c r="E124" s="147">
        <f ca="1">IF($M124=0,"",INDEX(Data!$G$2051:$G$2550,$M124))</f>
        <v>0.90159999999999996</v>
      </c>
      <c r="F124" s="146">
        <f ca="1">IF($M124=0,"",INDEX(Data!$F$2051:$F$2550,$M124))</f>
        <v>331</v>
      </c>
      <c r="G124" s="148">
        <f ca="1">IF($M124=0,"",INDEX(Data!$K$2051:$K$2550,$M124))</f>
        <v>0.46393107210585915</v>
      </c>
      <c r="H124" s="146">
        <f ca="1">IF($M124=0,"",INDEX(Data!$L$2051:$L$2550,$M124))</f>
        <v>7</v>
      </c>
      <c r="I124" s="149">
        <f ca="1">IF($M124=0,"",INDEX(Data!$T$2051:$T$2550,$M124))</f>
        <v>42</v>
      </c>
      <c r="J124" s="146" t="str">
        <f ca="1">IF($M124=0,"",INDEX(Data!$U$2051:$U$2550,$M124))</f>
        <v>Listed</v>
      </c>
      <c r="K124" s="146" t="str">
        <f ca="1">IF($M124=0,"",INDEX(Data!$AA$2051:$AA$2550,$M124))</f>
        <v>90% economic need; 0.46 mi fresh access; 7 nearby resources</v>
      </c>
      <c r="L124" s="146" t="str">
        <f ca="1">IF($M124=0,"",IF(INDEX(Data!$AN$2051:$AN$2550,$M124)=0,"",IF(INDEX(Data!$U$41:$U$540,INDEX(Data!$AN$2051:$AN$2550,$M124))="","",INDEX(Data!$U$41:$U$540,INDEX(Data!$AN$2051:$AN$2550,$M124)))))</f>
        <v>215-400-3910</v>
      </c>
      <c r="M124" s="132">
        <f ca="1">IF(COUNTIFS(Data!$AV$2051:$AV$2550,112)=1,MATCH(112,Data!$AV$2051:$AV$2550,0),0)</f>
        <v>243</v>
      </c>
      <c r="N124" s="150" t="str">
        <f ca="1">IF($M124=0,"",IF(INDEX(Data!$I$2051:$I$2550,$M124)=0,"Add ID","Row "&amp;(INDEX(Data!$I$2051:$I$2550,$M124)+7)))</f>
        <v>Row 64</v>
      </c>
    </row>
    <row r="125" spans="1:14" ht="40" customHeight="1">
      <c r="A125" s="135">
        <f ca="1">IF($M125=0,"",INDEX(Data!$W$2051:$W$2550,$M125))</f>
        <v>113</v>
      </c>
      <c r="B125" s="138" t="str">
        <f ca="1">IF($M125=0,"",INDEX(Data!$B$2051:$B$2550,$M125))</f>
        <v>Philadelphia Military Academy</v>
      </c>
      <c r="C125" s="141" t="str">
        <f ca="1">IF($M125=0,"",INDEX(Data!$C$2051:$C$2550,$M125))</f>
        <v>District</v>
      </c>
      <c r="D125" s="141" t="str">
        <f ca="1">IF($M125=0,"",INDEX(Data!$D$2051:$D$2550,$M125))</f>
        <v>High</v>
      </c>
      <c r="E125" s="142">
        <f ca="1">IF($M125=0,"",INDEX(Data!$G$2051:$G$2550,$M125))</f>
        <v>0.8972</v>
      </c>
      <c r="F125" s="141">
        <f ca="1">IF($M125=0,"",INDEX(Data!$F$2051:$F$2550,$M125))</f>
        <v>264</v>
      </c>
      <c r="G125" s="143">
        <f ca="1">IF($M125=0,"",INDEX(Data!$K$2051:$K$2550,$M125))</f>
        <v>0.58577932376010866</v>
      </c>
      <c r="H125" s="141">
        <f ca="1">IF($M125=0,"",INDEX(Data!$L$2051:$L$2550,$M125))</f>
        <v>14</v>
      </c>
      <c r="I125" s="144">
        <f ca="1">IF($M125=0,"",INDEX(Data!$T$2051:$T$2550,$M125))</f>
        <v>42</v>
      </c>
      <c r="J125" s="141" t="str">
        <f ca="1">IF($M125=0,"",INDEX(Data!$U$2051:$U$2550,$M125))</f>
        <v>Listed</v>
      </c>
      <c r="K125" s="141" t="str">
        <f ca="1">IF($M125=0,"",INDEX(Data!$AA$2051:$AA$2550,$M125))</f>
        <v>90% economic need; 0.59 mi fresh access; 14 nearby resources</v>
      </c>
      <c r="L125" s="141" t="str">
        <f ca="1">IF($M125=0,"",IF(INDEX(Data!$AN$2051:$AN$2550,$M125)=0,"",IF(INDEX(Data!$U$41:$U$540,INDEX(Data!$AN$2051:$AN$2550,$M125))="","",INDEX(Data!$U$41:$U$540,INDEX(Data!$AN$2051:$AN$2550,$M125)))))</f>
        <v>215-400-7420</v>
      </c>
      <c r="M125" s="132">
        <f ca="1">IF(COUNTIFS(Data!$AV$2051:$AV$2550,113)=1,MATCH(113,Data!$AV$2051:$AV$2550,0),0)</f>
        <v>180</v>
      </c>
      <c r="N125" s="145" t="str">
        <f ca="1">IF($M125=0,"",IF(INDEX(Data!$I$2051:$I$2550,$M125)=0,"Add ID","Row "&amp;(INDEX(Data!$I$2051:$I$2550,$M125)+7)))</f>
        <v>Row 246</v>
      </c>
    </row>
    <row r="126" spans="1:14" ht="40" customHeight="1">
      <c r="A126" s="136">
        <f ca="1">IF($M126=0,"",INDEX(Data!$W$2051:$W$2550,$M126))</f>
        <v>114</v>
      </c>
      <c r="B126" s="139" t="str">
        <f ca="1">IF($M126=0,"",INDEX(Data!$B$2051:$B$2550,$M126))</f>
        <v>William T. Tilden Middle School</v>
      </c>
      <c r="C126" s="146" t="str">
        <f ca="1">IF($M126=0,"",INDEX(Data!$C$2051:$C$2550,$M126))</f>
        <v>District</v>
      </c>
      <c r="D126" s="146" t="str">
        <f ca="1">IF($M126=0,"",INDEX(Data!$D$2051:$D$2550,$M126))</f>
        <v>Middle</v>
      </c>
      <c r="E126" s="147">
        <f ca="1">IF($M126=0,"",INDEX(Data!$G$2051:$G$2550,$M126))</f>
        <v>0.87870000000000004</v>
      </c>
      <c r="F126" s="146">
        <f ca="1">IF($M126=0,"",INDEX(Data!$F$2051:$F$2550,$M126))</f>
        <v>230</v>
      </c>
      <c r="G126" s="148">
        <f ca="1">IF($M126=0,"",INDEX(Data!$K$2051:$K$2550,$M126))</f>
        <v>0.38532714461506801</v>
      </c>
      <c r="H126" s="146">
        <f ca="1">IF($M126=0,"",INDEX(Data!$L$2051:$L$2550,$M126))</f>
        <v>4</v>
      </c>
      <c r="I126" s="149">
        <f ca="1">IF($M126=0,"",INDEX(Data!$T$2051:$T$2550,$M126))</f>
        <v>42</v>
      </c>
      <c r="J126" s="146" t="str">
        <f ca="1">IF($M126=0,"",INDEX(Data!$U$2051:$U$2550,$M126))</f>
        <v>Listed</v>
      </c>
      <c r="K126" s="146" t="str">
        <f ca="1">IF($M126=0,"",INDEX(Data!$AA$2051:$AA$2550,$M126))</f>
        <v>88% economic need; 0.39 mi fresh access; 4 nearby resources</v>
      </c>
      <c r="L126" s="146" t="str">
        <f ca="1">IF($M126=0,"",IF(INDEX(Data!$AN$2051:$AN$2550,$M126)=0,"",IF(INDEX(Data!$U$41:$U$540,INDEX(Data!$AN$2051:$AN$2550,$M126))="","",INDEX(Data!$U$41:$U$540,INDEX(Data!$AN$2051:$AN$2550,$M126)))))</f>
        <v>215-400-8170</v>
      </c>
      <c r="M126" s="132">
        <f ca="1">IF(COUNTIFS(Data!$AV$2051:$AV$2550,114)=1,MATCH(114,Data!$AV$2051:$AV$2550,0),0)</f>
        <v>6</v>
      </c>
      <c r="N126" s="150" t="str">
        <f ca="1">IF($M126=0,"",IF(INDEX(Data!$I$2051:$I$2550,$M126)=0,"Add ID","Row "&amp;(INDEX(Data!$I$2051:$I$2550,$M126)+7)))</f>
        <v>Row 331</v>
      </c>
    </row>
    <row r="127" spans="1:14" ht="40" customHeight="1">
      <c r="A127" s="135">
        <f ca="1">IF($M127=0,"",INDEX(Data!$W$2051:$W$2550,$M127))</f>
        <v>115</v>
      </c>
      <c r="B127" s="138" t="str">
        <f ca="1">IF($M127=0,"",INDEX(Data!$B$2051:$B$2550,$M127))</f>
        <v>Roberto Clemente Middle School</v>
      </c>
      <c r="C127" s="141" t="str">
        <f ca="1">IF($M127=0,"",INDEX(Data!$C$2051:$C$2550,$M127))</f>
        <v>District</v>
      </c>
      <c r="D127" s="141" t="str">
        <f ca="1">IF($M127=0,"",INDEX(Data!$D$2051:$D$2550,$M127))</f>
        <v>Middle</v>
      </c>
      <c r="E127" s="142">
        <f ca="1">IF($M127=0,"",INDEX(Data!$G$2051:$G$2550,$M127))</f>
        <v>0.87760000000000005</v>
      </c>
      <c r="F127" s="141">
        <f ca="1">IF($M127=0,"",INDEX(Data!$F$2051:$F$2550,$M127))</f>
        <v>279</v>
      </c>
      <c r="G127" s="143">
        <f ca="1">IF($M127=0,"",INDEX(Data!$K$2051:$K$2550,$M127))</f>
        <v>0.51554061281690178</v>
      </c>
      <c r="H127" s="141">
        <f ca="1">IF($M127=0,"",INDEX(Data!$L$2051:$L$2550,$M127))</f>
        <v>9</v>
      </c>
      <c r="I127" s="144">
        <f ca="1">IF($M127=0,"",INDEX(Data!$T$2051:$T$2550,$M127))</f>
        <v>42</v>
      </c>
      <c r="J127" s="141" t="str">
        <f ca="1">IF($M127=0,"",INDEX(Data!$U$2051:$U$2550,$M127))</f>
        <v>Listed</v>
      </c>
      <c r="K127" s="141" t="str">
        <f ca="1">IF($M127=0,"",INDEX(Data!$AA$2051:$AA$2550,$M127))</f>
        <v>88% economic need; 0.52 mi fresh access; 9 nearby resources</v>
      </c>
      <c r="L127" s="141" t="str">
        <f ca="1">IF($M127=0,"",IF(INDEX(Data!$AN$2051:$AN$2550,$M127)=0,"",IF(INDEX(Data!$U$41:$U$540,INDEX(Data!$AN$2051:$AN$2550,$M127))="","",INDEX(Data!$U$41:$U$540,INDEX(Data!$AN$2051:$AN$2550,$M127)))))</f>
        <v>215-400-3930</v>
      </c>
      <c r="M127" s="132">
        <f ca="1">IF(COUNTIFS(Data!$AV$2051:$AV$2550,115)=1,MATCH(115,Data!$AV$2051:$AV$2550,0),0)</f>
        <v>285</v>
      </c>
      <c r="N127" s="145" t="str">
        <f ca="1">IF($M127=0,"",IF(INDEX(Data!$I$2051:$I$2550,$M127)=0,"Add ID","Row "&amp;(INDEX(Data!$I$2051:$I$2550,$M127)+7)))</f>
        <v>Row 261</v>
      </c>
    </row>
    <row r="128" spans="1:14" ht="40" customHeight="1">
      <c r="A128" s="136">
        <f ca="1">IF($M128=0,"",INDEX(Data!$W$2051:$W$2550,$M128))</f>
        <v>116</v>
      </c>
      <c r="B128" s="139" t="str">
        <f ca="1">IF($M128=0,"",INDEX(Data!$B$2051:$B$2550,$M128))</f>
        <v>John B. Kelly School</v>
      </c>
      <c r="C128" s="146" t="str">
        <f ca="1">IF($M128=0,"",INDEX(Data!$C$2051:$C$2550,$M128))</f>
        <v>District</v>
      </c>
      <c r="D128" s="146" t="str">
        <f ca="1">IF($M128=0,"",INDEX(Data!$D$2051:$D$2550,$M128))</f>
        <v>Elementary</v>
      </c>
      <c r="E128" s="147">
        <f ca="1">IF($M128=0,"",INDEX(Data!$G$2051:$G$2550,$M128))</f>
        <v>0.86990000000000001</v>
      </c>
      <c r="F128" s="146">
        <f ca="1">IF($M128=0,"",INDEX(Data!$F$2051:$F$2550,$M128))</f>
        <v>346</v>
      </c>
      <c r="G128" s="148">
        <f ca="1">IF($M128=0,"",INDEX(Data!$K$2051:$K$2550,$M128))</f>
        <v>0.63546306847062006</v>
      </c>
      <c r="H128" s="146">
        <f ca="1">IF($M128=0,"",INDEX(Data!$L$2051:$L$2550,$M128))</f>
        <v>11</v>
      </c>
      <c r="I128" s="149">
        <f ca="1">IF($M128=0,"",INDEX(Data!$T$2051:$T$2550,$M128))</f>
        <v>42</v>
      </c>
      <c r="J128" s="146" t="str">
        <f ca="1">IF($M128=0,"",INDEX(Data!$U$2051:$U$2550,$M128))</f>
        <v>Listed</v>
      </c>
      <c r="K128" s="146" t="str">
        <f ca="1">IF($M128=0,"",INDEX(Data!$AA$2051:$AA$2550,$M128))</f>
        <v>87% economic need; 0.64 mi fresh access; 11 nearby resources</v>
      </c>
      <c r="L128" s="146" t="str">
        <f ca="1">IF($M128=0,"",IF(INDEX(Data!$AN$2051:$AN$2550,$M128)=0,"",IF(INDEX(Data!$U$41:$U$540,INDEX(Data!$AN$2051:$AN$2550,$M128))="","",INDEX(Data!$U$41:$U$540,INDEX(Data!$AN$2051:$AN$2550,$M128)))))</f>
        <v>215-400-3580</v>
      </c>
      <c r="M128" s="132">
        <f ca="1">IF(COUNTIFS(Data!$AV$2051:$AV$2550,116)=1,MATCH(116,Data!$AV$2051:$AV$2550,0),0)</f>
        <v>249</v>
      </c>
      <c r="N128" s="150" t="str">
        <f ca="1">IF($M128=0,"",IF(INDEX(Data!$I$2051:$I$2550,$M128)=0,"Add ID","Row "&amp;(INDEX(Data!$I$2051:$I$2550,$M128)+7)))</f>
        <v>Row 140</v>
      </c>
    </row>
    <row r="129" spans="1:14" ht="40" customHeight="1">
      <c r="A129" s="135">
        <f ca="1">IF($M129=0,"",INDEX(Data!$W$2051:$W$2550,$M129))</f>
        <v>117</v>
      </c>
      <c r="B129" s="138" t="str">
        <f ca="1">IF($M129=0,"",INDEX(Data!$B$2051:$B$2550,$M129))</f>
        <v>Samuel Pennypacker School</v>
      </c>
      <c r="C129" s="141" t="str">
        <f ca="1">IF($M129=0,"",INDEX(Data!$C$2051:$C$2550,$M129))</f>
        <v>District</v>
      </c>
      <c r="D129" s="141" t="str">
        <f ca="1">IF($M129=0,"",INDEX(Data!$D$2051:$D$2550,$M129))</f>
        <v>Elementary-Middle</v>
      </c>
      <c r="E129" s="142">
        <f ca="1">IF($M129=0,"",INDEX(Data!$G$2051:$G$2550,$M129))</f>
        <v>0.86929999999999996</v>
      </c>
      <c r="F129" s="141">
        <f ca="1">IF($M129=0,"",INDEX(Data!$F$2051:$F$2550,$M129))</f>
        <v>302</v>
      </c>
      <c r="G129" s="143">
        <f ca="1">IF($M129=0,"",INDEX(Data!$K$2051:$K$2550,$M129))</f>
        <v>0.71542009682673491</v>
      </c>
      <c r="H129" s="141">
        <f ca="1">IF($M129=0,"",INDEX(Data!$L$2051:$L$2550,$M129))</f>
        <v>6</v>
      </c>
      <c r="I129" s="144">
        <f ca="1">IF($M129=0,"",INDEX(Data!$T$2051:$T$2550,$M129))</f>
        <v>42</v>
      </c>
      <c r="J129" s="141" t="str">
        <f ca="1">IF($M129=0,"",INDEX(Data!$U$2051:$U$2550,$M129))</f>
        <v>Listed</v>
      </c>
      <c r="K129" s="141" t="str">
        <f ca="1">IF($M129=0,"",INDEX(Data!$AA$2051:$AA$2550,$M129))</f>
        <v>87% economic need; 0.72 mi fresh access; 6 nearby resources</v>
      </c>
      <c r="L129" s="141" t="str">
        <f ca="1">IF($M129=0,"",IF(INDEX(Data!$AN$2051:$AN$2550,$M129)=0,"",IF(INDEX(Data!$U$41:$U$540,INDEX(Data!$AN$2051:$AN$2550,$M129))="","",INDEX(Data!$U$41:$U$540,INDEX(Data!$AN$2051:$AN$2550,$M129)))))</f>
        <v>215-400-3510</v>
      </c>
      <c r="M129" s="132">
        <f ca="1">IF(COUNTIFS(Data!$AV$2051:$AV$2550,117)=1,MATCH(117,Data!$AV$2051:$AV$2550,0),0)</f>
        <v>240</v>
      </c>
      <c r="N129" s="145" t="str">
        <f ca="1">IF($M129=0,"",IF(INDEX(Data!$I$2051:$I$2550,$M129)=0,"Add ID","Row "&amp;(INDEX(Data!$I$2051:$I$2550,$M129)+7)))</f>
        <v>Row 270</v>
      </c>
    </row>
    <row r="130" spans="1:14" ht="40" customHeight="1">
      <c r="A130" s="136">
        <f ca="1">IF($M130=0,"",INDEX(Data!$W$2051:$W$2550,$M130))</f>
        <v>118</v>
      </c>
      <c r="B130" s="139" t="str">
        <f ca="1">IF($M130=0,"",INDEX(Data!$B$2051:$B$2550,$M130))</f>
        <v>John Marshall School</v>
      </c>
      <c r="C130" s="146" t="str">
        <f ca="1">IF($M130=0,"",INDEX(Data!$C$2051:$C$2550,$M130))</f>
        <v>District</v>
      </c>
      <c r="D130" s="146" t="str">
        <f ca="1">IF($M130=0,"",INDEX(Data!$D$2051:$D$2550,$M130))</f>
        <v>Elementary</v>
      </c>
      <c r="E130" s="147">
        <f ca="1">IF($M130=0,"",INDEX(Data!$G$2051:$G$2550,$M130))</f>
        <v>0.86409999999999998</v>
      </c>
      <c r="F130" s="146">
        <f ca="1">IF($M130=0,"",INDEX(Data!$F$2051:$F$2550,$M130))</f>
        <v>243</v>
      </c>
      <c r="G130" s="148">
        <f ca="1">IF($M130=0,"",INDEX(Data!$K$2051:$K$2550,$M130))</f>
        <v>0.57437948377283043</v>
      </c>
      <c r="H130" s="146">
        <f ca="1">IF($M130=0,"",INDEX(Data!$L$2051:$L$2550,$M130))</f>
        <v>7</v>
      </c>
      <c r="I130" s="149">
        <f ca="1">IF($M130=0,"",INDEX(Data!$T$2051:$T$2550,$M130))</f>
        <v>42</v>
      </c>
      <c r="J130" s="146" t="str">
        <f ca="1">IF($M130=0,"",INDEX(Data!$U$2051:$U$2550,$M130))</f>
        <v>Listed</v>
      </c>
      <c r="K130" s="146" t="str">
        <f ca="1">IF($M130=0,"",INDEX(Data!$AA$2051:$AA$2550,$M130))</f>
        <v>86% economic need; 0.57 mi fresh access; 7 nearby resources</v>
      </c>
      <c r="L130" s="146" t="str">
        <f ca="1">IF($M130=0,"",IF(INDEX(Data!$AN$2051:$AN$2550,$M130)=0,"",IF(INDEX(Data!$U$41:$U$540,INDEX(Data!$AN$2051:$AN$2550,$M130))="","",INDEX(Data!$U$41:$U$540,INDEX(Data!$AN$2051:$AN$2550,$M130)))))</f>
        <v>215-400-3950</v>
      </c>
      <c r="M130" s="132">
        <f ca="1">IF(COUNTIFS(Data!$AV$2051:$AV$2550,118)=1,MATCH(118,Data!$AV$2051:$AV$2550,0),0)</f>
        <v>272</v>
      </c>
      <c r="N130" s="150" t="str">
        <f ca="1">IF($M130=0,"",IF(INDEX(Data!$I$2051:$I$2550,$M130)=0,"Add ID","Row "&amp;(INDEX(Data!$I$2051:$I$2550,$M130)+7)))</f>
        <v>Row 149</v>
      </c>
    </row>
    <row r="131" spans="1:14" ht="40" customHeight="1">
      <c r="A131" s="135">
        <f ca="1">IF($M131=0,"",INDEX(Data!$W$2051:$W$2550,$M131))</f>
        <v>119</v>
      </c>
      <c r="B131" s="138" t="str">
        <f ca="1">IF($M131=0,"",INDEX(Data!$B$2051:$B$2550,$M131))</f>
        <v>Alternative Middle Years at James Martin</v>
      </c>
      <c r="C131" s="141" t="str">
        <f ca="1">IF($M131=0,"",INDEX(Data!$C$2051:$C$2550,$M131))</f>
        <v>District</v>
      </c>
      <c r="D131" s="141" t="str">
        <f ca="1">IF($M131=0,"",INDEX(Data!$D$2051:$D$2550,$M131))</f>
        <v>Middle</v>
      </c>
      <c r="E131" s="142">
        <f ca="1">IF($M131=0,"",INDEX(Data!$G$2051:$G$2550,$M131))</f>
        <v>0.86339999999999995</v>
      </c>
      <c r="F131" s="141">
        <f ca="1">IF($M131=0,"",INDEX(Data!$F$2051:$F$2550,$M131))</f>
        <v>208</v>
      </c>
      <c r="G131" s="143">
        <f ca="1">IF($M131=0,"",INDEX(Data!$K$2051:$K$2550,$M131))</f>
        <v>0.4846753577767704</v>
      </c>
      <c r="H131" s="141">
        <f ca="1">IF($M131=0,"",INDEX(Data!$L$2051:$L$2550,$M131))</f>
        <v>4</v>
      </c>
      <c r="I131" s="144">
        <f ca="1">IF($M131=0,"",INDEX(Data!$T$2051:$T$2550,$M131))</f>
        <v>42</v>
      </c>
      <c r="J131" s="141" t="str">
        <f ca="1">IF($M131=0,"",INDEX(Data!$U$2051:$U$2550,$M131))</f>
        <v>Listed</v>
      </c>
      <c r="K131" s="141" t="str">
        <f ca="1">IF($M131=0,"",INDEX(Data!$AA$2051:$AA$2550,$M131))</f>
        <v>86% economic need; 0.48 mi fresh access; 4 nearby resources</v>
      </c>
      <c r="L131" s="141" t="str">
        <f ca="1">IF($M131=0,"",IF(INDEX(Data!$AN$2051:$AN$2550,$M131)=0,"",IF(INDEX(Data!$U$41:$U$540,INDEX(Data!$AN$2051:$AN$2550,$M131))="","",INDEX(Data!$U$41:$U$540,INDEX(Data!$AN$2051:$AN$2550,$M131)))))</f>
        <v>215-400-7190</v>
      </c>
      <c r="M131" s="132">
        <f ca="1">IF(COUNTIFS(Data!$AV$2051:$AV$2550,119)=1,MATCH(119,Data!$AV$2051:$AV$2550,0),0)</f>
        <v>204</v>
      </c>
      <c r="N131" s="145" t="str">
        <f ca="1">IF($M131=0,"",IF(INDEX(Data!$I$2051:$I$2550,$M131)=0,"Add ID","Row "&amp;(INDEX(Data!$I$2051:$I$2550,$M131)+7)))</f>
        <v>Row 24</v>
      </c>
    </row>
    <row r="132" spans="1:14" ht="40" customHeight="1">
      <c r="A132" s="136">
        <f ca="1">IF($M132=0,"",INDEX(Data!$W$2051:$W$2550,$M132))</f>
        <v>120</v>
      </c>
      <c r="B132" s="139" t="str">
        <f ca="1">IF($M132=0,"",INDEX(Data!$B$2051:$B$2550,$M132))</f>
        <v>Delaplaine McDaniel School</v>
      </c>
      <c r="C132" s="146" t="str">
        <f ca="1">IF($M132=0,"",INDEX(Data!$C$2051:$C$2550,$M132))</f>
        <v>District</v>
      </c>
      <c r="D132" s="146" t="str">
        <f ca="1">IF($M132=0,"",INDEX(Data!$D$2051:$D$2550,$M132))</f>
        <v>Elementary-Middle</v>
      </c>
      <c r="E132" s="147">
        <f ca="1">IF($M132=0,"",INDEX(Data!$G$2051:$G$2550,$M132))</f>
        <v>0.85470000000000002</v>
      </c>
      <c r="F132" s="146">
        <f ca="1">IF($M132=0,"",INDEX(Data!$F$2051:$F$2550,$M132))</f>
        <v>240</v>
      </c>
      <c r="G132" s="148">
        <f ca="1">IF($M132=0,"",INDEX(Data!$K$2051:$K$2550,$M132))</f>
        <v>0.70377056286836415</v>
      </c>
      <c r="H132" s="146">
        <f ca="1">IF($M132=0,"",INDEX(Data!$L$2051:$L$2550,$M132))</f>
        <v>11</v>
      </c>
      <c r="I132" s="149">
        <f ca="1">IF($M132=0,"",INDEX(Data!$T$2051:$T$2550,$M132))</f>
        <v>42</v>
      </c>
      <c r="J132" s="146" t="str">
        <f ca="1">IF($M132=0,"",INDEX(Data!$U$2051:$U$2550,$M132))</f>
        <v>Listed</v>
      </c>
      <c r="K132" s="146" t="str">
        <f ca="1">IF($M132=0,"",INDEX(Data!$AA$2051:$AA$2550,$M132))</f>
        <v>85% economic need; 0.70 mi fresh access; 11 nearby resources</v>
      </c>
      <c r="L132" s="146" t="str">
        <f ca="1">IF($M132=0,"",IF(INDEX(Data!$AN$2051:$AN$2550,$M132)=0,"",IF(INDEX(Data!$U$41:$U$540,INDEX(Data!$AN$2051:$AN$2550,$M132))="","",INDEX(Data!$U$41:$U$540,INDEX(Data!$AN$2051:$AN$2550,$M132)))))</f>
        <v>215-400-8220</v>
      </c>
      <c r="M132" s="132">
        <f ca="1">IF(COUNTIFS(Data!$AV$2051:$AV$2550,120)=1,MATCH(120,Data!$AV$2051:$AV$2550,0),0)</f>
        <v>43</v>
      </c>
      <c r="N132" s="150" t="str">
        <f ca="1">IF($M132=0,"",IF(INDEX(Data!$I$2051:$I$2550,$M132)=0,"Add ID","Row "&amp;(INDEX(Data!$I$2051:$I$2550,$M132)+7)))</f>
        <v>Row 58</v>
      </c>
    </row>
    <row r="133" spans="1:14" ht="40" customHeight="1">
      <c r="A133" s="135">
        <f ca="1">IF($M133=0,"",INDEX(Data!$W$2051:$W$2550,$M133))</f>
        <v>121</v>
      </c>
      <c r="B133" s="138" t="str">
        <f ca="1">IF($M133=0,"",INDEX(Data!$B$2051:$B$2550,$M133))</f>
        <v>Building 21</v>
      </c>
      <c r="C133" s="141" t="str">
        <f ca="1">IF($M133=0,"",INDEX(Data!$C$2051:$C$2550,$M133))</f>
        <v>District</v>
      </c>
      <c r="D133" s="141" t="str">
        <f ca="1">IF($M133=0,"",INDEX(Data!$D$2051:$D$2550,$M133))</f>
        <v>High</v>
      </c>
      <c r="E133" s="142">
        <f ca="1">IF($M133=0,"",INDEX(Data!$G$2051:$G$2550,$M133))</f>
        <v>0.84589999999999999</v>
      </c>
      <c r="F133" s="141">
        <f ca="1">IF($M133=0,"",INDEX(Data!$F$2051:$F$2550,$M133))</f>
        <v>344</v>
      </c>
      <c r="G133" s="143">
        <f ca="1">IF($M133=0,"",INDEX(Data!$K$2051:$K$2550,$M133))</f>
        <v>0.68626310034147042</v>
      </c>
      <c r="H133" s="141">
        <f ca="1">IF($M133=0,"",INDEX(Data!$L$2051:$L$2550,$M133))</f>
        <v>13</v>
      </c>
      <c r="I133" s="144">
        <f ca="1">IF($M133=0,"",INDEX(Data!$T$2051:$T$2550,$M133))</f>
        <v>42</v>
      </c>
      <c r="J133" s="141" t="str">
        <f ca="1">IF($M133=0,"",INDEX(Data!$U$2051:$U$2550,$M133))</f>
        <v>Listed</v>
      </c>
      <c r="K133" s="141" t="str">
        <f ca="1">IF($M133=0,"",INDEX(Data!$AA$2051:$AA$2550,$M133))</f>
        <v>85% economic need; 0.69 mi fresh access; 13 nearby resources</v>
      </c>
      <c r="L133" s="141" t="str">
        <f ca="1">IF($M133=0,"",IF(INDEX(Data!$AN$2051:$AN$2550,$M133)=0,"",IF(INDEX(Data!$U$41:$U$540,INDEX(Data!$AN$2051:$AN$2550,$M133))="","",INDEX(Data!$U$41:$U$540,INDEX(Data!$AN$2051:$AN$2550,$M133)))))</f>
        <v>215-400-7450</v>
      </c>
      <c r="M133" s="132">
        <f ca="1">IF(COUNTIFS(Data!$AV$2051:$AV$2550,121)=1,MATCH(121,Data!$AV$2051:$AV$2550,0),0)</f>
        <v>217</v>
      </c>
      <c r="N133" s="145" t="str">
        <f ca="1">IF($M133=0,"",IF(INDEX(Data!$I$2051:$I$2550,$M133)=0,"Add ID","Row "&amp;(INDEX(Data!$I$2051:$I$2550,$M133)+7)))</f>
        <v>Row 42</v>
      </c>
    </row>
    <row r="134" spans="1:14" ht="40" customHeight="1">
      <c r="A134" s="136">
        <f ca="1">IF($M134=0,"",INDEX(Data!$W$2051:$W$2550,$M134))</f>
        <v>122</v>
      </c>
      <c r="B134" s="139" t="str">
        <f ca="1">IF($M134=0,"",INDEX(Data!$B$2051:$B$2550,$M134))</f>
        <v>William Rowen School</v>
      </c>
      <c r="C134" s="146" t="str">
        <f ca="1">IF($M134=0,"",INDEX(Data!$C$2051:$C$2550,$M134))</f>
        <v>District</v>
      </c>
      <c r="D134" s="146" t="str">
        <f ca="1">IF($M134=0,"",INDEX(Data!$D$2051:$D$2550,$M134))</f>
        <v>Elementary</v>
      </c>
      <c r="E134" s="147">
        <f ca="1">IF($M134=0,"",INDEX(Data!$G$2051:$G$2550,$M134))</f>
        <v>0.8357</v>
      </c>
      <c r="F134" s="146">
        <f ca="1">IF($M134=0,"",INDEX(Data!$F$2051:$F$2550,$M134))</f>
        <v>272</v>
      </c>
      <c r="G134" s="148">
        <f ca="1">IF($M134=0,"",INDEX(Data!$K$2051:$K$2550,$M134))</f>
        <v>0.6957903531749603</v>
      </c>
      <c r="H134" s="146">
        <f ca="1">IF($M134=0,"",INDEX(Data!$L$2051:$L$2550,$M134))</f>
        <v>9</v>
      </c>
      <c r="I134" s="149">
        <f ca="1">IF($M134=0,"",INDEX(Data!$T$2051:$T$2550,$M134))</f>
        <v>42</v>
      </c>
      <c r="J134" s="146" t="str">
        <f ca="1">IF($M134=0,"",INDEX(Data!$U$2051:$U$2550,$M134))</f>
        <v>Listed</v>
      </c>
      <c r="K134" s="146" t="str">
        <f ca="1">IF($M134=0,"",INDEX(Data!$AA$2051:$AA$2550,$M134))</f>
        <v>84% economic need; 0.70 mi fresh access; 9 nearby resources</v>
      </c>
      <c r="L134" s="146" t="str">
        <f ca="1">IF($M134=0,"",IF(INDEX(Data!$AN$2051:$AN$2550,$M134)=0,"",IF(INDEX(Data!$U$41:$U$540,INDEX(Data!$AN$2051:$AN$2550,$M134))="","",INDEX(Data!$U$41:$U$540,INDEX(Data!$AN$2051:$AN$2550,$M134)))))</f>
        <v>215-400-3550</v>
      </c>
      <c r="M134" s="132">
        <f ca="1">IF(COUNTIFS(Data!$AV$2051:$AV$2550,122)=1,MATCH(122,Data!$AV$2051:$AV$2550,0),0)</f>
        <v>284</v>
      </c>
      <c r="N134" s="150" t="str">
        <f ca="1">IF($M134=0,"",IF(INDEX(Data!$I$2051:$I$2550,$M134)=0,"Add ID","Row "&amp;(INDEX(Data!$I$2051:$I$2550,$M134)+7)))</f>
        <v>Row 330</v>
      </c>
    </row>
    <row r="135" spans="1:14" ht="40" customHeight="1">
      <c r="A135" s="135">
        <f ca="1">IF($M135=0,"",INDEX(Data!$W$2051:$W$2550,$M135))</f>
        <v>123</v>
      </c>
      <c r="B135" s="138" t="str">
        <f ca="1">IF($M135=0,"",INDEX(Data!$B$2051:$B$2550,$M135))</f>
        <v>Anna B. Day School</v>
      </c>
      <c r="C135" s="141" t="str">
        <f ca="1">IF($M135=0,"",INDEX(Data!$C$2051:$C$2550,$M135))</f>
        <v>District</v>
      </c>
      <c r="D135" s="141" t="str">
        <f ca="1">IF($M135=0,"",INDEX(Data!$D$2051:$D$2550,$M135))</f>
        <v>Elementary-Middle</v>
      </c>
      <c r="E135" s="142">
        <f ca="1">IF($M135=0,"",INDEX(Data!$G$2051:$G$2550,$M135))</f>
        <v>0.82499999999999996</v>
      </c>
      <c r="F135" s="141">
        <f ca="1">IF($M135=0,"",INDEX(Data!$F$2051:$F$2550,$M135))</f>
        <v>289</v>
      </c>
      <c r="G135" s="143">
        <f ca="1">IF($M135=0,"",INDEX(Data!$K$2051:$K$2550,$M135))</f>
        <v>0.59104790602180424</v>
      </c>
      <c r="H135" s="141">
        <f ca="1">IF($M135=0,"",INDEX(Data!$L$2051:$L$2550,$M135))</f>
        <v>10</v>
      </c>
      <c r="I135" s="144">
        <f ca="1">IF($M135=0,"",INDEX(Data!$T$2051:$T$2550,$M135))</f>
        <v>42</v>
      </c>
      <c r="J135" s="141" t="str">
        <f ca="1">IF($M135=0,"",INDEX(Data!$U$2051:$U$2550,$M135))</f>
        <v>Listed</v>
      </c>
      <c r="K135" s="141" t="str">
        <f ca="1">IF($M135=0,"",INDEX(Data!$AA$2051:$AA$2550,$M135))</f>
        <v>83% economic need; 0.59 mi fresh access; 10 nearby resources</v>
      </c>
      <c r="L135" s="141" t="str">
        <f ca="1">IF($M135=0,"",IF(INDEX(Data!$AN$2051:$AN$2550,$M135)=0,"",IF(INDEX(Data!$U$41:$U$540,INDEX(Data!$AN$2051:$AN$2550,$M135))="","",INDEX(Data!$U$41:$U$540,INDEX(Data!$AN$2051:$AN$2550,$M135)))))</f>
        <v>215-400-3520</v>
      </c>
      <c r="M135" s="132">
        <f ca="1">IF(COUNTIFS(Data!$AV$2051:$AV$2550,123)=1,MATCH(123,Data!$AV$2051:$AV$2550,0),0)</f>
        <v>229</v>
      </c>
      <c r="N135" s="145" t="str">
        <f ca="1">IF($M135=0,"",IF(INDEX(Data!$I$2051:$I$2550,$M135)=0,"Add ID","Row "&amp;(INDEX(Data!$I$2051:$I$2550,$M135)+7)))</f>
        <v>Row 27</v>
      </c>
    </row>
    <row r="136" spans="1:14" ht="40" customHeight="1">
      <c r="A136" s="136">
        <f ca="1">IF($M136=0,"",INDEX(Data!$W$2051:$W$2550,$M136))</f>
        <v>124</v>
      </c>
      <c r="B136" s="139" t="str">
        <f ca="1">IF($M136=0,"",INDEX(Data!$B$2051:$B$2550,$M136))</f>
        <v>The LINC High School</v>
      </c>
      <c r="C136" s="146" t="str">
        <f ca="1">IF($M136=0,"",INDEX(Data!$C$2051:$C$2550,$M136))</f>
        <v>District</v>
      </c>
      <c r="D136" s="146" t="str">
        <f ca="1">IF($M136=0,"",INDEX(Data!$D$2051:$D$2550,$M136))</f>
        <v>High</v>
      </c>
      <c r="E136" s="147">
        <f ca="1">IF($M136=0,"",INDEX(Data!$G$2051:$G$2550,$M136))</f>
        <v>0.82299999999999995</v>
      </c>
      <c r="F136" s="146">
        <f ca="1">IF($M136=0,"",INDEX(Data!$F$2051:$F$2550,$M136))</f>
        <v>229</v>
      </c>
      <c r="G136" s="148">
        <f ca="1">IF($M136=0,"",INDEX(Data!$K$2051:$K$2550,$M136))</f>
        <v>0.51554061281690178</v>
      </c>
      <c r="H136" s="146">
        <f ca="1">IF($M136=0,"",INDEX(Data!$L$2051:$L$2550,$M136))</f>
        <v>9</v>
      </c>
      <c r="I136" s="149">
        <f ca="1">IF($M136=0,"",INDEX(Data!$T$2051:$T$2550,$M136))</f>
        <v>42</v>
      </c>
      <c r="J136" s="146" t="str">
        <f ca="1">IF($M136=0,"",INDEX(Data!$U$2051:$U$2550,$M136))</f>
        <v>Listed</v>
      </c>
      <c r="K136" s="146" t="str">
        <f ca="1">IF($M136=0,"",INDEX(Data!$AA$2051:$AA$2550,$M136))</f>
        <v>82% economic need; 0.52 mi fresh access; 9 nearby resources</v>
      </c>
      <c r="L136" s="146" t="str">
        <f ca="1">IF($M136=0,"",IF(INDEX(Data!$AN$2051:$AN$2550,$M136)=0,"",IF(INDEX(Data!$U$41:$U$540,INDEX(Data!$AN$2051:$AN$2550,$M136))="","",INDEX(Data!$U$41:$U$540,INDEX(Data!$AN$2051:$AN$2550,$M136)))))</f>
        <v>215-400-3940</v>
      </c>
      <c r="M136" s="132">
        <f ca="1">IF(COUNTIFS(Data!$AV$2051:$AV$2550,124)=1,MATCH(124,Data!$AV$2051:$AV$2550,0),0)</f>
        <v>219</v>
      </c>
      <c r="N136" s="150" t="str">
        <f ca="1">IF($M136=0,"",IF(INDEX(Data!$I$2051:$I$2550,$M136)=0,"Add ID","Row "&amp;(INDEX(Data!$I$2051:$I$2550,$M136)+7)))</f>
        <v>Row 293</v>
      </c>
    </row>
    <row r="137" spans="1:14" ht="40" customHeight="1">
      <c r="A137" s="135">
        <f ca="1">IF($M137=0,"",INDEX(Data!$W$2051:$W$2550,$M137))</f>
        <v>125</v>
      </c>
      <c r="B137" s="138" t="str">
        <f ca="1">IF($M137=0,"",INDEX(Data!$B$2051:$B$2550,$M137))</f>
        <v>Richmond School</v>
      </c>
      <c r="C137" s="141" t="str">
        <f ca="1">IF($M137=0,"",INDEX(Data!$C$2051:$C$2550,$M137))</f>
        <v>District</v>
      </c>
      <c r="D137" s="141" t="str">
        <f ca="1">IF($M137=0,"",INDEX(Data!$D$2051:$D$2550,$M137))</f>
        <v>Elementary</v>
      </c>
      <c r="E137" s="142">
        <f ca="1">IF($M137=0,"",INDEX(Data!$G$2051:$G$2550,$M137))</f>
        <v>0.81920000000000004</v>
      </c>
      <c r="F137" s="141">
        <f ca="1">IF($M137=0,"",INDEX(Data!$F$2051:$F$2550,$M137))</f>
        <v>332</v>
      </c>
      <c r="G137" s="143">
        <f ca="1">IF($M137=0,"",INDEX(Data!$K$2051:$K$2550,$M137))</f>
        <v>0.57120741278241549</v>
      </c>
      <c r="H137" s="141">
        <f ca="1">IF($M137=0,"",INDEX(Data!$L$2051:$L$2550,$M137))</f>
        <v>6</v>
      </c>
      <c r="I137" s="144">
        <f ca="1">IF($M137=0,"",INDEX(Data!$T$2051:$T$2550,$M137))</f>
        <v>42</v>
      </c>
      <c r="J137" s="141" t="str">
        <f ca="1">IF($M137=0,"",INDEX(Data!$U$2051:$U$2550,$M137))</f>
        <v>Listed</v>
      </c>
      <c r="K137" s="141" t="str">
        <f ca="1">IF($M137=0,"",INDEX(Data!$AA$2051:$AA$2550,$M137))</f>
        <v>82% economic need; 0.57 mi fresh access; 6 nearby resources</v>
      </c>
      <c r="L137" s="141" t="str">
        <f ca="1">IF($M137=0,"",IF(INDEX(Data!$AN$2051:$AN$2550,$M137)=0,"",IF(INDEX(Data!$U$41:$U$540,INDEX(Data!$AN$2051:$AN$2550,$M137))="","",INDEX(Data!$U$41:$U$540,INDEX(Data!$AN$2051:$AN$2550,$M137)))))</f>
        <v>215-400-7150</v>
      </c>
      <c r="M137" s="132">
        <f ca="1">IF(COUNTIFS(Data!$AV$2051:$AV$2550,125)=1,MATCH(125,Data!$AV$2051:$AV$2550,0),0)</f>
        <v>201</v>
      </c>
      <c r="N137" s="145" t="str">
        <f ca="1">IF($M137=0,"",IF(INDEX(Data!$I$2051:$I$2550,$M137)=0,"Add ID","Row "&amp;(INDEX(Data!$I$2051:$I$2550,$M137)+7)))</f>
        <v>Row 257</v>
      </c>
    </row>
    <row r="138" spans="1:14" ht="40" customHeight="1">
      <c r="A138" s="136">
        <f ca="1">IF($M138=0,"",INDEX(Data!$W$2051:$W$2550,$M138))</f>
        <v>126</v>
      </c>
      <c r="B138" s="139" t="str">
        <f ca="1">IF($M138=0,"",INDEX(Data!$B$2051:$B$2550,$M138))</f>
        <v>Ellwood School</v>
      </c>
      <c r="C138" s="146" t="str">
        <f ca="1">IF($M138=0,"",INDEX(Data!$C$2051:$C$2550,$M138))</f>
        <v>District</v>
      </c>
      <c r="D138" s="146" t="str">
        <f ca="1">IF($M138=0,"",INDEX(Data!$D$2051:$D$2550,$M138))</f>
        <v>Elementary</v>
      </c>
      <c r="E138" s="147">
        <f ca="1">IF($M138=0,"",INDEX(Data!$G$2051:$G$2550,$M138))</f>
        <v>0.80069999999999997</v>
      </c>
      <c r="F138" s="146">
        <f ca="1">IF($M138=0,"",INDEX(Data!$F$2051:$F$2550,$M138))</f>
        <v>252</v>
      </c>
      <c r="G138" s="148">
        <f ca="1">IF($M138=0,"",INDEX(Data!$K$2051:$K$2550,$M138))</f>
        <v>0.5681186042219577</v>
      </c>
      <c r="H138" s="146">
        <f ca="1">IF($M138=0,"",INDEX(Data!$L$2051:$L$2550,$M138))</f>
        <v>7</v>
      </c>
      <c r="I138" s="149">
        <f ca="1">IF($M138=0,"",INDEX(Data!$T$2051:$T$2550,$M138))</f>
        <v>42</v>
      </c>
      <c r="J138" s="146" t="str">
        <f ca="1">IF($M138=0,"",INDEX(Data!$U$2051:$U$2550,$M138))</f>
        <v>Listed</v>
      </c>
      <c r="K138" s="146" t="str">
        <f ca="1">IF($M138=0,"",INDEX(Data!$AA$2051:$AA$2550,$M138))</f>
        <v>80% economic need; 0.57 mi fresh access; 7 nearby resources</v>
      </c>
      <c r="L138" s="146" t="str">
        <f ca="1">IF($M138=0,"",IF(INDEX(Data!$AN$2051:$AN$2550,$M138)=0,"",IF(INDEX(Data!$U$41:$U$540,INDEX(Data!$AN$2051:$AN$2550,$M138))="","",INDEX(Data!$U$41:$U$540,INDEX(Data!$AN$2051:$AN$2550,$M138)))))</f>
        <v>215-400-3540</v>
      </c>
      <c r="M138" s="132">
        <f ca="1">IF(COUNTIFS(Data!$AV$2051:$AV$2550,126)=1,MATCH(126,Data!$AV$2051:$AV$2550,0),0)</f>
        <v>263</v>
      </c>
      <c r="N138" s="150" t="str">
        <f ca="1">IF($M138=0,"",IF(INDEX(Data!$I$2051:$I$2550,$M138)=0,"Add ID","Row "&amp;(INDEX(Data!$I$2051:$I$2550,$M138)+7)))</f>
        <v>Row 70</v>
      </c>
    </row>
    <row r="139" spans="1:14" ht="40" customHeight="1">
      <c r="A139" s="135">
        <f ca="1">IF($M139=0,"",INDEX(Data!$W$2051:$W$2550,$M139))</f>
        <v>127</v>
      </c>
      <c r="B139" s="138" t="str">
        <f ca="1">IF($M139=0,"",INDEX(Data!$B$2051:$B$2550,$M139))</f>
        <v>Overbrook Educational Center</v>
      </c>
      <c r="C139" s="141" t="str">
        <f ca="1">IF($M139=0,"",INDEX(Data!$C$2051:$C$2550,$M139))</f>
        <v>District</v>
      </c>
      <c r="D139" s="141" t="str">
        <f ca="1">IF($M139=0,"",INDEX(Data!$D$2051:$D$2550,$M139))</f>
        <v>Elementary-Middle</v>
      </c>
      <c r="E139" s="142">
        <f ca="1">IF($M139=0,"",INDEX(Data!$G$2051:$G$2550,$M139))</f>
        <v>0.71109999999999995</v>
      </c>
      <c r="F139" s="141">
        <f ca="1">IF($M139=0,"",INDEX(Data!$F$2051:$F$2550,$M139))</f>
        <v>226</v>
      </c>
      <c r="G139" s="143">
        <f ca="1">IF($M139=0,"",INDEX(Data!$K$2051:$K$2550,$M139))</f>
        <v>0.77835700311251033</v>
      </c>
      <c r="H139" s="141">
        <f ca="1">IF($M139=0,"",INDEX(Data!$L$2051:$L$2550,$M139))</f>
        <v>6</v>
      </c>
      <c r="I139" s="144">
        <f ca="1">IF($M139=0,"",INDEX(Data!$T$2051:$T$2550,$M139))</f>
        <v>42</v>
      </c>
      <c r="J139" s="141" t="str">
        <f ca="1">IF($M139=0,"",INDEX(Data!$U$2051:$U$2550,$M139))</f>
        <v>Listed</v>
      </c>
      <c r="K139" s="141" t="str">
        <f ca="1">IF($M139=0,"",INDEX(Data!$AA$2051:$AA$2550,$M139))</f>
        <v>71% economic need; 0.78 mi fresh access; 6 nearby resources</v>
      </c>
      <c r="L139" s="141" t="str">
        <f ca="1">IF($M139=0,"",IF(INDEX(Data!$AN$2051:$AN$2550,$M139)=0,"",IF(INDEX(Data!$U$41:$U$540,INDEX(Data!$AN$2051:$AN$2550,$M139))="","",INDEX(Data!$U$41:$U$540,INDEX(Data!$AN$2051:$AN$2550,$M139)))))</f>
        <v>215-400-7540</v>
      </c>
      <c r="M139" s="132">
        <f ca="1">IF(COUNTIFS(Data!$AV$2051:$AV$2550,127)=1,MATCH(127,Data!$AV$2051:$AV$2550,0),0)</f>
        <v>174</v>
      </c>
      <c r="N139" s="145" t="str">
        <f ca="1">IF($M139=0,"",IF(INDEX(Data!$I$2051:$I$2550,$M139)=0,"Add ID","Row "&amp;(INDEX(Data!$I$2051:$I$2550,$M139)+7)))</f>
        <v>Row 225</v>
      </c>
    </row>
    <row r="140" spans="1:14" ht="40" customHeight="1">
      <c r="A140" s="136">
        <f ca="1">IF($M140=0,"",INDEX(Data!$W$2051:$W$2550,$M140))</f>
        <v>128</v>
      </c>
      <c r="B140" s="139" t="str">
        <f ca="1">IF($M140=0,"",INDEX(Data!$B$2051:$B$2550,$M140))</f>
        <v>Edward Gideon School</v>
      </c>
      <c r="C140" s="146" t="str">
        <f ca="1">IF($M140=0,"",INDEX(Data!$C$2051:$C$2550,$M140))</f>
        <v>District</v>
      </c>
      <c r="D140" s="146" t="str">
        <f ca="1">IF($M140=0,"",INDEX(Data!$D$2051:$D$2550,$M140))</f>
        <v>Elementary-Middle</v>
      </c>
      <c r="E140" s="147">
        <f ca="1">IF($M140=0,"",INDEX(Data!$G$2051:$G$2550,$M140))</f>
        <v>0.94230000000000003</v>
      </c>
      <c r="F140" s="146">
        <f ca="1">IF($M140=0,"",INDEX(Data!$F$2051:$F$2550,$M140))</f>
        <v>184</v>
      </c>
      <c r="G140" s="148">
        <f ca="1">IF($M140=0,"",INDEX(Data!$K$2051:$K$2550,$M140))</f>
        <v>0.45189484768964749</v>
      </c>
      <c r="H140" s="146">
        <f ca="1">IF($M140=0,"",INDEX(Data!$L$2051:$L$2550,$M140))</f>
        <v>14</v>
      </c>
      <c r="I140" s="149">
        <f ca="1">IF($M140=0,"",INDEX(Data!$T$2051:$T$2550,$M140))</f>
        <v>41</v>
      </c>
      <c r="J140" s="146" t="str">
        <f ca="1">IF($M140=0,"",INDEX(Data!$U$2051:$U$2550,$M140))</f>
        <v>Listed</v>
      </c>
      <c r="K140" s="146" t="str">
        <f ca="1">IF($M140=0,"",INDEX(Data!$AA$2051:$AA$2550,$M140))</f>
        <v>94% economic need; 0.45 mi fresh access; 14 nearby resources</v>
      </c>
      <c r="L140" s="146" t="str">
        <f ca="1">IF($M140=0,"",IF(INDEX(Data!$AN$2051:$AN$2550,$M140)=0,"",IF(INDEX(Data!$U$41:$U$540,INDEX(Data!$AN$2051:$AN$2550,$M140))="","",INDEX(Data!$U$41:$U$540,INDEX(Data!$AN$2051:$AN$2550,$M140)))))</f>
        <v>215-400-7360</v>
      </c>
      <c r="M140" s="132">
        <f ca="1">IF(COUNTIFS(Data!$AV$2051:$AV$2550,128)=1,MATCH(128,Data!$AV$2051:$AV$2550,0),0)</f>
        <v>176</v>
      </c>
      <c r="N140" s="150" t="str">
        <f ca="1">IF($M140=0,"",IF(INDEX(Data!$I$2051:$I$2550,$M140)=0,"Add ID","Row "&amp;(INDEX(Data!$I$2051:$I$2550,$M140)+7)))</f>
        <v>Row 62</v>
      </c>
    </row>
    <row r="141" spans="1:14" ht="40" customHeight="1">
      <c r="A141" s="135">
        <f ca="1">IF($M141=0,"",INDEX(Data!$W$2051:$W$2550,$M141))</f>
        <v>129</v>
      </c>
      <c r="B141" s="138" t="str">
        <f ca="1">IF($M141=0,"",INDEX(Data!$B$2051:$B$2550,$M141))</f>
        <v>General Philip Kearny School</v>
      </c>
      <c r="C141" s="141" t="str">
        <f ca="1">IF($M141=0,"",INDEX(Data!$C$2051:$C$2550,$M141))</f>
        <v>District</v>
      </c>
      <c r="D141" s="141" t="str">
        <f ca="1">IF($M141=0,"",INDEX(Data!$D$2051:$D$2550,$M141))</f>
        <v>Elementary-Middle</v>
      </c>
      <c r="E141" s="142">
        <f ca="1">IF($M141=0,"",INDEX(Data!$G$2051:$G$2550,$M141))</f>
        <v>0.90669999999999995</v>
      </c>
      <c r="F141" s="141">
        <f ca="1">IF($M141=0,"",INDEX(Data!$F$2051:$F$2550,$M141))</f>
        <v>193</v>
      </c>
      <c r="G141" s="143">
        <f ca="1">IF($M141=0,"",INDEX(Data!$K$2051:$K$2550,$M141))</f>
        <v>0.28863590297615782</v>
      </c>
      <c r="H141" s="141">
        <f ca="1">IF($M141=0,"",INDEX(Data!$L$2051:$L$2550,$M141))</f>
        <v>11</v>
      </c>
      <c r="I141" s="144">
        <f ca="1">IF($M141=0,"",INDEX(Data!$T$2051:$T$2550,$M141))</f>
        <v>41</v>
      </c>
      <c r="J141" s="141" t="str">
        <f ca="1">IF($M141=0,"",INDEX(Data!$U$2051:$U$2550,$M141))</f>
        <v>Listed</v>
      </c>
      <c r="K141" s="141" t="str">
        <f ca="1">IF($M141=0,"",INDEX(Data!$AA$2051:$AA$2550,$M141))</f>
        <v>91% economic need; 0.29 mi fresh access; 11 nearby resources</v>
      </c>
      <c r="L141" s="141" t="str">
        <f ca="1">IF($M141=0,"",IF(INDEX(Data!$AN$2051:$AN$2550,$M141)=0,"",IF(INDEX(Data!$U$41:$U$540,INDEX(Data!$AN$2051:$AN$2550,$M141))="","",INDEX(Data!$U$41:$U$540,INDEX(Data!$AN$2051:$AN$2550,$M141)))))</f>
        <v>215-400-7590</v>
      </c>
      <c r="M141" s="132">
        <f ca="1">IF(COUNTIFS(Data!$AV$2051:$AV$2550,129)=1,MATCH(129,Data!$AV$2051:$AV$2550,0),0)</f>
        <v>207</v>
      </c>
      <c r="N141" s="145" t="str">
        <f ca="1">IF($M141=0,"",IF(INDEX(Data!$I$2051:$I$2550,$M141)=0,"Add ID","Row "&amp;(INDEX(Data!$I$2051:$I$2550,$M141)+7)))</f>
        <v>Row 100</v>
      </c>
    </row>
    <row r="142" spans="1:14" ht="40" customHeight="1">
      <c r="A142" s="136">
        <f ca="1">IF($M142=0,"",INDEX(Data!$W$2051:$W$2550,$M142))</f>
        <v>130</v>
      </c>
      <c r="B142" s="139" t="str">
        <f ca="1">IF($M142=0,"",INDEX(Data!$B$2051:$B$2550,$M142))</f>
        <v>John Welsh School</v>
      </c>
      <c r="C142" s="146" t="str">
        <f ca="1">IF($M142=0,"",INDEX(Data!$C$2051:$C$2550,$M142))</f>
        <v>District</v>
      </c>
      <c r="D142" s="146" t="str">
        <f ca="1">IF($M142=0,"",INDEX(Data!$D$2051:$D$2550,$M142))</f>
        <v>Elementary-Middle</v>
      </c>
      <c r="E142" s="147">
        <f ca="1">IF($M142=0,"",INDEX(Data!$G$2051:$G$2550,$M142))</f>
        <v>0.90269999999999995</v>
      </c>
      <c r="F142" s="146">
        <f ca="1">IF($M142=0,"",INDEX(Data!$F$2051:$F$2550,$M142))</f>
        <v>185</v>
      </c>
      <c r="G142" s="148">
        <f ca="1">IF($M142=0,"",INDEX(Data!$K$2051:$K$2550,$M142))</f>
        <v>0.44887041257974719</v>
      </c>
      <c r="H142" s="146">
        <f ca="1">IF($M142=0,"",INDEX(Data!$L$2051:$L$2550,$M142))</f>
        <v>13</v>
      </c>
      <c r="I142" s="149">
        <f ca="1">IF($M142=0,"",INDEX(Data!$T$2051:$T$2550,$M142))</f>
        <v>41</v>
      </c>
      <c r="J142" s="146" t="str">
        <f ca="1">IF($M142=0,"",INDEX(Data!$U$2051:$U$2550,$M142))</f>
        <v>Listed</v>
      </c>
      <c r="K142" s="146" t="str">
        <f ca="1">IF($M142=0,"",INDEX(Data!$AA$2051:$AA$2550,$M142))</f>
        <v>90% economic need; 0.45 mi fresh access; 13 nearby resources</v>
      </c>
      <c r="L142" s="146" t="str">
        <f ca="1">IF($M142=0,"",IF(INDEX(Data!$AN$2051:$AN$2550,$M142)=0,"",IF(INDEX(Data!$U$41:$U$540,INDEX(Data!$AN$2051:$AN$2550,$M142))="","",INDEX(Data!$U$41:$U$540,INDEX(Data!$AN$2051:$AN$2550,$M142)))))</f>
        <v>215-400-7130</v>
      </c>
      <c r="M142" s="132">
        <f ca="1">IF(COUNTIFS(Data!$AV$2051:$AV$2550,130)=1,MATCH(130,Data!$AV$2051:$AV$2550,0),0)</f>
        <v>203</v>
      </c>
      <c r="N142" s="150" t="str">
        <f ca="1">IF($M142=0,"",IF(INDEX(Data!$I$2051:$I$2550,$M142)=0,"Add ID","Row "&amp;(INDEX(Data!$I$2051:$I$2550,$M142)+7)))</f>
        <v>Row 152</v>
      </c>
    </row>
    <row r="143" spans="1:14" ht="40" customHeight="1">
      <c r="A143" s="135">
        <f ca="1">IF($M143=0,"",INDEX(Data!$W$2051:$W$2550,$M143))</f>
        <v>131</v>
      </c>
      <c r="B143" s="138" t="str">
        <f ca="1">IF($M143=0,"",INDEX(Data!$B$2051:$B$2550,$M143))</f>
        <v>Philadelphia Learning Academy West</v>
      </c>
      <c r="C143" s="141" t="str">
        <f ca="1">IF($M143=0,"",INDEX(Data!$C$2051:$C$2550,$M143))</f>
        <v>District</v>
      </c>
      <c r="D143" s="141" t="str">
        <f ca="1">IF($M143=0,"",INDEX(Data!$D$2051:$D$2550,$M143))</f>
        <v>Transition/Overage School</v>
      </c>
      <c r="E143" s="142">
        <f ca="1">IF($M143=0,"",INDEX(Data!$G$2051:$G$2550,$M143))</f>
        <v>0.89829999999999999</v>
      </c>
      <c r="F143" s="141">
        <f ca="1">IF($M143=0,"",INDEX(Data!$F$2051:$F$2550,$M143))</f>
        <v>60</v>
      </c>
      <c r="G143" s="143">
        <f ca="1">IF($M143=0,"",INDEX(Data!$K$2051:$K$2550,$M143))</f>
        <v>0.66104747662637997</v>
      </c>
      <c r="H143" s="141">
        <f ca="1">IF($M143=0,"",INDEX(Data!$L$2051:$L$2550,$M143))</f>
        <v>11</v>
      </c>
      <c r="I143" s="144">
        <f ca="1">IF($M143=0,"",INDEX(Data!$T$2051:$T$2550,$M143))</f>
        <v>41</v>
      </c>
      <c r="J143" s="141" t="str">
        <f ca="1">IF($M143=0,"",INDEX(Data!$U$2051:$U$2550,$M143))</f>
        <v>Listed</v>
      </c>
      <c r="K143" s="141" t="str">
        <f ca="1">IF($M143=0,"",INDEX(Data!$AA$2051:$AA$2550,$M143))</f>
        <v>90% economic need; 0.66 mi fresh access; 11 nearby resources</v>
      </c>
      <c r="L143" s="141" t="str">
        <f ca="1">IF($M143=0,"",IF(INDEX(Data!$AN$2051:$AN$2550,$M143)=0,"",IF(INDEX(Data!$U$41:$U$540,INDEX(Data!$AN$2051:$AN$2550,$M143))="","",INDEX(Data!$U$41:$U$540,INDEX(Data!$AN$2051:$AN$2550,$M143)))))</f>
        <v>215-400-9080</v>
      </c>
      <c r="M143" s="132">
        <f ca="1">IF(COUNTIFS(Data!$AV$2051:$AV$2550,131)=1,MATCH(131,Data!$AV$2051:$AV$2550,0),0)</f>
        <v>319</v>
      </c>
      <c r="N143" s="145" t="str">
        <f ca="1">IF($M143=0,"",IF(INDEX(Data!$I$2051:$I$2550,$M143)=0,"Add ID","Row "&amp;(INDEX(Data!$I$2051:$I$2550,$M143)+7)))</f>
        <v>Row 245</v>
      </c>
    </row>
    <row r="144" spans="1:14" ht="40" customHeight="1">
      <c r="A144" s="136">
        <f ca="1">IF($M144=0,"",INDEX(Data!$W$2051:$W$2550,$M144))</f>
        <v>132</v>
      </c>
      <c r="B144" s="139" t="str">
        <f ca="1">IF($M144=0,"",INDEX(Data!$B$2051:$B$2550,$M144))</f>
        <v>Russell H. Conwell School</v>
      </c>
      <c r="C144" s="146" t="str">
        <f ca="1">IF($M144=0,"",INDEX(Data!$C$2051:$C$2550,$M144))</f>
        <v>District</v>
      </c>
      <c r="D144" s="146" t="str">
        <f ca="1">IF($M144=0,"",INDEX(Data!$D$2051:$D$2550,$M144))</f>
        <v>Middle</v>
      </c>
      <c r="E144" s="147">
        <f ca="1">IF($M144=0,"",INDEX(Data!$G$2051:$G$2550,$M144))</f>
        <v>0.86909999999999998</v>
      </c>
      <c r="F144" s="146">
        <f ca="1">IF($M144=0,"",INDEX(Data!$F$2051:$F$2550,$M144))</f>
        <v>109</v>
      </c>
      <c r="G144" s="148">
        <f ca="1">IF($M144=0,"",INDEX(Data!$K$2051:$K$2550,$M144))</f>
        <v>0.58993085910750065</v>
      </c>
      <c r="H144" s="146">
        <f ca="1">IF($M144=0,"",INDEX(Data!$L$2051:$L$2550,$M144))</f>
        <v>12</v>
      </c>
      <c r="I144" s="149">
        <f ca="1">IF($M144=0,"",INDEX(Data!$T$2051:$T$2550,$M144))</f>
        <v>41</v>
      </c>
      <c r="J144" s="146" t="str">
        <f ca="1">IF($M144=0,"",INDEX(Data!$U$2051:$U$2550,$M144))</f>
        <v>Listed</v>
      </c>
      <c r="K144" s="146" t="str">
        <f ca="1">IF($M144=0,"",INDEX(Data!$AA$2051:$AA$2550,$M144))</f>
        <v>87% economic need; 0.59 mi fresh access; 12 nearby resources</v>
      </c>
      <c r="L144" s="146" t="str">
        <f ca="1">IF($M144=0,"",IF(INDEX(Data!$AN$2051:$AN$2550,$M144)=0,"",IF(INDEX(Data!$U$41:$U$540,INDEX(Data!$AN$2051:$AN$2550,$M144))="","",INDEX(Data!$U$41:$U$540,INDEX(Data!$AN$2051:$AN$2550,$M144)))))</f>
        <v>215-400-7210</v>
      </c>
      <c r="M144" s="132">
        <f ca="1">IF(COUNTIFS(Data!$AV$2051:$AV$2550,132)=1,MATCH(132,Data!$AV$2051:$AV$2550,0),0)</f>
        <v>191</v>
      </c>
      <c r="N144" s="150" t="str">
        <f ca="1">IF($M144=0,"",IF(INDEX(Data!$I$2051:$I$2550,$M144)=0,"Add ID","Row "&amp;(INDEX(Data!$I$2051:$I$2550,$M144)+7)))</f>
        <v>Row 265</v>
      </c>
    </row>
    <row r="145" spans="1:14" ht="40" customHeight="1">
      <c r="A145" s="135">
        <f ca="1">IF($M145=0,"",INDEX(Data!$W$2051:$W$2550,$M145))</f>
        <v>133</v>
      </c>
      <c r="B145" s="138" t="str">
        <f ca="1">IF($M145=0,"",INDEX(Data!$B$2051:$B$2550,$M145))</f>
        <v>Mastery Charter School at Harrity</v>
      </c>
      <c r="C145" s="141" t="str">
        <f ca="1">IF($M145=0,"",INDEX(Data!$C$2051:$C$2550,$M145))</f>
        <v>Charter</v>
      </c>
      <c r="D145" s="141" t="str">
        <f ca="1">IF($M145=0,"",INDEX(Data!$D$2051:$D$2550,$M145))</f>
        <v>Elementary-Middle</v>
      </c>
      <c r="E145" s="142">
        <f ca="1">IF($M145=0,"",INDEX(Data!$G$2051:$G$2550,$M145))</f>
        <v>0.99070000000000003</v>
      </c>
      <c r="F145" s="141">
        <f ca="1">IF($M145=0,"",INDEX(Data!$F$2051:$F$2550,$M145))</f>
        <v>753</v>
      </c>
      <c r="G145" s="143">
        <f ca="1">IF($M145=0,"",INDEX(Data!$K$2051:$K$2550,$M145))</f>
        <v>0.20122199767020996</v>
      </c>
      <c r="H145" s="141">
        <f ca="1">IF($M145=0,"",INDEX(Data!$L$2051:$L$2550,$M145))</f>
        <v>9</v>
      </c>
      <c r="I145" s="144">
        <f ca="1">IF($M145=0,"",INDEX(Data!$T$2051:$T$2550,$M145))</f>
        <v>40</v>
      </c>
      <c r="J145" s="141" t="str">
        <f ca="1">IF($M145=0,"",INDEX(Data!$U$2051:$U$2550,$M145))</f>
        <v>Listed</v>
      </c>
      <c r="K145" s="141" t="str">
        <f ca="1">IF($M145=0,"",INDEX(Data!$AA$2051:$AA$2550,$M145))</f>
        <v>99% economic need; 0.20 mi fresh access; 9 nearby resources</v>
      </c>
      <c r="L145" s="141" t="str">
        <f ca="1">IF($M145=0,"",IF(INDEX(Data!$AN$2051:$AN$2550,$M145)=0,"",IF(INDEX(Data!$U$41:$U$540,INDEX(Data!$AN$2051:$AN$2550,$M145))="","",INDEX(Data!$U$41:$U$540,INDEX(Data!$AN$2051:$AN$2550,$M145)))))</f>
        <v>215-471-2908</v>
      </c>
      <c r="M145" s="132">
        <f ca="1">IF(COUNTIFS(Data!$AV$2051:$AV$2550,133)=1,MATCH(133,Data!$AV$2051:$AV$2550,0),0)</f>
        <v>127</v>
      </c>
      <c r="N145" s="145" t="str">
        <f ca="1">IF($M145=0,"",IF(INDEX(Data!$I$2051:$I$2550,$M145)=0,"Add ID","Row "&amp;(INDEX(Data!$I$2051:$I$2550,$M145)+7)))</f>
        <v>Row 194</v>
      </c>
    </row>
    <row r="146" spans="1:14" ht="40" customHeight="1">
      <c r="A146" s="136">
        <f ca="1">IF($M146=0,"",INDEX(Data!$W$2051:$W$2550,$M146))</f>
        <v>134</v>
      </c>
      <c r="B146" s="139" t="str">
        <f ca="1">IF($M146=0,"",INDEX(Data!$B$2051:$B$2550,$M146))</f>
        <v>Community Academy of Philadelphia Charter School</v>
      </c>
      <c r="C146" s="146" t="str">
        <f ca="1">IF($M146=0,"",INDEX(Data!$C$2051:$C$2550,$M146))</f>
        <v>Charter</v>
      </c>
      <c r="D146" s="146" t="str">
        <f ca="1">IF($M146=0,"",INDEX(Data!$D$2051:$D$2550,$M146))</f>
        <v>Elementary-Middle-High</v>
      </c>
      <c r="E146" s="147">
        <f ca="1">IF($M146=0,"",INDEX(Data!$G$2051:$G$2550,$M146))</f>
        <v>0.91139999999999999</v>
      </c>
      <c r="F146" s="146">
        <f ca="1">IF($M146=0,"",INDEX(Data!$F$2051:$F$2550,$M146))</f>
        <v>1251</v>
      </c>
      <c r="G146" s="148">
        <f ca="1">IF($M146=0,"",INDEX(Data!$K$2051:$K$2550,$M146))</f>
        <v>0.15687259846166368</v>
      </c>
      <c r="H146" s="146">
        <f ca="1">IF($M146=0,"",INDEX(Data!$L$2051:$L$2550,$M146))</f>
        <v>7</v>
      </c>
      <c r="I146" s="149">
        <f ca="1">IF($M146=0,"",INDEX(Data!$T$2051:$T$2550,$M146))</f>
        <v>40</v>
      </c>
      <c r="J146" s="146" t="str">
        <f ca="1">IF($M146=0,"",INDEX(Data!$U$2051:$U$2550,$M146))</f>
        <v>Listed</v>
      </c>
      <c r="K146" s="146" t="str">
        <f ca="1">IF($M146=0,"",INDEX(Data!$AA$2051:$AA$2550,$M146))</f>
        <v>91% economic need; 0.16 mi fresh access; 7 nearby resources</v>
      </c>
      <c r="L146" s="146" t="str">
        <f ca="1">IF($M146=0,"",IF(INDEX(Data!$AN$2051:$AN$2550,$M146)=0,"",IF(INDEX(Data!$U$41:$U$540,INDEX(Data!$AN$2051:$AN$2550,$M146))="","",INDEX(Data!$U$41:$U$540,INDEX(Data!$AN$2051:$AN$2550,$M146)))))</f>
        <v>215-533-6700</v>
      </c>
      <c r="M146" s="132">
        <f ca="1">IF(COUNTIFS(Data!$AV$2051:$AV$2550,134)=1,MATCH(134,Data!$AV$2051:$AV$2550,0),0)</f>
        <v>73</v>
      </c>
      <c r="N146" s="150" t="str">
        <f ca="1">IF($M146=0,"",IF(INDEX(Data!$I$2051:$I$2550,$M146)=0,"Add ID","Row "&amp;(INDEX(Data!$I$2051:$I$2550,$M146)+7)))</f>
        <v>Row 51</v>
      </c>
    </row>
    <row r="147" spans="1:14" ht="40" customHeight="1">
      <c r="A147" s="135">
        <f ca="1">IF($M147=0,"",INDEX(Data!$W$2051:$W$2550,$M147))</f>
        <v>135</v>
      </c>
      <c r="B147" s="138" t="str">
        <f ca="1">IF($M147=0,"",INDEX(Data!$B$2051:$B$2550,$M147))</f>
        <v>Maritime Academy Charter School</v>
      </c>
      <c r="C147" s="141" t="str">
        <f ca="1">IF($M147=0,"",INDEX(Data!$C$2051:$C$2550,$M147))</f>
        <v>Charter</v>
      </c>
      <c r="D147" s="141" t="str">
        <f ca="1">IF($M147=0,"",INDEX(Data!$D$2051:$D$2550,$M147))</f>
        <v>Elementary-Middle-High</v>
      </c>
      <c r="E147" s="142">
        <f ca="1">IF($M147=0,"",INDEX(Data!$G$2051:$G$2550,$M147))</f>
        <v>0.88280000000000003</v>
      </c>
      <c r="F147" s="141">
        <f ca="1">IF($M147=0,"",INDEX(Data!$F$2051:$F$2550,$M147))</f>
        <v>833</v>
      </c>
      <c r="G147" s="143">
        <f ca="1">IF($M147=0,"",INDEX(Data!$K$2051:$K$2550,$M147))</f>
        <v>0.27346367730613097</v>
      </c>
      <c r="H147" s="141">
        <f ca="1">IF($M147=0,"",INDEX(Data!$L$2051:$L$2550,$M147))</f>
        <v>6</v>
      </c>
      <c r="I147" s="144">
        <f ca="1">IF($M147=0,"",INDEX(Data!$T$2051:$T$2550,$M147))</f>
        <v>40</v>
      </c>
      <c r="J147" s="141" t="str">
        <f ca="1">IF($M147=0,"",INDEX(Data!$U$2051:$U$2550,$M147))</f>
        <v>Listed</v>
      </c>
      <c r="K147" s="141" t="str">
        <f ca="1">IF($M147=0,"",INDEX(Data!$AA$2051:$AA$2550,$M147))</f>
        <v>88% economic need; 0.27 mi fresh access; 6 nearby resources</v>
      </c>
      <c r="L147" s="141" t="str">
        <f ca="1">IF($M147=0,"",IF(INDEX(Data!$AN$2051:$AN$2550,$M147)=0,"",IF(INDEX(Data!$U$41:$U$540,INDEX(Data!$AN$2051:$AN$2550,$M147))="","",INDEX(Data!$U$41:$U$540,INDEX(Data!$AN$2051:$AN$2550,$M147)))))</f>
        <v>215-535-4555</v>
      </c>
      <c r="M147" s="132">
        <f ca="1">IF(COUNTIFS(Data!$AV$2051:$AV$2550,135)=1,MATCH(135,Data!$AV$2051:$AV$2550,0),0)</f>
        <v>108</v>
      </c>
      <c r="N147" s="145" t="str">
        <f ca="1">IF($M147=0,"",IF(INDEX(Data!$I$2051:$I$2550,$M147)=0,"Add ID","Row "&amp;(INDEX(Data!$I$2051:$I$2550,$M147)+7)))</f>
        <v>Row 182</v>
      </c>
    </row>
    <row r="148" spans="1:14" ht="40" customHeight="1">
      <c r="A148" s="136">
        <f ca="1">IF($M148=0,"",INDEX(Data!$W$2051:$W$2550,$M148))</f>
        <v>136</v>
      </c>
      <c r="B148" s="139" t="str">
        <f ca="1">IF($M148=0,"",INDEX(Data!$B$2051:$B$2550,$M148))</f>
        <v>Impact Charter School West</v>
      </c>
      <c r="C148" s="146" t="str">
        <f ca="1">IF($M148=0,"",INDEX(Data!$C$2051:$C$2550,$M148))</f>
        <v>Charter</v>
      </c>
      <c r="D148" s="146" t="str">
        <f ca="1">IF($M148=0,"",INDEX(Data!$D$2051:$D$2550,$M148))</f>
        <v>Elementary-Middle</v>
      </c>
      <c r="E148" s="147">
        <f ca="1">IF($M148=0,"",INDEX(Data!$G$2051:$G$2550,$M148))</f>
        <v>0.874</v>
      </c>
      <c r="F148" s="146">
        <f ca="1">IF($M148=0,"",INDEX(Data!$F$2051:$F$2550,$M148))</f>
        <v>833</v>
      </c>
      <c r="G148" s="148">
        <f ca="1">IF($M148=0,"",INDEX(Data!$K$2051:$K$2550,$M148))</f>
        <v>0.36316271827883184</v>
      </c>
      <c r="H148" s="146">
        <f ca="1">IF($M148=0,"",INDEX(Data!$L$2051:$L$2550,$M148))</f>
        <v>10</v>
      </c>
      <c r="I148" s="149">
        <f ca="1">IF($M148=0,"",INDEX(Data!$T$2051:$T$2550,$M148))</f>
        <v>40</v>
      </c>
      <c r="J148" s="146" t="str">
        <f ca="1">IF($M148=0,"",INDEX(Data!$U$2051:$U$2550,$M148))</f>
        <v>Listed</v>
      </c>
      <c r="K148" s="146" t="str">
        <f ca="1">IF($M148=0,"",INDEX(Data!$AA$2051:$AA$2550,$M148))</f>
        <v>87% economic need; 0.36 mi fresh access; 10 nearby resources</v>
      </c>
      <c r="L148" s="146" t="str">
        <f ca="1">IF($M148=0,"",IF(INDEX(Data!$AN$2051:$AN$2550,$M148)=0,"",IF(INDEX(Data!$U$41:$U$540,INDEX(Data!$AN$2051:$AN$2550,$M148))="","",INDEX(Data!$U$41:$U$540,INDEX(Data!$AN$2051:$AN$2550,$M148)))))</f>
        <v/>
      </c>
      <c r="M148" s="132">
        <f ca="1">IF(COUNTIFS(Data!$AV$2051:$AV$2550,136)=1,MATCH(136,Data!$AV$2051:$AV$2550,0),0)</f>
        <v>148</v>
      </c>
      <c r="N148" s="150" t="str">
        <f ca="1">IF($M148=0,"",IF(INDEX(Data!$I$2051:$I$2550,$M148)=0,"Add ID","Row "&amp;(INDEX(Data!$I$2051:$I$2550,$M148)+7)))</f>
        <v>Row 127</v>
      </c>
    </row>
    <row r="149" spans="1:14" ht="40" customHeight="1">
      <c r="A149" s="135">
        <f ca="1">IF($M149=0,"",INDEX(Data!$W$2051:$W$2550,$M149))</f>
        <v>137</v>
      </c>
      <c r="B149" s="138" t="str">
        <f ca="1">IF($M149=0,"",INDEX(Data!$B$2051:$B$2550,$M149))</f>
        <v>Mastery Charter School at Smedley</v>
      </c>
      <c r="C149" s="141" t="str">
        <f ca="1">IF($M149=0,"",INDEX(Data!$C$2051:$C$2550,$M149))</f>
        <v>Charter</v>
      </c>
      <c r="D149" s="141" t="str">
        <f ca="1">IF($M149=0,"",INDEX(Data!$D$2051:$D$2550,$M149))</f>
        <v>Elementary</v>
      </c>
      <c r="E149" s="142">
        <f ca="1">IF($M149=0,"",INDEX(Data!$G$2051:$G$2550,$M149))</f>
        <v>0.86309999999999998</v>
      </c>
      <c r="F149" s="141">
        <f ca="1">IF($M149=0,"",INDEX(Data!$F$2051:$F$2550,$M149))</f>
        <v>737</v>
      </c>
      <c r="G149" s="143">
        <f ca="1">IF($M149=0,"",INDEX(Data!$K$2051:$K$2550,$M149))</f>
        <v>0.25579541821587615</v>
      </c>
      <c r="H149" s="141">
        <f ca="1">IF($M149=0,"",INDEX(Data!$L$2051:$L$2550,$M149))</f>
        <v>10</v>
      </c>
      <c r="I149" s="144">
        <f ca="1">IF($M149=0,"",INDEX(Data!$T$2051:$T$2550,$M149))</f>
        <v>40</v>
      </c>
      <c r="J149" s="141" t="str">
        <f ca="1">IF($M149=0,"",INDEX(Data!$U$2051:$U$2550,$M149))</f>
        <v>Listed</v>
      </c>
      <c r="K149" s="141" t="str">
        <f ca="1">IF($M149=0,"",INDEX(Data!$AA$2051:$AA$2550,$M149))</f>
        <v>86% economic need; 0.26 mi fresh access; 10 nearby resources</v>
      </c>
      <c r="L149" s="141" t="str">
        <f ca="1">IF($M149=0,"",IF(INDEX(Data!$AN$2051:$AN$2550,$M149)=0,"",IF(INDEX(Data!$U$41:$U$540,INDEX(Data!$AN$2051:$AN$2550,$M149))="","",INDEX(Data!$U$41:$U$540,INDEX(Data!$AN$2051:$AN$2550,$M149)))))</f>
        <v>215-537-2523</v>
      </c>
      <c r="M149" s="132">
        <f ca="1">IF(COUNTIFS(Data!$AV$2051:$AV$2550,137)=1,MATCH(137,Data!$AV$2051:$AV$2550,0),0)</f>
        <v>129</v>
      </c>
      <c r="N149" s="145" t="str">
        <f ca="1">IF($M149=0,"",IF(INDEX(Data!$I$2051:$I$2550,$M149)=0,"Add ID","Row "&amp;(INDEX(Data!$I$2051:$I$2550,$M149)+7)))</f>
        <v>Row 199</v>
      </c>
    </row>
    <row r="150" spans="1:14" ht="40" customHeight="1">
      <c r="A150" s="136">
        <f ca="1">IF($M150=0,"",INDEX(Data!$W$2051:$W$2550,$M150))</f>
        <v>138</v>
      </c>
      <c r="B150" s="139" t="str">
        <f ca="1">IF($M150=0,"",INDEX(Data!$B$2051:$B$2550,$M150))</f>
        <v>Pan American Academy Charter School</v>
      </c>
      <c r="C150" s="146" t="str">
        <f ca="1">IF($M150=0,"",INDEX(Data!$C$2051:$C$2550,$M150))</f>
        <v>Charter</v>
      </c>
      <c r="D150" s="146" t="str">
        <f ca="1">IF($M150=0,"",INDEX(Data!$D$2051:$D$2550,$M150))</f>
        <v>Elementary-Middle</v>
      </c>
      <c r="E150" s="147">
        <f ca="1">IF($M150=0,"",INDEX(Data!$G$2051:$G$2550,$M150))</f>
        <v>0.86170000000000002</v>
      </c>
      <c r="F150" s="146">
        <f ca="1">IF($M150=0,"",INDEX(Data!$F$2051:$F$2550,$M150))</f>
        <v>767</v>
      </c>
      <c r="G150" s="148">
        <f ca="1">IF($M150=0,"",INDEX(Data!$K$2051:$K$2550,$M150))</f>
        <v>0.30659980523741776</v>
      </c>
      <c r="H150" s="146">
        <f ca="1">IF($M150=0,"",INDEX(Data!$L$2051:$L$2550,$M150))</f>
        <v>12</v>
      </c>
      <c r="I150" s="149">
        <f ca="1">IF($M150=0,"",INDEX(Data!$T$2051:$T$2550,$M150))</f>
        <v>40</v>
      </c>
      <c r="J150" s="146" t="str">
        <f ca="1">IF($M150=0,"",INDEX(Data!$U$2051:$U$2550,$M150))</f>
        <v>Listed</v>
      </c>
      <c r="K150" s="146" t="str">
        <f ca="1">IF($M150=0,"",INDEX(Data!$AA$2051:$AA$2550,$M150))</f>
        <v>86% economic need; 0.31 mi fresh access; 12 nearby resources</v>
      </c>
      <c r="L150" s="146" t="str">
        <f ca="1">IF($M150=0,"",IF(INDEX(Data!$AN$2051:$AN$2550,$M150)=0,"",IF(INDEX(Data!$U$41:$U$540,INDEX(Data!$AN$2051:$AN$2550,$M150))="","",INDEX(Data!$U$41:$U$540,INDEX(Data!$AN$2051:$AN$2550,$M150)))))</f>
        <v>215-425-1212</v>
      </c>
      <c r="M150" s="132">
        <f ca="1">IF(COUNTIFS(Data!$AV$2051:$AV$2550,138)=1,MATCH(138,Data!$AV$2051:$AV$2550,0),0)</f>
        <v>122</v>
      </c>
      <c r="N150" s="150" t="str">
        <f ca="1">IF($M150=0,"",IF(INDEX(Data!$I$2051:$I$2550,$M150)=0,"Add ID","Row "&amp;(INDEX(Data!$I$2051:$I$2550,$M150)+7)))</f>
        <v>Row 228</v>
      </c>
    </row>
    <row r="151" spans="1:14" ht="40" customHeight="1">
      <c r="A151" s="135">
        <f ca="1">IF($M151=0,"",INDEX(Data!$W$2051:$W$2550,$M151))</f>
        <v>139</v>
      </c>
      <c r="B151" s="138" t="str">
        <f ca="1">IF($M151=0,"",INDEX(Data!$B$2051:$B$2550,$M151))</f>
        <v>West Philadelphia High School</v>
      </c>
      <c r="C151" s="141" t="str">
        <f ca="1">IF($M151=0,"",INDEX(Data!$C$2051:$C$2550,$M151))</f>
        <v>District</v>
      </c>
      <c r="D151" s="141" t="str">
        <f ca="1">IF($M151=0,"",INDEX(Data!$D$2051:$D$2550,$M151))</f>
        <v>High</v>
      </c>
      <c r="E151" s="142">
        <f ca="1">IF($M151=0,"",INDEX(Data!$G$2051:$G$2550,$M151))</f>
        <v>0.84560000000000002</v>
      </c>
      <c r="F151" s="141">
        <f ca="1">IF($M151=0,"",INDEX(Data!$F$2051:$F$2550,$M151))</f>
        <v>729</v>
      </c>
      <c r="G151" s="143">
        <f ca="1">IF($M151=0,"",INDEX(Data!$K$2051:$K$2550,$M151))</f>
        <v>0.35675630166563865</v>
      </c>
      <c r="H151" s="141">
        <f ca="1">IF($M151=0,"",INDEX(Data!$L$2051:$L$2550,$M151))</f>
        <v>14</v>
      </c>
      <c r="I151" s="144">
        <f ca="1">IF($M151=0,"",INDEX(Data!$T$2051:$T$2550,$M151))</f>
        <v>40</v>
      </c>
      <c r="J151" s="141" t="str">
        <f ca="1">IF($M151=0,"",INDEX(Data!$U$2051:$U$2550,$M151))</f>
        <v>Listed</v>
      </c>
      <c r="K151" s="141" t="str">
        <f ca="1">IF($M151=0,"",INDEX(Data!$AA$2051:$AA$2550,$M151))</f>
        <v>85% economic need; 0.36 mi fresh access; 14 nearby resources</v>
      </c>
      <c r="L151" s="141" t="str">
        <f ca="1">IF($M151=0,"",IF(INDEX(Data!$AN$2051:$AN$2550,$M151)=0,"",IF(INDEX(Data!$U$41:$U$540,INDEX(Data!$AN$2051:$AN$2550,$M151))="","",INDEX(Data!$U$41:$U$540,INDEX(Data!$AN$2051:$AN$2550,$M151)))))</f>
        <v>215-400-7900</v>
      </c>
      <c r="M151" s="132">
        <f ca="1">IF(COUNTIFS(Data!$AV$2051:$AV$2550,139)=1,MATCH(139,Data!$AV$2051:$AV$2550,0),0)</f>
        <v>2</v>
      </c>
      <c r="N151" s="145" t="str">
        <f ca="1">IF($M151=0,"",IF(INDEX(Data!$I$2051:$I$2550,$M151)=0,"Add ID","Row "&amp;(INDEX(Data!$I$2051:$I$2550,$M151)+7)))</f>
        <v>Row 317</v>
      </c>
    </row>
    <row r="152" spans="1:14" ht="40" customHeight="1">
      <c r="A152" s="136">
        <f ca="1">IF($M152=0,"",INDEX(Data!$W$2051:$W$2550,$M152))</f>
        <v>140</v>
      </c>
      <c r="B152" s="139" t="str">
        <f ca="1">IF($M152=0,"",INDEX(Data!$B$2051:$B$2550,$M152))</f>
        <v>Thomas A. Edison High School</v>
      </c>
      <c r="C152" s="146" t="str">
        <f ca="1">IF($M152=0,"",INDEX(Data!$C$2051:$C$2550,$M152))</f>
        <v>District</v>
      </c>
      <c r="D152" s="146" t="str">
        <f ca="1">IF($M152=0,"",INDEX(Data!$D$2051:$D$2550,$M152))</f>
        <v>High</v>
      </c>
      <c r="E152" s="147">
        <f ca="1">IF($M152=0,"",INDEX(Data!$G$2051:$G$2550,$M152))</f>
        <v>0.84179999999999999</v>
      </c>
      <c r="F152" s="146">
        <f ca="1">IF($M152=0,"",INDEX(Data!$F$2051:$F$2550,$M152))</f>
        <v>1022</v>
      </c>
      <c r="G152" s="148">
        <f ca="1">IF($M152=0,"",INDEX(Data!$K$2051:$K$2550,$M152))</f>
        <v>0.38478756667770925</v>
      </c>
      <c r="H152" s="146">
        <f ca="1">IF($M152=0,"",INDEX(Data!$L$2051:$L$2550,$M152))</f>
        <v>11</v>
      </c>
      <c r="I152" s="149">
        <f ca="1">IF($M152=0,"",INDEX(Data!$T$2051:$T$2550,$M152))</f>
        <v>40</v>
      </c>
      <c r="J152" s="146" t="str">
        <f ca="1">IF($M152=0,"",INDEX(Data!$U$2051:$U$2550,$M152))</f>
        <v>Listed</v>
      </c>
      <c r="K152" s="146" t="str">
        <f ca="1">IF($M152=0,"",INDEX(Data!$AA$2051:$AA$2550,$M152))</f>
        <v>84% economic need; 0.38 mi fresh access; 11 nearby resources</v>
      </c>
      <c r="L152" s="146" t="str">
        <f ca="1">IF($M152=0,"",IF(INDEX(Data!$AN$2051:$AN$2550,$M152)=0,"",IF(INDEX(Data!$U$41:$U$540,INDEX(Data!$AN$2051:$AN$2550,$M152))="","",INDEX(Data!$U$41:$U$540,INDEX(Data!$AN$2051:$AN$2550,$M152)))))</f>
        <v>215-400-3900</v>
      </c>
      <c r="M152" s="132">
        <f ca="1">IF(COUNTIFS(Data!$AV$2051:$AV$2550,140)=1,MATCH(140,Data!$AV$2051:$AV$2550,0),0)</f>
        <v>179</v>
      </c>
      <c r="N152" s="150" t="str">
        <f ca="1">IF($M152=0,"",IF(INDEX(Data!$I$2051:$I$2550,$M152)=0,"Add ID","Row "&amp;(INDEX(Data!$I$2051:$I$2550,$M152)+7)))</f>
        <v>Row 299</v>
      </c>
    </row>
    <row r="153" spans="1:14" ht="40" customHeight="1">
      <c r="A153" s="135">
        <f ca="1">IF($M153=0,"",INDEX(Data!$W$2051:$W$2550,$M153))</f>
        <v>141</v>
      </c>
      <c r="B153" s="138" t="str">
        <f ca="1">IF($M153=0,"",INDEX(Data!$B$2051:$B$2550,$M153))</f>
        <v>Mariana Bracetti Academy Charter School</v>
      </c>
      <c r="C153" s="141" t="str">
        <f ca="1">IF($M153=0,"",INDEX(Data!$C$2051:$C$2550,$M153))</f>
        <v>Charter</v>
      </c>
      <c r="D153" s="141" t="str">
        <f ca="1">IF($M153=0,"",INDEX(Data!$D$2051:$D$2550,$M153))</f>
        <v>Elementary-Middle-High</v>
      </c>
      <c r="E153" s="142">
        <f ca="1">IF($M153=0,"",INDEX(Data!$G$2051:$G$2550,$M153))</f>
        <v>0.82220000000000004</v>
      </c>
      <c r="F153" s="141">
        <f ca="1">IF($M153=0,"",INDEX(Data!$F$2051:$F$2550,$M153))</f>
        <v>1520</v>
      </c>
      <c r="G153" s="143">
        <f ca="1">IF($M153=0,"",INDEX(Data!$K$2051:$K$2550,$M153))</f>
        <v>0.25781245256366847</v>
      </c>
      <c r="H153" s="141">
        <f ca="1">IF($M153=0,"",INDEX(Data!$L$2051:$L$2550,$M153))</f>
        <v>9</v>
      </c>
      <c r="I153" s="144">
        <f ca="1">IF($M153=0,"",INDEX(Data!$T$2051:$T$2550,$M153))</f>
        <v>40</v>
      </c>
      <c r="J153" s="141" t="str">
        <f ca="1">IF($M153=0,"",INDEX(Data!$U$2051:$U$2550,$M153))</f>
        <v>Listed</v>
      </c>
      <c r="K153" s="141" t="str">
        <f ca="1">IF($M153=0,"",INDEX(Data!$AA$2051:$AA$2550,$M153))</f>
        <v>82% economic need; 0.26 mi fresh access; 9 nearby resources</v>
      </c>
      <c r="L153" s="141" t="str">
        <f ca="1">IF($M153=0,"",IF(INDEX(Data!$AN$2051:$AN$2550,$M153)=0,"",IF(INDEX(Data!$U$41:$U$540,INDEX(Data!$AN$2051:$AN$2550,$M153))="","",INDEX(Data!$U$41:$U$540,INDEX(Data!$AN$2051:$AN$2550,$M153)))))</f>
        <v>215-291-4436</v>
      </c>
      <c r="M153" s="132">
        <f ca="1">IF(COUNTIFS(Data!$AV$2051:$AV$2550,141)=1,MATCH(141,Data!$AV$2051:$AV$2550,0),0)</f>
        <v>92</v>
      </c>
      <c r="N153" s="145" t="str">
        <f ca="1">IF($M153=0,"",IF(INDEX(Data!$I$2051:$I$2550,$M153)=0,"Add ID","Row "&amp;(INDEX(Data!$I$2051:$I$2550,$M153)+7)))</f>
        <v>Row 181</v>
      </c>
    </row>
    <row r="154" spans="1:14" ht="40" customHeight="1">
      <c r="A154" s="136">
        <f ca="1">IF($M154=0,"",INDEX(Data!$W$2051:$W$2550,$M154))</f>
        <v>142</v>
      </c>
      <c r="B154" s="139" t="str">
        <f ca="1">IF($M154=0,"",INDEX(Data!$B$2051:$B$2550,$M154))</f>
        <v>Frankford High School</v>
      </c>
      <c r="C154" s="146" t="str">
        <f ca="1">IF($M154=0,"",INDEX(Data!$C$2051:$C$2550,$M154))</f>
        <v>District</v>
      </c>
      <c r="D154" s="146" t="str">
        <f ca="1">IF($M154=0,"",INDEX(Data!$D$2051:$D$2550,$M154))</f>
        <v>High</v>
      </c>
      <c r="E154" s="147">
        <f ca="1">IF($M154=0,"",INDEX(Data!$G$2051:$G$2550,$M154))</f>
        <v>0.80400000000000005</v>
      </c>
      <c r="F154" s="146">
        <f ca="1">IF($M154=0,"",INDEX(Data!$F$2051:$F$2550,$M154))</f>
        <v>908</v>
      </c>
      <c r="G154" s="148">
        <f ca="1">IF($M154=0,"",INDEX(Data!$K$2051:$K$2550,$M154))</f>
        <v>0.47425198671318852</v>
      </c>
      <c r="H154" s="146">
        <f ca="1">IF($M154=0,"",INDEX(Data!$L$2051:$L$2550,$M154))</f>
        <v>7</v>
      </c>
      <c r="I154" s="149">
        <f ca="1">IF($M154=0,"",INDEX(Data!$T$2051:$T$2550,$M154))</f>
        <v>40</v>
      </c>
      <c r="J154" s="146" t="str">
        <f ca="1">IF($M154=0,"",INDEX(Data!$U$2051:$U$2550,$M154))</f>
        <v>Listed</v>
      </c>
      <c r="K154" s="146" t="str">
        <f ca="1">IF($M154=0,"",INDEX(Data!$AA$2051:$AA$2550,$M154))</f>
        <v>80% economic need; 0.47 mi fresh access; 7 nearby resources</v>
      </c>
      <c r="L154" s="146" t="str">
        <f ca="1">IF($M154=0,"",IF(INDEX(Data!$AN$2051:$AN$2550,$M154)=0,"",IF(INDEX(Data!$U$41:$U$540,INDEX(Data!$AN$2051:$AN$2550,$M154))="","",INDEX(Data!$U$41:$U$540,INDEX(Data!$AN$2051:$AN$2550,$M154)))))</f>
        <v>215-400-7200</v>
      </c>
      <c r="M154" s="132">
        <f ca="1">IF(COUNTIFS(Data!$AV$2051:$AV$2550,142)=1,MATCH(142,Data!$AV$2051:$AV$2550,0),0)</f>
        <v>252</v>
      </c>
      <c r="N154" s="150" t="str">
        <f ca="1">IF($M154=0,"",IF(INDEX(Data!$I$2051:$I$2550,$M154)=0,"Add ID","Row "&amp;(INDEX(Data!$I$2051:$I$2550,$M154)+7)))</f>
        <v>Row 89</v>
      </c>
    </row>
    <row r="155" spans="1:14" ht="40" customHeight="1">
      <c r="A155" s="135">
        <f ca="1">IF($M155=0,"",INDEX(Data!$W$2051:$W$2550,$M155))</f>
        <v>143</v>
      </c>
      <c r="B155" s="138" t="str">
        <f ca="1">IF($M155=0,"",INDEX(Data!$B$2051:$B$2550,$M155))</f>
        <v>Belmont Elementary Charter School</v>
      </c>
      <c r="C155" s="141" t="str">
        <f ca="1">IF($M155=0,"",INDEX(Data!$C$2051:$C$2550,$M155))</f>
        <v>Charter</v>
      </c>
      <c r="D155" s="141" t="str">
        <f ca="1">IF($M155=0,"",INDEX(Data!$D$2051:$D$2550,$M155))</f>
        <v>Elementary-Middle-High</v>
      </c>
      <c r="E155" s="142">
        <f ca="1">IF($M155=0,"",INDEX(Data!$G$2051:$G$2550,$M155))</f>
        <v>0.78810000000000002</v>
      </c>
      <c r="F155" s="141">
        <f ca="1">IF($M155=0,"",INDEX(Data!$F$2051:$F$2550,$M155))</f>
        <v>928</v>
      </c>
      <c r="G155" s="143">
        <f ca="1">IF($M155=0,"",INDEX(Data!$K$2051:$K$2550,$M155))</f>
        <v>0.68388717926855458</v>
      </c>
      <c r="H155" s="141">
        <f ca="1">IF($M155=0,"",INDEX(Data!$L$2051:$L$2550,$M155))</f>
        <v>12</v>
      </c>
      <c r="I155" s="144">
        <f ca="1">IF($M155=0,"",INDEX(Data!$T$2051:$T$2550,$M155))</f>
        <v>40</v>
      </c>
      <c r="J155" s="141" t="str">
        <f ca="1">IF($M155=0,"",INDEX(Data!$U$2051:$U$2550,$M155))</f>
        <v>Listed</v>
      </c>
      <c r="K155" s="141" t="str">
        <f ca="1">IF($M155=0,"",INDEX(Data!$AA$2051:$AA$2550,$M155))</f>
        <v>79% economic need; 0.68 mi fresh access; 12 nearby resources</v>
      </c>
      <c r="L155" s="141" t="str">
        <f ca="1">IF($M155=0,"",IF(INDEX(Data!$AN$2051:$AN$2550,$M155)=0,"",IF(INDEX(Data!$U$41:$U$540,INDEX(Data!$AN$2051:$AN$2550,$M155))="","",INDEX(Data!$U$41:$U$540,INDEX(Data!$AN$2051:$AN$2550,$M155)))))</f>
        <v>215-823-8208</v>
      </c>
      <c r="M155" s="132">
        <f ca="1">IF(COUNTIFS(Data!$AV$2051:$AV$2550,143)=1,MATCH(143,Data!$AV$2051:$AV$2550,0),0)</f>
        <v>109</v>
      </c>
      <c r="N155" s="145" t="str">
        <f ca="1">IF($M155=0,"",IF(INDEX(Data!$I$2051:$I$2550,$M155)=0,"Add ID","Row "&amp;(INDEX(Data!$I$2051:$I$2550,$M155)+7)))</f>
        <v>Row 35</v>
      </c>
    </row>
    <row r="156" spans="1:14" ht="40" customHeight="1">
      <c r="A156" s="136">
        <f ca="1">IF($M156=0,"",INDEX(Data!$W$2051:$W$2550,$M156))</f>
        <v>144</v>
      </c>
      <c r="B156" s="139" t="str">
        <f ca="1">IF($M156=0,"",INDEX(Data!$B$2051:$B$2550,$M156))</f>
        <v>Gilbert Spruance School</v>
      </c>
      <c r="C156" s="146" t="str">
        <f ca="1">IF($M156=0,"",INDEX(Data!$C$2051:$C$2550,$M156))</f>
        <v>District</v>
      </c>
      <c r="D156" s="146" t="str">
        <f ca="1">IF($M156=0,"",INDEX(Data!$D$2051:$D$2550,$M156))</f>
        <v>Elementary-Middle</v>
      </c>
      <c r="E156" s="147">
        <f ca="1">IF($M156=0,"",INDEX(Data!$G$2051:$G$2550,$M156))</f>
        <v>0.78769999999999996</v>
      </c>
      <c r="F156" s="146">
        <f ca="1">IF($M156=0,"",INDEX(Data!$F$2051:$F$2550,$M156))</f>
        <v>1259</v>
      </c>
      <c r="G156" s="148">
        <f ca="1">IF($M156=0,"",INDEX(Data!$K$2051:$K$2550,$M156))</f>
        <v>0.27189586889960465</v>
      </c>
      <c r="H156" s="146">
        <f ca="1">IF($M156=0,"",INDEX(Data!$L$2051:$L$2550,$M156))</f>
        <v>4</v>
      </c>
      <c r="I156" s="149">
        <f ca="1">IF($M156=0,"",INDEX(Data!$T$2051:$T$2550,$M156))</f>
        <v>40</v>
      </c>
      <c r="J156" s="146" t="str">
        <f ca="1">IF($M156=0,"",INDEX(Data!$U$2051:$U$2550,$M156))</f>
        <v>Listed</v>
      </c>
      <c r="K156" s="146" t="str">
        <f ca="1">IF($M156=0,"",INDEX(Data!$AA$2051:$AA$2550,$M156))</f>
        <v>79% economic need; 0.27 mi fresh access; 4 nearby resources</v>
      </c>
      <c r="L156" s="146" t="str">
        <f ca="1">IF($M156=0,"",IF(INDEX(Data!$AN$2051:$AN$2550,$M156)=0,"",IF(INDEX(Data!$U$41:$U$540,INDEX(Data!$AN$2051:$AN$2550,$M156))="","",INDEX(Data!$U$41:$U$540,INDEX(Data!$AN$2051:$AN$2550,$M156)))))</f>
        <v>215-400-3290</v>
      </c>
      <c r="M156" s="132">
        <f ca="1">IF(COUNTIFS(Data!$AV$2051:$AV$2550,144)=1,MATCH(144,Data!$AV$2051:$AV$2550,0),0)</f>
        <v>308</v>
      </c>
      <c r="N156" s="150" t="str">
        <f ca="1">IF($M156=0,"",IF(INDEX(Data!$I$2051:$I$2550,$M156)=0,"Add ID","Row "&amp;(INDEX(Data!$I$2051:$I$2550,$M156)+7)))</f>
        <v>Row 105</v>
      </c>
    </row>
    <row r="157" spans="1:14" ht="40" customHeight="1">
      <c r="A157" s="135">
        <f ca="1">IF($M157=0,"",INDEX(Data!$W$2051:$W$2550,$M157))</f>
        <v>145</v>
      </c>
      <c r="B157" s="138" t="str">
        <f ca="1">IF($M157=0,"",INDEX(Data!$B$2051:$B$2550,$M157))</f>
        <v>Ethan Allen School</v>
      </c>
      <c r="C157" s="141" t="str">
        <f ca="1">IF($M157=0,"",INDEX(Data!$C$2051:$C$2550,$M157))</f>
        <v>District</v>
      </c>
      <c r="D157" s="141" t="str">
        <f ca="1">IF($M157=0,"",INDEX(Data!$D$2051:$D$2550,$M157))</f>
        <v>Elementary-Middle</v>
      </c>
      <c r="E157" s="142">
        <f ca="1">IF($M157=0,"",INDEX(Data!$G$2051:$G$2550,$M157))</f>
        <v>0.75070000000000003</v>
      </c>
      <c r="F157" s="141">
        <f ca="1">IF($M157=0,"",INDEX(Data!$F$2051:$F$2550,$M157))</f>
        <v>1018</v>
      </c>
      <c r="G157" s="143">
        <f ca="1">IF($M157=0,"",INDEX(Data!$K$2051:$K$2550,$M157))</f>
        <v>0.28294524749778188</v>
      </c>
      <c r="H157" s="141">
        <f ca="1">IF($M157=0,"",INDEX(Data!$L$2051:$L$2550,$M157))</f>
        <v>4</v>
      </c>
      <c r="I157" s="144">
        <f ca="1">IF($M157=0,"",INDEX(Data!$T$2051:$T$2550,$M157))</f>
        <v>40</v>
      </c>
      <c r="J157" s="141" t="str">
        <f ca="1">IF($M157=0,"",INDEX(Data!$U$2051:$U$2550,$M157))</f>
        <v>Listed</v>
      </c>
      <c r="K157" s="141" t="str">
        <f ca="1">IF($M157=0,"",INDEX(Data!$AA$2051:$AA$2550,$M157))</f>
        <v>75% economic need; 0.28 mi fresh access; 4 nearby resources</v>
      </c>
      <c r="L157" s="141" t="str">
        <f ca="1">IF($M157=0,"",IF(INDEX(Data!$AN$2051:$AN$2550,$M157)=0,"",IF(INDEX(Data!$U$41:$U$540,INDEX(Data!$AN$2051:$AN$2550,$M157))="","",INDEX(Data!$U$41:$U$540,INDEX(Data!$AN$2051:$AN$2550,$M157)))))</f>
        <v>215-400-3270</v>
      </c>
      <c r="M157" s="132">
        <f ca="1">IF(COUNTIFS(Data!$AV$2051:$AV$2550,145)=1,MATCH(145,Data!$AV$2051:$AV$2550,0),0)</f>
        <v>298</v>
      </c>
      <c r="N157" s="145" t="str">
        <f ca="1">IF($M157=0,"",IF(INDEX(Data!$I$2051:$I$2550,$M157)=0,"Add ID","Row "&amp;(INDEX(Data!$I$2051:$I$2550,$M157)+7)))</f>
        <v>Row 72</v>
      </c>
    </row>
    <row r="158" spans="1:14" ht="40" customHeight="1">
      <c r="A158" s="136">
        <f ca="1">IF($M158=0,"",INDEX(Data!$W$2051:$W$2550,$M158))</f>
        <v>146</v>
      </c>
      <c r="B158" s="139" t="str">
        <f ca="1">IF($M158=0,"",INDEX(Data!$B$2051:$B$2550,$M158))</f>
        <v>William H. Loesche School</v>
      </c>
      <c r="C158" s="146" t="str">
        <f ca="1">IF($M158=0,"",INDEX(Data!$C$2051:$C$2550,$M158))</f>
        <v>District</v>
      </c>
      <c r="D158" s="146" t="str">
        <f ca="1">IF($M158=0,"",INDEX(Data!$D$2051:$D$2550,$M158))</f>
        <v>Elementary</v>
      </c>
      <c r="E158" s="147">
        <f ca="1">IF($M158=0,"",INDEX(Data!$G$2051:$G$2550,$M158))</f>
        <v>0.73460000000000003</v>
      </c>
      <c r="F158" s="146">
        <f ca="1">IF($M158=0,"",INDEX(Data!$F$2051:$F$2550,$M158))</f>
        <v>1276</v>
      </c>
      <c r="G158" s="148">
        <f ca="1">IF($M158=0,"",INDEX(Data!$K$2051:$K$2550,$M158))</f>
        <v>0.45647317626121353</v>
      </c>
      <c r="H158" s="146">
        <f ca="1">IF($M158=0,"",INDEX(Data!$L$2051:$L$2550,$M158))</f>
        <v>4</v>
      </c>
      <c r="I158" s="149">
        <f ca="1">IF($M158=0,"",INDEX(Data!$T$2051:$T$2550,$M158))</f>
        <v>40</v>
      </c>
      <c r="J158" s="146" t="str">
        <f ca="1">IF($M158=0,"",INDEX(Data!$U$2051:$U$2550,$M158))</f>
        <v>Listed</v>
      </c>
      <c r="K158" s="146" t="str">
        <f ca="1">IF($M158=0,"",INDEX(Data!$AA$2051:$AA$2550,$M158))</f>
        <v>73% economic need; 0.46 mi fresh access; 4 nearby resources</v>
      </c>
      <c r="L158" s="146" t="str">
        <f ca="1">IF($M158=0,"",IF(INDEX(Data!$AN$2051:$AN$2550,$M158)=0,"",IF(INDEX(Data!$U$41:$U$540,INDEX(Data!$AN$2051:$AN$2550,$M158))="","",INDEX(Data!$U$41:$U$540,INDEX(Data!$AN$2051:$AN$2550,$M158)))))</f>
        <v>215-400-3020</v>
      </c>
      <c r="M158" s="132">
        <f ca="1">IF(COUNTIFS(Data!$AV$2051:$AV$2550,146)=1,MATCH(146,Data!$AV$2051:$AV$2550,0),0)</f>
        <v>317</v>
      </c>
      <c r="N158" s="150" t="str">
        <f ca="1">IF($M158=0,"",IF(INDEX(Data!$I$2051:$I$2550,$M158)=0,"Add ID","Row "&amp;(INDEX(Data!$I$2051:$I$2550,$M158)+7)))</f>
        <v>Row 325</v>
      </c>
    </row>
    <row r="159" spans="1:14" ht="40" customHeight="1">
      <c r="A159" s="135">
        <f ca="1">IF($M159=0,"",INDEX(Data!$W$2051:$W$2550,$M159))</f>
        <v>147</v>
      </c>
      <c r="B159" s="138" t="str">
        <f ca="1">IF($M159=0,"",INDEX(Data!$B$2051:$B$2550,$M159))</f>
        <v>Wissahickon Charter School</v>
      </c>
      <c r="C159" s="141" t="str">
        <f ca="1">IF($M159=0,"",INDEX(Data!$C$2051:$C$2550,$M159))</f>
        <v>Charter</v>
      </c>
      <c r="D159" s="141" t="str">
        <f ca="1">IF($M159=0,"",INDEX(Data!$D$2051:$D$2550,$M159))</f>
        <v>Elementary-Middle</v>
      </c>
      <c r="E159" s="142">
        <f ca="1">IF($M159=0,"",INDEX(Data!$G$2051:$G$2550,$M159))</f>
        <v>0.72950000000000004</v>
      </c>
      <c r="F159" s="141">
        <f ca="1">IF($M159=0,"",INDEX(Data!$F$2051:$F$2550,$M159))</f>
        <v>998</v>
      </c>
      <c r="G159" s="143">
        <f ca="1">IF($M159=0,"",INDEX(Data!$K$2051:$K$2550,$M159))</f>
        <v>0.30447532178112002</v>
      </c>
      <c r="H159" s="141">
        <f ca="1">IF($M159=0,"",INDEX(Data!$L$2051:$L$2550,$M159))</f>
        <v>4</v>
      </c>
      <c r="I159" s="144">
        <f ca="1">IF($M159=0,"",INDEX(Data!$T$2051:$T$2550,$M159))</f>
        <v>40</v>
      </c>
      <c r="J159" s="141" t="str">
        <f ca="1">IF($M159=0,"",INDEX(Data!$U$2051:$U$2550,$M159))</f>
        <v>Listed</v>
      </c>
      <c r="K159" s="141" t="str">
        <f ca="1">IF($M159=0,"",INDEX(Data!$AA$2051:$AA$2550,$M159))</f>
        <v>73% economic need; 0.30 mi fresh access; 4 nearby resources</v>
      </c>
      <c r="L159" s="141" t="str">
        <f ca="1">IF($M159=0,"",IF(INDEX(Data!$AN$2051:$AN$2550,$M159)=0,"",IF(INDEX(Data!$U$41:$U$540,INDEX(Data!$AN$2051:$AN$2550,$M159))="","",INDEX(Data!$U$41:$U$540,INDEX(Data!$AN$2051:$AN$2550,$M159)))))</f>
        <v>267-338-1020</v>
      </c>
      <c r="M159" s="132">
        <f ca="1">IF(COUNTIFS(Data!$AV$2051:$AV$2550,147)=1,MATCH(147,Data!$AV$2051:$AV$2550,0),0)</f>
        <v>105</v>
      </c>
      <c r="N159" s="145" t="str">
        <f ca="1">IF($M159=0,"",IF(INDEX(Data!$I$2051:$I$2550,$M159)=0,"Add ID","Row "&amp;(INDEX(Data!$I$2051:$I$2550,$M159)+7)))</f>
        <v>Row 333</v>
      </c>
    </row>
    <row r="160" spans="1:14" ht="40" customHeight="1">
      <c r="A160" s="136">
        <f ca="1">IF($M160=0,"",INDEX(Data!$W$2051:$W$2550,$M160))</f>
        <v>148</v>
      </c>
      <c r="B160" s="139" t="str">
        <f ca="1">IF($M160=0,"",INDEX(Data!$B$2051:$B$2550,$M160))</f>
        <v>People for People Charter School</v>
      </c>
      <c r="C160" s="146" t="str">
        <f ca="1">IF($M160=0,"",INDEX(Data!$C$2051:$C$2550,$M160))</f>
        <v>Charter</v>
      </c>
      <c r="D160" s="146" t="str">
        <f ca="1">IF($M160=0,"",INDEX(Data!$D$2051:$D$2550,$M160))</f>
        <v>Elementary-Middle-High</v>
      </c>
      <c r="E160" s="147">
        <f ca="1">IF($M160=0,"",INDEX(Data!$G$2051:$G$2550,$M160))</f>
        <v>0.99809999999999999</v>
      </c>
      <c r="F160" s="146">
        <f ca="1">IF($M160=0,"",INDEX(Data!$F$2051:$F$2550,$M160))</f>
        <v>556</v>
      </c>
      <c r="G160" s="148">
        <f ca="1">IF($M160=0,"",INDEX(Data!$K$2051:$K$2550,$M160))</f>
        <v>0.1443955007665691</v>
      </c>
      <c r="H160" s="146">
        <f ca="1">IF($M160=0,"",INDEX(Data!$L$2051:$L$2550,$M160))</f>
        <v>11</v>
      </c>
      <c r="I160" s="149">
        <f ca="1">IF($M160=0,"",INDEX(Data!$T$2051:$T$2550,$M160))</f>
        <v>39</v>
      </c>
      <c r="J160" s="146" t="str">
        <f ca="1">IF($M160=0,"",INDEX(Data!$U$2051:$U$2550,$M160))</f>
        <v>Listed</v>
      </c>
      <c r="K160" s="146" t="str">
        <f ca="1">IF($M160=0,"",INDEX(Data!$AA$2051:$AA$2550,$M160))</f>
        <v>100% economic need; 0.14 mi fresh access; 11 nearby resources</v>
      </c>
      <c r="L160" s="146" t="str">
        <f ca="1">IF($M160=0,"",IF(INDEX(Data!$AN$2051:$AN$2550,$M160)=0,"",IF(INDEX(Data!$U$41:$U$540,INDEX(Data!$AN$2051:$AN$2550,$M160))="","",INDEX(Data!$U$41:$U$540,INDEX(Data!$AN$2051:$AN$2550,$M160)))))</f>
        <v>215-763-7060</v>
      </c>
      <c r="M160" s="132">
        <f ca="1">IF(COUNTIFS(Data!$AV$2051:$AV$2550,148)=1,MATCH(148,Data!$AV$2051:$AV$2550,0),0)</f>
        <v>95</v>
      </c>
      <c r="N160" s="150" t="str">
        <f ca="1">IF($M160=0,"",IF(INDEX(Data!$I$2051:$I$2550,$M160)=0,"Add ID","Row "&amp;(INDEX(Data!$I$2051:$I$2550,$M160)+7)))</f>
        <v>Row 237</v>
      </c>
    </row>
    <row r="161" spans="1:14" ht="40" customHeight="1">
      <c r="A161" s="135">
        <f ca="1">IF($M161=0,"",INDEX(Data!$W$2051:$W$2550,$M161))</f>
        <v>149</v>
      </c>
      <c r="B161" s="138" t="str">
        <f ca="1">IF($M161=0,"",INDEX(Data!$B$2051:$B$2550,$M161))</f>
        <v>Alliance For Progress Charter School</v>
      </c>
      <c r="C161" s="141" t="str">
        <f ca="1">IF($M161=0,"",INDEX(Data!$C$2051:$C$2550,$M161))</f>
        <v>Charter</v>
      </c>
      <c r="D161" s="141" t="str">
        <f ca="1">IF($M161=0,"",INDEX(Data!$D$2051:$D$2550,$M161))</f>
        <v>Elementary-Middle</v>
      </c>
      <c r="E161" s="142">
        <f ca="1">IF($M161=0,"",INDEX(Data!$G$2051:$G$2550,$M161))</f>
        <v>0.92700000000000005</v>
      </c>
      <c r="F161" s="141">
        <f ca="1">IF($M161=0,"",INDEX(Data!$F$2051:$F$2550,$M161))</f>
        <v>616</v>
      </c>
      <c r="G161" s="143">
        <f ca="1">IF($M161=0,"",INDEX(Data!$K$2051:$K$2550,$M161))</f>
        <v>0.21729732764076798</v>
      </c>
      <c r="H161" s="141">
        <f ca="1">IF($M161=0,"",INDEX(Data!$L$2051:$L$2550,$M161))</f>
        <v>14</v>
      </c>
      <c r="I161" s="144">
        <f ca="1">IF($M161=0,"",INDEX(Data!$T$2051:$T$2550,$M161))</f>
        <v>39</v>
      </c>
      <c r="J161" s="141" t="str">
        <f ca="1">IF($M161=0,"",INDEX(Data!$U$2051:$U$2550,$M161))</f>
        <v>Listed</v>
      </c>
      <c r="K161" s="141" t="str">
        <f ca="1">IF($M161=0,"",INDEX(Data!$AA$2051:$AA$2550,$M161))</f>
        <v>93% economic need; 0.22 mi fresh access; 14 nearby resources</v>
      </c>
      <c r="L161" s="141" t="str">
        <f ca="1">IF($M161=0,"",IF(INDEX(Data!$AN$2051:$AN$2550,$M161)=0,"",IF(INDEX(Data!$U$41:$U$540,INDEX(Data!$AN$2051:$AN$2550,$M161))="","",INDEX(Data!$U$41:$U$540,INDEX(Data!$AN$2051:$AN$2550,$M161)))))</f>
        <v>215-232-4892</v>
      </c>
      <c r="M161" s="132">
        <f ca="1">IF(COUNTIFS(Data!$AV$2051:$AV$2550,149)=1,MATCH(149,Data!$AV$2051:$AV$2550,0),0)</f>
        <v>84</v>
      </c>
      <c r="N161" s="145" t="str">
        <f ca="1">IF($M161=0,"",IF(INDEX(Data!$I$2051:$I$2550,$M161)=0,"Add ID","Row "&amp;(INDEX(Data!$I$2051:$I$2550,$M161)+7)))</f>
        <v>Row 22</v>
      </c>
    </row>
    <row r="162" spans="1:14" ht="40" customHeight="1">
      <c r="A162" s="136">
        <f ca="1">IF($M162=0,"",INDEX(Data!$W$2051:$W$2550,$M162))</f>
        <v>150</v>
      </c>
      <c r="B162" s="139" t="str">
        <f ca="1">IF($M162=0,"",INDEX(Data!$B$2051:$B$2550,$M162))</f>
        <v>Murrell Dobbins Career and Technical High School</v>
      </c>
      <c r="C162" s="146" t="str">
        <f ca="1">IF($M162=0,"",INDEX(Data!$C$2051:$C$2550,$M162))</f>
        <v>District</v>
      </c>
      <c r="D162" s="146" t="str">
        <f ca="1">IF($M162=0,"",INDEX(Data!$D$2051:$D$2550,$M162))</f>
        <v>High</v>
      </c>
      <c r="E162" s="147">
        <f ca="1">IF($M162=0,"",INDEX(Data!$G$2051:$G$2550,$M162))</f>
        <v>0.90639999999999998</v>
      </c>
      <c r="F162" s="146">
        <f ca="1">IF($M162=0,"",INDEX(Data!$F$2051:$F$2550,$M162))</f>
        <v>535</v>
      </c>
      <c r="G162" s="148">
        <f ca="1">IF($M162=0,"",INDEX(Data!$K$2051:$K$2550,$M162))</f>
        <v>4.4839469695336018E-2</v>
      </c>
      <c r="H162" s="146">
        <f ca="1">IF($M162=0,"",INDEX(Data!$L$2051:$L$2550,$M162))</f>
        <v>14</v>
      </c>
      <c r="I162" s="149">
        <f ca="1">IF($M162=0,"",INDEX(Data!$T$2051:$T$2550,$M162))</f>
        <v>39</v>
      </c>
      <c r="J162" s="146" t="str">
        <f ca="1">IF($M162=0,"",INDEX(Data!$U$2051:$U$2550,$M162))</f>
        <v>Listed</v>
      </c>
      <c r="K162" s="146" t="str">
        <f ca="1">IF($M162=0,"",INDEX(Data!$AA$2051:$AA$2550,$M162))</f>
        <v>91% economic need; 0.04 mi fresh access; 14 nearby resources</v>
      </c>
      <c r="L162" s="146" t="str">
        <f ca="1">IF($M162=0,"",IF(INDEX(Data!$AN$2051:$AN$2550,$M162)=0,"",IF(INDEX(Data!$U$41:$U$540,INDEX(Data!$AN$2051:$AN$2550,$M162))="","",INDEX(Data!$U$41:$U$540,INDEX(Data!$AN$2051:$AN$2550,$M162)))))</f>
        <v>215-400-7050</v>
      </c>
      <c r="M162" s="132">
        <f ca="1">IF(COUNTIFS(Data!$AV$2051:$AV$2550,150)=1,MATCH(150,Data!$AV$2051:$AV$2550,0),0)</f>
        <v>159</v>
      </c>
      <c r="N162" s="150" t="str">
        <f ca="1">IF($M162=0,"",IF(INDEX(Data!$I$2051:$I$2550,$M162)=0,"Add ID","Row "&amp;(INDEX(Data!$I$2051:$I$2550,$M162)+7)))</f>
        <v>Row 210</v>
      </c>
    </row>
    <row r="163" spans="1:14" ht="40" customHeight="1">
      <c r="A163" s="135">
        <f ca="1">IF($M163=0,"",INDEX(Data!$W$2051:$W$2550,$M163))</f>
        <v>151</v>
      </c>
      <c r="B163" s="138" t="str">
        <f ca="1">IF($M163=0,"",INDEX(Data!$B$2051:$B$2550,$M163))</f>
        <v>Warren G. Harding Middle School</v>
      </c>
      <c r="C163" s="141" t="str">
        <f ca="1">IF($M163=0,"",INDEX(Data!$C$2051:$C$2550,$M163))</f>
        <v>District</v>
      </c>
      <c r="D163" s="141" t="str">
        <f ca="1">IF($M163=0,"",INDEX(Data!$D$2051:$D$2550,$M163))</f>
        <v>Middle</v>
      </c>
      <c r="E163" s="142">
        <f ca="1">IF($M163=0,"",INDEX(Data!$G$2051:$G$2550,$M163))</f>
        <v>0.87709999999999999</v>
      </c>
      <c r="F163" s="141">
        <f ca="1">IF($M163=0,"",INDEX(Data!$F$2051:$F$2550,$M163))</f>
        <v>522</v>
      </c>
      <c r="G163" s="143">
        <f ca="1">IF($M163=0,"",INDEX(Data!$K$2051:$K$2550,$M163))</f>
        <v>0.39687573751729766</v>
      </c>
      <c r="H163" s="141">
        <f ca="1">IF($M163=0,"",INDEX(Data!$L$2051:$L$2550,$M163))</f>
        <v>9</v>
      </c>
      <c r="I163" s="144">
        <f ca="1">IF($M163=0,"",INDEX(Data!$T$2051:$T$2550,$M163))</f>
        <v>39</v>
      </c>
      <c r="J163" s="141" t="str">
        <f ca="1">IF($M163=0,"",INDEX(Data!$U$2051:$U$2550,$M163))</f>
        <v>Listed</v>
      </c>
      <c r="K163" s="141" t="str">
        <f ca="1">IF($M163=0,"",INDEX(Data!$AA$2051:$AA$2550,$M163))</f>
        <v>88% economic need; 0.40 mi fresh access; 9 nearby resources</v>
      </c>
      <c r="L163" s="141" t="str">
        <f ca="1">IF($M163=0,"",IF(INDEX(Data!$AN$2051:$AN$2550,$M163)=0,"",IF(INDEX(Data!$U$41:$U$540,INDEX(Data!$AN$2051:$AN$2550,$M163))="","",INDEX(Data!$U$41:$U$540,INDEX(Data!$AN$2051:$AN$2550,$M163)))))</f>
        <v>215-400-3990</v>
      </c>
      <c r="M163" s="132">
        <f ca="1">IF(COUNTIFS(Data!$AV$2051:$AV$2550,151)=1,MATCH(151,Data!$AV$2051:$AV$2550,0),0)</f>
        <v>257</v>
      </c>
      <c r="N163" s="145" t="str">
        <f ca="1">IF($M163=0,"",IF(INDEX(Data!$I$2051:$I$2550,$M163)=0,"Add ID","Row "&amp;(INDEX(Data!$I$2051:$I$2550,$M163)+7)))</f>
        <v>Row 313</v>
      </c>
    </row>
    <row r="164" spans="1:14" ht="40" customHeight="1">
      <c r="A164" s="136">
        <f ca="1">IF($M164=0,"",INDEX(Data!$W$2051:$W$2550,$M164))</f>
        <v>152</v>
      </c>
      <c r="B164" s="139" t="str">
        <f ca="1">IF($M164=0,"",INDEX(Data!$B$2051:$B$2550,$M164))</f>
        <v>Philadelphia Electrical and Technology Charter High School</v>
      </c>
      <c r="C164" s="146" t="str">
        <f ca="1">IF($M164=0,"",INDEX(Data!$C$2051:$C$2550,$M164))</f>
        <v>Charter</v>
      </c>
      <c r="D164" s="146" t="str">
        <f ca="1">IF($M164=0,"",INDEX(Data!$D$2051:$D$2550,$M164))</f>
        <v>High</v>
      </c>
      <c r="E164" s="147">
        <f ca="1">IF($M164=0,"",INDEX(Data!$G$2051:$G$2550,$M164))</f>
        <v>0.87090000000000001</v>
      </c>
      <c r="F164" s="146">
        <f ca="1">IF($M164=0,"",INDEX(Data!$F$2051:$F$2550,$M164))</f>
        <v>627</v>
      </c>
      <c r="G164" s="148">
        <f ca="1">IF($M164=0,"",INDEX(Data!$K$2051:$K$2550,$M164))</f>
        <v>0.34797554224224214</v>
      </c>
      <c r="H164" s="146">
        <f ca="1">IF($M164=0,"",INDEX(Data!$L$2051:$L$2550,$M164))</f>
        <v>7</v>
      </c>
      <c r="I164" s="149">
        <f ca="1">IF($M164=0,"",INDEX(Data!$T$2051:$T$2550,$M164))</f>
        <v>39</v>
      </c>
      <c r="J164" s="146" t="str">
        <f ca="1">IF($M164=0,"",INDEX(Data!$U$2051:$U$2550,$M164))</f>
        <v>Listed</v>
      </c>
      <c r="K164" s="146" t="str">
        <f ca="1">IF($M164=0,"",INDEX(Data!$AA$2051:$AA$2550,$M164))</f>
        <v>87% economic need; 0.35 mi fresh access; 7 nearby resources</v>
      </c>
      <c r="L164" s="146" t="str">
        <f ca="1">IF($M164=0,"",IF(INDEX(Data!$AN$2051:$AN$2550,$M164)=0,"",IF(INDEX(Data!$U$41:$U$540,INDEX(Data!$AN$2051:$AN$2550,$M164))="","",INDEX(Data!$U$41:$U$540,INDEX(Data!$AN$2051:$AN$2550,$M164)))))</f>
        <v>267-514-1823</v>
      </c>
      <c r="M164" s="132">
        <f ca="1">IF(COUNTIFS(Data!$AV$2051:$AV$2550,152)=1,MATCH(152,Data!$AV$2051:$AV$2550,0),0)</f>
        <v>101</v>
      </c>
      <c r="N164" s="150" t="str">
        <f ca="1">IF($M164=0,"",IF(INDEX(Data!$I$2051:$I$2550,$M164)=0,"Add ID","Row "&amp;(INDEX(Data!$I$2051:$I$2550,$M164)+7)))</f>
        <v>Row 240</v>
      </c>
    </row>
    <row r="165" spans="1:14" ht="40" customHeight="1">
      <c r="A165" s="135">
        <f ca="1">IF($M165=0,"",INDEX(Data!$W$2051:$W$2550,$M165))</f>
        <v>153</v>
      </c>
      <c r="B165" s="138" t="str">
        <f ca="1">IF($M165=0,"",INDEX(Data!$B$2051:$B$2550,$M165))</f>
        <v>Thurgood Marshall School</v>
      </c>
      <c r="C165" s="141" t="str">
        <f ca="1">IF($M165=0,"",INDEX(Data!$C$2051:$C$2550,$M165))</f>
        <v>District</v>
      </c>
      <c r="D165" s="141" t="str">
        <f ca="1">IF($M165=0,"",INDEX(Data!$D$2051:$D$2550,$M165))</f>
        <v>Elementary-Middle</v>
      </c>
      <c r="E165" s="142">
        <f ca="1">IF($M165=0,"",INDEX(Data!$G$2051:$G$2550,$M165))</f>
        <v>0.85880000000000001</v>
      </c>
      <c r="F165" s="141">
        <f ca="1">IF($M165=0,"",INDEX(Data!$F$2051:$F$2550,$M165))</f>
        <v>551</v>
      </c>
      <c r="G165" s="143">
        <f ca="1">IF($M165=0,"",INDEX(Data!$K$2051:$K$2550,$M165))</f>
        <v>0.45193134419384995</v>
      </c>
      <c r="H165" s="141">
        <f ca="1">IF($M165=0,"",INDEX(Data!$L$2051:$L$2550,$M165))</f>
        <v>12</v>
      </c>
      <c r="I165" s="144">
        <f ca="1">IF($M165=0,"",INDEX(Data!$T$2051:$T$2550,$M165))</f>
        <v>39</v>
      </c>
      <c r="J165" s="141" t="str">
        <f ca="1">IF($M165=0,"",INDEX(Data!$U$2051:$U$2550,$M165))</f>
        <v>Listed</v>
      </c>
      <c r="K165" s="141" t="str">
        <f ca="1">IF($M165=0,"",INDEX(Data!$AA$2051:$AA$2550,$M165))</f>
        <v>86% economic need; 0.45 mi fresh access; 12 nearby resources</v>
      </c>
      <c r="L165" s="141" t="str">
        <f ca="1">IF($M165=0,"",IF(INDEX(Data!$AN$2051:$AN$2550,$M165)=0,"",IF(INDEX(Data!$U$41:$U$540,INDEX(Data!$AN$2051:$AN$2550,$M165))="","",INDEX(Data!$U$41:$U$540,INDEX(Data!$AN$2051:$AN$2550,$M165)))))</f>
        <v>215-400-3770</v>
      </c>
      <c r="M165" s="132">
        <f ca="1">IF(COUNTIFS(Data!$AV$2051:$AV$2550,153)=1,MATCH(153,Data!$AV$2051:$AV$2550,0),0)</f>
        <v>209</v>
      </c>
      <c r="N165" s="145" t="str">
        <f ca="1">IF($M165=0,"",IF(INDEX(Data!$I$2051:$I$2550,$M165)=0,"Add ID","Row "&amp;(INDEX(Data!$I$2051:$I$2550,$M165)+7)))</f>
        <v>Row 305</v>
      </c>
    </row>
    <row r="166" spans="1:14" ht="40" customHeight="1">
      <c r="A166" s="136">
        <f ca="1">IF($M166=0,"",INDEX(Data!$W$2051:$W$2550,$M166))</f>
        <v>154</v>
      </c>
      <c r="B166" s="139" t="str">
        <f ca="1">IF($M166=0,"",INDEX(Data!$B$2051:$B$2550,$M166))</f>
        <v>Kensington High School for Creative and Performing Arts</v>
      </c>
      <c r="C166" s="146" t="str">
        <f ca="1">IF($M166=0,"",INDEX(Data!$C$2051:$C$2550,$M166))</f>
        <v>District</v>
      </c>
      <c r="D166" s="146" t="str">
        <f ca="1">IF($M166=0,"",INDEX(Data!$D$2051:$D$2550,$M166))</f>
        <v>High</v>
      </c>
      <c r="E166" s="147">
        <f ca="1">IF($M166=0,"",INDEX(Data!$G$2051:$G$2550,$M166))</f>
        <v>0.84330000000000005</v>
      </c>
      <c r="F166" s="146">
        <f ca="1">IF($M166=0,"",INDEX(Data!$F$2051:$F$2550,$M166))</f>
        <v>504</v>
      </c>
      <c r="G166" s="148">
        <f ca="1">IF($M166=0,"",INDEX(Data!$K$2051:$K$2550,$M166))</f>
        <v>0.2696204651098893</v>
      </c>
      <c r="H166" s="146">
        <f ca="1">IF($M166=0,"",INDEX(Data!$L$2051:$L$2550,$M166))</f>
        <v>8</v>
      </c>
      <c r="I166" s="149">
        <f ca="1">IF($M166=0,"",INDEX(Data!$T$2051:$T$2550,$M166))</f>
        <v>39</v>
      </c>
      <c r="J166" s="146" t="str">
        <f ca="1">IF($M166=0,"",INDEX(Data!$U$2051:$U$2550,$M166))</f>
        <v>Listed</v>
      </c>
      <c r="K166" s="146" t="str">
        <f ca="1">IF($M166=0,"",INDEX(Data!$AA$2051:$AA$2550,$M166))</f>
        <v>84% economic need; 0.27 mi fresh access; 8 nearby resources</v>
      </c>
      <c r="L166" s="146" t="str">
        <f ca="1">IF($M166=0,"",IF(INDEX(Data!$AN$2051:$AN$2550,$M166)=0,"",IF(INDEX(Data!$U$41:$U$540,INDEX(Data!$AN$2051:$AN$2550,$M166))="","",INDEX(Data!$U$41:$U$540,INDEX(Data!$AN$2051:$AN$2550,$M166)))))</f>
        <v>215-400-7400</v>
      </c>
      <c r="M166" s="132">
        <f ca="1">IF(COUNTIFS(Data!$AV$2051:$AV$2550,154)=1,MATCH(154,Data!$AV$2051:$AV$2550,0),0)</f>
        <v>210</v>
      </c>
      <c r="N166" s="150" t="str">
        <f ca="1">IF($M166=0,"",IF(INDEX(Data!$I$2051:$I$2550,$M166)=0,"Add ID","Row "&amp;(INDEX(Data!$I$2051:$I$2550,$M166)+7)))</f>
        <v>Row 166</v>
      </c>
    </row>
    <row r="167" spans="1:14" ht="40" customHeight="1">
      <c r="A167" s="135">
        <f ca="1">IF($M167=0,"",INDEX(Data!$W$2051:$W$2550,$M167))</f>
        <v>155</v>
      </c>
      <c r="B167" s="138" t="str">
        <f ca="1">IF($M167=0,"",INDEX(Data!$B$2051:$B$2550,$M167))</f>
        <v>Benjamin Franklin Elementary School</v>
      </c>
      <c r="C167" s="141" t="str">
        <f ca="1">IF($M167=0,"",INDEX(Data!$C$2051:$C$2550,$M167))</f>
        <v>District</v>
      </c>
      <c r="D167" s="141" t="str">
        <f ca="1">IF($M167=0,"",INDEX(Data!$D$2051:$D$2550,$M167))</f>
        <v>Elementary-Middle</v>
      </c>
      <c r="E167" s="142">
        <f ca="1">IF($M167=0,"",INDEX(Data!$G$2051:$G$2550,$M167))</f>
        <v>0.83889999999999998</v>
      </c>
      <c r="F167" s="141">
        <f ca="1">IF($M167=0,"",INDEX(Data!$F$2051:$F$2550,$M167))</f>
        <v>567</v>
      </c>
      <c r="G167" s="143">
        <f ca="1">IF($M167=0,"",INDEX(Data!$K$2051:$K$2550,$M167))</f>
        <v>0.25198509666340335</v>
      </c>
      <c r="H167" s="141">
        <f ca="1">IF($M167=0,"",INDEX(Data!$L$2051:$L$2550,$M167))</f>
        <v>5</v>
      </c>
      <c r="I167" s="144">
        <f ca="1">IF($M167=0,"",INDEX(Data!$T$2051:$T$2550,$M167))</f>
        <v>39</v>
      </c>
      <c r="J167" s="141" t="str">
        <f ca="1">IF($M167=0,"",INDEX(Data!$U$2051:$U$2550,$M167))</f>
        <v>Listed</v>
      </c>
      <c r="K167" s="141" t="str">
        <f ca="1">IF($M167=0,"",INDEX(Data!$AA$2051:$AA$2550,$M167))</f>
        <v>84% economic need; 0.25 mi fresh access; 5 nearby resources</v>
      </c>
      <c r="L167" s="141" t="str">
        <f ca="1">IF($M167=0,"",IF(INDEX(Data!$AN$2051:$AN$2550,$M167)=0,"",IF(INDEX(Data!$U$41:$U$540,INDEX(Data!$AN$2051:$AN$2550,$M167))="","",INDEX(Data!$U$41:$U$540,INDEX(Data!$AN$2051:$AN$2550,$M167)))))</f>
        <v>215-400-3760</v>
      </c>
      <c r="M167" s="132">
        <f ca="1">IF(COUNTIFS(Data!$AV$2051:$AV$2550,155)=1,MATCH(155,Data!$AV$2051:$AV$2550,0),0)</f>
        <v>265</v>
      </c>
      <c r="N167" s="145" t="str">
        <f ca="1">IF($M167=0,"",IF(INDEX(Data!$I$2051:$I$2550,$M167)=0,"Add ID","Row "&amp;(INDEX(Data!$I$2051:$I$2550,$M167)+7)))</f>
        <v>Row 38</v>
      </c>
    </row>
    <row r="168" spans="1:14" ht="40" customHeight="1">
      <c r="A168" s="136">
        <f ca="1">IF($M168=0,"",INDEX(Data!$W$2051:$W$2550,$M168))</f>
        <v>156</v>
      </c>
      <c r="B168" s="139" t="str">
        <f ca="1">IF($M168=0,"",INDEX(Data!$B$2051:$B$2550,$M168))</f>
        <v>Global Leadership Academy Charter School Southwest at Huey</v>
      </c>
      <c r="C168" s="146" t="str">
        <f ca="1">IF($M168=0,"",INDEX(Data!$C$2051:$C$2550,$M168))</f>
        <v>Charter</v>
      </c>
      <c r="D168" s="146" t="str">
        <f ca="1">IF($M168=0,"",INDEX(Data!$D$2051:$D$2550,$M168))</f>
        <v>Elementary-Middle</v>
      </c>
      <c r="E168" s="147">
        <f ca="1">IF($M168=0,"",INDEX(Data!$G$2051:$G$2550,$M168))</f>
        <v>0.82499999999999996</v>
      </c>
      <c r="F168" s="146">
        <f ca="1">IF($M168=0,"",INDEX(Data!$F$2051:$F$2550,$M168))</f>
        <v>611</v>
      </c>
      <c r="G168" s="148">
        <f ca="1">IF($M168=0,"",INDEX(Data!$K$2051:$K$2550,$M168))</f>
        <v>0.44433526700745068</v>
      </c>
      <c r="H168" s="146">
        <f ca="1">IF($M168=0,"",INDEX(Data!$L$2051:$L$2550,$M168))</f>
        <v>11</v>
      </c>
      <c r="I168" s="149">
        <f ca="1">IF($M168=0,"",INDEX(Data!$T$2051:$T$2550,$M168))</f>
        <v>39</v>
      </c>
      <c r="J168" s="146" t="str">
        <f ca="1">IF($M168=0,"",INDEX(Data!$U$2051:$U$2550,$M168))</f>
        <v>Listed</v>
      </c>
      <c r="K168" s="146" t="str">
        <f ca="1">IF($M168=0,"",INDEX(Data!$AA$2051:$AA$2550,$M168))</f>
        <v>83% economic need; 0.44 mi fresh access; 11 nearby resources</v>
      </c>
      <c r="L168" s="146" t="str">
        <f ca="1">IF($M168=0,"",IF(INDEX(Data!$AN$2051:$AN$2550,$M168)=0,"",IF(INDEX(Data!$U$41:$U$540,INDEX(Data!$AN$2051:$AN$2550,$M168))="","",INDEX(Data!$U$41:$U$540,INDEX(Data!$AN$2051:$AN$2550,$M168)))))</f>
        <v/>
      </c>
      <c r="M168" s="132">
        <f ca="1">IF(COUNTIFS(Data!$AV$2051:$AV$2550,156)=1,MATCH(156,Data!$AV$2051:$AV$2550,0),0)</f>
        <v>141</v>
      </c>
      <c r="N168" s="150" t="str">
        <f ca="1">IF($M168=0,"",IF(INDEX(Data!$I$2051:$I$2550,$M168)=0,"Add ID","Row "&amp;(INDEX(Data!$I$2051:$I$2550,$M168)+7)))</f>
        <v>Row 108</v>
      </c>
    </row>
    <row r="169" spans="1:14" ht="40" customHeight="1">
      <c r="A169" s="135">
        <f ca="1">IF($M169=0,"",INDEX(Data!$W$2051:$W$2550,$M169))</f>
        <v>157</v>
      </c>
      <c r="B169" s="138" t="str">
        <f ca="1">IF($M169=0,"",INDEX(Data!$B$2051:$B$2550,$M169))</f>
        <v>Sankofa Freedom Academy Charter School</v>
      </c>
      <c r="C169" s="141" t="str">
        <f ca="1">IF($M169=0,"",INDEX(Data!$C$2051:$C$2550,$M169))</f>
        <v>Charter</v>
      </c>
      <c r="D169" s="141" t="str">
        <f ca="1">IF($M169=0,"",INDEX(Data!$D$2051:$D$2550,$M169))</f>
        <v>Elementary-Middle-High</v>
      </c>
      <c r="E169" s="142">
        <f ca="1">IF($M169=0,"",INDEX(Data!$G$2051:$G$2550,$M169))</f>
        <v>0.82069999999999999</v>
      </c>
      <c r="F169" s="141">
        <f ca="1">IF($M169=0,"",INDEX(Data!$F$2051:$F$2550,$M169))</f>
        <v>647</v>
      </c>
      <c r="G169" s="143">
        <f ca="1">IF($M169=0,"",INDEX(Data!$K$2051:$K$2550,$M169))</f>
        <v>0.33244576492227818</v>
      </c>
      <c r="H169" s="141">
        <f ca="1">IF($M169=0,"",INDEX(Data!$L$2051:$L$2550,$M169))</f>
        <v>10</v>
      </c>
      <c r="I169" s="144">
        <f ca="1">IF($M169=0,"",INDEX(Data!$T$2051:$T$2550,$M169))</f>
        <v>39</v>
      </c>
      <c r="J169" s="141" t="str">
        <f ca="1">IF($M169=0,"",INDEX(Data!$U$2051:$U$2550,$M169))</f>
        <v>Listed</v>
      </c>
      <c r="K169" s="141" t="str">
        <f ca="1">IF($M169=0,"",INDEX(Data!$AA$2051:$AA$2550,$M169))</f>
        <v>82% economic need; 0.33 mi fresh access; 10 nearby resources</v>
      </c>
      <c r="L169" s="141" t="str">
        <f ca="1">IF($M169=0,"",IF(INDEX(Data!$AN$2051:$AN$2550,$M169)=0,"",IF(INDEX(Data!$U$41:$U$540,INDEX(Data!$AN$2051:$AN$2550,$M169))="","",INDEX(Data!$U$41:$U$540,INDEX(Data!$AN$2051:$AN$2550,$M169)))))</f>
        <v/>
      </c>
      <c r="M169" s="132">
        <f ca="1">IF(COUNTIFS(Data!$AV$2051:$AV$2550,157)=1,MATCH(157,Data!$AV$2051:$AV$2550,0),0)</f>
        <v>124</v>
      </c>
      <c r="N169" s="145" t="str">
        <f ca="1">IF($M169=0,"",IF(INDEX(Data!$I$2051:$I$2550,$M169)=0,"Add ID","Row "&amp;(INDEX(Data!$I$2051:$I$2550,$M169)+7)))</f>
        <v>Row 272</v>
      </c>
    </row>
    <row r="170" spans="1:14" ht="40" customHeight="1">
      <c r="A170" s="136">
        <f ca="1">IF($M170=0,"",INDEX(Data!$W$2051:$W$2550,$M170))</f>
        <v>158</v>
      </c>
      <c r="B170" s="139" t="str">
        <f ca="1">IF($M170=0,"",INDEX(Data!$B$2051:$B$2550,$M170))</f>
        <v>Hamilton Disston School</v>
      </c>
      <c r="C170" s="146" t="str">
        <f ca="1">IF($M170=0,"",INDEX(Data!$C$2051:$C$2550,$M170))</f>
        <v>District</v>
      </c>
      <c r="D170" s="146" t="str">
        <f ca="1">IF($M170=0,"",INDEX(Data!$D$2051:$D$2550,$M170))</f>
        <v>Elementary-Middle</v>
      </c>
      <c r="E170" s="147">
        <f ca="1">IF($M170=0,"",INDEX(Data!$G$2051:$G$2550,$M170))</f>
        <v>0.81479999999999997</v>
      </c>
      <c r="F170" s="146">
        <f ca="1">IF($M170=0,"",INDEX(Data!$F$2051:$F$2550,$M170))</f>
        <v>686</v>
      </c>
      <c r="G170" s="148">
        <f ca="1">IF($M170=0,"",INDEX(Data!$K$2051:$K$2550,$M170))</f>
        <v>0.31446689701862951</v>
      </c>
      <c r="H170" s="146">
        <f ca="1">IF($M170=0,"",INDEX(Data!$L$2051:$L$2550,$M170))</f>
        <v>6</v>
      </c>
      <c r="I170" s="149">
        <f ca="1">IF($M170=0,"",INDEX(Data!$T$2051:$T$2550,$M170))</f>
        <v>39</v>
      </c>
      <c r="J170" s="146" t="str">
        <f ca="1">IF($M170=0,"",INDEX(Data!$U$2051:$U$2550,$M170))</f>
        <v>Listed</v>
      </c>
      <c r="K170" s="146" t="str">
        <f ca="1">IF($M170=0,"",INDEX(Data!$AA$2051:$AA$2550,$M170))</f>
        <v>81% economic need; 0.31 mi fresh access; 6 nearby resources</v>
      </c>
      <c r="L170" s="146" t="str">
        <f ca="1">IF($M170=0,"",IF(INDEX(Data!$AN$2051:$AN$2550,$M170)=0,"",IF(INDEX(Data!$U$41:$U$540,INDEX(Data!$AN$2051:$AN$2550,$M170))="","",INDEX(Data!$U$41:$U$540,INDEX(Data!$AN$2051:$AN$2550,$M170)))))</f>
        <v>215-400-3350</v>
      </c>
      <c r="M170" s="132">
        <f ca="1">IF(COUNTIFS(Data!$AV$2051:$AV$2550,158)=1,MATCH(158,Data!$AV$2051:$AV$2550,0),0)</f>
        <v>301</v>
      </c>
      <c r="N170" s="150" t="str">
        <f ca="1">IF($M170=0,"",IF(INDEX(Data!$I$2051:$I$2550,$M170)=0,"Add ID","Row "&amp;(INDEX(Data!$I$2051:$I$2550,$M170)+7)))</f>
        <v>Row 113</v>
      </c>
    </row>
    <row r="171" spans="1:14" ht="40" customHeight="1">
      <c r="A171" s="135">
        <f ca="1">IF($M171=0,"",INDEX(Data!$W$2051:$W$2550,$M171))</f>
        <v>159</v>
      </c>
      <c r="B171" s="138" t="str">
        <f ca="1">IF($M171=0,"",INDEX(Data!$B$2051:$B$2550,$M171))</f>
        <v>William H. Ziegler School</v>
      </c>
      <c r="C171" s="141" t="str">
        <f ca="1">IF($M171=0,"",INDEX(Data!$C$2051:$C$2550,$M171))</f>
        <v>District</v>
      </c>
      <c r="D171" s="141" t="str">
        <f ca="1">IF($M171=0,"",INDEX(Data!$D$2051:$D$2550,$M171))</f>
        <v>Elementary-Middle</v>
      </c>
      <c r="E171" s="142">
        <f ca="1">IF($M171=0,"",INDEX(Data!$G$2051:$G$2550,$M171))</f>
        <v>0.81340000000000001</v>
      </c>
      <c r="F171" s="141">
        <f ca="1">IF($M171=0,"",INDEX(Data!$F$2051:$F$2550,$M171))</f>
        <v>507</v>
      </c>
      <c r="G171" s="143">
        <f ca="1">IF($M171=0,"",INDEX(Data!$K$2051:$K$2550,$M171))</f>
        <v>0.4804050832420565</v>
      </c>
      <c r="H171" s="141">
        <f ca="1">IF($M171=0,"",INDEX(Data!$L$2051:$L$2550,$M171))</f>
        <v>5</v>
      </c>
      <c r="I171" s="144">
        <f ca="1">IF($M171=0,"",INDEX(Data!$T$2051:$T$2550,$M171))</f>
        <v>39</v>
      </c>
      <c r="J171" s="141" t="str">
        <f ca="1">IF($M171=0,"",INDEX(Data!$U$2051:$U$2550,$M171))</f>
        <v>Listed</v>
      </c>
      <c r="K171" s="141" t="str">
        <f ca="1">IF($M171=0,"",INDEX(Data!$AA$2051:$AA$2550,$M171))</f>
        <v>81% economic need; 0.48 mi fresh access; 5 nearby resources</v>
      </c>
      <c r="L171" s="141" t="str">
        <f ca="1">IF($M171=0,"",IF(INDEX(Data!$AN$2051:$AN$2550,$M171)=0,"",IF(INDEX(Data!$U$41:$U$540,INDEX(Data!$AN$2051:$AN$2550,$M171))="","",INDEX(Data!$U$41:$U$540,INDEX(Data!$AN$2051:$AN$2550,$M171)))))</f>
        <v>215-400-3260</v>
      </c>
      <c r="M171" s="132">
        <f ca="1">IF(COUNTIFS(Data!$AV$2051:$AV$2550,159)=1,MATCH(159,Data!$AV$2051:$AV$2550,0),0)</f>
        <v>279</v>
      </c>
      <c r="N171" s="145" t="str">
        <f ca="1">IF($M171=0,"",IF(INDEX(Data!$I$2051:$I$2550,$M171)=0,"Add ID","Row "&amp;(INDEX(Data!$I$2051:$I$2550,$M171)+7)))</f>
        <v>Row 326</v>
      </c>
    </row>
    <row r="172" spans="1:14" ht="40" customHeight="1">
      <c r="A172" s="136">
        <f ca="1">IF($M172=0,"",INDEX(Data!$W$2051:$W$2550,$M172))</f>
        <v>160</v>
      </c>
      <c r="B172" s="139" t="str">
        <f ca="1">IF($M172=0,"",INDEX(Data!$B$2051:$B$2550,$M172))</f>
        <v>Imhotep Institute Charter High School</v>
      </c>
      <c r="C172" s="146" t="str">
        <f ca="1">IF($M172=0,"",INDEX(Data!$C$2051:$C$2550,$M172))</f>
        <v>Charter</v>
      </c>
      <c r="D172" s="146" t="str">
        <f ca="1">IF($M172=0,"",INDEX(Data!$D$2051:$D$2550,$M172))</f>
        <v>High</v>
      </c>
      <c r="E172" s="147">
        <f ca="1">IF($M172=0,"",INDEX(Data!$G$2051:$G$2550,$M172))</f>
        <v>0.79600000000000004</v>
      </c>
      <c r="F172" s="146">
        <f ca="1">IF($M172=0,"",INDEX(Data!$F$2051:$F$2550,$M172))</f>
        <v>604</v>
      </c>
      <c r="G172" s="148">
        <f ca="1">IF($M172=0,"",INDEX(Data!$K$2051:$K$2550,$M172))</f>
        <v>0.56696854712567146</v>
      </c>
      <c r="H172" s="146">
        <f ca="1">IF($M172=0,"",INDEX(Data!$L$2051:$L$2550,$M172))</f>
        <v>13</v>
      </c>
      <c r="I172" s="149">
        <f ca="1">IF($M172=0,"",INDEX(Data!$T$2051:$T$2550,$M172))</f>
        <v>39</v>
      </c>
      <c r="J172" s="146" t="str">
        <f ca="1">IF($M172=0,"",INDEX(Data!$U$2051:$U$2550,$M172))</f>
        <v>Listed</v>
      </c>
      <c r="K172" s="146" t="str">
        <f ca="1">IF($M172=0,"",INDEX(Data!$AA$2051:$AA$2550,$M172))</f>
        <v>80% economic need; 0.57 mi fresh access; 13 nearby resources</v>
      </c>
      <c r="L172" s="146" t="str">
        <f ca="1">IF($M172=0,"",IF(INDEX(Data!$AN$2051:$AN$2550,$M172)=0,"",IF(INDEX(Data!$U$41:$U$540,INDEX(Data!$AN$2051:$AN$2550,$M172))="","",INDEX(Data!$U$41:$U$540,INDEX(Data!$AN$2051:$AN$2550,$M172)))))</f>
        <v>215-438-4140</v>
      </c>
      <c r="M172" s="132">
        <f ca="1">IF(COUNTIFS(Data!$AV$2051:$AV$2550,160)=1,MATCH(160,Data!$AV$2051:$AV$2550,0),0)</f>
        <v>79</v>
      </c>
      <c r="N172" s="150" t="str">
        <f ca="1">IF($M172=0,"",IF(INDEX(Data!$I$2051:$I$2550,$M172)=0,"Add ID","Row "&amp;(INDEX(Data!$I$2051:$I$2550,$M172)+7)))</f>
        <v>Row 126</v>
      </c>
    </row>
    <row r="173" spans="1:14" ht="40" customHeight="1">
      <c r="A173" s="135">
        <f ca="1">IF($M173=0,"",INDEX(Data!$W$2051:$W$2550,$M173))</f>
        <v>161</v>
      </c>
      <c r="B173" s="138" t="str">
        <f ca="1">IF($M173=0,"",INDEX(Data!$B$2051:$B$2550,$M173))</f>
        <v>Harambee Institute of Science and Technology Charter School</v>
      </c>
      <c r="C173" s="141" t="str">
        <f ca="1">IF($M173=0,"",INDEX(Data!$C$2051:$C$2550,$M173))</f>
        <v>Charter</v>
      </c>
      <c r="D173" s="141" t="str">
        <f ca="1">IF($M173=0,"",INDEX(Data!$D$2051:$D$2550,$M173))</f>
        <v>Elementary-Middle</v>
      </c>
      <c r="E173" s="142">
        <f ca="1">IF($M173=0,"",INDEX(Data!$G$2051:$G$2550,$M173))</f>
        <v>0.79410000000000003</v>
      </c>
      <c r="F173" s="141">
        <f ca="1">IF($M173=0,"",INDEX(Data!$F$2051:$F$2550,$M173))</f>
        <v>555</v>
      </c>
      <c r="G173" s="143">
        <f ca="1">IF($M173=0,"",INDEX(Data!$K$2051:$K$2550,$M173))</f>
        <v>0.71279356834158725</v>
      </c>
      <c r="H173" s="141">
        <f ca="1">IF($M173=0,"",INDEX(Data!$L$2051:$L$2550,$M173))</f>
        <v>7</v>
      </c>
      <c r="I173" s="144">
        <f ca="1">IF($M173=0,"",INDEX(Data!$T$2051:$T$2550,$M173))</f>
        <v>39</v>
      </c>
      <c r="J173" s="141" t="str">
        <f ca="1">IF($M173=0,"",INDEX(Data!$U$2051:$U$2550,$M173))</f>
        <v>Listed</v>
      </c>
      <c r="K173" s="141" t="str">
        <f ca="1">IF($M173=0,"",INDEX(Data!$AA$2051:$AA$2550,$M173))</f>
        <v>79% economic need; 0.71 mi fresh access; 7 nearby resources</v>
      </c>
      <c r="L173" s="141" t="str">
        <f ca="1">IF($M173=0,"",IF(INDEX(Data!$AN$2051:$AN$2550,$M173)=0,"",IF(INDEX(Data!$U$41:$U$540,INDEX(Data!$AN$2051:$AN$2550,$M173))="","",INDEX(Data!$U$41:$U$540,INDEX(Data!$AN$2051:$AN$2550,$M173)))))</f>
        <v>215-472-8770</v>
      </c>
      <c r="M173" s="132">
        <f ca="1">IF(COUNTIFS(Data!$AV$2051:$AV$2550,161)=1,MATCH(161,Data!$AV$2051:$AV$2550,0),0)</f>
        <v>74</v>
      </c>
      <c r="N173" s="145" t="str">
        <f ca="1">IF($M173=0,"",IF(INDEX(Data!$I$2051:$I$2550,$M173)=0,"Add ID","Row "&amp;(INDEX(Data!$I$2051:$I$2550,$M173)+7)))</f>
        <v>Row 115</v>
      </c>
    </row>
    <row r="174" spans="1:14" ht="40" customHeight="1">
      <c r="A174" s="136">
        <f ca="1">IF($M174=0,"",INDEX(Data!$W$2051:$W$2550,$M174))</f>
        <v>162</v>
      </c>
      <c r="B174" s="139" t="str">
        <f ca="1">IF($M174=0,"",INDEX(Data!$B$2051:$B$2550,$M174))</f>
        <v>TECH Freire Charter School</v>
      </c>
      <c r="C174" s="146" t="str">
        <f ca="1">IF($M174=0,"",INDEX(Data!$C$2051:$C$2550,$M174))</f>
        <v>Charter</v>
      </c>
      <c r="D174" s="146" t="str">
        <f ca="1">IF($M174=0,"",INDEX(Data!$D$2051:$D$2550,$M174))</f>
        <v>High</v>
      </c>
      <c r="E174" s="147">
        <f ca="1">IF($M174=0,"",INDEX(Data!$G$2051:$G$2550,$M174))</f>
        <v>0.79320000000000002</v>
      </c>
      <c r="F174" s="146">
        <f ca="1">IF($M174=0,"",INDEX(Data!$F$2051:$F$2550,$M174))</f>
        <v>565</v>
      </c>
      <c r="G174" s="148">
        <f ca="1">IF($M174=0,"",INDEX(Data!$K$2051:$K$2550,$M174))</f>
        <v>0.71564975129558095</v>
      </c>
      <c r="H174" s="146">
        <f ca="1">IF($M174=0,"",INDEX(Data!$L$2051:$L$2550,$M174))</f>
        <v>16</v>
      </c>
      <c r="I174" s="149">
        <f ca="1">IF($M174=0,"",INDEX(Data!$T$2051:$T$2550,$M174))</f>
        <v>39</v>
      </c>
      <c r="J174" s="146" t="str">
        <f ca="1">IF($M174=0,"",INDEX(Data!$U$2051:$U$2550,$M174))</f>
        <v>Listed</v>
      </c>
      <c r="K174" s="146" t="str">
        <f ca="1">IF($M174=0,"",INDEX(Data!$AA$2051:$AA$2550,$M174))</f>
        <v>79% economic need; 0.72 mi fresh access; 16 nearby resources</v>
      </c>
      <c r="L174" s="146" t="str">
        <f ca="1">IF($M174=0,"",IF(INDEX(Data!$AN$2051:$AN$2550,$M174)=0,"",IF(INDEX(Data!$U$41:$U$540,INDEX(Data!$AN$2051:$AN$2550,$M174))="","",INDEX(Data!$U$41:$U$540,INDEX(Data!$AN$2051:$AN$2550,$M174)))))</f>
        <v/>
      </c>
      <c r="M174" s="132">
        <f ca="1">IF(COUNTIFS(Data!$AV$2051:$AV$2550,162)=1,MATCH(162,Data!$AV$2051:$AV$2550,0),0)</f>
        <v>147</v>
      </c>
      <c r="N174" s="150" t="str">
        <f ca="1">IF($M174=0,"",IF(INDEX(Data!$I$2051:$I$2550,$M174)=0,"Add ID","Row "&amp;(INDEX(Data!$I$2051:$I$2550,$M174)+7)))</f>
        <v>Row 289</v>
      </c>
    </row>
    <row r="175" spans="1:14" ht="40" customHeight="1">
      <c r="A175" s="135">
        <f ca="1">IF($M175=0,"",INDEX(Data!$W$2051:$W$2550,$M175))</f>
        <v>163</v>
      </c>
      <c r="B175" s="138" t="str">
        <f ca="1">IF($M175=0,"",INDEX(Data!$B$2051:$B$2550,$M175))</f>
        <v>The Jacquelyn Y. Kelley Discovery Charter School</v>
      </c>
      <c r="C175" s="141" t="str">
        <f ca="1">IF($M175=0,"",INDEX(Data!$C$2051:$C$2550,$M175))</f>
        <v>Charter</v>
      </c>
      <c r="D175" s="141" t="str">
        <f ca="1">IF($M175=0,"",INDEX(Data!$D$2051:$D$2550,$M175))</f>
        <v>Elementary-Middle</v>
      </c>
      <c r="E175" s="142">
        <f ca="1">IF($M175=0,"",INDEX(Data!$G$2051:$G$2550,$M175))</f>
        <v>0.77859999999999996</v>
      </c>
      <c r="F175" s="141">
        <f ca="1">IF($M175=0,"",INDEX(Data!$F$2051:$F$2550,$M175))</f>
        <v>641</v>
      </c>
      <c r="G175" s="143">
        <f ca="1">IF($M175=0,"",INDEX(Data!$K$2051:$K$2550,$M175))</f>
        <v>0.59571185515035929</v>
      </c>
      <c r="H175" s="141">
        <f ca="1">IF($M175=0,"",INDEX(Data!$L$2051:$L$2550,$M175))</f>
        <v>6</v>
      </c>
      <c r="I175" s="144">
        <f ca="1">IF($M175=0,"",INDEX(Data!$T$2051:$T$2550,$M175))</f>
        <v>39</v>
      </c>
      <c r="J175" s="141" t="str">
        <f ca="1">IF($M175=0,"",INDEX(Data!$U$2051:$U$2550,$M175))</f>
        <v>Listed</v>
      </c>
      <c r="K175" s="141" t="str">
        <f ca="1">IF($M175=0,"",INDEX(Data!$AA$2051:$AA$2550,$M175))</f>
        <v>78% economic need; 0.60 mi fresh access; 6 nearby resources</v>
      </c>
      <c r="L175" s="141" t="str">
        <f ca="1">IF($M175=0,"",IF(INDEX(Data!$AN$2051:$AN$2550,$M175)=0,"",IF(INDEX(Data!$U$41:$U$540,INDEX(Data!$AN$2051:$AN$2550,$M175))="","",INDEX(Data!$U$41:$U$540,INDEX(Data!$AN$2051:$AN$2550,$M175)))))</f>
        <v>215-879-8182</v>
      </c>
      <c r="M175" s="132">
        <f ca="1">IF(COUNTIFS(Data!$AV$2051:$AV$2550,163)=1,MATCH(163,Data!$AV$2051:$AV$2550,0),0)</f>
        <v>111</v>
      </c>
      <c r="N175" s="145" t="str">
        <f ca="1">IF($M175=0,"",IF(INDEX(Data!$I$2051:$I$2550,$M175)=0,"Add ID","Row "&amp;(INDEX(Data!$I$2051:$I$2550,$M175)+7)))</f>
        <v>Row 292</v>
      </c>
    </row>
    <row r="176" spans="1:14" ht="40" customHeight="1">
      <c r="A176" s="136">
        <f ca="1">IF($M176=0,"",INDEX(Data!$W$2051:$W$2550,$M176))</f>
        <v>164</v>
      </c>
      <c r="B176" s="139" t="str">
        <f ca="1">IF($M176=0,"",INDEX(Data!$B$2051:$B$2550,$M176))</f>
        <v>Laura H. Carnell School</v>
      </c>
      <c r="C176" s="146" t="str">
        <f ca="1">IF($M176=0,"",INDEX(Data!$C$2051:$C$2550,$M176))</f>
        <v>District</v>
      </c>
      <c r="D176" s="146" t="str">
        <f ca="1">IF($M176=0,"",INDEX(Data!$D$2051:$D$2550,$M176))</f>
        <v>Elementary</v>
      </c>
      <c r="E176" s="147">
        <f ca="1">IF($M176=0,"",INDEX(Data!$G$2051:$G$2550,$M176))</f>
        <v>0.76359999999999995</v>
      </c>
      <c r="F176" s="146">
        <f ca="1">IF($M176=0,"",INDEX(Data!$F$2051:$F$2550,$M176))</f>
        <v>652</v>
      </c>
      <c r="G176" s="148">
        <f ca="1">IF($M176=0,"",INDEX(Data!$K$2051:$K$2550,$M176))</f>
        <v>0.38637813621413586</v>
      </c>
      <c r="H176" s="146">
        <f ca="1">IF($M176=0,"",INDEX(Data!$L$2051:$L$2550,$M176))</f>
        <v>4</v>
      </c>
      <c r="I176" s="149">
        <f ca="1">IF($M176=0,"",INDEX(Data!$T$2051:$T$2550,$M176))</f>
        <v>39</v>
      </c>
      <c r="J176" s="146" t="str">
        <f ca="1">IF($M176=0,"",INDEX(Data!$U$2051:$U$2550,$M176))</f>
        <v>Listed</v>
      </c>
      <c r="K176" s="146" t="str">
        <f ca="1">IF($M176=0,"",INDEX(Data!$AA$2051:$AA$2550,$M176))</f>
        <v>76% economic need; 0.39 mi fresh access; 4 nearby resources</v>
      </c>
      <c r="L176" s="146" t="str">
        <f ca="1">IF($M176=0,"",IF(INDEX(Data!$AN$2051:$AN$2550,$M176)=0,"",IF(INDEX(Data!$U$41:$U$540,INDEX(Data!$AN$2051:$AN$2550,$M176))="","",INDEX(Data!$U$41:$U$540,INDEX(Data!$AN$2051:$AN$2550,$M176)))))</f>
        <v>215-400-3150</v>
      </c>
      <c r="M176" s="132">
        <f ca="1">IF(COUNTIFS(Data!$AV$2051:$AV$2550,164)=1,MATCH(164,Data!$AV$2051:$AV$2550,0),0)</f>
        <v>262</v>
      </c>
      <c r="N176" s="150" t="str">
        <f ca="1">IF($M176=0,"",IF(INDEX(Data!$I$2051:$I$2550,$M176)=0,"Add ID","Row "&amp;(INDEX(Data!$I$2051:$I$2550,$M176)+7)))</f>
        <v>Row 175</v>
      </c>
    </row>
    <row r="177" spans="1:14" ht="40" customHeight="1">
      <c r="A177" s="135">
        <f ca="1">IF($M177=0,"",INDEX(Data!$W$2051:$W$2550,$M177))</f>
        <v>165</v>
      </c>
      <c r="B177" s="138" t="str">
        <f ca="1">IF($M177=0,"",INDEX(Data!$B$2051:$B$2550,$M177))</f>
        <v>Preparatory Charter School of Mathematics, Science, Technology and Careers</v>
      </c>
      <c r="C177" s="141" t="str">
        <f ca="1">IF($M177=0,"",INDEX(Data!$C$2051:$C$2550,$M177))</f>
        <v>Charter</v>
      </c>
      <c r="D177" s="141" t="str">
        <f ca="1">IF($M177=0,"",INDEX(Data!$D$2051:$D$2550,$M177))</f>
        <v>High</v>
      </c>
      <c r="E177" s="142">
        <f ca="1">IF($M177=0,"",INDEX(Data!$G$2051:$G$2550,$M177))</f>
        <v>0.75</v>
      </c>
      <c r="F177" s="141">
        <f ca="1">IF($M177=0,"",INDEX(Data!$F$2051:$F$2550,$M177))</f>
        <v>590</v>
      </c>
      <c r="G177" s="143">
        <f ca="1">IF($M177=0,"",INDEX(Data!$K$2051:$K$2550,$M177))</f>
        <v>0.61145574570213368</v>
      </c>
      <c r="H177" s="141">
        <f ca="1">IF($M177=0,"",INDEX(Data!$L$2051:$L$2550,$M177))</f>
        <v>10</v>
      </c>
      <c r="I177" s="144">
        <f ca="1">IF($M177=0,"",INDEX(Data!$T$2051:$T$2550,$M177))</f>
        <v>39</v>
      </c>
      <c r="J177" s="141" t="str">
        <f ca="1">IF($M177=0,"",INDEX(Data!$U$2051:$U$2550,$M177))</f>
        <v>Listed</v>
      </c>
      <c r="K177" s="141" t="str">
        <f ca="1">IF($M177=0,"",INDEX(Data!$AA$2051:$AA$2550,$M177))</f>
        <v>75% economic need; 0.61 mi fresh access; 10 nearby resources</v>
      </c>
      <c r="L177" s="141" t="str">
        <f ca="1">IF($M177=0,"",IF(INDEX(Data!$AN$2051:$AN$2550,$M177)=0,"",IF(INDEX(Data!$U$41:$U$540,INDEX(Data!$AN$2051:$AN$2550,$M177))="","",INDEX(Data!$U$41:$U$540,INDEX(Data!$AN$2051:$AN$2550,$M177)))))</f>
        <v>215-334-6144</v>
      </c>
      <c r="M177" s="132">
        <f ca="1">IF(COUNTIFS(Data!$AV$2051:$AV$2550,165)=1,MATCH(165,Data!$AV$2051:$AV$2550,0),0)</f>
        <v>82</v>
      </c>
      <c r="N177" s="145" t="str">
        <f ca="1">IF($M177=0,"",IF(INDEX(Data!$I$2051:$I$2550,$M177)=0,"Add ID","Row "&amp;(INDEX(Data!$I$2051:$I$2550,$M177)+7)))</f>
        <v>Row 251</v>
      </c>
    </row>
    <row r="178" spans="1:14" ht="40" customHeight="1">
      <c r="A178" s="136">
        <f ca="1">IF($M178=0,"",INDEX(Data!$W$2051:$W$2550,$M178))</f>
        <v>166</v>
      </c>
      <c r="B178" s="139" t="str">
        <f ca="1">IF($M178=0,"",INDEX(Data!$B$2051:$B$2550,$M178))</f>
        <v>Honorable Luis Munoz-Marin School</v>
      </c>
      <c r="C178" s="146" t="str">
        <f ca="1">IF($M178=0,"",INDEX(Data!$C$2051:$C$2550,$M178))</f>
        <v>District</v>
      </c>
      <c r="D178" s="146" t="str">
        <f ca="1">IF($M178=0,"",INDEX(Data!$D$2051:$D$2550,$M178))</f>
        <v>Elementary-Middle</v>
      </c>
      <c r="E178" s="147">
        <f ca="1">IF($M178=0,"",INDEX(Data!$G$2051:$G$2550,$M178))</f>
        <v>0.92110000000000003</v>
      </c>
      <c r="F178" s="146">
        <f ca="1">IF($M178=0,"",INDEX(Data!$F$2051:$F$2550,$M178))</f>
        <v>482</v>
      </c>
      <c r="G178" s="148">
        <f ca="1">IF($M178=0,"",INDEX(Data!$K$2051:$K$2550,$M178))</f>
        <v>0.15156155022007126</v>
      </c>
      <c r="H178" s="146">
        <f ca="1">IF($M178=0,"",INDEX(Data!$L$2051:$L$2550,$M178))</f>
        <v>14</v>
      </c>
      <c r="I178" s="149">
        <f ca="1">IF($M178=0,"",INDEX(Data!$T$2051:$T$2550,$M178))</f>
        <v>38</v>
      </c>
      <c r="J178" s="146" t="str">
        <f ca="1">IF($M178=0,"",INDEX(Data!$U$2051:$U$2550,$M178))</f>
        <v>Listed</v>
      </c>
      <c r="K178" s="146" t="str">
        <f ca="1">IF($M178=0,"",INDEX(Data!$AA$2051:$AA$2550,$M178))</f>
        <v>92% economic need; 0.15 mi fresh access; 14 nearby resources</v>
      </c>
      <c r="L178" s="146" t="str">
        <f ca="1">IF($M178=0,"",IF(INDEX(Data!$AN$2051:$AN$2550,$M178)=0,"",IF(INDEX(Data!$U$41:$U$540,INDEX(Data!$AN$2051:$AN$2550,$M178))="","",INDEX(Data!$U$41:$U$540,INDEX(Data!$AN$2051:$AN$2550,$M178)))))</f>
        <v>215-400-3920</v>
      </c>
      <c r="M178" s="132">
        <f ca="1">IF(COUNTIFS(Data!$AV$2051:$AV$2550,166)=1,MATCH(166,Data!$AV$2051:$AV$2550,0),0)</f>
        <v>220</v>
      </c>
      <c r="N178" s="150" t="str">
        <f ca="1">IF($M178=0,"",IF(INDEX(Data!$I$2051:$I$2550,$M178)=0,"Add ID","Row "&amp;(INDEX(Data!$I$2051:$I$2550,$M178)+7)))</f>
        <v>Row 123</v>
      </c>
    </row>
    <row r="179" spans="1:14" ht="40" customHeight="1">
      <c r="A179" s="135">
        <f ca="1">IF($M179=0,"",INDEX(Data!$W$2051:$W$2550,$M179))</f>
        <v>167</v>
      </c>
      <c r="B179" s="138" t="str">
        <f ca="1">IF($M179=0,"",INDEX(Data!$B$2051:$B$2550,$M179))</f>
        <v>Theodore Roosevelt School</v>
      </c>
      <c r="C179" s="141" t="str">
        <f ca="1">IF($M179=0,"",INDEX(Data!$C$2051:$C$2550,$M179))</f>
        <v>District</v>
      </c>
      <c r="D179" s="141" t="str">
        <f ca="1">IF($M179=0,"",INDEX(Data!$D$2051:$D$2550,$M179))</f>
        <v>Elementary-Middle</v>
      </c>
      <c r="E179" s="142">
        <f ca="1">IF($M179=0,"",INDEX(Data!$G$2051:$G$2550,$M179))</f>
        <v>0.91579999999999995</v>
      </c>
      <c r="F179" s="141">
        <f ca="1">IF($M179=0,"",INDEX(Data!$F$2051:$F$2550,$M179))</f>
        <v>407</v>
      </c>
      <c r="G179" s="143">
        <f ca="1">IF($M179=0,"",INDEX(Data!$K$2051:$K$2550,$M179))</f>
        <v>0.1824803055818448</v>
      </c>
      <c r="H179" s="141">
        <f ca="1">IF($M179=0,"",INDEX(Data!$L$2051:$L$2550,$M179))</f>
        <v>18</v>
      </c>
      <c r="I179" s="144">
        <f ca="1">IF($M179=0,"",INDEX(Data!$T$2051:$T$2550,$M179))</f>
        <v>38</v>
      </c>
      <c r="J179" s="141" t="str">
        <f ca="1">IF($M179=0,"",INDEX(Data!$U$2051:$U$2550,$M179))</f>
        <v>Listed</v>
      </c>
      <c r="K179" s="141" t="str">
        <f ca="1">IF($M179=0,"",INDEX(Data!$AA$2051:$AA$2550,$M179))</f>
        <v>92% economic need; 0.18 mi fresh access; 18 nearby resources</v>
      </c>
      <c r="L179" s="141" t="str">
        <f ca="1">IF($M179=0,"",IF(INDEX(Data!$AN$2051:$AN$2550,$M179)=0,"",IF(INDEX(Data!$U$41:$U$540,INDEX(Data!$AN$2051:$AN$2550,$M179))="","",INDEX(Data!$U$41:$U$540,INDEX(Data!$AN$2051:$AN$2550,$M179)))))</f>
        <v>215-400-3640</v>
      </c>
      <c r="M179" s="132">
        <f ca="1">IF(COUNTIFS(Data!$AV$2051:$AV$2550,167)=1,MATCH(167,Data!$AV$2051:$AV$2550,0),0)</f>
        <v>241</v>
      </c>
      <c r="N179" s="145" t="str">
        <f ca="1">IF($M179=0,"",IF(INDEX(Data!$I$2051:$I$2550,$M179)=0,"Add ID","Row "&amp;(INDEX(Data!$I$2051:$I$2550,$M179)+7)))</f>
        <v>Row 298</v>
      </c>
    </row>
    <row r="180" spans="1:14" ht="40" customHeight="1">
      <c r="A180" s="136">
        <f ca="1">IF($M180=0,"",INDEX(Data!$W$2051:$W$2550,$M180))</f>
        <v>168</v>
      </c>
      <c r="B180" s="139" t="str">
        <f ca="1">IF($M180=0,"",INDEX(Data!$B$2051:$B$2550,$M180))</f>
        <v>John H. Webster School</v>
      </c>
      <c r="C180" s="146" t="str">
        <f ca="1">IF($M180=0,"",INDEX(Data!$C$2051:$C$2550,$M180))</f>
        <v>District</v>
      </c>
      <c r="D180" s="146" t="str">
        <f ca="1">IF($M180=0,"",INDEX(Data!$D$2051:$D$2550,$M180))</f>
        <v>Elementary</v>
      </c>
      <c r="E180" s="147">
        <f ca="1">IF($M180=0,"",INDEX(Data!$G$2051:$G$2550,$M180))</f>
        <v>0.89970000000000006</v>
      </c>
      <c r="F180" s="146">
        <f ca="1">IF($M180=0,"",INDEX(Data!$F$2051:$F$2550,$M180))</f>
        <v>413</v>
      </c>
      <c r="G180" s="148">
        <f ca="1">IF($M180=0,"",INDEX(Data!$K$2051:$K$2550,$M180))</f>
        <v>0.37561574093849293</v>
      </c>
      <c r="H180" s="146">
        <f ca="1">IF($M180=0,"",INDEX(Data!$L$2051:$L$2550,$M180))</f>
        <v>7</v>
      </c>
      <c r="I180" s="149">
        <f ca="1">IF($M180=0,"",INDEX(Data!$T$2051:$T$2550,$M180))</f>
        <v>38</v>
      </c>
      <c r="J180" s="146" t="str">
        <f ca="1">IF($M180=0,"",INDEX(Data!$U$2051:$U$2550,$M180))</f>
        <v>Listed</v>
      </c>
      <c r="K180" s="146" t="str">
        <f ca="1">IF($M180=0,"",INDEX(Data!$AA$2051:$AA$2550,$M180))</f>
        <v>90% economic need; 0.38 mi fresh access; 7 nearby resources</v>
      </c>
      <c r="L180" s="146" t="str">
        <f ca="1">IF($M180=0,"",IF(INDEX(Data!$AN$2051:$AN$2550,$M180)=0,"",IF(INDEX(Data!$U$41:$U$540,INDEX(Data!$AN$2051:$AN$2550,$M180))="","",INDEX(Data!$U$41:$U$540,INDEX(Data!$AN$2051:$AN$2550,$M180)))))</f>
        <v>215-400-7170</v>
      </c>
      <c r="M180" s="132">
        <f ca="1">IF(COUNTIFS(Data!$AV$2051:$AV$2550,168)=1,MATCH(168,Data!$AV$2051:$AV$2550,0),0)</f>
        <v>216</v>
      </c>
      <c r="N180" s="150" t="str">
        <f ca="1">IF($M180=0,"",IF(INDEX(Data!$I$2051:$I$2550,$M180)=0,"Add ID","Row "&amp;(INDEX(Data!$I$2051:$I$2550,$M180)+7)))</f>
        <v>Row 147</v>
      </c>
    </row>
    <row r="181" spans="1:14" ht="40" customHeight="1">
      <c r="A181" s="135">
        <f ca="1">IF($M181=0,"",INDEX(Data!$W$2051:$W$2550,$M181))</f>
        <v>169</v>
      </c>
      <c r="B181" s="138" t="str">
        <f ca="1">IF($M181=0,"",INDEX(Data!$B$2051:$B$2550,$M181))</f>
        <v>Gloria Casarez School</v>
      </c>
      <c r="C181" s="141" t="str">
        <f ca="1">IF($M181=0,"",INDEX(Data!$C$2051:$C$2550,$M181))</f>
        <v>District</v>
      </c>
      <c r="D181" s="141" t="str">
        <f ca="1">IF($M181=0,"",INDEX(Data!$D$2051:$D$2550,$M181))</f>
        <v>Elementary</v>
      </c>
      <c r="E181" s="142">
        <f ca="1">IF($M181=0,"",INDEX(Data!$G$2051:$G$2550,$M181))</f>
        <v>0.89490000000000003</v>
      </c>
      <c r="F181" s="141">
        <f ca="1">IF($M181=0,"",INDEX(Data!$F$2051:$F$2550,$M181))</f>
        <v>438</v>
      </c>
      <c r="G181" s="143">
        <f ca="1">IF($M181=0,"",INDEX(Data!$K$2051:$K$2550,$M181))</f>
        <v>0.26749925895825077</v>
      </c>
      <c r="H181" s="141">
        <f ca="1">IF($M181=0,"",INDEX(Data!$L$2051:$L$2550,$M181))</f>
        <v>10</v>
      </c>
      <c r="I181" s="144">
        <f ca="1">IF($M181=0,"",INDEX(Data!$T$2051:$T$2550,$M181))</f>
        <v>38</v>
      </c>
      <c r="J181" s="141" t="str">
        <f ca="1">IF($M181=0,"",INDEX(Data!$U$2051:$U$2550,$M181))</f>
        <v>Listed</v>
      </c>
      <c r="K181" s="141" t="str">
        <f ca="1">IF($M181=0,"",INDEX(Data!$AA$2051:$AA$2550,$M181))</f>
        <v>89% economic need; 0.27 mi fresh access; 10 nearby resources</v>
      </c>
      <c r="L181" s="141" t="str">
        <f ca="1">IF($M181=0,"",IF(INDEX(Data!$AN$2051:$AN$2550,$M181)=0,"",IF(INDEX(Data!$U$41:$U$540,INDEX(Data!$AN$2051:$AN$2550,$M181))="","",INDEX(Data!$U$41:$U$540,INDEX(Data!$AN$2051:$AN$2550,$M181)))))</f>
        <v>215-400-7160</v>
      </c>
      <c r="M181" s="132">
        <f ca="1">IF(COUNTIFS(Data!$AV$2051:$AV$2550,169)=1,MATCH(169,Data!$AV$2051:$AV$2550,0),0)</f>
        <v>211</v>
      </c>
      <c r="N181" s="145" t="str">
        <f ca="1">IF($M181=0,"",IF(INDEX(Data!$I$2051:$I$2550,$M181)=0,"Add ID","Row "&amp;(INDEX(Data!$I$2051:$I$2550,$M181)+7)))</f>
        <v>Row 109</v>
      </c>
    </row>
    <row r="182" spans="1:14" ht="40" customHeight="1">
      <c r="A182" s="136">
        <f ca="1">IF($M182=0,"",INDEX(Data!$W$2051:$W$2550,$M182))</f>
        <v>170</v>
      </c>
      <c r="B182" s="139" t="str">
        <f ca="1">IF($M182=0,"",INDEX(Data!$B$2051:$B$2550,$M182))</f>
        <v>A. Philip Randolph Career and Technical High School</v>
      </c>
      <c r="C182" s="146" t="str">
        <f ca="1">IF($M182=0,"",INDEX(Data!$C$2051:$C$2550,$M182))</f>
        <v>District</v>
      </c>
      <c r="D182" s="146" t="str">
        <f ca="1">IF($M182=0,"",INDEX(Data!$D$2051:$D$2550,$M182))</f>
        <v>High</v>
      </c>
      <c r="E182" s="147">
        <f ca="1">IF($M182=0,"",INDEX(Data!$G$2051:$G$2550,$M182))</f>
        <v>0.89470000000000005</v>
      </c>
      <c r="F182" s="146">
        <f ca="1">IF($M182=0,"",INDEX(Data!$F$2051:$F$2550,$M182))</f>
        <v>403</v>
      </c>
      <c r="G182" s="148">
        <f ca="1">IF($M182=0,"",INDEX(Data!$K$2051:$K$2550,$M182))</f>
        <v>0.29480313408940284</v>
      </c>
      <c r="H182" s="146">
        <f ca="1">IF($M182=0,"",INDEX(Data!$L$2051:$L$2550,$M182))</f>
        <v>6</v>
      </c>
      <c r="I182" s="149">
        <f ca="1">IF($M182=0,"",INDEX(Data!$T$2051:$T$2550,$M182))</f>
        <v>38</v>
      </c>
      <c r="J182" s="146" t="str">
        <f ca="1">IF($M182=0,"",INDEX(Data!$U$2051:$U$2550,$M182))</f>
        <v>Listed</v>
      </c>
      <c r="K182" s="146" t="str">
        <f ca="1">IF($M182=0,"",INDEX(Data!$AA$2051:$AA$2550,$M182))</f>
        <v>89% economic need; 0.29 mi fresh access; 6 nearby resources</v>
      </c>
      <c r="L182" s="146" t="str">
        <f ca="1">IF($M182=0,"",IF(INDEX(Data!$AN$2051:$AN$2550,$M182)=0,"",IF(INDEX(Data!$U$41:$U$540,INDEX(Data!$AN$2051:$AN$2550,$M182))="","",INDEX(Data!$U$41:$U$540,INDEX(Data!$AN$2051:$AN$2550,$M182)))))</f>
        <v>215-400-3840</v>
      </c>
      <c r="M182" s="132">
        <f ca="1">IF(COUNTIFS(Data!$AV$2051:$AV$2550,170)=1,MATCH(170,Data!$AV$2051:$AV$2550,0),0)</f>
        <v>228</v>
      </c>
      <c r="N182" s="150" t="str">
        <f ca="1">IF($M182=0,"",IF(INDEX(Data!$I$2051:$I$2550,$M182)=0,"Add ID","Row "&amp;(INDEX(Data!$I$2051:$I$2550,$M182)+7)))</f>
        <v>Row 8</v>
      </c>
    </row>
    <row r="183" spans="1:14" ht="40" customHeight="1">
      <c r="A183" s="135">
        <f ca="1">IF($M183=0,"",INDEX(Data!$W$2051:$W$2550,$M183))</f>
        <v>171</v>
      </c>
      <c r="B183" s="138" t="str">
        <f ca="1">IF($M183=0,"",INDEX(Data!$B$2051:$B$2550,$M183))</f>
        <v>Jay Cooke School</v>
      </c>
      <c r="C183" s="141" t="str">
        <f ca="1">IF($M183=0,"",INDEX(Data!$C$2051:$C$2550,$M183))</f>
        <v>District</v>
      </c>
      <c r="D183" s="141" t="str">
        <f ca="1">IF($M183=0,"",INDEX(Data!$D$2051:$D$2550,$M183))</f>
        <v>Elementary-Middle</v>
      </c>
      <c r="E183" s="142">
        <f ca="1">IF($M183=0,"",INDEX(Data!$G$2051:$G$2550,$M183))</f>
        <v>0.88600000000000001</v>
      </c>
      <c r="F183" s="141">
        <f ca="1">IF($M183=0,"",INDEX(Data!$F$2051:$F$2550,$M183))</f>
        <v>386</v>
      </c>
      <c r="G183" s="143">
        <f ca="1">IF($M183=0,"",INDEX(Data!$K$2051:$K$2550,$M183))</f>
        <v>0.3345589633179345</v>
      </c>
      <c r="H183" s="141">
        <f ca="1">IF($M183=0,"",INDEX(Data!$L$2051:$L$2550,$M183))</f>
        <v>10</v>
      </c>
      <c r="I183" s="144">
        <f ca="1">IF($M183=0,"",INDEX(Data!$T$2051:$T$2550,$M183))</f>
        <v>38</v>
      </c>
      <c r="J183" s="141" t="str">
        <f ca="1">IF($M183=0,"",INDEX(Data!$U$2051:$U$2550,$M183))</f>
        <v>Listed</v>
      </c>
      <c r="K183" s="141" t="str">
        <f ca="1">IF($M183=0,"",INDEX(Data!$AA$2051:$AA$2550,$M183))</f>
        <v>89% economic need; 0.33 mi fresh access; 10 nearby resources</v>
      </c>
      <c r="L183" s="141" t="str">
        <f ca="1">IF($M183=0,"",IF(INDEX(Data!$AN$2051:$AN$2550,$M183)=0,"",IF(INDEX(Data!$U$41:$U$540,INDEX(Data!$AN$2051:$AN$2550,$M183))="","",INDEX(Data!$U$41:$U$540,INDEX(Data!$AN$2051:$AN$2550,$M183)))))</f>
        <v>215-400-8330</v>
      </c>
      <c r="M183" s="132">
        <f ca="1">IF(COUNTIFS(Data!$AV$2051:$AV$2550,171)=1,MATCH(171,Data!$AV$2051:$AV$2550,0),0)</f>
        <v>256</v>
      </c>
      <c r="N183" s="145" t="str">
        <f ca="1">IF($M183=0,"",IF(INDEX(Data!$I$2051:$I$2550,$M183)=0,"Add ID","Row "&amp;(INDEX(Data!$I$2051:$I$2550,$M183)+7)))</f>
        <v>Row 139</v>
      </c>
    </row>
    <row r="184" spans="1:14" ht="40" customHeight="1">
      <c r="A184" s="136">
        <f ca="1">IF($M184=0,"",INDEX(Data!$W$2051:$W$2550,$M184))</f>
        <v>172</v>
      </c>
      <c r="B184" s="139" t="str">
        <f ca="1">IF($M184=0,"",INDEX(Data!$B$2051:$B$2550,$M184))</f>
        <v>Kensington Health Sciences Academy</v>
      </c>
      <c r="C184" s="146" t="str">
        <f ca="1">IF($M184=0,"",INDEX(Data!$C$2051:$C$2550,$M184))</f>
        <v>District</v>
      </c>
      <c r="D184" s="146" t="str">
        <f ca="1">IF($M184=0,"",INDEX(Data!$D$2051:$D$2550,$M184))</f>
        <v>High</v>
      </c>
      <c r="E184" s="147">
        <f ca="1">IF($M184=0,"",INDEX(Data!$G$2051:$G$2550,$M184))</f>
        <v>0.86939999999999995</v>
      </c>
      <c r="F184" s="146">
        <f ca="1">IF($M184=0,"",INDEX(Data!$F$2051:$F$2550,$M184))</f>
        <v>461</v>
      </c>
      <c r="G184" s="148">
        <f ca="1">IF($M184=0,"",INDEX(Data!$K$2051:$K$2550,$M184))</f>
        <v>0.39883842683812082</v>
      </c>
      <c r="H184" s="146">
        <f ca="1">IF($M184=0,"",INDEX(Data!$L$2051:$L$2550,$M184))</f>
        <v>9</v>
      </c>
      <c r="I184" s="149">
        <f ca="1">IF($M184=0,"",INDEX(Data!$T$2051:$T$2550,$M184))</f>
        <v>38</v>
      </c>
      <c r="J184" s="146" t="str">
        <f ca="1">IF($M184=0,"",INDEX(Data!$U$2051:$U$2550,$M184))</f>
        <v>Listed</v>
      </c>
      <c r="K184" s="146" t="str">
        <f ca="1">IF($M184=0,"",INDEX(Data!$AA$2051:$AA$2550,$M184))</f>
        <v>87% economic need; 0.40 mi fresh access; 9 nearby resources</v>
      </c>
      <c r="L184" s="146" t="str">
        <f ca="1">IF($M184=0,"",IF(INDEX(Data!$AN$2051:$AN$2550,$M184)=0,"",IF(INDEX(Data!$U$41:$U$540,INDEX(Data!$AN$2051:$AN$2550,$M184))="","",INDEX(Data!$U$41:$U$540,INDEX(Data!$AN$2051:$AN$2550,$M184)))))</f>
        <v>215-400-3600</v>
      </c>
      <c r="M184" s="132">
        <f ca="1">IF(COUNTIFS(Data!$AV$2051:$AV$2550,172)=1,MATCH(172,Data!$AV$2051:$AV$2550,0),0)</f>
        <v>212</v>
      </c>
      <c r="N184" s="150" t="str">
        <f ca="1">IF($M184=0,"",IF(INDEX(Data!$I$2051:$I$2550,$M184)=0,"Add ID","Row "&amp;(INDEX(Data!$I$2051:$I$2550,$M184)+7)))</f>
        <v>Row 164</v>
      </c>
    </row>
    <row r="185" spans="1:14" ht="40" customHeight="1">
      <c r="A185" s="135">
        <f ca="1">IF($M185=0,"",INDEX(Data!$W$2051:$W$2550,$M185))</f>
        <v>173</v>
      </c>
      <c r="B185" s="138" t="str">
        <f ca="1">IF($M185=0,"",INDEX(Data!$B$2051:$B$2550,$M185))</f>
        <v>Bayard Taylor School</v>
      </c>
      <c r="C185" s="141" t="str">
        <f ca="1">IF($M185=0,"",INDEX(Data!$C$2051:$C$2550,$M185))</f>
        <v>District</v>
      </c>
      <c r="D185" s="141" t="str">
        <f ca="1">IF($M185=0,"",INDEX(Data!$D$2051:$D$2550,$M185))</f>
        <v>Elementary</v>
      </c>
      <c r="E185" s="142">
        <f ca="1">IF($M185=0,"",INDEX(Data!$G$2051:$G$2550,$M185))</f>
        <v>0.86350000000000005</v>
      </c>
      <c r="F185" s="141">
        <f ca="1">IF($M185=0,"",INDEX(Data!$F$2051:$F$2550,$M185))</f>
        <v>359</v>
      </c>
      <c r="G185" s="143">
        <f ca="1">IF($M185=0,"",INDEX(Data!$K$2051:$K$2550,$M185))</f>
        <v>0.3832553292704573</v>
      </c>
      <c r="H185" s="141">
        <f ca="1">IF($M185=0,"",INDEX(Data!$L$2051:$L$2550,$M185))</f>
        <v>12</v>
      </c>
      <c r="I185" s="144">
        <f ca="1">IF($M185=0,"",INDEX(Data!$T$2051:$T$2550,$M185))</f>
        <v>38</v>
      </c>
      <c r="J185" s="141" t="str">
        <f ca="1">IF($M185=0,"",INDEX(Data!$U$2051:$U$2550,$M185))</f>
        <v>Listed</v>
      </c>
      <c r="K185" s="141" t="str">
        <f ca="1">IF($M185=0,"",INDEX(Data!$AA$2051:$AA$2550,$M185))</f>
        <v>86% economic need; 0.38 mi fresh access; 12 nearby resources</v>
      </c>
      <c r="L185" s="141" t="str">
        <f ca="1">IF($M185=0,"",IF(INDEX(Data!$AN$2051:$AN$2550,$M185)=0,"",IF(INDEX(Data!$U$41:$U$540,INDEX(Data!$AN$2051:$AN$2550,$M185))="","",INDEX(Data!$U$41:$U$540,INDEX(Data!$AN$2051:$AN$2550,$M185)))))</f>
        <v>215-400-3880</v>
      </c>
      <c r="M185" s="132">
        <f ca="1">IF(COUNTIFS(Data!$AV$2051:$AV$2550,173)=1,MATCH(173,Data!$AV$2051:$AV$2550,0),0)</f>
        <v>278</v>
      </c>
      <c r="N185" s="145" t="str">
        <f ca="1">IF($M185=0,"",IF(INDEX(Data!$I$2051:$I$2550,$M185)=0,"Add ID","Row "&amp;(INDEX(Data!$I$2051:$I$2550,$M185)+7)))</f>
        <v>Row 34</v>
      </c>
    </row>
    <row r="186" spans="1:14" ht="40" customHeight="1">
      <c r="A186" s="136">
        <f ca="1">IF($M186=0,"",INDEX(Data!$W$2051:$W$2550,$M186))</f>
        <v>174</v>
      </c>
      <c r="B186" s="139" t="str">
        <f ca="1">IF($M186=0,"",INDEX(Data!$B$2051:$B$2550,$M186))</f>
        <v>Laboratory Charter School of Communication and Languages</v>
      </c>
      <c r="C186" s="146" t="str">
        <f ca="1">IF($M186=0,"",INDEX(Data!$C$2051:$C$2550,$M186))</f>
        <v>Charter</v>
      </c>
      <c r="D186" s="146" t="str">
        <f ca="1">IF($M186=0,"",INDEX(Data!$D$2051:$D$2550,$M186))</f>
        <v>Elementary-Middle</v>
      </c>
      <c r="E186" s="147">
        <f ca="1">IF($M186=0,"",INDEX(Data!$G$2051:$G$2550,$M186))</f>
        <v>0.86109999999999998</v>
      </c>
      <c r="F186" s="146">
        <f ca="1">IF($M186=0,"",INDEX(Data!$F$2051:$F$2550,$M186))</f>
        <v>375</v>
      </c>
      <c r="G186" s="148">
        <f ca="1">IF($M186=0,"",INDEX(Data!$K$2051:$K$2550,$M186))</f>
        <v>0.4926131971074626</v>
      </c>
      <c r="H186" s="146">
        <f ca="1">IF($M186=0,"",INDEX(Data!$L$2051:$L$2550,$M186))</f>
        <v>10</v>
      </c>
      <c r="I186" s="149">
        <f ca="1">IF($M186=0,"",INDEX(Data!$T$2051:$T$2550,$M186))</f>
        <v>38</v>
      </c>
      <c r="J186" s="146" t="str">
        <f ca="1">IF($M186=0,"",INDEX(Data!$U$2051:$U$2550,$M186))</f>
        <v>Listed</v>
      </c>
      <c r="K186" s="146" t="str">
        <f ca="1">IF($M186=0,"",INDEX(Data!$AA$2051:$AA$2550,$M186))</f>
        <v>86% economic need; 0.49 mi fresh access; 10 nearby resources</v>
      </c>
      <c r="L186" s="146" t="str">
        <f ca="1">IF($M186=0,"",IF(INDEX(Data!$AN$2051:$AN$2550,$M186)=0,"",IF(INDEX(Data!$U$41:$U$540,INDEX(Data!$AN$2051:$AN$2550,$M186))="","",INDEX(Data!$U$41:$U$540,INDEX(Data!$AN$2051:$AN$2550,$M186)))))</f>
        <v>215-574-1680</v>
      </c>
      <c r="M186" s="132">
        <f ca="1">IF(COUNTIFS(Data!$AV$2051:$AV$2550,174)=1,MATCH(174,Data!$AV$2051:$AV$2550,0),0)</f>
        <v>80</v>
      </c>
      <c r="N186" s="150" t="str">
        <f ca="1">IF($M186=0,"",IF(INDEX(Data!$I$2051:$I$2550,$M186)=0,"Add ID","Row "&amp;(INDEX(Data!$I$2051:$I$2550,$M186)+7)))</f>
        <v>Row 173</v>
      </c>
    </row>
    <row r="187" spans="1:14" ht="40" customHeight="1">
      <c r="A187" s="135">
        <f ca="1">IF($M187=0,"",INDEX(Data!$W$2051:$W$2550,$M187))</f>
        <v>175</v>
      </c>
      <c r="B187" s="138" t="str">
        <f ca="1">IF($M187=0,"",INDEX(Data!$B$2051:$B$2550,$M187))</f>
        <v>Thomas G. Morton School</v>
      </c>
      <c r="C187" s="141" t="str">
        <f ca="1">IF($M187=0,"",INDEX(Data!$C$2051:$C$2550,$M187))</f>
        <v>District</v>
      </c>
      <c r="D187" s="141" t="str">
        <f ca="1">IF($M187=0,"",INDEX(Data!$D$2051:$D$2550,$M187))</f>
        <v>Elementary</v>
      </c>
      <c r="E187" s="142">
        <f ca="1">IF($M187=0,"",INDEX(Data!$G$2051:$G$2550,$M187))</f>
        <v>0.84570000000000001</v>
      </c>
      <c r="F187" s="141">
        <f ca="1">IF($M187=0,"",INDEX(Data!$F$2051:$F$2550,$M187))</f>
        <v>363</v>
      </c>
      <c r="G187" s="143">
        <f ca="1">IF($M187=0,"",INDEX(Data!$K$2051:$K$2550,$M187))</f>
        <v>0.41302315419188179</v>
      </c>
      <c r="H187" s="141">
        <f ca="1">IF($M187=0,"",INDEX(Data!$L$2051:$L$2550,$M187))</f>
        <v>5</v>
      </c>
      <c r="I187" s="144">
        <f ca="1">IF($M187=0,"",INDEX(Data!$T$2051:$T$2550,$M187))</f>
        <v>38</v>
      </c>
      <c r="J187" s="141" t="str">
        <f ca="1">IF($M187=0,"",INDEX(Data!$U$2051:$U$2550,$M187))</f>
        <v>Listed</v>
      </c>
      <c r="K187" s="141" t="str">
        <f ca="1">IF($M187=0,"",INDEX(Data!$AA$2051:$AA$2550,$M187))</f>
        <v>85% economic need; 0.41 mi fresh access; 5 nearby resources</v>
      </c>
      <c r="L187" s="141" t="str">
        <f ca="1">IF($M187=0,"",IF(INDEX(Data!$AN$2051:$AN$2550,$M187)=0,"",IF(INDEX(Data!$U$41:$U$540,INDEX(Data!$AN$2051:$AN$2550,$M187))="","",INDEX(Data!$U$41:$U$540,INDEX(Data!$AN$2051:$AN$2550,$M187)))))</f>
        <v>215-400-8160</v>
      </c>
      <c r="M187" s="132">
        <f ca="1">IF(COUNTIFS(Data!$AV$2051:$AV$2550,175)=1,MATCH(175,Data!$AV$2051:$AV$2550,0),0)</f>
        <v>19</v>
      </c>
      <c r="N187" s="145" t="str">
        <f ca="1">IF($M187=0,"",IF(INDEX(Data!$I$2051:$I$2550,$M187)=0,"Add ID","Row "&amp;(INDEX(Data!$I$2051:$I$2550,$M187)+7)))</f>
        <v>Row 300</v>
      </c>
    </row>
    <row r="188" spans="1:14" ht="40" customHeight="1">
      <c r="A188" s="136">
        <f ca="1">IF($M188=0,"",INDEX(Data!$W$2051:$W$2550,$M188))</f>
        <v>176</v>
      </c>
      <c r="B188" s="139" t="str">
        <f ca="1">IF($M188=0,"",INDEX(Data!$B$2051:$B$2550,$M188))</f>
        <v>Universal Charter School at Alcorn</v>
      </c>
      <c r="C188" s="146" t="str">
        <f ca="1">IF($M188=0,"",INDEX(Data!$C$2051:$C$2550,$M188))</f>
        <v>Charter</v>
      </c>
      <c r="D188" s="146" t="str">
        <f ca="1">IF($M188=0,"",INDEX(Data!$D$2051:$D$2550,$M188))</f>
        <v>Elementary-Middle</v>
      </c>
      <c r="E188" s="147">
        <f ca="1">IF($M188=0,"",INDEX(Data!$G$2051:$G$2550,$M188))</f>
        <v>0.83220000000000005</v>
      </c>
      <c r="F188" s="146">
        <f ca="1">IF($M188=0,"",INDEX(Data!$F$2051:$F$2550,$M188))</f>
        <v>473</v>
      </c>
      <c r="G188" s="148">
        <f ca="1">IF($M188=0,"",INDEX(Data!$K$2051:$K$2550,$M188))</f>
        <v>0.3274344983886211</v>
      </c>
      <c r="H188" s="146">
        <f ca="1">IF($M188=0,"",INDEX(Data!$L$2051:$L$2550,$M188))</f>
        <v>8</v>
      </c>
      <c r="I188" s="149">
        <f ca="1">IF($M188=0,"",INDEX(Data!$T$2051:$T$2550,$M188))</f>
        <v>38</v>
      </c>
      <c r="J188" s="146" t="str">
        <f ca="1">IF($M188=0,"",INDEX(Data!$U$2051:$U$2550,$M188))</f>
        <v>Listed</v>
      </c>
      <c r="K188" s="146" t="str">
        <f ca="1">IF($M188=0,"",INDEX(Data!$AA$2051:$AA$2550,$M188))</f>
        <v>83% economic need; 0.33 mi fresh access; 8 nearby resources</v>
      </c>
      <c r="L188" s="146" t="str">
        <f ca="1">IF($M188=0,"",IF(INDEX(Data!$AN$2051:$AN$2550,$M188)=0,"",IF(INDEX(Data!$U$41:$U$540,INDEX(Data!$AN$2051:$AN$2550,$M188))="","",INDEX(Data!$U$41:$U$540,INDEX(Data!$AN$2051:$AN$2550,$M188)))))</f>
        <v/>
      </c>
      <c r="M188" s="132">
        <f ca="1">IF(COUNTIFS(Data!$AV$2051:$AV$2550,176)=1,MATCH(176,Data!$AV$2051:$AV$2550,0),0)</f>
        <v>138</v>
      </c>
      <c r="N188" s="150" t="str">
        <f ca="1">IF($M188=0,"",IF(INDEX(Data!$I$2051:$I$2550,$M188)=0,"Add ID","Row "&amp;(INDEX(Data!$I$2051:$I$2550,$M188)+7)))</f>
        <v>Row 306</v>
      </c>
    </row>
    <row r="189" spans="1:14" ht="40" customHeight="1">
      <c r="A189" s="135">
        <f ca="1">IF($M189=0,"",INDEX(Data!$W$2051:$W$2550,$M189))</f>
        <v>177</v>
      </c>
      <c r="B189" s="138" t="str">
        <f ca="1">IF($M189=0,"",INDEX(Data!$B$2051:$B$2550,$M189))</f>
        <v>Constitution High School</v>
      </c>
      <c r="C189" s="141" t="str">
        <f ca="1">IF($M189=0,"",INDEX(Data!$C$2051:$C$2550,$M189))</f>
        <v>District</v>
      </c>
      <c r="D189" s="141" t="str">
        <f ca="1">IF($M189=0,"",INDEX(Data!$D$2051:$D$2550,$M189))</f>
        <v>High</v>
      </c>
      <c r="E189" s="142">
        <f ca="1">IF($M189=0,"",INDEX(Data!$G$2051:$G$2550,$M189))</f>
        <v>0.81120000000000003</v>
      </c>
      <c r="F189" s="141">
        <f ca="1">IF($M189=0,"",INDEX(Data!$F$2051:$F$2550,$M189))</f>
        <v>410</v>
      </c>
      <c r="G189" s="143">
        <f ca="1">IF($M189=0,"",INDEX(Data!$K$2051:$K$2550,$M189))</f>
        <v>0.33164819158662245</v>
      </c>
      <c r="H189" s="141">
        <f ca="1">IF($M189=0,"",INDEX(Data!$L$2051:$L$2550,$M189))</f>
        <v>7</v>
      </c>
      <c r="I189" s="144">
        <f ca="1">IF($M189=0,"",INDEX(Data!$T$2051:$T$2550,$M189))</f>
        <v>38</v>
      </c>
      <c r="J189" s="141" t="str">
        <f ca="1">IF($M189=0,"",INDEX(Data!$U$2051:$U$2550,$M189))</f>
        <v>Listed</v>
      </c>
      <c r="K189" s="141" t="str">
        <f ca="1">IF($M189=0,"",INDEX(Data!$AA$2051:$AA$2550,$M189))</f>
        <v>81% economic need; 0.33 mi fresh access; 7 nearby resources</v>
      </c>
      <c r="L189" s="141" t="str">
        <f ca="1">IF($M189=0,"",IF(INDEX(Data!$AN$2051:$AN$2550,$M189)=0,"",IF(INDEX(Data!$U$41:$U$540,INDEX(Data!$AN$2051:$AN$2550,$M189))="","",INDEX(Data!$U$41:$U$540,INDEX(Data!$AN$2051:$AN$2550,$M189)))))</f>
        <v>215-400-7850</v>
      </c>
      <c r="M189" s="132">
        <f ca="1">IF(COUNTIFS(Data!$AV$2051:$AV$2550,177)=1,MATCH(177,Data!$AV$2051:$AV$2550,0),0)</f>
        <v>61</v>
      </c>
      <c r="N189" s="145" t="str">
        <f ca="1">IF($M189=0,"",IF(INDEX(Data!$I$2051:$I$2550,$M189)=0,"Add ID","Row "&amp;(INDEX(Data!$I$2051:$I$2550,$M189)+7)))</f>
        <v>Row 52</v>
      </c>
    </row>
    <row r="190" spans="1:14" ht="40" customHeight="1">
      <c r="A190" s="136">
        <f ca="1">IF($M190=0,"",INDEX(Data!$W$2051:$W$2550,$M190))</f>
        <v>178</v>
      </c>
      <c r="B190" s="139" t="str">
        <f ca="1">IF($M190=0,"",INDEX(Data!$B$2051:$B$2550,$M190))</f>
        <v>William L. Sayre High School</v>
      </c>
      <c r="C190" s="146" t="str">
        <f ca="1">IF($M190=0,"",INDEX(Data!$C$2051:$C$2550,$M190))</f>
        <v>District</v>
      </c>
      <c r="D190" s="146" t="str">
        <f ca="1">IF($M190=0,"",INDEX(Data!$D$2051:$D$2550,$M190))</f>
        <v>High</v>
      </c>
      <c r="E190" s="147">
        <f ca="1">IF($M190=0,"",INDEX(Data!$G$2051:$G$2550,$M190))</f>
        <v>0.80840000000000001</v>
      </c>
      <c r="F190" s="146">
        <f ca="1">IF($M190=0,"",INDEX(Data!$F$2051:$F$2550,$M190))</f>
        <v>439</v>
      </c>
      <c r="G190" s="148">
        <f ca="1">IF($M190=0,"",INDEX(Data!$K$2051:$K$2550,$M190))</f>
        <v>0.29370303689259636</v>
      </c>
      <c r="H190" s="146">
        <f ca="1">IF($M190=0,"",INDEX(Data!$L$2051:$L$2550,$M190))</f>
        <v>13</v>
      </c>
      <c r="I190" s="149">
        <f ca="1">IF($M190=0,"",INDEX(Data!$T$2051:$T$2550,$M190))</f>
        <v>38</v>
      </c>
      <c r="J190" s="146" t="str">
        <f ca="1">IF($M190=0,"",INDEX(Data!$U$2051:$U$2550,$M190))</f>
        <v>Listed</v>
      </c>
      <c r="K190" s="146" t="str">
        <f ca="1">IF($M190=0,"",INDEX(Data!$AA$2051:$AA$2550,$M190))</f>
        <v>81% economic need; 0.29 mi fresh access; 13 nearby resources</v>
      </c>
      <c r="L190" s="146" t="str">
        <f ca="1">IF($M190=0,"",IF(INDEX(Data!$AN$2051:$AN$2550,$M190)=0,"",IF(INDEX(Data!$U$41:$U$540,INDEX(Data!$AN$2051:$AN$2550,$M190))="","",INDEX(Data!$U$41:$U$540,INDEX(Data!$AN$2051:$AN$2550,$M190)))))</f>
        <v>215-400-7800</v>
      </c>
      <c r="M190" s="132">
        <f ca="1">IF(COUNTIFS(Data!$AV$2051:$AV$2550,178)=1,MATCH(178,Data!$AV$2051:$AV$2550,0),0)</f>
        <v>5</v>
      </c>
      <c r="N190" s="150" t="str">
        <f ca="1">IF($M190=0,"",IF(INDEX(Data!$I$2051:$I$2550,$M190)=0,"Add ID","Row "&amp;(INDEX(Data!$I$2051:$I$2550,$M190)+7)))</f>
        <v>Row 327</v>
      </c>
    </row>
    <row r="191" spans="1:14" ht="40" customHeight="1">
      <c r="A191" s="135">
        <f ca="1">IF($M191=0,"",INDEX(Data!$W$2051:$W$2550,$M191))</f>
        <v>179</v>
      </c>
      <c r="B191" s="138" t="str">
        <f ca="1">IF($M191=0,"",INDEX(Data!$B$2051:$B$2550,$M191))</f>
        <v>John H. Taggart School</v>
      </c>
      <c r="C191" s="141" t="str">
        <f ca="1">IF($M191=0,"",INDEX(Data!$C$2051:$C$2550,$M191))</f>
        <v>District</v>
      </c>
      <c r="D191" s="141" t="str">
        <f ca="1">IF($M191=0,"",INDEX(Data!$D$2051:$D$2550,$M191))</f>
        <v>Elementary-Middle</v>
      </c>
      <c r="E191" s="142">
        <f ca="1">IF($M191=0,"",INDEX(Data!$G$2051:$G$2550,$M191))</f>
        <v>0.80600000000000005</v>
      </c>
      <c r="F191" s="141">
        <f ca="1">IF($M191=0,"",INDEX(Data!$F$2051:$F$2550,$M191))</f>
        <v>485</v>
      </c>
      <c r="G191" s="143">
        <f ca="1">IF($M191=0,"",INDEX(Data!$K$2051:$K$2550,$M191))</f>
        <v>0.19773198527602262</v>
      </c>
      <c r="H191" s="141">
        <f ca="1">IF($M191=0,"",INDEX(Data!$L$2051:$L$2550,$M191))</f>
        <v>4</v>
      </c>
      <c r="I191" s="144">
        <f ca="1">IF($M191=0,"",INDEX(Data!$T$2051:$T$2550,$M191))</f>
        <v>38</v>
      </c>
      <c r="J191" s="141" t="str">
        <f ca="1">IF($M191=0,"",INDEX(Data!$U$2051:$U$2550,$M191))</f>
        <v>Listed</v>
      </c>
      <c r="K191" s="141" t="str">
        <f ca="1">IF($M191=0,"",INDEX(Data!$AA$2051:$AA$2550,$M191))</f>
        <v>81% economic need; 0.20 mi fresh access; 4 nearby resources</v>
      </c>
      <c r="L191" s="141" t="str">
        <f ca="1">IF($M191=0,"",IF(INDEX(Data!$AN$2051:$AN$2550,$M191)=0,"",IF(INDEX(Data!$U$41:$U$540,INDEX(Data!$AN$2051:$AN$2550,$M191))="","",INDEX(Data!$U$41:$U$540,INDEX(Data!$AN$2051:$AN$2550,$M191)))))</f>
        <v>215-400-8290</v>
      </c>
      <c r="M191" s="132">
        <f ca="1">IF(COUNTIFS(Data!$AV$2051:$AV$2550,179)=1,MATCH(179,Data!$AV$2051:$AV$2550,0),0)</f>
        <v>63</v>
      </c>
      <c r="N191" s="145" t="str">
        <f ca="1">IF($M191=0,"",IF(INDEX(Data!$I$2051:$I$2550,$M191)=0,"Add ID","Row "&amp;(INDEX(Data!$I$2051:$I$2550,$M191)+7)))</f>
        <v>Row 146</v>
      </c>
    </row>
    <row r="192" spans="1:14" ht="40" customHeight="1">
      <c r="A192" s="136">
        <f ca="1">IF($M192=0,"",INDEX(Data!$W$2051:$W$2550,$M192))</f>
        <v>180</v>
      </c>
      <c r="B192" s="139" t="str">
        <f ca="1">IF($M192=0,"",INDEX(Data!$B$2051:$B$2550,$M192))</f>
        <v>The Science Leadership Academy at Beeber High School</v>
      </c>
      <c r="C192" s="146" t="str">
        <f ca="1">IF($M192=0,"",INDEX(Data!$C$2051:$C$2550,$M192))</f>
        <v>District</v>
      </c>
      <c r="D192" s="146" t="str">
        <f ca="1">IF($M192=0,"",INDEX(Data!$D$2051:$D$2550,$M192))</f>
        <v>Middle-High</v>
      </c>
      <c r="E192" s="147">
        <f ca="1">IF($M192=0,"",INDEX(Data!$G$2051:$G$2550,$M192))</f>
        <v>0.51519999999999999</v>
      </c>
      <c r="F192" s="146">
        <f ca="1">IF($M192=0,"",INDEX(Data!$F$2051:$F$2550,$M192))</f>
        <v>492</v>
      </c>
      <c r="G192" s="148">
        <f ca="1">IF($M192=0,"",INDEX(Data!$K$2051:$K$2550,$M192))</f>
        <v>1.0254135022515662</v>
      </c>
      <c r="H192" s="146">
        <f ca="1">IF($M192=0,"",INDEX(Data!$L$2051:$L$2550,$M192))</f>
        <v>5</v>
      </c>
      <c r="I192" s="149">
        <f ca="1">IF($M192=0,"",INDEX(Data!$T$2051:$T$2550,$M192))</f>
        <v>38</v>
      </c>
      <c r="J192" s="146" t="str">
        <f ca="1">IF($M192=0,"",INDEX(Data!$U$2051:$U$2550,$M192))</f>
        <v>Listed</v>
      </c>
      <c r="K192" s="146" t="str">
        <f ca="1">IF($M192=0,"",INDEX(Data!$AA$2051:$AA$2550,$M192))</f>
        <v>52% economic need; 1.03 mi fresh access; 5 nearby resources</v>
      </c>
      <c r="L192" s="146" t="str">
        <f ca="1">IF($M192=0,"",IF(INDEX(Data!$AN$2051:$AN$2550,$M192)=0,"",IF(INDEX(Data!$U$41:$U$540,INDEX(Data!$AN$2051:$AN$2550,$M192))="","",INDEX(Data!$U$41:$U$540,INDEX(Data!$AN$2051:$AN$2550,$M192)))))</f>
        <v>215-400-7270</v>
      </c>
      <c r="M192" s="132">
        <f ca="1">IF(COUNTIFS(Data!$AV$2051:$AV$2550,180)=1,MATCH(180,Data!$AV$2051:$AV$2550,0),0)</f>
        <v>62</v>
      </c>
      <c r="N192" s="150" t="str">
        <f ca="1">IF($M192=0,"",IF(INDEX(Data!$I$2051:$I$2550,$M192)=0,"Add ID","Row "&amp;(INDEX(Data!$I$2051:$I$2550,$M192)+7)))</f>
        <v>Row 295</v>
      </c>
    </row>
    <row r="193" spans="1:14" ht="40" customHeight="1">
      <c r="A193" s="135">
        <f ca="1">IF($M193=0,"",INDEX(Data!$W$2051:$W$2550,$M193))</f>
        <v>181</v>
      </c>
      <c r="B193" s="138" t="str">
        <f ca="1">IF($M193=0,"",INDEX(Data!$B$2051:$B$2550,$M193))</f>
        <v>Henry H. Houston School</v>
      </c>
      <c r="C193" s="141" t="str">
        <f ca="1">IF($M193=0,"",INDEX(Data!$C$2051:$C$2550,$M193))</f>
        <v>District</v>
      </c>
      <c r="D193" s="141" t="str">
        <f ca="1">IF($M193=0,"",INDEX(Data!$D$2051:$D$2550,$M193))</f>
        <v>Elementary-Middle</v>
      </c>
      <c r="E193" s="142">
        <f ca="1">IF($M193=0,"",INDEX(Data!$G$2051:$G$2550,$M193))</f>
        <v>0.50949999999999995</v>
      </c>
      <c r="F193" s="141">
        <f ca="1">IF($M193=0,"",INDEX(Data!$F$2051:$F$2550,$M193))</f>
        <v>473</v>
      </c>
      <c r="G193" s="143">
        <f ca="1">IF($M193=0,"",INDEX(Data!$K$2051:$K$2550,$M193))</f>
        <v>0.35314230213490028</v>
      </c>
      <c r="H193" s="141">
        <f ca="1">IF($M193=0,"",INDEX(Data!$L$2051:$L$2550,$M193))</f>
        <v>2</v>
      </c>
      <c r="I193" s="144">
        <f ca="1">IF($M193=0,"",INDEX(Data!$T$2051:$T$2550,$M193))</f>
        <v>38</v>
      </c>
      <c r="J193" s="141" t="str">
        <f ca="1">IF($M193=0,"",INDEX(Data!$U$2051:$U$2550,$M193))</f>
        <v>Listed</v>
      </c>
      <c r="K193" s="141" t="str">
        <f ca="1">IF($M193=0,"",INDEX(Data!$AA$2051:$AA$2550,$M193))</f>
        <v>51% economic need; 0.35 mi fresh access; 2 nearby resources</v>
      </c>
      <c r="L193" s="141" t="str">
        <f ca="1">IF($M193=0,"",IF(INDEX(Data!$AN$2051:$AN$2550,$M193)=0,"",IF(INDEX(Data!$U$41:$U$540,INDEX(Data!$AN$2051:$AN$2550,$M193))="","",INDEX(Data!$U$41:$U$540,INDEX(Data!$AN$2051:$AN$2550,$M193)))))</f>
        <v>215-400-3490</v>
      </c>
      <c r="M193" s="132">
        <f ca="1">IF(COUNTIFS(Data!$AV$2051:$AV$2550,181)=1,MATCH(181,Data!$AV$2051:$AV$2550,0),0)</f>
        <v>234</v>
      </c>
      <c r="N193" s="145" t="str">
        <f ca="1">IF($M193=0,"",IF(INDEX(Data!$I$2051:$I$2550,$M193)=0,"Add ID","Row "&amp;(INDEX(Data!$I$2051:$I$2550,$M193)+7)))</f>
        <v>Row 118</v>
      </c>
    </row>
    <row r="194" spans="1:14" ht="40" customHeight="1">
      <c r="A194" s="136">
        <f ca="1">IF($M194=0,"",INDEX(Data!$W$2051:$W$2550,$M194))</f>
        <v>182</v>
      </c>
      <c r="B194" s="139" t="str">
        <f ca="1">IF($M194=0,"",INDEX(Data!$B$2051:$B$2550,$M194))</f>
        <v>Richard R. Wright School</v>
      </c>
      <c r="C194" s="146" t="str">
        <f ca="1">IF($M194=0,"",INDEX(Data!$C$2051:$C$2550,$M194))</f>
        <v>District</v>
      </c>
      <c r="D194" s="146" t="str">
        <f ca="1">IF($M194=0,"",INDEX(Data!$D$2051:$D$2550,$M194))</f>
        <v>Elementary</v>
      </c>
      <c r="E194" s="147">
        <f ca="1">IF($M194=0,"",INDEX(Data!$G$2051:$G$2550,$M194))</f>
        <v>0.90900000000000003</v>
      </c>
      <c r="F194" s="146">
        <f ca="1">IF($M194=0,"",INDEX(Data!$F$2051:$F$2550,$M194))</f>
        <v>201</v>
      </c>
      <c r="G194" s="148">
        <f ca="1">IF($M194=0,"",INDEX(Data!$K$2051:$K$2550,$M194))</f>
        <v>5.1769638776506491E-2</v>
      </c>
      <c r="H194" s="146">
        <f ca="1">IF($M194=0,"",INDEX(Data!$L$2051:$L$2550,$M194))</f>
        <v>16</v>
      </c>
      <c r="I194" s="149">
        <f ca="1">IF($M194=0,"",INDEX(Data!$T$2051:$T$2550,$M194))</f>
        <v>37</v>
      </c>
      <c r="J194" s="146" t="str">
        <f ca="1">IF($M194=0,"",INDEX(Data!$U$2051:$U$2550,$M194))</f>
        <v>Listed</v>
      </c>
      <c r="K194" s="146" t="str">
        <f ca="1">IF($M194=0,"",INDEX(Data!$AA$2051:$AA$2550,$M194))</f>
        <v>91% economic need; 0.05 mi fresh access; 16 nearby resources</v>
      </c>
      <c r="L194" s="146" t="str">
        <f ca="1">IF($M194=0,"",IF(INDEX(Data!$AN$2051:$AN$2550,$M194)=0,"",IF(INDEX(Data!$U$41:$U$540,INDEX(Data!$AN$2051:$AN$2550,$M194))="","",INDEX(Data!$U$41:$U$540,INDEX(Data!$AN$2051:$AN$2550,$M194)))))</f>
        <v>215-400-7030</v>
      </c>
      <c r="M194" s="132">
        <f ca="1">IF(COUNTIFS(Data!$AV$2051:$AV$2550,182)=1,MATCH(182,Data!$AV$2051:$AV$2550,0),0)</f>
        <v>173</v>
      </c>
      <c r="N194" s="150" t="str">
        <f ca="1">IF($M194=0,"",IF(INDEX(Data!$I$2051:$I$2550,$M194)=0,"Add ID","Row "&amp;(INDEX(Data!$I$2051:$I$2550,$M194)+7)))</f>
        <v>Row 256</v>
      </c>
    </row>
    <row r="195" spans="1:14" ht="40" customHeight="1">
      <c r="A195" s="135">
        <f ca="1">IF($M195=0,"",INDEX(Data!$W$2051:$W$2550,$M195))</f>
        <v>183</v>
      </c>
      <c r="B195" s="138" t="str">
        <f ca="1">IF($M195=0,"",INDEX(Data!$B$2051:$B$2550,$M195))</f>
        <v>Rudolph Blankenburg School</v>
      </c>
      <c r="C195" s="141" t="str">
        <f ca="1">IF($M195=0,"",INDEX(Data!$C$2051:$C$2550,$M195))</f>
        <v>District</v>
      </c>
      <c r="D195" s="141" t="str">
        <f ca="1">IF($M195=0,"",INDEX(Data!$D$2051:$D$2550,$M195))</f>
        <v>Elementary-Middle</v>
      </c>
      <c r="E195" s="142">
        <f ca="1">IF($M195=0,"",INDEX(Data!$G$2051:$G$2550,$M195))</f>
        <v>0.89790000000000003</v>
      </c>
      <c r="F195" s="141">
        <f ca="1">IF($M195=0,"",INDEX(Data!$F$2051:$F$2550,$M195))</f>
        <v>228</v>
      </c>
      <c r="G195" s="143">
        <f ca="1">IF($M195=0,"",INDEX(Data!$K$2051:$K$2550,$M195))</f>
        <v>0.44216629364402876</v>
      </c>
      <c r="H195" s="141">
        <f ca="1">IF($M195=0,"",INDEX(Data!$L$2051:$L$2550,$M195))</f>
        <v>9</v>
      </c>
      <c r="I195" s="144">
        <f ca="1">IF($M195=0,"",INDEX(Data!$T$2051:$T$2550,$M195))</f>
        <v>37</v>
      </c>
      <c r="J195" s="141" t="str">
        <f ca="1">IF($M195=0,"",INDEX(Data!$U$2051:$U$2550,$M195))</f>
        <v>Listed</v>
      </c>
      <c r="K195" s="141" t="str">
        <f ca="1">IF($M195=0,"",INDEX(Data!$AA$2051:$AA$2550,$M195))</f>
        <v>90% economic need; 0.44 mi fresh access; 9 nearby resources</v>
      </c>
      <c r="L195" s="141" t="str">
        <f ca="1">IF($M195=0,"",IF(INDEX(Data!$AN$2051:$AN$2550,$M195)=0,"",IF(INDEX(Data!$U$41:$U$540,INDEX(Data!$AN$2051:$AN$2550,$M195))="","",INDEX(Data!$U$41:$U$540,INDEX(Data!$AN$2051:$AN$2550,$M195)))))</f>
        <v>215-400-7280</v>
      </c>
      <c r="M195" s="132">
        <f ca="1">IF(COUNTIFS(Data!$AV$2051:$AV$2550,183)=1,MATCH(183,Data!$AV$2051:$AV$2550,0),0)</f>
        <v>27</v>
      </c>
      <c r="N195" s="145" t="str">
        <f ca="1">IF($M195=0,"",IF(INDEX(Data!$I$2051:$I$2550,$M195)=0,"Add ID","Row "&amp;(INDEX(Data!$I$2051:$I$2550,$M195)+7)))</f>
        <v>Row 263</v>
      </c>
    </row>
    <row r="196" spans="1:14" ht="40" customHeight="1">
      <c r="A196" s="136">
        <f ca="1">IF($M196=0,"",INDEX(Data!$W$2051:$W$2550,$M196))</f>
        <v>184</v>
      </c>
      <c r="B196" s="139" t="str">
        <f ca="1">IF($M196=0,"",INDEX(Data!$B$2051:$B$2550,$M196))</f>
        <v>Paul L. Dunbar School</v>
      </c>
      <c r="C196" s="146" t="str">
        <f ca="1">IF($M196=0,"",INDEX(Data!$C$2051:$C$2550,$M196))</f>
        <v>District</v>
      </c>
      <c r="D196" s="146" t="str">
        <f ca="1">IF($M196=0,"",INDEX(Data!$D$2051:$D$2550,$M196))</f>
        <v>Elementary-Middle</v>
      </c>
      <c r="E196" s="147">
        <f ca="1">IF($M196=0,"",INDEX(Data!$G$2051:$G$2550,$M196))</f>
        <v>0.89729999999999999</v>
      </c>
      <c r="F196" s="146">
        <f ca="1">IF($M196=0,"",INDEX(Data!$F$2051:$F$2550,$M196))</f>
        <v>223</v>
      </c>
      <c r="G196" s="148">
        <f ca="1">IF($M196=0,"",INDEX(Data!$K$2051:$K$2550,$M196))</f>
        <v>0.26926386473880953</v>
      </c>
      <c r="H196" s="146">
        <f ca="1">IF($M196=0,"",INDEX(Data!$L$2051:$L$2550,$M196))</f>
        <v>17</v>
      </c>
      <c r="I196" s="149">
        <f ca="1">IF($M196=0,"",INDEX(Data!$T$2051:$T$2550,$M196))</f>
        <v>37</v>
      </c>
      <c r="J196" s="146" t="str">
        <f ca="1">IF($M196=0,"",INDEX(Data!$U$2051:$U$2550,$M196))</f>
        <v>Listed</v>
      </c>
      <c r="K196" s="146" t="str">
        <f ca="1">IF($M196=0,"",INDEX(Data!$AA$2051:$AA$2550,$M196))</f>
        <v>90% economic need; 0.27 mi fresh access; 17 nearby resources</v>
      </c>
      <c r="L196" s="146" t="str">
        <f ca="1">IF($M196=0,"",IF(INDEX(Data!$AN$2051:$AN$2550,$M196)=0,"",IF(INDEX(Data!$U$41:$U$540,INDEX(Data!$AN$2051:$AN$2550,$M196))="","",INDEX(Data!$U$41:$U$540,INDEX(Data!$AN$2051:$AN$2550,$M196)))))</f>
        <v>215-400-7410</v>
      </c>
      <c r="M196" s="132">
        <f ca="1">IF(COUNTIFS(Data!$AV$2051:$AV$2550,184)=1,MATCH(184,Data!$AV$2051:$AV$2550,0),0)</f>
        <v>192</v>
      </c>
      <c r="N196" s="150" t="str">
        <f ca="1">IF($M196=0,"",IF(INDEX(Data!$I$2051:$I$2550,$M196)=0,"Add ID","Row "&amp;(INDEX(Data!$I$2051:$I$2550,$M196)+7)))</f>
        <v>Row 232</v>
      </c>
    </row>
    <row r="197" spans="1:14" ht="40" customHeight="1">
      <c r="A197" s="135">
        <f ca="1">IF($M197=0,"",INDEX(Data!$W$2051:$W$2550,$M197))</f>
        <v>185</v>
      </c>
      <c r="B197" s="138" t="str">
        <f ca="1">IF($M197=0,"",INDEX(Data!$B$2051:$B$2550,$M197))</f>
        <v>William C. Longstreth School</v>
      </c>
      <c r="C197" s="141" t="str">
        <f ca="1">IF($M197=0,"",INDEX(Data!$C$2051:$C$2550,$M197))</f>
        <v>District</v>
      </c>
      <c r="D197" s="141" t="str">
        <f ca="1">IF($M197=0,"",INDEX(Data!$D$2051:$D$2550,$M197))</f>
        <v>Elementary-Middle</v>
      </c>
      <c r="E197" s="142">
        <f ca="1">IF($M197=0,"",INDEX(Data!$G$2051:$G$2550,$M197))</f>
        <v>0.89580000000000004</v>
      </c>
      <c r="F197" s="141">
        <f ca="1">IF($M197=0,"",INDEX(Data!$F$2051:$F$2550,$M197))</f>
        <v>259</v>
      </c>
      <c r="G197" s="143">
        <f ca="1">IF($M197=0,"",INDEX(Data!$K$2051:$K$2550,$M197))</f>
        <v>0.45174624081432102</v>
      </c>
      <c r="H197" s="141">
        <f ca="1">IF($M197=0,"",INDEX(Data!$L$2051:$L$2550,$M197))</f>
        <v>8</v>
      </c>
      <c r="I197" s="144">
        <f ca="1">IF($M197=0,"",INDEX(Data!$T$2051:$T$2550,$M197))</f>
        <v>37</v>
      </c>
      <c r="J197" s="141" t="str">
        <f ca="1">IF($M197=0,"",INDEX(Data!$U$2051:$U$2550,$M197))</f>
        <v>Listed</v>
      </c>
      <c r="K197" s="141" t="str">
        <f ca="1">IF($M197=0,"",INDEX(Data!$AA$2051:$AA$2550,$M197))</f>
        <v>90% economic need; 0.45 mi fresh access; 8 nearby resources</v>
      </c>
      <c r="L197" s="141" t="str">
        <f ca="1">IF($M197=0,"",IF(INDEX(Data!$AN$2051:$AN$2550,$M197)=0,"",IF(INDEX(Data!$U$41:$U$540,INDEX(Data!$AN$2051:$AN$2550,$M197))="","",INDEX(Data!$U$41:$U$540,INDEX(Data!$AN$2051:$AN$2550,$M197)))))</f>
        <v>215-400-7870</v>
      </c>
      <c r="M197" s="132">
        <f ca="1">IF(COUNTIFS(Data!$AV$2051:$AV$2550,185)=1,MATCH(185,Data!$AV$2051:$AV$2550,0),0)</f>
        <v>16</v>
      </c>
      <c r="N197" s="145" t="str">
        <f ca="1">IF($M197=0,"",IF(INDEX(Data!$I$2051:$I$2550,$M197)=0,"Add ID","Row "&amp;(INDEX(Data!$I$2051:$I$2550,$M197)+7)))</f>
        <v>Row 320</v>
      </c>
    </row>
    <row r="198" spans="1:14" ht="40" customHeight="1">
      <c r="A198" s="136">
        <f ca="1">IF($M198=0,"",INDEX(Data!$W$2051:$W$2550,$M198))</f>
        <v>186</v>
      </c>
      <c r="B198" s="139" t="str">
        <f ca="1">IF($M198=0,"",INDEX(Data!$B$2051:$B$2550,$M198))</f>
        <v>James G. Blaine School</v>
      </c>
      <c r="C198" s="146" t="str">
        <f ca="1">IF($M198=0,"",INDEX(Data!$C$2051:$C$2550,$M198))</f>
        <v>District</v>
      </c>
      <c r="D198" s="146" t="str">
        <f ca="1">IF($M198=0,"",INDEX(Data!$D$2051:$D$2550,$M198))</f>
        <v>Elementary-Middle</v>
      </c>
      <c r="E198" s="147">
        <f ca="1">IF($M198=0,"",INDEX(Data!$G$2051:$G$2550,$M198))</f>
        <v>0.89439999999999997</v>
      </c>
      <c r="F198" s="146">
        <f ca="1">IF($M198=0,"",INDEX(Data!$F$2051:$F$2550,$M198))</f>
        <v>299</v>
      </c>
      <c r="G198" s="148">
        <f ca="1">IF($M198=0,"",INDEX(Data!$K$2051:$K$2550,$M198))</f>
        <v>0.46870724449513518</v>
      </c>
      <c r="H198" s="146">
        <f ca="1">IF($M198=0,"",INDEX(Data!$L$2051:$L$2550,$M198))</f>
        <v>11</v>
      </c>
      <c r="I198" s="149">
        <f ca="1">IF($M198=0,"",INDEX(Data!$T$2051:$T$2550,$M198))</f>
        <v>37</v>
      </c>
      <c r="J198" s="146" t="str">
        <f ca="1">IF($M198=0,"",INDEX(Data!$U$2051:$U$2550,$M198))</f>
        <v>Listed</v>
      </c>
      <c r="K198" s="146" t="str">
        <f ca="1">IF($M198=0,"",INDEX(Data!$AA$2051:$AA$2550,$M198))</f>
        <v>89% economic need; 0.47 mi fresh access; 11 nearby resources</v>
      </c>
      <c r="L198" s="146" t="str">
        <f ca="1">IF($M198=0,"",IF(INDEX(Data!$AN$2051:$AN$2550,$M198)=0,"",IF(INDEX(Data!$U$41:$U$540,INDEX(Data!$AN$2051:$AN$2550,$M198))="","",INDEX(Data!$U$41:$U$540,INDEX(Data!$AN$2051:$AN$2550,$M198)))))</f>
        <v>215-400-7330</v>
      </c>
      <c r="M198" s="132">
        <f ca="1">IF(COUNTIFS(Data!$AV$2051:$AV$2550,186)=1,MATCH(186,Data!$AV$2051:$AV$2550,0),0)</f>
        <v>161</v>
      </c>
      <c r="N198" s="150" t="str">
        <f ca="1">IF($M198=0,"",IF(INDEX(Data!$I$2051:$I$2550,$M198)=0,"Add ID","Row "&amp;(INDEX(Data!$I$2051:$I$2550,$M198)+7)))</f>
        <v>Row 133</v>
      </c>
    </row>
    <row r="199" spans="1:14" ht="40" customHeight="1">
      <c r="A199" s="135">
        <f ca="1">IF($M199=0,"",INDEX(Data!$W$2051:$W$2550,$M199))</f>
        <v>187</v>
      </c>
      <c r="B199" s="138" t="str">
        <f ca="1">IF($M199=0,"",INDEX(Data!$B$2051:$B$2550,$M199))</f>
        <v>John F. Hartranft School</v>
      </c>
      <c r="C199" s="141" t="str">
        <f ca="1">IF($M199=0,"",INDEX(Data!$C$2051:$C$2550,$M199))</f>
        <v>District</v>
      </c>
      <c r="D199" s="141" t="str">
        <f ca="1">IF($M199=0,"",INDEX(Data!$D$2051:$D$2550,$M199))</f>
        <v>Elementary-Middle</v>
      </c>
      <c r="E199" s="142">
        <f ca="1">IF($M199=0,"",INDEX(Data!$G$2051:$G$2550,$M199))</f>
        <v>0.88649999999999995</v>
      </c>
      <c r="F199" s="141">
        <f ca="1">IF($M199=0,"",INDEX(Data!$F$2051:$F$2550,$M199))</f>
        <v>337</v>
      </c>
      <c r="G199" s="143">
        <f ca="1">IF($M199=0,"",INDEX(Data!$K$2051:$K$2550,$M199))</f>
        <v>0.29148165118256492</v>
      </c>
      <c r="H199" s="141">
        <f ca="1">IF($M199=0,"",INDEX(Data!$L$2051:$L$2550,$M199))</f>
        <v>15</v>
      </c>
      <c r="I199" s="144">
        <f ca="1">IF($M199=0,"",INDEX(Data!$T$2051:$T$2550,$M199))</f>
        <v>37</v>
      </c>
      <c r="J199" s="141" t="str">
        <f ca="1">IF($M199=0,"",INDEX(Data!$U$2051:$U$2550,$M199))</f>
        <v>Listed</v>
      </c>
      <c r="K199" s="141" t="str">
        <f ca="1">IF($M199=0,"",INDEX(Data!$AA$2051:$AA$2550,$M199))</f>
        <v>89% economic need; 0.29 mi fresh access; 15 nearby resources</v>
      </c>
      <c r="L199" s="141" t="str">
        <f ca="1">IF($M199=0,"",IF(INDEX(Data!$AN$2051:$AN$2550,$M199)=0,"",IF(INDEX(Data!$U$41:$U$540,INDEX(Data!$AN$2051:$AN$2550,$M199))="","",INDEX(Data!$U$41:$U$540,INDEX(Data!$AN$2051:$AN$2550,$M199)))))</f>
        <v>215-400-7090</v>
      </c>
      <c r="M199" s="132">
        <f ca="1">IF(COUNTIFS(Data!$AV$2051:$AV$2550,187)=1,MATCH(187,Data!$AV$2051:$AV$2550,0),0)</f>
        <v>195</v>
      </c>
      <c r="N199" s="145" t="str">
        <f ca="1">IF($M199=0,"",IF(INDEX(Data!$I$2051:$I$2550,$M199)=0,"Add ID","Row "&amp;(INDEX(Data!$I$2051:$I$2550,$M199)+7)))</f>
        <v>Row 144</v>
      </c>
    </row>
    <row r="200" spans="1:14" ht="40" customHeight="1">
      <c r="A200" s="136">
        <f ca="1">IF($M200=0,"",INDEX(Data!$W$2051:$W$2550,$M200))</f>
        <v>188</v>
      </c>
      <c r="B200" s="139" t="str">
        <f ca="1">IF($M200=0,"",INDEX(Data!$B$2051:$B$2550,$M200))</f>
        <v>Joseph Pennell School</v>
      </c>
      <c r="C200" s="146" t="str">
        <f ca="1">IF($M200=0,"",INDEX(Data!$C$2051:$C$2550,$M200))</f>
        <v>District</v>
      </c>
      <c r="D200" s="146" t="str">
        <f ca="1">IF($M200=0,"",INDEX(Data!$D$2051:$D$2550,$M200))</f>
        <v>Elementary</v>
      </c>
      <c r="E200" s="147">
        <f ca="1">IF($M200=0,"",INDEX(Data!$G$2051:$G$2550,$M200))</f>
        <v>0.88439999999999996</v>
      </c>
      <c r="F200" s="146">
        <f ca="1">IF($M200=0,"",INDEX(Data!$F$2051:$F$2550,$M200))</f>
        <v>249</v>
      </c>
      <c r="G200" s="148">
        <f ca="1">IF($M200=0,"",INDEX(Data!$K$2051:$K$2550,$M200))</f>
        <v>0.36982424424793359</v>
      </c>
      <c r="H200" s="146">
        <f ca="1">IF($M200=0,"",INDEX(Data!$L$2051:$L$2550,$M200))</f>
        <v>13</v>
      </c>
      <c r="I200" s="149">
        <f ca="1">IF($M200=0,"",INDEX(Data!$T$2051:$T$2550,$M200))</f>
        <v>37</v>
      </c>
      <c r="J200" s="146" t="str">
        <f ca="1">IF($M200=0,"",INDEX(Data!$U$2051:$U$2550,$M200))</f>
        <v>Listed</v>
      </c>
      <c r="K200" s="146" t="str">
        <f ca="1">IF($M200=0,"",INDEX(Data!$AA$2051:$AA$2550,$M200))</f>
        <v>88% economic need; 0.37 mi fresh access; 13 nearby resources</v>
      </c>
      <c r="L200" s="146" t="str">
        <f ca="1">IF($M200=0,"",IF(INDEX(Data!$AN$2051:$AN$2550,$M200)=0,"",IF(INDEX(Data!$U$41:$U$540,INDEX(Data!$AN$2051:$AN$2550,$M200))="","",INDEX(Data!$U$41:$U$540,INDEX(Data!$AN$2051:$AN$2550,$M200)))))</f>
        <v>215-400-3680</v>
      </c>
      <c r="M200" s="132">
        <f ca="1">IF(COUNTIFS(Data!$AV$2051:$AV$2550,188)=1,MATCH(188,Data!$AV$2051:$AV$2550,0),0)</f>
        <v>239</v>
      </c>
      <c r="N200" s="150" t="str">
        <f ca="1">IF($M200=0,"",IF(INDEX(Data!$I$2051:$I$2550,$M200)=0,"Add ID","Row "&amp;(INDEX(Data!$I$2051:$I$2550,$M200)+7)))</f>
        <v>Row 155</v>
      </c>
    </row>
    <row r="201" spans="1:14" ht="40" customHeight="1">
      <c r="A201" s="135">
        <f ca="1">IF($M201=0,"",INDEX(Data!$W$2051:$W$2550,$M201))</f>
        <v>189</v>
      </c>
      <c r="B201" s="138" t="str">
        <f ca="1">IF($M201=0,"",INDEX(Data!$B$2051:$B$2550,$M201))</f>
        <v>Avery D. Harrington School</v>
      </c>
      <c r="C201" s="141" t="str">
        <f ca="1">IF($M201=0,"",INDEX(Data!$C$2051:$C$2550,$M201))</f>
        <v>District</v>
      </c>
      <c r="D201" s="141" t="str">
        <f ca="1">IF($M201=0,"",INDEX(Data!$D$2051:$D$2550,$M201))</f>
        <v>Elementary-Middle</v>
      </c>
      <c r="E201" s="142">
        <f ca="1">IF($M201=0,"",INDEX(Data!$G$2051:$G$2550,$M201))</f>
        <v>0.874</v>
      </c>
      <c r="F201" s="141">
        <f ca="1">IF($M201=0,"",INDEX(Data!$F$2051:$F$2550,$M201))</f>
        <v>259</v>
      </c>
      <c r="G201" s="143">
        <f ca="1">IF($M201=0,"",INDEX(Data!$K$2051:$K$2550,$M201))</f>
        <v>0.37990796000976218</v>
      </c>
      <c r="H201" s="141">
        <f ca="1">IF($M201=0,"",INDEX(Data!$L$2051:$L$2550,$M201))</f>
        <v>11</v>
      </c>
      <c r="I201" s="144">
        <f ca="1">IF($M201=0,"",INDEX(Data!$T$2051:$T$2550,$M201))</f>
        <v>37</v>
      </c>
      <c r="J201" s="141" t="str">
        <f ca="1">IF($M201=0,"",INDEX(Data!$U$2051:$U$2550,$M201))</f>
        <v>Listed</v>
      </c>
      <c r="K201" s="141" t="str">
        <f ca="1">IF($M201=0,"",INDEX(Data!$AA$2051:$AA$2550,$M201))</f>
        <v>87% economic need; 0.38 mi fresh access; 11 nearby resources</v>
      </c>
      <c r="L201" s="141" t="str">
        <f ca="1">IF($M201=0,"",IF(INDEX(Data!$AN$2051:$AN$2550,$M201)=0,"",IF(INDEX(Data!$U$41:$U$540,INDEX(Data!$AN$2051:$AN$2550,$M201))="","",INDEX(Data!$U$41:$U$540,INDEX(Data!$AN$2051:$AN$2550,$M201)))))</f>
        <v>215-400-7920</v>
      </c>
      <c r="M201" s="132">
        <f ca="1">IF(COUNTIFS(Data!$AV$2051:$AV$2550,189)=1,MATCH(189,Data!$AV$2051:$AV$2550,0),0)</f>
        <v>14</v>
      </c>
      <c r="N201" s="145" t="str">
        <f ca="1">IF($M201=0,"",IF(INDEX(Data!$I$2051:$I$2550,$M201)=0,"Add ID","Row "&amp;(INDEX(Data!$I$2051:$I$2550,$M201)+7)))</f>
        <v>Row 32</v>
      </c>
    </row>
    <row r="202" spans="1:14" ht="40" customHeight="1">
      <c r="A202" s="136">
        <f ca="1">IF($M202=0,"",INDEX(Data!$W$2051:$W$2550,$M202))</f>
        <v>190</v>
      </c>
      <c r="B202" s="139" t="str">
        <f ca="1">IF($M202=0,"",INDEX(Data!$B$2051:$B$2550,$M202))</f>
        <v>Strawberry Mansion High School</v>
      </c>
      <c r="C202" s="146" t="str">
        <f ca="1">IF($M202=0,"",INDEX(Data!$C$2051:$C$2550,$M202))</f>
        <v>District</v>
      </c>
      <c r="D202" s="146" t="str">
        <f ca="1">IF($M202=0,"",INDEX(Data!$D$2051:$D$2550,$M202))</f>
        <v>High</v>
      </c>
      <c r="E202" s="147">
        <f ca="1">IF($M202=0,"",INDEX(Data!$G$2051:$G$2550,$M202))</f>
        <v>0.87350000000000005</v>
      </c>
      <c r="F202" s="146">
        <f ca="1">IF($M202=0,"",INDEX(Data!$F$2051:$F$2550,$M202))</f>
        <v>275</v>
      </c>
      <c r="G202" s="148">
        <f ca="1">IF($M202=0,"",INDEX(Data!$K$2051:$K$2550,$M202))</f>
        <v>0.325702508834255</v>
      </c>
      <c r="H202" s="146">
        <f ca="1">IF($M202=0,"",INDEX(Data!$L$2051:$L$2550,$M202))</f>
        <v>12</v>
      </c>
      <c r="I202" s="149">
        <f ca="1">IF($M202=0,"",INDEX(Data!$T$2051:$T$2550,$M202))</f>
        <v>37</v>
      </c>
      <c r="J202" s="146" t="str">
        <f ca="1">IF($M202=0,"",INDEX(Data!$U$2051:$U$2550,$M202))</f>
        <v>Listed</v>
      </c>
      <c r="K202" s="146" t="str">
        <f ca="1">IF($M202=0,"",INDEX(Data!$AA$2051:$AA$2550,$M202))</f>
        <v>87% economic need; 0.33 mi fresh access; 12 nearby resources</v>
      </c>
      <c r="L202" s="146" t="str">
        <f ca="1">IF($M202=0,"",IF(INDEX(Data!$AN$2051:$AN$2550,$M202)=0,"",IF(INDEX(Data!$U$41:$U$540,INDEX(Data!$AN$2051:$AN$2550,$M202))="","",INDEX(Data!$U$41:$U$540,INDEX(Data!$AN$2051:$AN$2550,$M202)))))</f>
        <v>215-400-7500</v>
      </c>
      <c r="M202" s="132">
        <f ca="1">IF(COUNTIFS(Data!$AV$2051:$AV$2550,190)=1,MATCH(190,Data!$AV$2051:$AV$2550,0),0)</f>
        <v>160</v>
      </c>
      <c r="N202" s="150" t="str">
        <f ca="1">IF($M202=0,"",IF(INDEX(Data!$I$2051:$I$2550,$M202)=0,"Add ID","Row "&amp;(INDEX(Data!$I$2051:$I$2550,$M202)+7)))</f>
        <v>Row 285</v>
      </c>
    </row>
    <row r="203" spans="1:14" ht="40" customHeight="1">
      <c r="A203" s="135">
        <f ca="1">IF($M203=0,"",INDEX(Data!$W$2051:$W$2550,$M203))</f>
        <v>191</v>
      </c>
      <c r="B203" s="138" t="str">
        <f ca="1">IF($M203=0,"",INDEX(Data!$B$2051:$B$2550,$M203))</f>
        <v>Eleanor C. Emlen School</v>
      </c>
      <c r="C203" s="141" t="str">
        <f ca="1">IF($M203=0,"",INDEX(Data!$C$2051:$C$2550,$M203))</f>
        <v>District</v>
      </c>
      <c r="D203" s="141" t="str">
        <f ca="1">IF($M203=0,"",INDEX(Data!$D$2051:$D$2550,$M203))</f>
        <v>Elementary</v>
      </c>
      <c r="E203" s="142">
        <f ca="1">IF($M203=0,"",INDEX(Data!$G$2051:$G$2550,$M203))</f>
        <v>0.87319999999999998</v>
      </c>
      <c r="F203" s="141">
        <f ca="1">IF($M203=0,"",INDEX(Data!$F$2051:$F$2550,$M203))</f>
        <v>261</v>
      </c>
      <c r="G203" s="143">
        <f ca="1">IF($M203=0,"",INDEX(Data!$K$2051:$K$2550,$M203))</f>
        <v>0.33706104927098002</v>
      </c>
      <c r="H203" s="141">
        <f ca="1">IF($M203=0,"",INDEX(Data!$L$2051:$L$2550,$M203))</f>
        <v>13</v>
      </c>
      <c r="I203" s="144">
        <f ca="1">IF($M203=0,"",INDEX(Data!$T$2051:$T$2550,$M203))</f>
        <v>37</v>
      </c>
      <c r="J203" s="141" t="str">
        <f ca="1">IF($M203=0,"",INDEX(Data!$U$2051:$U$2550,$M203))</f>
        <v>Listed</v>
      </c>
      <c r="K203" s="141" t="str">
        <f ca="1">IF($M203=0,"",INDEX(Data!$AA$2051:$AA$2550,$M203))</f>
        <v>87% economic need; 0.34 mi fresh access; 13 nearby resources</v>
      </c>
      <c r="L203" s="141" t="str">
        <f ca="1">IF($M203=0,"",IF(INDEX(Data!$AN$2051:$AN$2550,$M203)=0,"",IF(INDEX(Data!$U$41:$U$540,INDEX(Data!$AN$2051:$AN$2550,$M203))="","",INDEX(Data!$U$41:$U$540,INDEX(Data!$AN$2051:$AN$2550,$M203)))))</f>
        <v>215-400-3470</v>
      </c>
      <c r="M203" s="132">
        <f ca="1">IF(COUNTIFS(Data!$AV$2051:$AV$2550,191)=1,MATCH(191,Data!$AV$2051:$AV$2550,0),0)</f>
        <v>231</v>
      </c>
      <c r="N203" s="145" t="str">
        <f ca="1">IF($M203=0,"",IF(INDEX(Data!$I$2051:$I$2550,$M203)=0,"Add ID","Row "&amp;(INDEX(Data!$I$2051:$I$2550,$M203)+7)))</f>
        <v>Row 68</v>
      </c>
    </row>
    <row r="204" spans="1:14" ht="40" customHeight="1">
      <c r="A204" s="136">
        <f ca="1">IF($M204=0,"",INDEX(Data!$W$2051:$W$2550,$M204))</f>
        <v>192</v>
      </c>
      <c r="B204" s="139" t="str">
        <f ca="1">IF($M204=0,"",INDEX(Data!$B$2051:$B$2550,$M204))</f>
        <v>S. Weir Mitchell School</v>
      </c>
      <c r="C204" s="146" t="str">
        <f ca="1">IF($M204=0,"",INDEX(Data!$C$2051:$C$2550,$M204))</f>
        <v>District</v>
      </c>
      <c r="D204" s="146" t="str">
        <f ca="1">IF($M204=0,"",INDEX(Data!$D$2051:$D$2550,$M204))</f>
        <v>Elementary-Middle</v>
      </c>
      <c r="E204" s="147">
        <f ca="1">IF($M204=0,"",INDEX(Data!$G$2051:$G$2550,$M204))</f>
        <v>0.87260000000000004</v>
      </c>
      <c r="F204" s="146">
        <f ca="1">IF($M204=0,"",INDEX(Data!$F$2051:$F$2550,$M204))</f>
        <v>271</v>
      </c>
      <c r="G204" s="148">
        <f ca="1">IF($M204=0,"",INDEX(Data!$K$2051:$K$2550,$M204))</f>
        <v>0.33494930534260714</v>
      </c>
      <c r="H204" s="146">
        <f ca="1">IF($M204=0,"",INDEX(Data!$L$2051:$L$2550,$M204))</f>
        <v>9</v>
      </c>
      <c r="I204" s="149">
        <f ca="1">IF($M204=0,"",INDEX(Data!$T$2051:$T$2550,$M204))</f>
        <v>37</v>
      </c>
      <c r="J204" s="146" t="str">
        <f ca="1">IF($M204=0,"",INDEX(Data!$U$2051:$U$2550,$M204))</f>
        <v>Listed</v>
      </c>
      <c r="K204" s="146" t="str">
        <f ca="1">IF($M204=0,"",INDEX(Data!$AA$2051:$AA$2550,$M204))</f>
        <v>87% economic need; 0.33 mi fresh access; 9 nearby resources</v>
      </c>
      <c r="L204" s="146" t="str">
        <f ca="1">IF($M204=0,"",IF(INDEX(Data!$AN$2051:$AN$2550,$M204)=0,"",IF(INDEX(Data!$U$41:$U$540,INDEX(Data!$AN$2051:$AN$2550,$M204))="","",INDEX(Data!$U$41:$U$540,INDEX(Data!$AN$2051:$AN$2550,$M204)))))</f>
        <v>215-400-7880</v>
      </c>
      <c r="M204" s="132">
        <f ca="1">IF(COUNTIFS(Data!$AV$2051:$AV$2550,192)=1,MATCH(192,Data!$AV$2051:$AV$2550,0),0)</f>
        <v>18</v>
      </c>
      <c r="N204" s="150" t="str">
        <f ca="1">IF($M204=0,"",IF(INDEX(Data!$I$2051:$I$2550,$M204)=0,"Add ID","Row "&amp;(INDEX(Data!$I$2051:$I$2550,$M204)+7)))</f>
        <v>Row 266</v>
      </c>
    </row>
    <row r="205" spans="1:14" ht="40" customHeight="1">
      <c r="A205" s="135">
        <f ca="1">IF($M205=0,"",INDEX(Data!$W$2051:$W$2550,$M205))</f>
        <v>193</v>
      </c>
      <c r="B205" s="138" t="str">
        <f ca="1">IF($M205=0,"",INDEX(Data!$B$2051:$B$2550,$M205))</f>
        <v>General Louis Wagner School</v>
      </c>
      <c r="C205" s="141" t="str">
        <f ca="1">IF($M205=0,"",INDEX(Data!$C$2051:$C$2550,$M205))</f>
        <v>District</v>
      </c>
      <c r="D205" s="141" t="str">
        <f ca="1">IF($M205=0,"",INDEX(Data!$D$2051:$D$2550,$M205))</f>
        <v>Middle</v>
      </c>
      <c r="E205" s="142">
        <f ca="1">IF($M205=0,"",INDEX(Data!$G$2051:$G$2550,$M205))</f>
        <v>0.87029999999999996</v>
      </c>
      <c r="F205" s="141">
        <f ca="1">IF($M205=0,"",INDEX(Data!$F$2051:$F$2550,$M205))</f>
        <v>294</v>
      </c>
      <c r="G205" s="143">
        <f ca="1">IF($M205=0,"",INDEX(Data!$K$2051:$K$2550,$M205))</f>
        <v>0.41866095869762276</v>
      </c>
      <c r="H205" s="141">
        <f ca="1">IF($M205=0,"",INDEX(Data!$L$2051:$L$2550,$M205))</f>
        <v>11</v>
      </c>
      <c r="I205" s="144">
        <f ca="1">IF($M205=0,"",INDEX(Data!$T$2051:$T$2550,$M205))</f>
        <v>37</v>
      </c>
      <c r="J205" s="141" t="str">
        <f ca="1">IF($M205=0,"",INDEX(Data!$U$2051:$U$2550,$M205))</f>
        <v>Listed</v>
      </c>
      <c r="K205" s="141" t="str">
        <f ca="1">IF($M205=0,"",INDEX(Data!$AA$2051:$AA$2550,$M205))</f>
        <v>87% economic need; 0.42 mi fresh access; 11 nearby resources</v>
      </c>
      <c r="L205" s="141" t="str">
        <f ca="1">IF($M205=0,"",IF(INDEX(Data!$AN$2051:$AN$2550,$M205)=0,"",IF(INDEX(Data!$U$41:$U$540,INDEX(Data!$AN$2051:$AN$2550,$M205))="","",INDEX(Data!$U$41:$U$540,INDEX(Data!$AN$2051:$AN$2550,$M205)))))</f>
        <v>215-400-3560</v>
      </c>
      <c r="M205" s="132">
        <f ca="1">IF(COUNTIFS(Data!$AV$2051:$AV$2550,193)=1,MATCH(193,Data!$AV$2051:$AV$2550,0),0)</f>
        <v>259</v>
      </c>
      <c r="N205" s="145" t="str">
        <f ca="1">IF($M205=0,"",IF(INDEX(Data!$I$2051:$I$2550,$M205)=0,"Add ID","Row "&amp;(INDEX(Data!$I$2051:$I$2550,$M205)+7)))</f>
        <v>Row 99</v>
      </c>
    </row>
    <row r="206" spans="1:14" ht="40" customHeight="1">
      <c r="A206" s="136">
        <f ca="1">IF($M206=0,"",INDEX(Data!$W$2051:$W$2550,$M206))</f>
        <v>194</v>
      </c>
      <c r="B206" s="139" t="str">
        <f ca="1">IF($M206=0,"",INDEX(Data!$B$2051:$B$2550,$M206))</f>
        <v>James R. Ludlow School</v>
      </c>
      <c r="C206" s="146" t="str">
        <f ca="1">IF($M206=0,"",INDEX(Data!$C$2051:$C$2550,$M206))</f>
        <v>District</v>
      </c>
      <c r="D206" s="146" t="str">
        <f ca="1">IF($M206=0,"",INDEX(Data!$D$2051:$D$2550,$M206))</f>
        <v>Elementary-Middle</v>
      </c>
      <c r="E206" s="147">
        <f ca="1">IF($M206=0,"",INDEX(Data!$G$2051:$G$2550,$M206))</f>
        <v>0.8649</v>
      </c>
      <c r="F206" s="146">
        <f ca="1">IF($M206=0,"",INDEX(Data!$F$2051:$F$2550,$M206))</f>
        <v>237</v>
      </c>
      <c r="G206" s="148">
        <f ca="1">IF($M206=0,"",INDEX(Data!$K$2051:$K$2550,$M206))</f>
        <v>0.41978614301721801</v>
      </c>
      <c r="H206" s="146">
        <f ca="1">IF($M206=0,"",INDEX(Data!$L$2051:$L$2550,$M206))</f>
        <v>13</v>
      </c>
      <c r="I206" s="149">
        <f ca="1">IF($M206=0,"",INDEX(Data!$T$2051:$T$2550,$M206))</f>
        <v>37</v>
      </c>
      <c r="J206" s="146" t="str">
        <f ca="1">IF($M206=0,"",INDEX(Data!$U$2051:$U$2550,$M206))</f>
        <v>Listed</v>
      </c>
      <c r="K206" s="146" t="str">
        <f ca="1">IF($M206=0,"",INDEX(Data!$AA$2051:$AA$2550,$M206))</f>
        <v>86% economic need; 0.42 mi fresh access; 13 nearby resources</v>
      </c>
      <c r="L206" s="146" t="str">
        <f ca="1">IF($M206=0,"",IF(INDEX(Data!$AN$2051:$AN$2550,$M206)=0,"",IF(INDEX(Data!$U$41:$U$540,INDEX(Data!$AN$2051:$AN$2550,$M206))="","",INDEX(Data!$U$41:$U$540,INDEX(Data!$AN$2051:$AN$2550,$M206)))))</f>
        <v>215-400-7430</v>
      </c>
      <c r="M206" s="132">
        <f ca="1">IF(COUNTIFS(Data!$AV$2051:$AV$2550,194)=1,MATCH(194,Data!$AV$2051:$AV$2550,0),0)</f>
        <v>197</v>
      </c>
      <c r="N206" s="150" t="str">
        <f ca="1">IF($M206=0,"",IF(INDEX(Data!$I$2051:$I$2550,$M206)=0,"Add ID","Row "&amp;(INDEX(Data!$I$2051:$I$2550,$M206)+7)))</f>
        <v>Row 137</v>
      </c>
    </row>
    <row r="207" spans="1:14" ht="40" customHeight="1">
      <c r="A207" s="135">
        <f ca="1">IF($M207=0,"",INDEX(Data!$W$2051:$W$2550,$M207))</f>
        <v>195</v>
      </c>
      <c r="B207" s="138" t="str">
        <f ca="1">IF($M207=0,"",INDEX(Data!$B$2051:$B$2550,$M207))</f>
        <v>Add B. Anderson School</v>
      </c>
      <c r="C207" s="141" t="str">
        <f ca="1">IF($M207=0,"",INDEX(Data!$C$2051:$C$2550,$M207))</f>
        <v>District</v>
      </c>
      <c r="D207" s="141" t="str">
        <f ca="1">IF($M207=0,"",INDEX(Data!$D$2051:$D$2550,$M207))</f>
        <v>Elementary-Middle</v>
      </c>
      <c r="E207" s="142">
        <f ca="1">IF($M207=0,"",INDEX(Data!$G$2051:$G$2550,$M207))</f>
        <v>0.86460000000000004</v>
      </c>
      <c r="F207" s="141">
        <f ca="1">IF($M207=0,"",INDEX(Data!$F$2051:$F$2550,$M207))</f>
        <v>318</v>
      </c>
      <c r="G207" s="143">
        <f ca="1">IF($M207=0,"",INDEX(Data!$K$2051:$K$2550,$M207))</f>
        <v>0.43366695454428678</v>
      </c>
      <c r="H207" s="141">
        <f ca="1">IF($M207=0,"",INDEX(Data!$L$2051:$L$2550,$M207))</f>
        <v>6</v>
      </c>
      <c r="I207" s="144">
        <f ca="1">IF($M207=0,"",INDEX(Data!$T$2051:$T$2550,$M207))</f>
        <v>37</v>
      </c>
      <c r="J207" s="141" t="str">
        <f ca="1">IF($M207=0,"",INDEX(Data!$U$2051:$U$2550,$M207))</f>
        <v>Listed</v>
      </c>
      <c r="K207" s="141" t="str">
        <f ca="1">IF($M207=0,"",INDEX(Data!$AA$2051:$AA$2550,$M207))</f>
        <v>86% economic need; 0.43 mi fresh access; 6 nearby resources</v>
      </c>
      <c r="L207" s="141" t="str">
        <f ca="1">IF($M207=0,"",IF(INDEX(Data!$AN$2051:$AN$2550,$M207)=0,"",IF(INDEX(Data!$U$41:$U$540,INDEX(Data!$AN$2051:$AN$2550,$M207))="","",INDEX(Data!$U$41:$U$540,INDEX(Data!$AN$2051:$AN$2550,$M207)))))</f>
        <v>215-400-7890</v>
      </c>
      <c r="M207" s="132">
        <f ca="1">IF(COUNTIFS(Data!$AV$2051:$AV$2550,195)=1,MATCH(195,Data!$AV$2051:$AV$2550,0),0)</f>
        <v>25</v>
      </c>
      <c r="N207" s="145" t="str">
        <f ca="1">IF($M207=0,"",IF(INDEX(Data!$I$2051:$I$2550,$M207)=0,"Add ID","Row "&amp;(INDEX(Data!$I$2051:$I$2550,$M207)+7)))</f>
        <v>Row 16</v>
      </c>
    </row>
    <row r="208" spans="1:14" ht="40" customHeight="1">
      <c r="A208" s="136">
        <f ca="1">IF($M208=0,"",INDEX(Data!$W$2051:$W$2550,$M208))</f>
        <v>196</v>
      </c>
      <c r="B208" s="139" t="str">
        <f ca="1">IF($M208=0,"",INDEX(Data!$B$2051:$B$2550,$M208))</f>
        <v>Vaux High School</v>
      </c>
      <c r="C208" s="146" t="str">
        <f ca="1">IF($M208=0,"",INDEX(Data!$C$2051:$C$2550,$M208))</f>
        <v>District</v>
      </c>
      <c r="D208" s="146" t="str">
        <f ca="1">IF($M208=0,"",INDEX(Data!$D$2051:$D$2550,$M208))</f>
        <v>High</v>
      </c>
      <c r="E208" s="147">
        <f ca="1">IF($M208=0,"",INDEX(Data!$G$2051:$G$2550,$M208))</f>
        <v>0.86060000000000003</v>
      </c>
      <c r="F208" s="146">
        <f ca="1">IF($M208=0,"",INDEX(Data!$F$2051:$F$2550,$M208))</f>
        <v>335</v>
      </c>
      <c r="G208" s="148">
        <f ca="1">IF($M208=0,"",INDEX(Data!$K$2051:$K$2550,$M208))</f>
        <v>0.27094219653936186</v>
      </c>
      <c r="H208" s="146">
        <f ca="1">IF($M208=0,"",INDEX(Data!$L$2051:$L$2550,$M208))</f>
        <v>11</v>
      </c>
      <c r="I208" s="149">
        <f ca="1">IF($M208=0,"",INDEX(Data!$T$2051:$T$2550,$M208))</f>
        <v>37</v>
      </c>
      <c r="J208" s="146" t="str">
        <f ca="1">IF($M208=0,"",INDEX(Data!$U$2051:$U$2550,$M208))</f>
        <v>Listed</v>
      </c>
      <c r="K208" s="146" t="str">
        <f ca="1">IF($M208=0,"",INDEX(Data!$AA$2051:$AA$2550,$M208))</f>
        <v>86% economic need; 0.27 mi fresh access; 11 nearby resources</v>
      </c>
      <c r="L208" s="146" t="str">
        <f ca="1">IF($M208=0,"",IF(INDEX(Data!$AN$2051:$AN$2550,$M208)=0,"",IF(INDEX(Data!$U$41:$U$540,INDEX(Data!$AN$2051:$AN$2550,$M208))="","",INDEX(Data!$U$41:$U$540,INDEX(Data!$AN$2051:$AN$2550,$M208)))))</f>
        <v/>
      </c>
      <c r="M208" s="132">
        <f ca="1">IF(COUNTIFS(Data!$AV$2051:$AV$2550,196)=1,MATCH(196,Data!$AV$2051:$AV$2550,0),0)</f>
        <v>188</v>
      </c>
      <c r="N208" s="150" t="str">
        <f ca="1">IF($M208=0,"",IF(INDEX(Data!$I$2051:$I$2550,$M208)=0,"Add ID","Row "&amp;(INDEX(Data!$I$2051:$I$2550,$M208)+7)))</f>
        <v>Row 311</v>
      </c>
    </row>
    <row r="209" spans="1:14" ht="40" customHeight="1">
      <c r="A209" s="135">
        <f ca="1">IF($M209=0,"",INDEX(Data!$W$2051:$W$2550,$M209))</f>
        <v>197</v>
      </c>
      <c r="B209" s="138" t="str">
        <f ca="1">IF($M209=0,"",INDEX(Data!$B$2051:$B$2550,$M209))</f>
        <v>The Workshop High School</v>
      </c>
      <c r="C209" s="141" t="str">
        <f ca="1">IF($M209=0,"",INDEX(Data!$C$2051:$C$2550,$M209))</f>
        <v>District</v>
      </c>
      <c r="D209" s="141" t="str">
        <f ca="1">IF($M209=0,"",INDEX(Data!$D$2051:$D$2550,$M209))</f>
        <v>High</v>
      </c>
      <c r="E209" s="142">
        <f ca="1">IF($M209=0,"",INDEX(Data!$G$2051:$G$2550,$M209))</f>
        <v>0.84409999999999996</v>
      </c>
      <c r="F209" s="141">
        <f ca="1">IF($M209=0,"",INDEX(Data!$F$2051:$F$2550,$M209))</f>
        <v>233</v>
      </c>
      <c r="G209" s="143">
        <f ca="1">IF($M209=0,"",INDEX(Data!$K$2051:$K$2550,$M209))</f>
        <v>0.40195766619653583</v>
      </c>
      <c r="H209" s="141">
        <f ca="1">IF($M209=0,"",INDEX(Data!$L$2051:$L$2550,$M209))</f>
        <v>11</v>
      </c>
      <c r="I209" s="144">
        <f ca="1">IF($M209=0,"",INDEX(Data!$T$2051:$T$2550,$M209))</f>
        <v>37</v>
      </c>
      <c r="J209" s="141" t="str">
        <f ca="1">IF($M209=0,"",INDEX(Data!$U$2051:$U$2550,$M209))</f>
        <v>Listed</v>
      </c>
      <c r="K209" s="141" t="str">
        <f ca="1">IF($M209=0,"",INDEX(Data!$AA$2051:$AA$2550,$M209))</f>
        <v>84% economic need; 0.40 mi fresh access; 11 nearby resources</v>
      </c>
      <c r="L209" s="141" t="str">
        <f ca="1">IF($M209=0,"",IF(INDEX(Data!$AN$2051:$AN$2550,$M209)=0,"",IF(INDEX(Data!$U$41:$U$540,INDEX(Data!$AN$2051:$AN$2550,$M209))="","",INDEX(Data!$U$41:$U$540,INDEX(Data!$AN$2051:$AN$2550,$M209)))))</f>
        <v>215-400-7730</v>
      </c>
      <c r="M209" s="132">
        <f ca="1">IF(COUNTIFS(Data!$AV$2051:$AV$2550,197)=1,MATCH(197,Data!$AV$2051:$AV$2550,0),0)</f>
        <v>322</v>
      </c>
      <c r="N209" s="145" t="str">
        <f ca="1">IF($M209=0,"",IF(INDEX(Data!$I$2051:$I$2550,$M209)=0,"Add ID","Row "&amp;(INDEX(Data!$I$2051:$I$2550,$M209)+7)))</f>
        <v>Row 297</v>
      </c>
    </row>
    <row r="210" spans="1:14" ht="40" customHeight="1">
      <c r="A210" s="136">
        <f ca="1">IF($M210=0,"",INDEX(Data!$W$2051:$W$2550,$M210))</f>
        <v>198</v>
      </c>
      <c r="B210" s="139" t="str">
        <f ca="1">IF($M210=0,"",INDEX(Data!$B$2051:$B$2550,$M210))</f>
        <v>Stephen Girard School</v>
      </c>
      <c r="C210" s="146" t="str">
        <f ca="1">IF($M210=0,"",INDEX(Data!$C$2051:$C$2550,$M210))</f>
        <v>District</v>
      </c>
      <c r="D210" s="146" t="str">
        <f ca="1">IF($M210=0,"",INDEX(Data!$D$2051:$D$2550,$M210))</f>
        <v>Elementary</v>
      </c>
      <c r="E210" s="147">
        <f ca="1">IF($M210=0,"",INDEX(Data!$G$2051:$G$2550,$M210))</f>
        <v>0.84109999999999996</v>
      </c>
      <c r="F210" s="146">
        <f ca="1">IF($M210=0,"",INDEX(Data!$F$2051:$F$2550,$M210))</f>
        <v>304</v>
      </c>
      <c r="G210" s="148">
        <f ca="1">IF($M210=0,"",INDEX(Data!$K$2051:$K$2550,$M210))</f>
        <v>0.34467862061523435</v>
      </c>
      <c r="H210" s="146">
        <f ca="1">IF($M210=0,"",INDEX(Data!$L$2051:$L$2550,$M210))</f>
        <v>12</v>
      </c>
      <c r="I210" s="149">
        <f ca="1">IF($M210=0,"",INDEX(Data!$T$2051:$T$2550,$M210))</f>
        <v>37</v>
      </c>
      <c r="J210" s="146" t="str">
        <f ca="1">IF($M210=0,"",INDEX(Data!$U$2051:$U$2550,$M210))</f>
        <v>Listed</v>
      </c>
      <c r="K210" s="146" t="str">
        <f ca="1">IF($M210=0,"",INDEX(Data!$AA$2051:$AA$2550,$M210))</f>
        <v>84% economic need; 0.34 mi fresh access; 12 nearby resources</v>
      </c>
      <c r="L210" s="146" t="str">
        <f ca="1">IF($M210=0,"",IF(INDEX(Data!$AN$2051:$AN$2550,$M210)=0,"",IF(INDEX(Data!$U$41:$U$540,INDEX(Data!$AN$2051:$AN$2550,$M210))="","",INDEX(Data!$U$41:$U$540,INDEX(Data!$AN$2051:$AN$2550,$M210)))))</f>
        <v>215-400-8180</v>
      </c>
      <c r="M210" s="132">
        <f ca="1">IF(COUNTIFS(Data!$AV$2051:$AV$2550,198)=1,MATCH(198,Data!$AV$2051:$AV$2550,0),0)</f>
        <v>41</v>
      </c>
      <c r="N210" s="150" t="str">
        <f ca="1">IF($M210=0,"",IF(INDEX(Data!$I$2051:$I$2550,$M210)=0,"Add ID","Row "&amp;(INDEX(Data!$I$2051:$I$2550,$M210)+7)))</f>
        <v>Row 283</v>
      </c>
    </row>
    <row r="211" spans="1:14" ht="40" customHeight="1">
      <c r="A211" s="135">
        <f ca="1">IF($M211=0,"",INDEX(Data!$W$2051:$W$2550,$M211))</f>
        <v>199</v>
      </c>
      <c r="B211" s="138" t="str">
        <f ca="1">IF($M211=0,"",INDEX(Data!$B$2051:$B$2550,$M211))</f>
        <v>Cayuga School</v>
      </c>
      <c r="C211" s="141" t="str">
        <f ca="1">IF($M211=0,"",INDEX(Data!$C$2051:$C$2550,$M211))</f>
        <v>District</v>
      </c>
      <c r="D211" s="141" t="str">
        <f ca="1">IF($M211=0,"",INDEX(Data!$D$2051:$D$2550,$M211))</f>
        <v>Elementary</v>
      </c>
      <c r="E211" s="142">
        <f ca="1">IF($M211=0,"",INDEX(Data!$G$2051:$G$2550,$M211))</f>
        <v>0.84</v>
      </c>
      <c r="F211" s="141">
        <f ca="1">IF($M211=0,"",INDEX(Data!$F$2051:$F$2550,$M211))</f>
        <v>250</v>
      </c>
      <c r="G211" s="143">
        <f ca="1">IF($M211=0,"",INDEX(Data!$K$2051:$K$2550,$M211))</f>
        <v>0.34920878850166492</v>
      </c>
      <c r="H211" s="141">
        <f ca="1">IF($M211=0,"",INDEX(Data!$L$2051:$L$2550,$M211))</f>
        <v>12</v>
      </c>
      <c r="I211" s="144">
        <f ca="1">IF($M211=0,"",INDEX(Data!$T$2051:$T$2550,$M211))</f>
        <v>37</v>
      </c>
      <c r="J211" s="141" t="str">
        <f ca="1">IF($M211=0,"",INDEX(Data!$U$2051:$U$2550,$M211))</f>
        <v>Listed</v>
      </c>
      <c r="K211" s="141" t="str">
        <f ca="1">IF($M211=0,"",INDEX(Data!$AA$2051:$AA$2550,$M211))</f>
        <v>84% economic need; 0.35 mi fresh access; 12 nearby resources</v>
      </c>
      <c r="L211" s="141" t="str">
        <f ca="1">IF($M211=0,"",IF(INDEX(Data!$AN$2051:$AN$2550,$M211)=0,"",IF(INDEX(Data!$U$41:$U$540,INDEX(Data!$AN$2051:$AN$2550,$M211))="","",INDEX(Data!$U$41:$U$540,INDEX(Data!$AN$2051:$AN$2550,$M211)))))</f>
        <v>215-400-3850</v>
      </c>
      <c r="M211" s="132">
        <f ca="1">IF(COUNTIFS(Data!$AV$2051:$AV$2550,199)=1,MATCH(199,Data!$AV$2051:$AV$2550,0),0)</f>
        <v>208</v>
      </c>
      <c r="N211" s="145" t="str">
        <f ca="1">IF($M211=0,"",IF(INDEX(Data!$I$2051:$I$2550,$M211)=0,"Add ID","Row "&amp;(INDEX(Data!$I$2051:$I$2550,$M211)+7)))</f>
        <v>Row 45</v>
      </c>
    </row>
    <row r="212" spans="1:14" ht="40" customHeight="1">
      <c r="A212" s="136">
        <f ca="1">IF($M212=0,"",INDEX(Data!$W$2051:$W$2550,$M212))</f>
        <v>200</v>
      </c>
      <c r="B212" s="139" t="str">
        <f ca="1">IF($M212=0,"",INDEX(Data!$B$2051:$B$2550,$M212))</f>
        <v>Henry A. Brown School</v>
      </c>
      <c r="C212" s="146" t="str">
        <f ca="1">IF($M212=0,"",INDEX(Data!$C$2051:$C$2550,$M212))</f>
        <v>District</v>
      </c>
      <c r="D212" s="146" t="str">
        <f ca="1">IF($M212=0,"",INDEX(Data!$D$2051:$D$2550,$M212))</f>
        <v>Elementary-Middle</v>
      </c>
      <c r="E212" s="147">
        <f ca="1">IF($M212=0,"",INDEX(Data!$G$2051:$G$2550,$M212))</f>
        <v>0.82750000000000001</v>
      </c>
      <c r="F212" s="146">
        <f ca="1">IF($M212=0,"",INDEX(Data!$F$2051:$F$2550,$M212))</f>
        <v>319</v>
      </c>
      <c r="G212" s="148">
        <f ca="1">IF($M212=0,"",INDEX(Data!$K$2051:$K$2550,$M212))</f>
        <v>0.34832443416744341</v>
      </c>
      <c r="H212" s="146">
        <f ca="1">IF($M212=0,"",INDEX(Data!$L$2051:$L$2550,$M212))</f>
        <v>10</v>
      </c>
      <c r="I212" s="149">
        <f ca="1">IF($M212=0,"",INDEX(Data!$T$2051:$T$2550,$M212))</f>
        <v>37</v>
      </c>
      <c r="J212" s="146" t="str">
        <f ca="1">IF($M212=0,"",INDEX(Data!$U$2051:$U$2550,$M212))</f>
        <v>Listed</v>
      </c>
      <c r="K212" s="146" t="str">
        <f ca="1">IF($M212=0,"",INDEX(Data!$AA$2051:$AA$2550,$M212))</f>
        <v>83% economic need; 0.35 mi fresh access; 10 nearby resources</v>
      </c>
      <c r="L212" s="146" t="str">
        <f ca="1">IF($M212=0,"",IF(INDEX(Data!$AN$2051:$AN$2550,$M212)=0,"",IF(INDEX(Data!$U$41:$U$540,INDEX(Data!$AN$2051:$AN$2550,$M212))="","",INDEX(Data!$U$41:$U$540,INDEX(Data!$AN$2051:$AN$2550,$M212)))))</f>
        <v>215-400-7490</v>
      </c>
      <c r="M212" s="132">
        <f ca="1">IF(COUNTIFS(Data!$AV$2051:$AV$2550,200)=1,MATCH(200,Data!$AV$2051:$AV$2550,0),0)</f>
        <v>190</v>
      </c>
      <c r="N212" s="150" t="str">
        <f ca="1">IF($M212=0,"",IF(INDEX(Data!$I$2051:$I$2550,$M212)=0,"Add ID","Row "&amp;(INDEX(Data!$I$2051:$I$2550,$M212)+7)))</f>
        <v>Row 116</v>
      </c>
    </row>
    <row r="213" spans="1:14" ht="40" customHeight="1">
      <c r="A213" s="135">
        <f ca="1">IF($M213=0,"",INDEX(Data!$W$2051:$W$2550,$M213))</f>
        <v>201</v>
      </c>
      <c r="B213" s="138" t="str">
        <f ca="1">IF($M213=0,"",INDEX(Data!$B$2051:$B$2550,$M213))</f>
        <v>Julia W. Howe School</v>
      </c>
      <c r="C213" s="141" t="str">
        <f ca="1">IF($M213=0,"",INDEX(Data!$C$2051:$C$2550,$M213))</f>
        <v>District</v>
      </c>
      <c r="D213" s="141" t="str">
        <f ca="1">IF($M213=0,"",INDEX(Data!$D$2051:$D$2550,$M213))</f>
        <v>Elementary</v>
      </c>
      <c r="E213" s="142">
        <f ca="1">IF($M213=0,"",INDEX(Data!$G$2051:$G$2550,$M213))</f>
        <v>0.81979999999999997</v>
      </c>
      <c r="F213" s="141">
        <f ca="1">IF($M213=0,"",INDEX(Data!$F$2051:$F$2550,$M213))</f>
        <v>225</v>
      </c>
      <c r="G213" s="143">
        <f ca="1">IF($M213=0,"",INDEX(Data!$K$2051:$K$2550,$M213))</f>
        <v>0.39989290414268719</v>
      </c>
      <c r="H213" s="141">
        <f ca="1">IF($M213=0,"",INDEX(Data!$L$2051:$L$2550,$M213))</f>
        <v>8</v>
      </c>
      <c r="I213" s="144">
        <f ca="1">IF($M213=0,"",INDEX(Data!$T$2051:$T$2550,$M213))</f>
        <v>37</v>
      </c>
      <c r="J213" s="141" t="str">
        <f ca="1">IF($M213=0,"",INDEX(Data!$U$2051:$U$2550,$M213))</f>
        <v>Listed</v>
      </c>
      <c r="K213" s="141" t="str">
        <f ca="1">IF($M213=0,"",INDEX(Data!$AA$2051:$AA$2550,$M213))</f>
        <v>82% economic need; 0.40 mi fresh access; 8 nearby resources</v>
      </c>
      <c r="L213" s="141" t="str">
        <f ca="1">IF($M213=0,"",IF(INDEX(Data!$AN$2051:$AN$2550,$M213)=0,"",IF(INDEX(Data!$U$41:$U$540,INDEX(Data!$AN$2051:$AN$2550,$M213))="","",INDEX(Data!$U$41:$U$540,INDEX(Data!$AN$2051:$AN$2550,$M213)))))</f>
        <v>215-400-3650</v>
      </c>
      <c r="M213" s="132">
        <f ca="1">IF(COUNTIFS(Data!$AV$2051:$AV$2550,201)=1,MATCH(201,Data!$AV$2051:$AV$2550,0),0)</f>
        <v>269</v>
      </c>
      <c r="N213" s="145" t="str">
        <f ca="1">IF($M213=0,"",IF(INDEX(Data!$I$2051:$I$2550,$M213)=0,"Add ID","Row "&amp;(INDEX(Data!$I$2051:$I$2550,$M213)+7)))</f>
        <v>Row 160</v>
      </c>
    </row>
    <row r="214" spans="1:14" ht="40" customHeight="1">
      <c r="A214" s="136">
        <f ca="1">IF($M214=0,"",INDEX(Data!$W$2051:$W$2550,$M214))</f>
        <v>202</v>
      </c>
      <c r="B214" s="139" t="str">
        <f ca="1">IF($M214=0,"",INDEX(Data!$B$2051:$B$2550,$M214))</f>
        <v>Francis S. Key School</v>
      </c>
      <c r="C214" s="146" t="str">
        <f ca="1">IF($M214=0,"",INDEX(Data!$C$2051:$C$2550,$M214))</f>
        <v>District</v>
      </c>
      <c r="D214" s="146" t="str">
        <f ca="1">IF($M214=0,"",INDEX(Data!$D$2051:$D$2550,$M214))</f>
        <v>Elementary</v>
      </c>
      <c r="E214" s="147">
        <f ca="1">IF($M214=0,"",INDEX(Data!$G$2051:$G$2550,$M214))</f>
        <v>0.80740000000000001</v>
      </c>
      <c r="F214" s="146">
        <f ca="1">IF($M214=0,"",INDEX(Data!$F$2051:$F$2550,$M214))</f>
        <v>349</v>
      </c>
      <c r="G214" s="148">
        <f ca="1">IF($M214=0,"",INDEX(Data!$K$2051:$K$2550,$M214))</f>
        <v>0.47317293014771705</v>
      </c>
      <c r="H214" s="146">
        <f ca="1">IF($M214=0,"",INDEX(Data!$L$2051:$L$2550,$M214))</f>
        <v>6</v>
      </c>
      <c r="I214" s="149">
        <f ca="1">IF($M214=0,"",INDEX(Data!$T$2051:$T$2550,$M214))</f>
        <v>37</v>
      </c>
      <c r="J214" s="146" t="str">
        <f ca="1">IF($M214=0,"",INDEX(Data!$U$2051:$U$2550,$M214))</f>
        <v>Listed</v>
      </c>
      <c r="K214" s="146" t="str">
        <f ca="1">IF($M214=0,"",INDEX(Data!$AA$2051:$AA$2550,$M214))</f>
        <v>81% economic need; 0.47 mi fresh access; 6 nearby resources</v>
      </c>
      <c r="L214" s="146" t="str">
        <f ca="1">IF($M214=0,"",IF(INDEX(Data!$AN$2051:$AN$2550,$M214)=0,"",IF(INDEX(Data!$U$41:$U$540,INDEX(Data!$AN$2051:$AN$2550,$M214))="","",INDEX(Data!$U$41:$U$540,INDEX(Data!$AN$2051:$AN$2550,$M214)))))</f>
        <v>215-400-8250</v>
      </c>
      <c r="M214" s="132">
        <f ca="1">IF(COUNTIFS(Data!$AV$2051:$AV$2550,202)=1,MATCH(202,Data!$AV$2051:$AV$2550,0),0)</f>
        <v>54</v>
      </c>
      <c r="N214" s="150" t="str">
        <f ca="1">IF($M214=0,"",IF(INDEX(Data!$I$2051:$I$2550,$M214)=0,"Add ID","Row "&amp;(INDEX(Data!$I$2051:$I$2550,$M214)+7)))</f>
        <v>Row 88</v>
      </c>
    </row>
    <row r="215" spans="1:14" ht="40" customHeight="1">
      <c r="A215" s="135">
        <f ca="1">IF($M215=0,"",INDEX(Data!$W$2051:$W$2550,$M215))</f>
        <v>203</v>
      </c>
      <c r="B215" s="138" t="str">
        <f ca="1">IF($M215=0,"",INDEX(Data!$B$2051:$B$2550,$M215))</f>
        <v>Penn Treaty School</v>
      </c>
      <c r="C215" s="141" t="str">
        <f ca="1">IF($M215=0,"",INDEX(Data!$C$2051:$C$2550,$M215))</f>
        <v>District</v>
      </c>
      <c r="D215" s="141" t="str">
        <f ca="1">IF($M215=0,"",INDEX(Data!$D$2051:$D$2550,$M215))</f>
        <v>Middle-High</v>
      </c>
      <c r="E215" s="142">
        <f ca="1">IF($M215=0,"",INDEX(Data!$G$2051:$G$2550,$M215))</f>
        <v>0.79149999999999998</v>
      </c>
      <c r="F215" s="141">
        <f ca="1">IF($M215=0,"",INDEX(Data!$F$2051:$F$2550,$M215))</f>
        <v>345</v>
      </c>
      <c r="G215" s="143">
        <f ca="1">IF($M215=0,"",INDEX(Data!$K$2051:$K$2550,$M215))</f>
        <v>0.49568608739377595</v>
      </c>
      <c r="H215" s="141">
        <f ca="1">IF($M215=0,"",INDEX(Data!$L$2051:$L$2550,$M215))</f>
        <v>4</v>
      </c>
      <c r="I215" s="144">
        <f ca="1">IF($M215=0,"",INDEX(Data!$T$2051:$T$2550,$M215))</f>
        <v>37</v>
      </c>
      <c r="J215" s="141" t="str">
        <f ca="1">IF($M215=0,"",INDEX(Data!$U$2051:$U$2550,$M215))</f>
        <v>Listed</v>
      </c>
      <c r="K215" s="141" t="str">
        <f ca="1">IF($M215=0,"",INDEX(Data!$AA$2051:$AA$2550,$M215))</f>
        <v>79% economic need; 0.50 mi fresh access; 4 nearby resources</v>
      </c>
      <c r="L215" s="141" t="str">
        <f ca="1">IF($M215=0,"",IF(INDEX(Data!$AN$2051:$AN$2550,$M215)=0,"",IF(INDEX(Data!$U$41:$U$540,INDEX(Data!$AN$2051:$AN$2550,$M215))="","",INDEX(Data!$U$41:$U$540,INDEX(Data!$AN$2051:$AN$2550,$M215)))))</f>
        <v>215-400-3800</v>
      </c>
      <c r="M215" s="132">
        <f ca="1">IF(COUNTIFS(Data!$AV$2051:$AV$2550,203)=1,MATCH(203,Data!$AV$2051:$AV$2550,0),0)</f>
        <v>186</v>
      </c>
      <c r="N215" s="145" t="str">
        <f ca="1">IF($M215=0,"",IF(INDEX(Data!$I$2051:$I$2550,$M215)=0,"Add ID","Row "&amp;(INDEX(Data!$I$2051:$I$2550,$M215)+7)))</f>
        <v>Row 234</v>
      </c>
    </row>
    <row r="216" spans="1:14" ht="40" customHeight="1">
      <c r="A216" s="136">
        <f ca="1">IF($M216=0,"",INDEX(Data!$W$2051:$W$2550,$M216))</f>
        <v>204</v>
      </c>
      <c r="B216" s="139" t="str">
        <f ca="1">IF($M216=0,"",INDEX(Data!$B$2051:$B$2550,$M216))</f>
        <v>Parkway Northwest High School</v>
      </c>
      <c r="C216" s="146" t="str">
        <f ca="1">IF($M216=0,"",INDEX(Data!$C$2051:$C$2550,$M216))</f>
        <v>District</v>
      </c>
      <c r="D216" s="146" t="str">
        <f ca="1">IF($M216=0,"",INDEX(Data!$D$2051:$D$2550,$M216))</f>
        <v>High</v>
      </c>
      <c r="E216" s="147">
        <f ca="1">IF($M216=0,"",INDEX(Data!$G$2051:$G$2550,$M216))</f>
        <v>0.73750000000000004</v>
      </c>
      <c r="F216" s="146">
        <f ca="1">IF($M216=0,"",INDEX(Data!$F$2051:$F$2550,$M216))</f>
        <v>248</v>
      </c>
      <c r="G216" s="148">
        <f ca="1">IF($M216=0,"",INDEX(Data!$K$2051:$K$2550,$M216))</f>
        <v>0.62042566965217638</v>
      </c>
      <c r="H216" s="146">
        <f ca="1">IF($M216=0,"",INDEX(Data!$L$2051:$L$2550,$M216))</f>
        <v>12</v>
      </c>
      <c r="I216" s="149">
        <f ca="1">IF($M216=0,"",INDEX(Data!$T$2051:$T$2550,$M216))</f>
        <v>37</v>
      </c>
      <c r="J216" s="146" t="str">
        <f ca="1">IF($M216=0,"",INDEX(Data!$U$2051:$U$2550,$M216))</f>
        <v>Listed</v>
      </c>
      <c r="K216" s="146" t="str">
        <f ca="1">IF($M216=0,"",INDEX(Data!$AA$2051:$AA$2550,$M216))</f>
        <v>74% economic need; 0.62 mi fresh access; 12 nearby resources</v>
      </c>
      <c r="L216" s="146" t="str">
        <f ca="1">IF($M216=0,"",IF(INDEX(Data!$AN$2051:$AN$2550,$M216)=0,"",IF(INDEX(Data!$U$41:$U$540,INDEX(Data!$AN$2051:$AN$2550,$M216))="","",INDEX(Data!$U$41:$U$540,INDEX(Data!$AN$2051:$AN$2550,$M216)))))</f>
        <v>215-400-3390</v>
      </c>
      <c r="M216" s="132">
        <f ca="1">IF(COUNTIFS(Data!$AV$2051:$AV$2550,204)=1,MATCH(204,Data!$AV$2051:$AV$2550,0),0)</f>
        <v>182</v>
      </c>
      <c r="N216" s="150" t="str">
        <f ca="1">IF($M216=0,"",IF(INDEX(Data!$I$2051:$I$2550,$M216)=0,"Add ID","Row "&amp;(INDEX(Data!$I$2051:$I$2550,$M216)+7)))</f>
        <v>Row 230</v>
      </c>
    </row>
    <row r="217" spans="1:14" ht="40" customHeight="1">
      <c r="A217" s="135">
        <f ca="1">IF($M217=0,"",INDEX(Data!$W$2051:$W$2550,$M217))</f>
        <v>205</v>
      </c>
      <c r="B217" s="138" t="str">
        <f ca="1">IF($M217=0,"",INDEX(Data!$B$2051:$B$2550,$M217))</f>
        <v>Isaac A. Sheppard School</v>
      </c>
      <c r="C217" s="141" t="str">
        <f ca="1">IF($M217=0,"",INDEX(Data!$C$2051:$C$2550,$M217))</f>
        <v>District</v>
      </c>
      <c r="D217" s="141" t="str">
        <f ca="1">IF($M217=0,"",INDEX(Data!$D$2051:$D$2550,$M217))</f>
        <v>Elementary</v>
      </c>
      <c r="E217" s="142">
        <f ca="1">IF($M217=0,"",INDEX(Data!$G$2051:$G$2550,$M217))</f>
        <v>0.95320000000000005</v>
      </c>
      <c r="F217" s="141">
        <f ca="1">IF($M217=0,"",INDEX(Data!$F$2051:$F$2550,$M217))</f>
        <v>107</v>
      </c>
      <c r="G217" s="143">
        <f ca="1">IF($M217=0,"",INDEX(Data!$K$2051:$K$2550,$M217))</f>
        <v>0.17989175044806002</v>
      </c>
      <c r="H217" s="141">
        <f ca="1">IF($M217=0,"",INDEX(Data!$L$2051:$L$2550,$M217))</f>
        <v>12</v>
      </c>
      <c r="I217" s="144">
        <f ca="1">IF($M217=0,"",INDEX(Data!$T$2051:$T$2550,$M217))</f>
        <v>36</v>
      </c>
      <c r="J217" s="141" t="str">
        <f ca="1">IF($M217=0,"",INDEX(Data!$U$2051:$U$2550,$M217))</f>
        <v>Listed</v>
      </c>
      <c r="K217" s="141" t="str">
        <f ca="1">IF($M217=0,"",INDEX(Data!$AA$2051:$AA$2550,$M217))</f>
        <v>95% economic need; 0.18 mi fresh access; 12 nearby resources</v>
      </c>
      <c r="L217" s="141" t="str">
        <f ca="1">IF($M217=0,"",IF(INDEX(Data!$AN$2051:$AN$2550,$M217)=0,"",IF(INDEX(Data!$U$41:$U$540,INDEX(Data!$AN$2051:$AN$2550,$M217))="","",INDEX(Data!$U$41:$U$540,INDEX(Data!$AN$2051:$AN$2550,$M217)))))</f>
        <v>215-400-7070</v>
      </c>
      <c r="M217" s="132">
        <f ca="1">IF(COUNTIFS(Data!$AV$2051:$AV$2550,205)=1,MATCH(205,Data!$AV$2051:$AV$2550,0),0)</f>
        <v>202</v>
      </c>
      <c r="N217" s="145" t="str">
        <f ca="1">IF($M217=0,"",IF(INDEX(Data!$I$2051:$I$2550,$M217)=0,"Add ID","Row "&amp;(INDEX(Data!$I$2051:$I$2550,$M217)+7)))</f>
        <v>Row 130</v>
      </c>
    </row>
    <row r="218" spans="1:14" ht="40" customHeight="1">
      <c r="A218" s="136">
        <f ca="1">IF($M218=0,"",INDEX(Data!$W$2051:$W$2550,$M218))</f>
        <v>206</v>
      </c>
      <c r="B218" s="139" t="str">
        <f ca="1">IF($M218=0,"",INDEX(Data!$B$2051:$B$2550,$M218))</f>
        <v>The U School</v>
      </c>
      <c r="C218" s="146" t="str">
        <f ca="1">IF($M218=0,"",INDEX(Data!$C$2051:$C$2550,$M218))</f>
        <v>District</v>
      </c>
      <c r="D218" s="146" t="str">
        <f ca="1">IF($M218=0,"",INDEX(Data!$D$2051:$D$2550,$M218))</f>
        <v>High</v>
      </c>
      <c r="E218" s="147">
        <f ca="1">IF($M218=0,"",INDEX(Data!$G$2051:$G$2550,$M218))</f>
        <v>0.91349999999999998</v>
      </c>
      <c r="F218" s="146">
        <f ca="1">IF($M218=0,"",INDEX(Data!$F$2051:$F$2550,$M218))</f>
        <v>164</v>
      </c>
      <c r="G218" s="148">
        <f ca="1">IF($M218=0,"",INDEX(Data!$K$2051:$K$2550,$M218))</f>
        <v>0.11452251110429579</v>
      </c>
      <c r="H218" s="146">
        <f ca="1">IF($M218=0,"",INDEX(Data!$L$2051:$L$2550,$M218))</f>
        <v>16</v>
      </c>
      <c r="I218" s="149">
        <f ca="1">IF($M218=0,"",INDEX(Data!$T$2051:$T$2550,$M218))</f>
        <v>36</v>
      </c>
      <c r="J218" s="146" t="str">
        <f ca="1">IF($M218=0,"",INDEX(Data!$U$2051:$U$2550,$M218))</f>
        <v>Listed</v>
      </c>
      <c r="K218" s="146" t="str">
        <f ca="1">IF($M218=0,"",INDEX(Data!$AA$2051:$AA$2550,$M218))</f>
        <v>91% economic need; 0.11 mi fresh access; 16 nearby resources</v>
      </c>
      <c r="L218" s="146" t="str">
        <f ca="1">IF($M218=0,"",IF(INDEX(Data!$AN$2051:$AN$2550,$M218)=0,"",IF(INDEX(Data!$U$41:$U$540,INDEX(Data!$AN$2051:$AN$2550,$M218))="","",INDEX(Data!$U$41:$U$540,INDEX(Data!$AN$2051:$AN$2550,$M218)))))</f>
        <v>215-400-7460</v>
      </c>
      <c r="M218" s="132">
        <f ca="1">IF(COUNTIFS(Data!$AV$2051:$AV$2550,206)=1,MATCH(206,Data!$AV$2051:$AV$2550,0),0)</f>
        <v>218</v>
      </c>
      <c r="N218" s="150" t="str">
        <f ca="1">IF($M218=0,"",IF(INDEX(Data!$I$2051:$I$2550,$M218)=0,"Add ID","Row "&amp;(INDEX(Data!$I$2051:$I$2550,$M218)+7)))</f>
        <v>Row 296</v>
      </c>
    </row>
    <row r="219" spans="1:14" ht="40" customHeight="1">
      <c r="A219" s="135">
        <f ca="1">IF($M219=0,"",INDEX(Data!$W$2051:$W$2550,$M219))</f>
        <v>207</v>
      </c>
      <c r="B219" s="138" t="str">
        <f ca="1">IF($M219=0,"",INDEX(Data!$B$2051:$B$2550,$M219))</f>
        <v>Motivation High School</v>
      </c>
      <c r="C219" s="141" t="str">
        <f ca="1">IF($M219=0,"",INDEX(Data!$C$2051:$C$2550,$M219))</f>
        <v>District</v>
      </c>
      <c r="D219" s="141" t="str">
        <f ca="1">IF($M219=0,"",INDEX(Data!$D$2051:$D$2550,$M219))</f>
        <v>High</v>
      </c>
      <c r="E219" s="142">
        <f ca="1">IF($M219=0,"",INDEX(Data!$G$2051:$G$2550,$M219))</f>
        <v>0.83440000000000003</v>
      </c>
      <c r="F219" s="141">
        <f ca="1">IF($M219=0,"",INDEX(Data!$F$2051:$F$2550,$M219))</f>
        <v>151</v>
      </c>
      <c r="G219" s="143">
        <f ca="1">IF($M219=0,"",INDEX(Data!$K$2051:$K$2550,$M219))</f>
        <v>0.2506320247265274</v>
      </c>
      <c r="H219" s="141">
        <f ca="1">IF($M219=0,"",INDEX(Data!$L$2051:$L$2550,$M219))</f>
        <v>5</v>
      </c>
      <c r="I219" s="144">
        <f ca="1">IF($M219=0,"",INDEX(Data!$T$2051:$T$2550,$M219))</f>
        <v>36</v>
      </c>
      <c r="J219" s="141" t="str">
        <f ca="1">IF($M219=0,"",INDEX(Data!$U$2051:$U$2550,$M219))</f>
        <v>Listed</v>
      </c>
      <c r="K219" s="141" t="str">
        <f ca="1">IF($M219=0,"",INDEX(Data!$AA$2051:$AA$2550,$M219))</f>
        <v>83% economic need; 0.25 mi fresh access; 5 nearby resources</v>
      </c>
      <c r="L219" s="141" t="str">
        <f ca="1">IF($M219=0,"",IF(INDEX(Data!$AN$2051:$AN$2550,$M219)=0,"",IF(INDEX(Data!$U$41:$U$540,INDEX(Data!$AN$2051:$AN$2550,$M219))="","",INDEX(Data!$U$41:$U$540,INDEX(Data!$AN$2051:$AN$2550,$M219)))))</f>
        <v>215-400-7930</v>
      </c>
      <c r="M219" s="132">
        <f ca="1">IF(COUNTIFS(Data!$AV$2051:$AV$2550,207)=1,MATCH(207,Data!$AV$2051:$AV$2550,0),0)</f>
        <v>7</v>
      </c>
      <c r="N219" s="145" t="str">
        <f ca="1">IF($M219=0,"",IF(INDEX(Data!$I$2051:$I$2550,$M219)=0,"Add ID","Row "&amp;(INDEX(Data!$I$2051:$I$2550,$M219)+7)))</f>
        <v>Row 208</v>
      </c>
    </row>
    <row r="220" spans="1:14" ht="40" customHeight="1">
      <c r="A220" s="136">
        <f ca="1">IF($M220=0,"",INDEX(Data!$W$2051:$W$2550,$M220))</f>
        <v>208</v>
      </c>
      <c r="B220" s="139" t="str">
        <f ca="1">IF($M220=0,"",INDEX(Data!$B$2051:$B$2550,$M220))</f>
        <v>Middle Years Alternative School</v>
      </c>
      <c r="C220" s="146" t="str">
        <f ca="1">IF($M220=0,"",INDEX(Data!$C$2051:$C$2550,$M220))</f>
        <v>District</v>
      </c>
      <c r="D220" s="146" t="str">
        <f ca="1">IF($M220=0,"",INDEX(Data!$D$2051:$D$2550,$M220))</f>
        <v>Middle</v>
      </c>
      <c r="E220" s="147">
        <f ca="1">IF($M220=0,"",INDEX(Data!$G$2051:$G$2550,$M220))</f>
        <v>0.8</v>
      </c>
      <c r="F220" s="146">
        <f ca="1">IF($M220=0,"",INDEX(Data!$F$2051:$F$2550,$M220))</f>
        <v>122</v>
      </c>
      <c r="G220" s="148">
        <f ca="1">IF($M220=0,"",INDEX(Data!$K$2051:$K$2550,$M220))</f>
        <v>0.36728004506671763</v>
      </c>
      <c r="H220" s="146">
        <f ca="1">IF($M220=0,"",INDEX(Data!$L$2051:$L$2550,$M220))</f>
        <v>14</v>
      </c>
      <c r="I220" s="149">
        <f ca="1">IF($M220=0,"",INDEX(Data!$T$2051:$T$2550,$M220))</f>
        <v>36</v>
      </c>
      <c r="J220" s="146" t="str">
        <f ca="1">IF($M220=0,"",INDEX(Data!$U$2051:$U$2550,$M220))</f>
        <v>Listed</v>
      </c>
      <c r="K220" s="146" t="str">
        <f ca="1">IF($M220=0,"",INDEX(Data!$AA$2051:$AA$2550,$M220))</f>
        <v>80% economic need; 0.37 mi fresh access; 14 nearby resources</v>
      </c>
      <c r="L220" s="146" t="str">
        <f ca="1">IF($M220=0,"",IF(INDEX(Data!$AN$2051:$AN$2550,$M220)=0,"",IF(INDEX(Data!$U$41:$U$540,INDEX(Data!$AN$2051:$AN$2550,$M220))="","",INDEX(Data!$U$41:$U$540,INDEX(Data!$AN$2051:$AN$2550,$M220)))))</f>
        <v>215-400-7720</v>
      </c>
      <c r="M220" s="132">
        <f ca="1">IF(COUNTIFS(Data!$AV$2051:$AV$2550,208)=1,MATCH(208,Data!$AV$2051:$AV$2550,0),0)</f>
        <v>28</v>
      </c>
      <c r="N220" s="150" t="str">
        <f ca="1">IF($M220=0,"",IF(INDEX(Data!$I$2051:$I$2550,$M220)=0,"Add ID","Row "&amp;(INDEX(Data!$I$2051:$I$2550,$M220)+7)))</f>
        <v>Row 206</v>
      </c>
    </row>
    <row r="221" spans="1:14" ht="40" customHeight="1">
      <c r="A221" s="135">
        <f ca="1">IF($M221=0,"",INDEX(Data!$W$2051:$W$2550,$M221))</f>
        <v>209</v>
      </c>
      <c r="B221" s="138" t="str">
        <f ca="1">IF($M221=0,"",INDEX(Data!$B$2051:$B$2550,$M221))</f>
        <v>Widener Memorial School</v>
      </c>
      <c r="C221" s="141" t="str">
        <f ca="1">IF($M221=0,"",INDEX(Data!$C$2051:$C$2550,$M221))</f>
        <v>District</v>
      </c>
      <c r="D221" s="141" t="str">
        <f ca="1">IF($M221=0,"",INDEX(Data!$D$2051:$D$2550,$M221))</f>
        <v>Elementary-Middle-High</v>
      </c>
      <c r="E221" s="142">
        <f ca="1">IF($M221=0,"",INDEX(Data!$G$2051:$G$2550,$M221))</f>
        <v>0.79849999999999999</v>
      </c>
      <c r="F221" s="141">
        <f ca="1">IF($M221=0,"",INDEX(Data!$F$2051:$F$2550,$M221))</f>
        <v>138</v>
      </c>
      <c r="G221" s="143">
        <f ca="1">IF($M221=0,"",INDEX(Data!$K$2051:$K$2550,$M221))</f>
        <v>0.72902058200269082</v>
      </c>
      <c r="H221" s="141">
        <f ca="1">IF($M221=0,"",INDEX(Data!$L$2051:$L$2550,$M221))</f>
        <v>9</v>
      </c>
      <c r="I221" s="144">
        <f ca="1">IF($M221=0,"",INDEX(Data!$T$2051:$T$2550,$M221))</f>
        <v>36</v>
      </c>
      <c r="J221" s="141" t="str">
        <f ca="1">IF($M221=0,"",INDEX(Data!$U$2051:$U$2550,$M221))</f>
        <v>Listed</v>
      </c>
      <c r="K221" s="141" t="str">
        <f ca="1">IF($M221=0,"",INDEX(Data!$AA$2051:$AA$2550,$M221))</f>
        <v>80% economic need; 0.73 mi fresh access; 9 nearby resources</v>
      </c>
      <c r="L221" s="141" t="str">
        <f ca="1">IF($M221=0,"",IF(INDEX(Data!$AN$2051:$AN$2550,$M221)=0,"",IF(INDEX(Data!$U$41:$U$540,INDEX(Data!$AN$2051:$AN$2550,$M221))="","",INDEX(Data!$U$41:$U$540,INDEX(Data!$AN$2051:$AN$2550,$M221)))))</f>
        <v>215-400-3710</v>
      </c>
      <c r="M221" s="132">
        <f ca="1">IF(COUNTIFS(Data!$AV$2051:$AV$2550,209)=1,MATCH(209,Data!$AV$2051:$AV$2550,0),0)</f>
        <v>244</v>
      </c>
      <c r="N221" s="145" t="str">
        <f ca="1">IF($M221=0,"",IF(INDEX(Data!$I$2051:$I$2550,$M221)=0,"Add ID","Row "&amp;(INDEX(Data!$I$2051:$I$2550,$M221)+7)))</f>
        <v>Row 318</v>
      </c>
    </row>
    <row r="222" spans="1:14" ht="40" customHeight="1">
      <c r="A222" s="136">
        <f ca="1">IF($M222=0,"",INDEX(Data!$W$2051:$W$2550,$M222))</f>
        <v>210</v>
      </c>
      <c r="B222" s="139" t="str">
        <f ca="1">IF($M222=0,"",INDEX(Data!$B$2051:$B$2550,$M222))</f>
        <v>Esperanza Academy Charter School</v>
      </c>
      <c r="C222" s="146" t="str">
        <f ca="1">IF($M222=0,"",INDEX(Data!$C$2051:$C$2550,$M222))</f>
        <v>Charter</v>
      </c>
      <c r="D222" s="146" t="str">
        <f ca="1">IF($M222=0,"",INDEX(Data!$D$2051:$D$2550,$M222))</f>
        <v>Elementary-Middle-High</v>
      </c>
      <c r="E222" s="147">
        <f ca="1">IF($M222=0,"",INDEX(Data!$G$2051:$G$2550,$M222))</f>
        <v>0.86819999999999997</v>
      </c>
      <c r="F222" s="146">
        <f ca="1">IF($M222=0,"",INDEX(Data!$F$2051:$F$2550,$M222))</f>
        <v>2246</v>
      </c>
      <c r="G222" s="148">
        <f ca="1">IF($M222=0,"",INDEX(Data!$K$2051:$K$2550,$M222))</f>
        <v>0.22184891602670467</v>
      </c>
      <c r="H222" s="146">
        <f ca="1">IF($M222=0,"",INDEX(Data!$L$2051:$L$2550,$M222))</f>
        <v>10</v>
      </c>
      <c r="I222" s="149">
        <f ca="1">IF($M222=0,"",INDEX(Data!$T$2051:$T$2550,$M222))</f>
        <v>35</v>
      </c>
      <c r="J222" s="146" t="str">
        <f ca="1">IF($M222=0,"",INDEX(Data!$U$2051:$U$2550,$M222))</f>
        <v>Listed</v>
      </c>
      <c r="K222" s="146" t="str">
        <f ca="1">IF($M222=0,"",INDEX(Data!$AA$2051:$AA$2550,$M222))</f>
        <v>87% economic need; 0.22 mi fresh access; 10 nearby resources</v>
      </c>
      <c r="L222" s="146" t="str">
        <f ca="1">IF($M222=0,"",IF(INDEX(Data!$AN$2051:$AN$2550,$M222)=0,"",IF(INDEX(Data!$U$41:$U$540,INDEX(Data!$AN$2051:$AN$2550,$M222))="","",INDEX(Data!$U$41:$U$540,INDEX(Data!$AN$2051:$AN$2550,$M222)))))</f>
        <v>215-457-3667</v>
      </c>
      <c r="M222" s="132">
        <f ca="1">IF(COUNTIFS(Data!$AV$2051:$AV$2550,210)=1,MATCH(210,Data!$AV$2051:$AV$2550,0),0)</f>
        <v>93</v>
      </c>
      <c r="N222" s="150" t="str">
        <f ca="1">IF($M222=0,"",IF(INDEX(Data!$I$2051:$I$2550,$M222)=0,"Add ID","Row "&amp;(INDEX(Data!$I$2051:$I$2550,$M222)+7)))</f>
        <v>Row 71</v>
      </c>
    </row>
    <row r="223" spans="1:14" ht="40" customHeight="1">
      <c r="A223" s="135">
        <f ca="1">IF($M223=0,"",INDEX(Data!$W$2051:$W$2550,$M223))</f>
        <v>211</v>
      </c>
      <c r="B223" s="138" t="str">
        <f ca="1">IF($M223=0,"",INDEX(Data!$B$2051:$B$2550,$M223))</f>
        <v>Mastery Charter School at Pickett</v>
      </c>
      <c r="C223" s="141" t="str">
        <f ca="1">IF($M223=0,"",INDEX(Data!$C$2051:$C$2550,$M223))</f>
        <v>Charter</v>
      </c>
      <c r="D223" s="141" t="str">
        <f ca="1">IF($M223=0,"",INDEX(Data!$D$2051:$D$2550,$M223))</f>
        <v>Middle-High</v>
      </c>
      <c r="E223" s="142">
        <f ca="1">IF($M223=0,"",INDEX(Data!$G$2051:$G$2550,$M223))</f>
        <v>0.80349999999999999</v>
      </c>
      <c r="F223" s="141">
        <f ca="1">IF($M223=0,"",INDEX(Data!$F$2051:$F$2550,$M223))</f>
        <v>903</v>
      </c>
      <c r="G223" s="143">
        <f ca="1">IF($M223=0,"",INDEX(Data!$K$2051:$K$2550,$M223))</f>
        <v>7.6646918522881122E-2</v>
      </c>
      <c r="H223" s="141">
        <f ca="1">IF($M223=0,"",INDEX(Data!$L$2051:$L$2550,$M223))</f>
        <v>15</v>
      </c>
      <c r="I223" s="144">
        <f ca="1">IF($M223=0,"",INDEX(Data!$T$2051:$T$2550,$M223))</f>
        <v>35</v>
      </c>
      <c r="J223" s="141" t="str">
        <f ca="1">IF($M223=0,"",INDEX(Data!$U$2051:$U$2550,$M223))</f>
        <v>Listed</v>
      </c>
      <c r="K223" s="141" t="str">
        <f ca="1">IF($M223=0,"",INDEX(Data!$AA$2051:$AA$2550,$M223))</f>
        <v>80% economic need; 0.08 mi fresh access; 15 nearby resources</v>
      </c>
      <c r="L223" s="141" t="str">
        <f ca="1">IF($M223=0,"",IF(INDEX(Data!$AN$2051:$AN$2550,$M223)=0,"",IF(INDEX(Data!$U$41:$U$540,INDEX(Data!$AN$2051:$AN$2550,$M223))="","",INDEX(Data!$U$41:$U$540,INDEX(Data!$AN$2051:$AN$2550,$M223)))))</f>
        <v>215-866-9000</v>
      </c>
      <c r="M223" s="132">
        <f ca="1">IF(COUNTIFS(Data!$AV$2051:$AV$2550,211)=1,MATCH(211,Data!$AV$2051:$AV$2550,0),0)</f>
        <v>121</v>
      </c>
      <c r="N223" s="145" t="str">
        <f ca="1">IF($M223=0,"",IF(INDEX(Data!$I$2051:$I$2550,$M223)=0,"Add ID","Row "&amp;(INDEX(Data!$I$2051:$I$2550,$M223)+7)))</f>
        <v>Row 197</v>
      </c>
    </row>
    <row r="224" spans="1:14" ht="40" customHeight="1">
      <c r="A224" s="136">
        <f ca="1">IF($M224=0,"",INDEX(Data!$W$2051:$W$2550,$M224))</f>
        <v>212</v>
      </c>
      <c r="B224" s="139" t="str">
        <f ca="1">IF($M224=0,"",INDEX(Data!$B$2051:$B$2550,$M224))</f>
        <v>Antonia Pantoja Charter School</v>
      </c>
      <c r="C224" s="146" t="str">
        <f ca="1">IF($M224=0,"",INDEX(Data!$C$2051:$C$2550,$M224))</f>
        <v>Charter</v>
      </c>
      <c r="D224" s="146" t="str">
        <f ca="1">IF($M224=0,"",INDEX(Data!$D$2051:$D$2550,$M224))</f>
        <v>Elementary-Middle</v>
      </c>
      <c r="E224" s="147">
        <f ca="1">IF($M224=0,"",INDEX(Data!$G$2051:$G$2550,$M224))</f>
        <v>0.8</v>
      </c>
      <c r="F224" s="146">
        <f ca="1">IF($M224=0,"",INDEX(Data!$F$2051:$F$2550,$M224))</f>
        <v>746</v>
      </c>
      <c r="G224" s="148">
        <f ca="1">IF($M224=0,"",INDEX(Data!$K$2051:$K$2550,$M224))</f>
        <v>0.22446280484791564</v>
      </c>
      <c r="H224" s="146">
        <f ca="1">IF($M224=0,"",INDEX(Data!$L$2051:$L$2550,$M224))</f>
        <v>10</v>
      </c>
      <c r="I224" s="149">
        <f ca="1">IF($M224=0,"",INDEX(Data!$T$2051:$T$2550,$M224))</f>
        <v>35</v>
      </c>
      <c r="J224" s="146" t="str">
        <f ca="1">IF($M224=0,"",INDEX(Data!$U$2051:$U$2550,$M224))</f>
        <v>Listed</v>
      </c>
      <c r="K224" s="146" t="str">
        <f ca="1">IF($M224=0,"",INDEX(Data!$AA$2051:$AA$2550,$M224))</f>
        <v>80% economic need; 0.22 mi fresh access; 10 nearby resources</v>
      </c>
      <c r="L224" s="146" t="str">
        <f ca="1">IF($M224=0,"",IF(INDEX(Data!$AN$2051:$AN$2550,$M224)=0,"",IF(INDEX(Data!$U$41:$U$540,INDEX(Data!$AN$2051:$AN$2550,$M224))="","",INDEX(Data!$U$41:$U$540,INDEX(Data!$AN$2051:$AN$2550,$M224)))))</f>
        <v/>
      </c>
      <c r="M224" s="132">
        <f ca="1">IF(COUNTIFS(Data!$AV$2051:$AV$2550,212)=1,MATCH(212,Data!$AV$2051:$AV$2550,0),0)</f>
        <v>123</v>
      </c>
      <c r="N224" s="150" t="str">
        <f ca="1">IF($M224=0,"",IF(INDEX(Data!$I$2051:$I$2550,$M224)=0,"Add ID","Row "&amp;(INDEX(Data!$I$2051:$I$2550,$M224)+7)))</f>
        <v>Row 30</v>
      </c>
    </row>
    <row r="225" spans="1:14" ht="40" customHeight="1">
      <c r="A225" s="135">
        <f ca="1">IF($M225=0,"",INDEX(Data!$W$2051:$W$2550,$M225))</f>
        <v>213</v>
      </c>
      <c r="B225" s="138" t="str">
        <f ca="1">IF($M225=0,"",INDEX(Data!$B$2051:$B$2550,$M225))</f>
        <v>Samuel Fels High School</v>
      </c>
      <c r="C225" s="141" t="str">
        <f ca="1">IF($M225=0,"",INDEX(Data!$C$2051:$C$2550,$M225))</f>
        <v>District</v>
      </c>
      <c r="D225" s="141" t="str">
        <f ca="1">IF($M225=0,"",INDEX(Data!$D$2051:$D$2550,$M225))</f>
        <v>High</v>
      </c>
      <c r="E225" s="142">
        <f ca="1">IF($M225=0,"",INDEX(Data!$G$2051:$G$2550,$M225))</f>
        <v>0.77959999999999996</v>
      </c>
      <c r="F225" s="141">
        <f ca="1">IF($M225=0,"",INDEX(Data!$F$2051:$F$2550,$M225))</f>
        <v>1228</v>
      </c>
      <c r="G225" s="143">
        <f ca="1">IF($M225=0,"",INDEX(Data!$K$2051:$K$2550,$M225))</f>
        <v>0.4469722876802889</v>
      </c>
      <c r="H225" s="141">
        <f ca="1">IF($M225=0,"",INDEX(Data!$L$2051:$L$2550,$M225))</f>
        <v>6</v>
      </c>
      <c r="I225" s="144">
        <f ca="1">IF($M225=0,"",INDEX(Data!$T$2051:$T$2550,$M225))</f>
        <v>35</v>
      </c>
      <c r="J225" s="141" t="str">
        <f ca="1">IF($M225=0,"",INDEX(Data!$U$2051:$U$2550,$M225))</f>
        <v>Listed</v>
      </c>
      <c r="K225" s="141" t="str">
        <f ca="1">IF($M225=0,"",INDEX(Data!$AA$2051:$AA$2550,$M225))</f>
        <v>78% economic need; 0.45 mi fresh access; 6 nearby resources</v>
      </c>
      <c r="L225" s="141" t="str">
        <f ca="1">IF($M225=0,"",IF(INDEX(Data!$AN$2051:$AN$2550,$M225)=0,"",IF(INDEX(Data!$U$41:$U$540,INDEX(Data!$AN$2051:$AN$2550,$M225))="","",INDEX(Data!$U$41:$U$540,INDEX(Data!$AN$2051:$AN$2550,$M225)))))</f>
        <v>215-400-7100</v>
      </c>
      <c r="M225" s="132">
        <f ca="1">IF(COUNTIFS(Data!$AV$2051:$AV$2550,213)=1,MATCH(213,Data!$AV$2051:$AV$2550,0),0)</f>
        <v>258</v>
      </c>
      <c r="N225" s="145" t="str">
        <f ca="1">IF($M225=0,"",IF(INDEX(Data!$I$2051:$I$2550,$M225)=0,"Add ID","Row "&amp;(INDEX(Data!$I$2051:$I$2550,$M225)+7)))</f>
        <v>Row 268</v>
      </c>
    </row>
    <row r="226" spans="1:14" ht="40" customHeight="1">
      <c r="A226" s="136">
        <f ca="1">IF($M226=0,"",INDEX(Data!$W$2051:$W$2550,$M226))</f>
        <v>214</v>
      </c>
      <c r="B226" s="139" t="str">
        <f ca="1">IF($M226=0,"",INDEX(Data!$B$2051:$B$2550,$M226))</f>
        <v>Southwark School</v>
      </c>
      <c r="C226" s="146" t="str">
        <f ca="1">IF($M226=0,"",INDEX(Data!$C$2051:$C$2550,$M226))</f>
        <v>District</v>
      </c>
      <c r="D226" s="146" t="str">
        <f ca="1">IF($M226=0,"",INDEX(Data!$D$2051:$D$2550,$M226))</f>
        <v>Elementary-Middle</v>
      </c>
      <c r="E226" s="147">
        <f ca="1">IF($M226=0,"",INDEX(Data!$G$2051:$G$2550,$M226))</f>
        <v>0.74780000000000002</v>
      </c>
      <c r="F226" s="146">
        <f ca="1">IF($M226=0,"",INDEX(Data!$F$2051:$F$2550,$M226))</f>
        <v>889</v>
      </c>
      <c r="G226" s="148">
        <f ca="1">IF($M226=0,"",INDEX(Data!$K$2051:$K$2550,$M226))</f>
        <v>0.41951697224983825</v>
      </c>
      <c r="H226" s="146">
        <f ca="1">IF($M226=0,"",INDEX(Data!$L$2051:$L$2550,$M226))</f>
        <v>8</v>
      </c>
      <c r="I226" s="149">
        <f ca="1">IF($M226=0,"",INDEX(Data!$T$2051:$T$2550,$M226))</f>
        <v>35</v>
      </c>
      <c r="J226" s="146" t="str">
        <f ca="1">IF($M226=0,"",INDEX(Data!$U$2051:$U$2550,$M226))</f>
        <v>Listed</v>
      </c>
      <c r="K226" s="146" t="str">
        <f ca="1">IF($M226=0,"",INDEX(Data!$AA$2051:$AA$2550,$M226))</f>
        <v>75% economic need; 0.42 mi fresh access; 8 nearby resources</v>
      </c>
      <c r="L226" s="146" t="str">
        <f ca="1">IF($M226=0,"",IF(INDEX(Data!$AN$2051:$AN$2550,$M226)=0,"",IF(INDEX(Data!$U$41:$U$540,INDEX(Data!$AN$2051:$AN$2550,$M226))="","",INDEX(Data!$U$41:$U$540,INDEX(Data!$AN$2051:$AN$2550,$M226)))))</f>
        <v>215-400-8280</v>
      </c>
      <c r="M226" s="132">
        <f ca="1">IF(COUNTIFS(Data!$AV$2051:$AV$2550,214)=1,MATCH(214,Data!$AV$2051:$AV$2550,0),0)</f>
        <v>59</v>
      </c>
      <c r="N226" s="150" t="str">
        <f ca="1">IF($M226=0,"",IF(INDEX(Data!$I$2051:$I$2550,$M226)=0,"Add ID","Row "&amp;(INDEX(Data!$I$2051:$I$2550,$M226)+7)))</f>
        <v>Row 279</v>
      </c>
    </row>
    <row r="227" spans="1:14" ht="40" customHeight="1">
      <c r="A227" s="135">
        <f ca="1">IF($M227=0,"",INDEX(Data!$W$2051:$W$2550,$M227))</f>
        <v>215</v>
      </c>
      <c r="B227" s="138" t="str">
        <f ca="1">IF($M227=0,"",INDEX(Data!$B$2051:$B$2550,$M227))</f>
        <v>Global Leadership Academy Charter School</v>
      </c>
      <c r="C227" s="141" t="str">
        <f ca="1">IF($M227=0,"",INDEX(Data!$C$2051:$C$2550,$M227))</f>
        <v>Charter</v>
      </c>
      <c r="D227" s="141" t="str">
        <f ca="1">IF($M227=0,"",INDEX(Data!$D$2051:$D$2550,$M227))</f>
        <v>Elementary-Middle</v>
      </c>
      <c r="E227" s="142">
        <f ca="1">IF($M227=0,"",INDEX(Data!$G$2051:$G$2550,$M227))</f>
        <v>0.73319999999999996</v>
      </c>
      <c r="F227" s="141">
        <f ca="1">IF($M227=0,"",INDEX(Data!$F$2051:$F$2550,$M227))</f>
        <v>704</v>
      </c>
      <c r="G227" s="143">
        <f ca="1">IF($M227=0,"",INDEX(Data!$K$2051:$K$2550,$M227))</f>
        <v>0.3658513855331566</v>
      </c>
      <c r="H227" s="141">
        <f ca="1">IF($M227=0,"",INDEX(Data!$L$2051:$L$2550,$M227))</f>
        <v>9</v>
      </c>
      <c r="I227" s="144">
        <f ca="1">IF($M227=0,"",INDEX(Data!$T$2051:$T$2550,$M227))</f>
        <v>35</v>
      </c>
      <c r="J227" s="141" t="str">
        <f ca="1">IF($M227=0,"",INDEX(Data!$U$2051:$U$2550,$M227))</f>
        <v>Listed</v>
      </c>
      <c r="K227" s="141" t="str">
        <f ca="1">IF($M227=0,"",INDEX(Data!$AA$2051:$AA$2550,$M227))</f>
        <v>73% economic need; 0.37 mi fresh access; 9 nearby resources</v>
      </c>
      <c r="L227" s="141" t="str">
        <f ca="1">IF($M227=0,"",IF(INDEX(Data!$AN$2051:$AN$2550,$M227)=0,"",IF(INDEX(Data!$U$41:$U$540,INDEX(Data!$AN$2051:$AN$2550,$M227))="","",INDEX(Data!$U$41:$U$540,INDEX(Data!$AN$2051:$AN$2550,$M227)))))</f>
        <v>215-477-6672</v>
      </c>
      <c r="M227" s="132">
        <f ca="1">IF(COUNTIFS(Data!$AV$2051:$AV$2550,215)=1,MATCH(215,Data!$AV$2051:$AV$2550,0),0)</f>
        <v>97</v>
      </c>
      <c r="N227" s="145" t="str">
        <f ca="1">IF($M227=0,"",IF(INDEX(Data!$I$2051:$I$2550,$M227)=0,"Add ID","Row "&amp;(INDEX(Data!$I$2051:$I$2550,$M227)+7)))</f>
        <v>Row 107</v>
      </c>
    </row>
    <row r="228" spans="1:14" ht="40" customHeight="1">
      <c r="A228" s="136">
        <f ca="1">IF($M228=0,"",INDEX(Data!$W$2051:$W$2550,$M228))</f>
        <v>216</v>
      </c>
      <c r="B228" s="139" t="str">
        <f ca="1">IF($M228=0,"",INDEX(Data!$B$2051:$B$2550,$M228))</f>
        <v>Mastery Charter School at Shoemaker</v>
      </c>
      <c r="C228" s="146" t="str">
        <f ca="1">IF($M228=0,"",INDEX(Data!$C$2051:$C$2550,$M228))</f>
        <v>Charter</v>
      </c>
      <c r="D228" s="146" t="str">
        <f ca="1">IF($M228=0,"",INDEX(Data!$D$2051:$D$2550,$M228))</f>
        <v>Middle-High</v>
      </c>
      <c r="E228" s="147">
        <f ca="1">IF($M228=0,"",INDEX(Data!$G$2051:$G$2550,$M228))</f>
        <v>0.72430000000000005</v>
      </c>
      <c r="F228" s="146">
        <f ca="1">IF($M228=0,"",INDEX(Data!$F$2051:$F$2550,$M228))</f>
        <v>733</v>
      </c>
      <c r="G228" s="148">
        <f ca="1">IF($M228=0,"",INDEX(Data!$K$2051:$K$2550,$M228))</f>
        <v>0.2689432737347327</v>
      </c>
      <c r="H228" s="146">
        <f ca="1">IF($M228=0,"",INDEX(Data!$L$2051:$L$2550,$M228))</f>
        <v>10</v>
      </c>
      <c r="I228" s="149">
        <f ca="1">IF($M228=0,"",INDEX(Data!$T$2051:$T$2550,$M228))</f>
        <v>35</v>
      </c>
      <c r="J228" s="146" t="str">
        <f ca="1">IF($M228=0,"",INDEX(Data!$U$2051:$U$2550,$M228))</f>
        <v>Listed</v>
      </c>
      <c r="K228" s="146" t="str">
        <f ca="1">IF($M228=0,"",INDEX(Data!$AA$2051:$AA$2550,$M228))</f>
        <v>72% economic need; 0.27 mi fresh access; 10 nearby resources</v>
      </c>
      <c r="L228" s="146" t="str">
        <f ca="1">IF($M228=0,"",IF(INDEX(Data!$AN$2051:$AN$2550,$M228)=0,"",IF(INDEX(Data!$U$41:$U$540,INDEX(Data!$AN$2051:$AN$2550,$M228))="","",INDEX(Data!$U$41:$U$540,INDEX(Data!$AN$2051:$AN$2550,$M228)))))</f>
        <v>267-296-7111</v>
      </c>
      <c r="M228" s="132">
        <f ca="1">IF(COUNTIFS(Data!$AV$2051:$AV$2550,216)=1,MATCH(216,Data!$AV$2051:$AV$2550,0),0)</f>
        <v>114</v>
      </c>
      <c r="N228" s="150" t="str">
        <f ca="1">IF($M228=0,"",IF(INDEX(Data!$I$2051:$I$2550,$M228)=0,"Add ID","Row "&amp;(INDEX(Data!$I$2051:$I$2550,$M228)+7)))</f>
        <v>Row 198</v>
      </c>
    </row>
    <row r="229" spans="1:14" ht="40" customHeight="1">
      <c r="A229" s="135">
        <f ca="1">IF($M229=0,"",INDEX(Data!$W$2051:$W$2550,$M229))</f>
        <v>217</v>
      </c>
      <c r="B229" s="138" t="str">
        <f ca="1">IF($M229=0,"",INDEX(Data!$B$2051:$B$2550,$M229))</f>
        <v>George Washington High School</v>
      </c>
      <c r="C229" s="141" t="str">
        <f ca="1">IF($M229=0,"",INDEX(Data!$C$2051:$C$2550,$M229))</f>
        <v>District</v>
      </c>
      <c r="D229" s="141" t="str">
        <f ca="1">IF($M229=0,"",INDEX(Data!$D$2051:$D$2550,$M229))</f>
        <v>High</v>
      </c>
      <c r="E229" s="142">
        <f ca="1">IF($M229=0,"",INDEX(Data!$G$2051:$G$2550,$M229))</f>
        <v>0.69779999999999998</v>
      </c>
      <c r="F229" s="141">
        <f ca="1">IF($M229=0,"",INDEX(Data!$F$2051:$F$2550,$M229))</f>
        <v>1795</v>
      </c>
      <c r="G229" s="143">
        <f ca="1">IF($M229=0,"",INDEX(Data!$K$2051:$K$2550,$M229))</f>
        <v>0.10160074514179536</v>
      </c>
      <c r="H229" s="141">
        <f ca="1">IF($M229=0,"",INDEX(Data!$L$2051:$L$2550,$M229))</f>
        <v>3</v>
      </c>
      <c r="I229" s="144">
        <f ca="1">IF($M229=0,"",INDEX(Data!$T$2051:$T$2550,$M229))</f>
        <v>35</v>
      </c>
      <c r="J229" s="141" t="str">
        <f ca="1">IF($M229=0,"",INDEX(Data!$U$2051:$U$2550,$M229))</f>
        <v>Listed</v>
      </c>
      <c r="K229" s="141" t="str">
        <f ca="1">IF($M229=0,"",INDEX(Data!$AA$2051:$AA$2550,$M229))</f>
        <v>70% economic need; 0.10 mi fresh access; 3 nearby resources</v>
      </c>
      <c r="L229" s="141" t="str">
        <f ca="1">IF($M229=0,"",IF(INDEX(Data!$AN$2051:$AN$2550,$M229)=0,"",IF(INDEX(Data!$U$41:$U$540,INDEX(Data!$AN$2051:$AN$2550,$M229))="","",INDEX(Data!$U$41:$U$540,INDEX(Data!$AN$2051:$AN$2550,$M229)))))</f>
        <v>215-400-3100</v>
      </c>
      <c r="M229" s="132">
        <f ca="1">IF(COUNTIFS(Data!$AV$2051:$AV$2550,217)=1,MATCH(217,Data!$AV$2051:$AV$2550,0),0)</f>
        <v>288</v>
      </c>
      <c r="N229" s="145" t="str">
        <f ca="1">IF($M229=0,"",IF(INDEX(Data!$I$2051:$I$2550,$M229)=0,"Add ID","Row "&amp;(INDEX(Data!$I$2051:$I$2550,$M229)+7)))</f>
        <v>Row 104</v>
      </c>
    </row>
    <row r="230" spans="1:14" ht="40" customHeight="1">
      <c r="A230" s="136">
        <f ca="1">IF($M230=0,"",INDEX(Data!$W$2051:$W$2550,$M230))</f>
        <v>218</v>
      </c>
      <c r="B230" s="139" t="str">
        <f ca="1">IF($M230=0,"",INDEX(Data!$B$2051:$B$2550,$M230))</f>
        <v>Franklin Towne Charter High School</v>
      </c>
      <c r="C230" s="146" t="str">
        <f ca="1">IF($M230=0,"",INDEX(Data!$C$2051:$C$2550,$M230))</f>
        <v>Charter</v>
      </c>
      <c r="D230" s="146" t="str">
        <f ca="1">IF($M230=0,"",INDEX(Data!$D$2051:$D$2550,$M230))</f>
        <v>High</v>
      </c>
      <c r="E230" s="147">
        <f ca="1">IF($M230=0,"",INDEX(Data!$G$2051:$G$2550,$M230))</f>
        <v>0.60709999999999997</v>
      </c>
      <c r="F230" s="146">
        <f ca="1">IF($M230=0,"",INDEX(Data!$F$2051:$F$2550,$M230))</f>
        <v>1306</v>
      </c>
      <c r="G230" s="148">
        <f ca="1">IF($M230=0,"",INDEX(Data!$K$2051:$K$2550,$M230))</f>
        <v>0.30525046391309263</v>
      </c>
      <c r="H230" s="146">
        <f ca="1">IF($M230=0,"",INDEX(Data!$L$2051:$L$2550,$M230))</f>
        <v>4</v>
      </c>
      <c r="I230" s="149">
        <f ca="1">IF($M230=0,"",INDEX(Data!$T$2051:$T$2550,$M230))</f>
        <v>35</v>
      </c>
      <c r="J230" s="146" t="str">
        <f ca="1">IF($M230=0,"",INDEX(Data!$U$2051:$U$2550,$M230))</f>
        <v>Listed</v>
      </c>
      <c r="K230" s="146" t="str">
        <f ca="1">IF($M230=0,"",INDEX(Data!$AA$2051:$AA$2550,$M230))</f>
        <v>61% economic need; 0.31 mi fresh access; 4 nearby resources</v>
      </c>
      <c r="L230" s="146" t="str">
        <f ca="1">IF($M230=0,"",IF(INDEX(Data!$AN$2051:$AN$2550,$M230)=0,"",IF(INDEX(Data!$U$41:$U$540,INDEX(Data!$AN$2051:$AN$2550,$M230))="","",INDEX(Data!$U$41:$U$540,INDEX(Data!$AN$2051:$AN$2550,$M230)))))</f>
        <v>215-289-5000</v>
      </c>
      <c r="M230" s="132">
        <f ca="1">IF(COUNTIFS(Data!$AV$2051:$AV$2550,218)=1,MATCH(218,Data!$AV$2051:$AV$2550,0),0)</f>
        <v>91</v>
      </c>
      <c r="N230" s="150" t="str">
        <f ca="1">IF($M230=0,"",IF(INDEX(Data!$I$2051:$I$2550,$M230)=0,"Add ID","Row "&amp;(INDEX(Data!$I$2051:$I$2550,$M230)+7)))</f>
        <v>Row 93</v>
      </c>
    </row>
    <row r="231" spans="1:14" ht="40" customHeight="1">
      <c r="A231" s="135">
        <f ca="1">IF($M231=0,"",INDEX(Data!$W$2051:$W$2550,$M231))</f>
        <v>219</v>
      </c>
      <c r="B231" s="138" t="str">
        <f ca="1">IF($M231=0,"",INDEX(Data!$B$2051:$B$2550,$M231))</f>
        <v>MaST Community Charter School II</v>
      </c>
      <c r="C231" s="141" t="str">
        <f ca="1">IF($M231=0,"",INDEX(Data!$C$2051:$C$2550,$M231))</f>
        <v>Charter</v>
      </c>
      <c r="D231" s="141" t="str">
        <f ca="1">IF($M231=0,"",INDEX(Data!$D$2051:$D$2550,$M231))</f>
        <v>Elementary-High</v>
      </c>
      <c r="E231" s="142">
        <f ca="1">IF($M231=0,"",INDEX(Data!$G$2051:$G$2550,$M231))</f>
        <v>0.54510000000000003</v>
      </c>
      <c r="F231" s="141">
        <f ca="1">IF($M231=0,"",INDEX(Data!$F$2051:$F$2550,$M231))</f>
        <v>1903</v>
      </c>
      <c r="G231" s="143">
        <f ca="1">IF($M231=0,"",INDEX(Data!$K$2051:$K$2550,$M231))</f>
        <v>0.47445885090459661</v>
      </c>
      <c r="H231" s="141">
        <f ca="1">IF($M231=0,"",INDEX(Data!$L$2051:$L$2550,$M231))</f>
        <v>3</v>
      </c>
      <c r="I231" s="144">
        <f ca="1">IF($M231=0,"",INDEX(Data!$T$2051:$T$2550,$M231))</f>
        <v>35</v>
      </c>
      <c r="J231" s="141" t="str">
        <f ca="1">IF($M231=0,"",INDEX(Data!$U$2051:$U$2550,$M231))</f>
        <v>Listed</v>
      </c>
      <c r="K231" s="141" t="str">
        <f ca="1">IF($M231=0,"",INDEX(Data!$AA$2051:$AA$2550,$M231))</f>
        <v>55% economic need; 0.47 mi fresh access; 3 nearby resources</v>
      </c>
      <c r="L231" s="141" t="str">
        <f ca="1">IF($M231=0,"",IF(INDEX(Data!$AN$2051:$AN$2550,$M231)=0,"",IF(INDEX(Data!$U$41:$U$540,INDEX(Data!$AN$2051:$AN$2550,$M231))="","",INDEX(Data!$U$41:$U$540,INDEX(Data!$AN$2051:$AN$2550,$M231)))))</f>
        <v/>
      </c>
      <c r="M231" s="132">
        <f ca="1">IF(COUNTIFS(Data!$AV$2051:$AV$2550,219)=1,MATCH(219,Data!$AV$2051:$AV$2550,0),0)</f>
        <v>146</v>
      </c>
      <c r="N231" s="145" t="str">
        <f ca="1">IF($M231=0,"",IF(INDEX(Data!$I$2051:$I$2550,$M231)=0,"Add ID","Row "&amp;(INDEX(Data!$I$2051:$I$2550,$M231)+7)))</f>
        <v>Row 186</v>
      </c>
    </row>
    <row r="232" spans="1:14" ht="40" customHeight="1">
      <c r="A232" s="136">
        <f ca="1">IF($M232=0,"",INDEX(Data!$W$2051:$W$2550,$M232))</f>
        <v>220</v>
      </c>
      <c r="B232" s="139" t="str">
        <f ca="1">IF($M232=0,"",INDEX(Data!$B$2051:$B$2550,$M232))</f>
        <v>Green Woods Charter School</v>
      </c>
      <c r="C232" s="146" t="str">
        <f ca="1">IF($M232=0,"",INDEX(Data!$C$2051:$C$2550,$M232))</f>
        <v>Charter</v>
      </c>
      <c r="D232" s="146" t="str">
        <f ca="1">IF($M232=0,"",INDEX(Data!$D$2051:$D$2550,$M232))</f>
        <v>Elementary-Middle</v>
      </c>
      <c r="E232" s="147">
        <f ca="1">IF($M232=0,"",INDEX(Data!$G$2051:$G$2550,$M232))</f>
        <v>0.32290000000000002</v>
      </c>
      <c r="F232" s="146">
        <f ca="1">IF($M232=0,"",INDEX(Data!$F$2051:$F$2550,$M232))</f>
        <v>716</v>
      </c>
      <c r="G232" s="148">
        <f ca="1">IF($M232=0,"",INDEX(Data!$K$2051:$K$2550,$M232))</f>
        <v>0.13618843029652308</v>
      </c>
      <c r="H232" s="146">
        <f ca="1">IF($M232=0,"",INDEX(Data!$L$2051:$L$2550,$M232))</f>
        <v>0</v>
      </c>
      <c r="I232" s="149">
        <f ca="1">IF($M232=0,"",INDEX(Data!$T$2051:$T$2550,$M232))</f>
        <v>35</v>
      </c>
      <c r="J232" s="146" t="str">
        <f ca="1">IF($M232=0,"",INDEX(Data!$U$2051:$U$2550,$M232))</f>
        <v>Listed</v>
      </c>
      <c r="K232" s="146" t="str">
        <f ca="1">IF($M232=0,"",INDEX(Data!$AA$2051:$AA$2550,$M232))</f>
        <v>32% economic need; 0.14 mi fresh access; 0 nearby resources</v>
      </c>
      <c r="L232" s="146" t="str">
        <f ca="1">IF($M232=0,"",IF(INDEX(Data!$AN$2051:$AN$2550,$M232)=0,"",IF(INDEX(Data!$U$41:$U$540,INDEX(Data!$AN$2051:$AN$2550,$M232))="","",INDEX(Data!$U$41:$U$540,INDEX(Data!$AN$2051:$AN$2550,$M232)))))</f>
        <v>215-482-6337</v>
      </c>
      <c r="M232" s="132">
        <f ca="1">IF(COUNTIFS(Data!$AV$2051:$AV$2550,220)=1,MATCH(220,Data!$AV$2051:$AV$2550,0),0)</f>
        <v>107</v>
      </c>
      <c r="N232" s="150" t="str">
        <f ca="1">IF($M232=0,"",IF(INDEX(Data!$I$2051:$I$2550,$M232)=0,"Add ID","Row "&amp;(INDEX(Data!$I$2051:$I$2550,$M232)+7)))</f>
        <v>Row 110</v>
      </c>
    </row>
    <row r="233" spans="1:14" ht="40" customHeight="1">
      <c r="A233" s="135">
        <f ca="1">IF($M233=0,"",INDEX(Data!$W$2051:$W$2550,$M233))</f>
        <v>221</v>
      </c>
      <c r="B233" s="138" t="str">
        <f ca="1">IF($M233=0,"",INDEX(Data!$B$2051:$B$2550,$M233))</f>
        <v>John B. Stetson Middle School</v>
      </c>
      <c r="C233" s="141" t="str">
        <f ca="1">IF($M233=0,"",INDEX(Data!$C$2051:$C$2550,$M233))</f>
        <v>District</v>
      </c>
      <c r="D233" s="141" t="str">
        <f ca="1">IF($M233=0,"",INDEX(Data!$D$2051:$D$2550,$M233))</f>
        <v>Middle</v>
      </c>
      <c r="E233" s="142">
        <f ca="1">IF($M233=0,"",INDEX(Data!$G$2051:$G$2550,$M233))</f>
        <v>0.88739999999999997</v>
      </c>
      <c r="F233" s="141">
        <f ca="1">IF($M233=0,"",INDEX(Data!$F$2051:$F$2550,$M233))</f>
        <v>511</v>
      </c>
      <c r="G233" s="143">
        <f ca="1">IF($M233=0,"",INDEX(Data!$K$2051:$K$2550,$M233))</f>
        <v>9.4165649111854308E-2</v>
      </c>
      <c r="H233" s="141">
        <f ca="1">IF($M233=0,"",INDEX(Data!$L$2051:$L$2550,$M233))</f>
        <v>12</v>
      </c>
      <c r="I233" s="144">
        <f ca="1">IF($M233=0,"",INDEX(Data!$T$2051:$T$2550,$M233))</f>
        <v>34</v>
      </c>
      <c r="J233" s="141" t="str">
        <f ca="1">IF($M233=0,"",INDEX(Data!$U$2051:$U$2550,$M233))</f>
        <v>Listed</v>
      </c>
      <c r="K233" s="141" t="str">
        <f ca="1">IF($M233=0,"",INDEX(Data!$AA$2051:$AA$2550,$M233))</f>
        <v>89% economic need; 0.09 mi fresh access; 12 nearby resources</v>
      </c>
      <c r="L233" s="141" t="str">
        <f ca="1">IF($M233=0,"",IF(INDEX(Data!$AN$2051:$AN$2550,$M233)=0,"",IF(INDEX(Data!$U$41:$U$540,INDEX(Data!$AN$2051:$AN$2550,$M233))="","",INDEX(Data!$U$41:$U$540,INDEX(Data!$AN$2051:$AN$2550,$M233)))))</f>
        <v>215-400-9150</v>
      </c>
      <c r="M233" s="132">
        <f ca="1">IF(COUNTIFS(Data!$AV$2051:$AV$2550,221)=1,MATCH(221,Data!$AV$2051:$AV$2550,0),0)</f>
        <v>214</v>
      </c>
      <c r="N233" s="145" t="str">
        <f ca="1">IF($M233=0,"",IF(INDEX(Data!$I$2051:$I$2550,$M233)=0,"Add ID","Row "&amp;(INDEX(Data!$I$2051:$I$2550,$M233)+7)))</f>
        <v>Row 141</v>
      </c>
    </row>
    <row r="234" spans="1:14" ht="40" customHeight="1">
      <c r="A234" s="136">
        <f ca="1">IF($M234=0,"",INDEX(Data!$W$2051:$W$2550,$M234))</f>
        <v>222</v>
      </c>
      <c r="B234" s="139" t="str">
        <f ca="1">IF($M234=0,"",INDEX(Data!$B$2051:$B$2550,$M234))</f>
        <v>Francis Hopkinson School</v>
      </c>
      <c r="C234" s="146" t="str">
        <f ca="1">IF($M234=0,"",INDEX(Data!$C$2051:$C$2550,$M234))</f>
        <v>District</v>
      </c>
      <c r="D234" s="146" t="str">
        <f ca="1">IF($M234=0,"",INDEX(Data!$D$2051:$D$2550,$M234))</f>
        <v>Elementary-Middle</v>
      </c>
      <c r="E234" s="147">
        <f ca="1">IF($M234=0,"",INDEX(Data!$G$2051:$G$2550,$M234))</f>
        <v>0.86580000000000001</v>
      </c>
      <c r="F234" s="146">
        <f ca="1">IF($M234=0,"",INDEX(Data!$F$2051:$F$2550,$M234))</f>
        <v>547</v>
      </c>
      <c r="G234" s="148">
        <f ca="1">IF($M234=0,"",INDEX(Data!$K$2051:$K$2550,$M234))</f>
        <v>0.1496540986840621</v>
      </c>
      <c r="H234" s="146">
        <f ca="1">IF($M234=0,"",INDEX(Data!$L$2051:$L$2550,$M234))</f>
        <v>8</v>
      </c>
      <c r="I234" s="149">
        <f ca="1">IF($M234=0,"",INDEX(Data!$T$2051:$T$2550,$M234))</f>
        <v>34</v>
      </c>
      <c r="J234" s="146" t="str">
        <f ca="1">IF($M234=0,"",INDEX(Data!$U$2051:$U$2550,$M234))</f>
        <v>Listed</v>
      </c>
      <c r="K234" s="146" t="str">
        <f ca="1">IF($M234=0,"",INDEX(Data!$AA$2051:$AA$2550,$M234))</f>
        <v>87% economic need; 0.15 mi fresh access; 8 nearby resources</v>
      </c>
      <c r="L234" s="146" t="str">
        <f ca="1">IF($M234=0,"",IF(INDEX(Data!$AN$2051:$AN$2550,$M234)=0,"",IF(INDEX(Data!$U$41:$U$540,INDEX(Data!$AN$2051:$AN$2550,$M234))="","",INDEX(Data!$U$41:$U$540,INDEX(Data!$AN$2051:$AN$2550,$M234)))))</f>
        <v>215-400-3970</v>
      </c>
      <c r="M234" s="132">
        <f ca="1">IF(COUNTIFS(Data!$AV$2051:$AV$2550,222)=1,MATCH(222,Data!$AV$2051:$AV$2550,0),0)</f>
        <v>267</v>
      </c>
      <c r="N234" s="150" t="str">
        <f ca="1">IF($M234=0,"",IF(INDEX(Data!$I$2051:$I$2550,$M234)=0,"Add ID","Row "&amp;(INDEX(Data!$I$2051:$I$2550,$M234)+7)))</f>
        <v>Row 87</v>
      </c>
    </row>
    <row r="235" spans="1:14" ht="40" customHeight="1">
      <c r="A235" s="135">
        <f ca="1">IF($M235=0,"",INDEX(Data!$W$2051:$W$2550,$M235))</f>
        <v>223</v>
      </c>
      <c r="B235" s="138" t="str">
        <f ca="1">IF($M235=0,"",INDEX(Data!$B$2051:$B$2550,$M235))</f>
        <v>Feltonville School of Arts and Sciences</v>
      </c>
      <c r="C235" s="141" t="str">
        <f ca="1">IF($M235=0,"",INDEX(Data!$C$2051:$C$2550,$M235))</f>
        <v>District</v>
      </c>
      <c r="D235" s="141" t="str">
        <f ca="1">IF($M235=0,"",INDEX(Data!$D$2051:$D$2550,$M235))</f>
        <v>Middle</v>
      </c>
      <c r="E235" s="142">
        <f ca="1">IF($M235=0,"",INDEX(Data!$G$2051:$G$2550,$M235))</f>
        <v>0.84289999999999998</v>
      </c>
      <c r="F235" s="141">
        <f ca="1">IF($M235=0,"",INDEX(Data!$F$2051:$F$2550,$M235))</f>
        <v>505</v>
      </c>
      <c r="G235" s="143">
        <f ca="1">IF($M235=0,"",INDEX(Data!$K$2051:$K$2550,$M235))</f>
        <v>0.22562896148912306</v>
      </c>
      <c r="H235" s="141">
        <f ca="1">IF($M235=0,"",INDEX(Data!$L$2051:$L$2550,$M235))</f>
        <v>7</v>
      </c>
      <c r="I235" s="144">
        <f ca="1">IF($M235=0,"",INDEX(Data!$T$2051:$T$2550,$M235))</f>
        <v>34</v>
      </c>
      <c r="J235" s="141" t="str">
        <f ca="1">IF($M235=0,"",INDEX(Data!$U$2051:$U$2550,$M235))</f>
        <v>Listed</v>
      </c>
      <c r="K235" s="141" t="str">
        <f ca="1">IF($M235=0,"",INDEX(Data!$AA$2051:$AA$2550,$M235))</f>
        <v>84% economic need; 0.23 mi fresh access; 7 nearby resources</v>
      </c>
      <c r="L235" s="141" t="str">
        <f ca="1">IF($M235=0,"",IF(INDEX(Data!$AN$2051:$AN$2550,$M235)=0,"",IF(INDEX(Data!$U$41:$U$540,INDEX(Data!$AN$2051:$AN$2550,$M235))="","",INDEX(Data!$U$41:$U$540,INDEX(Data!$AN$2051:$AN$2550,$M235)))))</f>
        <v>215-400-3810</v>
      </c>
      <c r="M235" s="132">
        <f ca="1">IF(COUNTIFS(Data!$AV$2051:$AV$2550,223)=1,MATCH(223,Data!$AV$2051:$AV$2550,0),0)</f>
        <v>282</v>
      </c>
      <c r="N235" s="145" t="str">
        <f ca="1">IF($M235=0,"",IF(INDEX(Data!$I$2051:$I$2550,$M235)=0,"Add ID","Row "&amp;(INDEX(Data!$I$2051:$I$2550,$M235)+7)))</f>
        <v>Row 81</v>
      </c>
    </row>
    <row r="236" spans="1:14" ht="40" customHeight="1">
      <c r="A236" s="136">
        <f ca="1">IF($M236=0,"",INDEX(Data!$W$2051:$W$2550,$M236))</f>
        <v>224</v>
      </c>
      <c r="B236" s="139" t="str">
        <f ca="1">IF($M236=0,"",INDEX(Data!$B$2051:$B$2550,$M236))</f>
        <v>Benjamin Franklin High School</v>
      </c>
      <c r="C236" s="146" t="str">
        <f ca="1">IF($M236=0,"",INDEX(Data!$C$2051:$C$2550,$M236))</f>
        <v>District</v>
      </c>
      <c r="D236" s="146" t="str">
        <f ca="1">IF($M236=0,"",INDEX(Data!$D$2051:$D$2550,$M236))</f>
        <v>High</v>
      </c>
      <c r="E236" s="147">
        <f ca="1">IF($M236=0,"",INDEX(Data!$G$2051:$G$2550,$M236))</f>
        <v>0.83099999999999996</v>
      </c>
      <c r="F236" s="146">
        <f ca="1">IF($M236=0,"",INDEX(Data!$F$2051:$F$2550,$M236))</f>
        <v>530</v>
      </c>
      <c r="G236" s="148">
        <f ca="1">IF($M236=0,"",INDEX(Data!$K$2051:$K$2550,$M236))</f>
        <v>4.9479585756971922E-2</v>
      </c>
      <c r="H236" s="146">
        <f ca="1">IF($M236=0,"",INDEX(Data!$L$2051:$L$2550,$M236))</f>
        <v>10</v>
      </c>
      <c r="I236" s="149">
        <f ca="1">IF($M236=0,"",INDEX(Data!$T$2051:$T$2550,$M236))</f>
        <v>34</v>
      </c>
      <c r="J236" s="146" t="str">
        <f ca="1">IF($M236=0,"",INDEX(Data!$U$2051:$U$2550,$M236))</f>
        <v>Listed</v>
      </c>
      <c r="K236" s="146" t="str">
        <f ca="1">IF($M236=0,"",INDEX(Data!$AA$2051:$AA$2550,$M236))</f>
        <v>83% economic need; 0.05 mi fresh access; 10 nearby resources</v>
      </c>
      <c r="L236" s="146" t="str">
        <f ca="1">IF($M236=0,"",IF(INDEX(Data!$AN$2051:$AN$2550,$M236)=0,"",IF(INDEX(Data!$U$41:$U$540,INDEX(Data!$AN$2051:$AN$2550,$M236))="","",INDEX(Data!$U$41:$U$540,INDEX(Data!$AN$2051:$AN$2550,$M236)))))</f>
        <v>215-400-7600</v>
      </c>
      <c r="M236" s="132">
        <f ca="1">IF(COUNTIFS(Data!$AV$2051:$AV$2550,224)=1,MATCH(224,Data!$AV$2051:$AV$2550,0),0)</f>
        <v>30</v>
      </c>
      <c r="N236" s="150" t="str">
        <f ca="1">IF($M236=0,"",IF(INDEX(Data!$I$2051:$I$2550,$M236)=0,"Add ID","Row "&amp;(INDEX(Data!$I$2051:$I$2550,$M236)+7)))</f>
        <v>Row 39</v>
      </c>
    </row>
    <row r="237" spans="1:14" ht="40" customHeight="1">
      <c r="A237" s="135">
        <f ca="1">IF($M237=0,"",INDEX(Data!$W$2051:$W$2550,$M237))</f>
        <v>225</v>
      </c>
      <c r="B237" s="138" t="str">
        <f ca="1">IF($M237=0,"",INDEX(Data!$B$2051:$B$2550,$M237))</f>
        <v>Thomas K. Finletter School</v>
      </c>
      <c r="C237" s="141" t="str">
        <f ca="1">IF($M237=0,"",INDEX(Data!$C$2051:$C$2550,$M237))</f>
        <v>District</v>
      </c>
      <c r="D237" s="141" t="str">
        <f ca="1">IF($M237=0,"",INDEX(Data!$D$2051:$D$2550,$M237))</f>
        <v>Elementary-Middle</v>
      </c>
      <c r="E237" s="142">
        <f ca="1">IF($M237=0,"",INDEX(Data!$G$2051:$G$2550,$M237))</f>
        <v>0.82809999999999995</v>
      </c>
      <c r="F237" s="141">
        <f ca="1">IF($M237=0,"",INDEX(Data!$F$2051:$F$2550,$M237))</f>
        <v>577</v>
      </c>
      <c r="G237" s="143">
        <f ca="1">IF($M237=0,"",INDEX(Data!$K$2051:$K$2550,$M237))</f>
        <v>0.12118412732571376</v>
      </c>
      <c r="H237" s="141">
        <f ca="1">IF($M237=0,"",INDEX(Data!$L$2051:$L$2550,$M237))</f>
        <v>5</v>
      </c>
      <c r="I237" s="144">
        <f ca="1">IF($M237=0,"",INDEX(Data!$T$2051:$T$2550,$M237))</f>
        <v>34</v>
      </c>
      <c r="J237" s="141" t="str">
        <f ca="1">IF($M237=0,"",INDEX(Data!$U$2051:$U$2550,$M237))</f>
        <v>Listed</v>
      </c>
      <c r="K237" s="141" t="str">
        <f ca="1">IF($M237=0,"",INDEX(Data!$AA$2051:$AA$2550,$M237))</f>
        <v>83% economic need; 0.12 mi fresh access; 5 nearby resources</v>
      </c>
      <c r="L237" s="141" t="str">
        <f ca="1">IF($M237=0,"",IF(INDEX(Data!$AN$2051:$AN$2550,$M237)=0,"",IF(INDEX(Data!$U$41:$U$540,INDEX(Data!$AN$2051:$AN$2550,$M237))="","",INDEX(Data!$U$41:$U$540,INDEX(Data!$AN$2051:$AN$2550,$M237)))))</f>
        <v>215-400-3750</v>
      </c>
      <c r="M237" s="132">
        <f ca="1">IF(COUNTIFS(Data!$AV$2051:$AV$2550,225)=1,MATCH(225,Data!$AV$2051:$AV$2550,0),0)</f>
        <v>264</v>
      </c>
      <c r="N237" s="145" t="str">
        <f ca="1">IF($M237=0,"",IF(INDEX(Data!$I$2051:$I$2550,$M237)=0,"Add ID","Row "&amp;(INDEX(Data!$I$2051:$I$2550,$M237)+7)))</f>
        <v>Row 302</v>
      </c>
    </row>
    <row r="238" spans="1:14" ht="40" customHeight="1">
      <c r="A238" s="136">
        <f ca="1">IF($M238=0,"",INDEX(Data!$W$2051:$W$2550,$M238))</f>
        <v>226</v>
      </c>
      <c r="B238" s="139" t="str">
        <f ca="1">IF($M238=0,"",INDEX(Data!$B$2051:$B$2550,$M238))</f>
        <v>Olney Elementary School</v>
      </c>
      <c r="C238" s="146" t="str">
        <f ca="1">IF($M238=0,"",INDEX(Data!$C$2051:$C$2550,$M238))</f>
        <v>District</v>
      </c>
      <c r="D238" s="146" t="str">
        <f ca="1">IF($M238=0,"",INDEX(Data!$D$2051:$D$2550,$M238))</f>
        <v>Elementary-Middle</v>
      </c>
      <c r="E238" s="147">
        <f ca="1">IF($M238=0,"",INDEX(Data!$G$2051:$G$2550,$M238))</f>
        <v>0.82469999999999999</v>
      </c>
      <c r="F238" s="146">
        <f ca="1">IF($M238=0,"",INDEX(Data!$F$2051:$F$2550,$M238))</f>
        <v>666</v>
      </c>
      <c r="G238" s="148">
        <f ca="1">IF($M238=0,"",INDEX(Data!$K$2051:$K$2550,$M238))</f>
        <v>0.16456988188391411</v>
      </c>
      <c r="H238" s="146">
        <f ca="1">IF($M238=0,"",INDEX(Data!$L$2051:$L$2550,$M238))</f>
        <v>8</v>
      </c>
      <c r="I238" s="149">
        <f ca="1">IF($M238=0,"",INDEX(Data!$T$2051:$T$2550,$M238))</f>
        <v>34</v>
      </c>
      <c r="J238" s="146" t="str">
        <f ca="1">IF($M238=0,"",INDEX(Data!$U$2051:$U$2550,$M238))</f>
        <v>Listed</v>
      </c>
      <c r="K238" s="146" t="str">
        <f ca="1">IF($M238=0,"",INDEX(Data!$AA$2051:$AA$2550,$M238))</f>
        <v>82% economic need; 0.16 mi fresh access; 8 nearby resources</v>
      </c>
      <c r="L238" s="146" t="str">
        <f ca="1">IF($M238=0,"",IF(INDEX(Data!$AN$2051:$AN$2550,$M238)=0,"",IF(INDEX(Data!$U$41:$U$540,INDEX(Data!$AN$2051:$AN$2550,$M238))="","",INDEX(Data!$U$41:$U$540,INDEX(Data!$AN$2051:$AN$2550,$M238)))))</f>
        <v>215-400-3790</v>
      </c>
      <c r="M238" s="132">
        <f ca="1">IF(COUNTIFS(Data!$AV$2051:$AV$2550,226)=1,MATCH(226,Data!$AV$2051:$AV$2550,0),0)</f>
        <v>276</v>
      </c>
      <c r="N238" s="150" t="str">
        <f ca="1">IF($M238=0,"",IF(INDEX(Data!$I$2051:$I$2550,$M238)=0,"Add ID","Row "&amp;(INDEX(Data!$I$2051:$I$2550,$M238)+7)))</f>
        <v>Row 217</v>
      </c>
    </row>
    <row r="239" spans="1:14" ht="40" customHeight="1">
      <c r="A239" s="135">
        <f ca="1">IF($M239=0,"",INDEX(Data!$W$2051:$W$2550,$M239))</f>
        <v>227</v>
      </c>
      <c r="B239" s="138" t="str">
        <f ca="1">IF($M239=0,"",INDEX(Data!$B$2051:$B$2550,$M239))</f>
        <v>Universal Charter School at Creighton</v>
      </c>
      <c r="C239" s="141" t="str">
        <f ca="1">IF($M239=0,"",INDEX(Data!$C$2051:$C$2550,$M239))</f>
        <v>Charter</v>
      </c>
      <c r="D239" s="141" t="str">
        <f ca="1">IF($M239=0,"",INDEX(Data!$D$2051:$D$2550,$M239))</f>
        <v>Elementary-Middle</v>
      </c>
      <c r="E239" s="142">
        <f ca="1">IF($M239=0,"",INDEX(Data!$G$2051:$G$2550,$M239))</f>
        <v>0.81569999999999998</v>
      </c>
      <c r="F239" s="141">
        <f ca="1">IF($M239=0,"",INDEX(Data!$F$2051:$F$2550,$M239))</f>
        <v>652</v>
      </c>
      <c r="G239" s="143">
        <f ca="1">IF($M239=0,"",INDEX(Data!$K$2051:$K$2550,$M239))</f>
        <v>0.14388906543772775</v>
      </c>
      <c r="H239" s="141">
        <f ca="1">IF($M239=0,"",INDEX(Data!$L$2051:$L$2550,$M239))</f>
        <v>6</v>
      </c>
      <c r="I239" s="144">
        <f ca="1">IF($M239=0,"",INDEX(Data!$T$2051:$T$2550,$M239))</f>
        <v>34</v>
      </c>
      <c r="J239" s="141" t="str">
        <f ca="1">IF($M239=0,"",INDEX(Data!$U$2051:$U$2550,$M239))</f>
        <v>Listed</v>
      </c>
      <c r="K239" s="141" t="str">
        <f ca="1">IF($M239=0,"",INDEX(Data!$AA$2051:$AA$2550,$M239))</f>
        <v>82% economic need; 0.14 mi fresh access; 6 nearby resources</v>
      </c>
      <c r="L239" s="141" t="str">
        <f ca="1">IF($M239=0,"",IF(INDEX(Data!$AN$2051:$AN$2550,$M239)=0,"",IF(INDEX(Data!$U$41:$U$540,INDEX(Data!$AN$2051:$AN$2550,$M239))="","",INDEX(Data!$U$41:$U$540,INDEX(Data!$AN$2051:$AN$2550,$M239)))))</f>
        <v/>
      </c>
      <c r="M239" s="132">
        <f ca="1">IF(COUNTIFS(Data!$AV$2051:$AV$2550,227)=1,MATCH(227,Data!$AV$2051:$AV$2550,0),0)</f>
        <v>136</v>
      </c>
      <c r="N239" s="145" t="str">
        <f ca="1">IF($M239=0,"",IF(INDEX(Data!$I$2051:$I$2550,$M239)=0,"Add ID","Row "&amp;(INDEX(Data!$I$2051:$I$2550,$M239)+7)))</f>
        <v>Row 308</v>
      </c>
    </row>
    <row r="240" spans="1:14" ht="40" customHeight="1">
      <c r="A240" s="136">
        <f ca="1">IF($M240=0,"",INDEX(Data!$W$2051:$W$2550,$M240))</f>
        <v>228</v>
      </c>
      <c r="B240" s="139" t="str">
        <f ca="1">IF($M240=0,"",INDEX(Data!$B$2051:$B$2550,$M240))</f>
        <v>Universal Institute Charter School</v>
      </c>
      <c r="C240" s="146" t="str">
        <f ca="1">IF($M240=0,"",INDEX(Data!$C$2051:$C$2550,$M240))</f>
        <v>Charter</v>
      </c>
      <c r="D240" s="146" t="str">
        <f ca="1">IF($M240=0,"",INDEX(Data!$D$2051:$D$2550,$M240))</f>
        <v>Elementary-Middle</v>
      </c>
      <c r="E240" s="147">
        <f ca="1">IF($M240=0,"",INDEX(Data!$G$2051:$G$2550,$M240))</f>
        <v>0.80489999999999995</v>
      </c>
      <c r="F240" s="146">
        <f ca="1">IF($M240=0,"",INDEX(Data!$F$2051:$F$2550,$M240))</f>
        <v>565</v>
      </c>
      <c r="G240" s="148">
        <f ca="1">IF($M240=0,"",INDEX(Data!$K$2051:$K$2550,$M240))</f>
        <v>0.16551476084089259</v>
      </c>
      <c r="H240" s="146">
        <f ca="1">IF($M240=0,"",INDEX(Data!$L$2051:$L$2550,$M240))</f>
        <v>13</v>
      </c>
      <c r="I240" s="149">
        <f ca="1">IF($M240=0,"",INDEX(Data!$T$2051:$T$2550,$M240))</f>
        <v>34</v>
      </c>
      <c r="J240" s="146" t="str">
        <f ca="1">IF($M240=0,"",INDEX(Data!$U$2051:$U$2550,$M240))</f>
        <v>Listed</v>
      </c>
      <c r="K240" s="146" t="str">
        <f ca="1">IF($M240=0,"",INDEX(Data!$AA$2051:$AA$2550,$M240))</f>
        <v>80% economic need; 0.17 mi fresh access; 13 nearby resources</v>
      </c>
      <c r="L240" s="146" t="str">
        <f ca="1">IF($M240=0,"",IF(INDEX(Data!$AN$2051:$AN$2550,$M240)=0,"",IF(INDEX(Data!$U$41:$U$540,INDEX(Data!$AN$2051:$AN$2550,$M240))="","",INDEX(Data!$U$41:$U$540,INDEX(Data!$AN$2051:$AN$2550,$M240)))))</f>
        <v>215-732-2876</v>
      </c>
      <c r="M240" s="132">
        <f ca="1">IF(COUNTIFS(Data!$AV$2051:$AV$2550,228)=1,MATCH(228,Data!$AV$2051:$AV$2550,0),0)</f>
        <v>88</v>
      </c>
      <c r="N240" s="150" t="str">
        <f ca="1">IF($M240=0,"",IF(INDEX(Data!$I$2051:$I$2550,$M240)=0,"Add ID","Row "&amp;(INDEX(Data!$I$2051:$I$2550,$M240)+7)))</f>
        <v>Row 309</v>
      </c>
    </row>
    <row r="241" spans="1:14" ht="40" customHeight="1">
      <c r="A241" s="135">
        <f ca="1">IF($M241=0,"",INDEX(Data!$W$2051:$W$2550,$M241))</f>
        <v>229</v>
      </c>
      <c r="B241" s="138" t="str">
        <f ca="1">IF($M241=0,"",INDEX(Data!$B$2051:$B$2550,$M241))</f>
        <v>D. Newlin Fell School</v>
      </c>
      <c r="C241" s="141" t="str">
        <f ca="1">IF($M241=0,"",INDEX(Data!$C$2051:$C$2550,$M241))</f>
        <v>District</v>
      </c>
      <c r="D241" s="141" t="str">
        <f ca="1">IF($M241=0,"",INDEX(Data!$D$2051:$D$2550,$M241))</f>
        <v>Elementary-Middle</v>
      </c>
      <c r="E241" s="142">
        <f ca="1">IF($M241=0,"",INDEX(Data!$G$2051:$G$2550,$M241))</f>
        <v>0.75519999999999998</v>
      </c>
      <c r="F241" s="141">
        <f ca="1">IF($M241=0,"",INDEX(Data!$F$2051:$F$2550,$M241))</f>
        <v>519</v>
      </c>
      <c r="G241" s="143">
        <f ca="1">IF($M241=0,"",INDEX(Data!$K$2051:$K$2550,$M241))</f>
        <v>0.42834861587610301</v>
      </c>
      <c r="H241" s="141">
        <f ca="1">IF($M241=0,"",INDEX(Data!$L$2051:$L$2550,$M241))</f>
        <v>5</v>
      </c>
      <c r="I241" s="144">
        <f ca="1">IF($M241=0,"",INDEX(Data!$T$2051:$T$2550,$M241))</f>
        <v>34</v>
      </c>
      <c r="J241" s="141" t="str">
        <f ca="1">IF($M241=0,"",INDEX(Data!$U$2051:$U$2550,$M241))</f>
        <v>Listed</v>
      </c>
      <c r="K241" s="141" t="str">
        <f ca="1">IF($M241=0,"",INDEX(Data!$AA$2051:$AA$2550,$M241))</f>
        <v>76% economic need; 0.43 mi fresh access; 5 nearby resources</v>
      </c>
      <c r="L241" s="141" t="str">
        <f ca="1">IF($M241=0,"",IF(INDEX(Data!$AN$2051:$AN$2550,$M241)=0,"",IF(INDEX(Data!$U$41:$U$540,INDEX(Data!$AN$2051:$AN$2550,$M241))="","",INDEX(Data!$U$41:$U$540,INDEX(Data!$AN$2051:$AN$2550,$M241)))))</f>
        <v>215-400-8260</v>
      </c>
      <c r="M241" s="132">
        <f ca="1">IF(COUNTIFS(Data!$AV$2051:$AV$2550,229)=1,MATCH(229,Data!$AV$2051:$AV$2550,0),0)</f>
        <v>35</v>
      </c>
      <c r="N241" s="145" t="str">
        <f ca="1">IF($M241=0,"",IF(INDEX(Data!$I$2051:$I$2550,$M241)=0,"Add ID","Row "&amp;(INDEX(Data!$I$2051:$I$2550,$M241)+7)))</f>
        <v>Row 56</v>
      </c>
    </row>
    <row r="242" spans="1:14" ht="40" customHeight="1">
      <c r="A242" s="136">
        <f ca="1">IF($M242=0,"",INDEX(Data!$W$2051:$W$2550,$M242))</f>
        <v>230</v>
      </c>
      <c r="B242" s="139" t="str">
        <f ca="1">IF($M242=0,"",INDEX(Data!$B$2051:$B$2550,$M242))</f>
        <v>Keystone Academy Charter School</v>
      </c>
      <c r="C242" s="146" t="str">
        <f ca="1">IF($M242=0,"",INDEX(Data!$C$2051:$C$2550,$M242))</f>
        <v>Charter</v>
      </c>
      <c r="D242" s="146" t="str">
        <f ca="1">IF($M242=0,"",INDEX(Data!$D$2051:$D$2550,$M242))</f>
        <v>Elementary-Middle</v>
      </c>
      <c r="E242" s="147">
        <f ca="1">IF($M242=0,"",INDEX(Data!$G$2051:$G$2550,$M242))</f>
        <v>0.72299999999999998</v>
      </c>
      <c r="F242" s="146">
        <f ca="1">IF($M242=0,"",INDEX(Data!$F$2051:$F$2550,$M242))</f>
        <v>649</v>
      </c>
      <c r="G242" s="148">
        <f ca="1">IF($M242=0,"",INDEX(Data!$K$2051:$K$2550,$M242))</f>
        <v>0.46155674922950946</v>
      </c>
      <c r="H242" s="146">
        <f ca="1">IF($M242=0,"",INDEX(Data!$L$2051:$L$2550,$M242))</f>
        <v>6</v>
      </c>
      <c r="I242" s="149">
        <f ca="1">IF($M242=0,"",INDEX(Data!$T$2051:$T$2550,$M242))</f>
        <v>34</v>
      </c>
      <c r="J242" s="146" t="str">
        <f ca="1">IF($M242=0,"",INDEX(Data!$U$2051:$U$2550,$M242))</f>
        <v>Listed</v>
      </c>
      <c r="K242" s="146" t="str">
        <f ca="1">IF($M242=0,"",INDEX(Data!$AA$2051:$AA$2550,$M242))</f>
        <v>72% economic need; 0.46 mi fresh access; 6 nearby resources</v>
      </c>
      <c r="L242" s="146" t="str">
        <f ca="1">IF($M242=0,"",IF(INDEX(Data!$AN$2051:$AN$2550,$M242)=0,"",IF(INDEX(Data!$U$41:$U$540,INDEX(Data!$AN$2051:$AN$2550,$M242))="","",INDEX(Data!$U$41:$U$540,INDEX(Data!$AN$2051:$AN$2550,$M242)))))</f>
        <v>215-332-2111</v>
      </c>
      <c r="M242" s="132">
        <f ca="1">IF(COUNTIFS(Data!$AV$2051:$AV$2550,230)=1,MATCH(230,Data!$AV$2051:$AV$2550,0),0)</f>
        <v>119</v>
      </c>
      <c r="N242" s="150" t="str">
        <f ca="1">IF($M242=0,"",IF(INDEX(Data!$I$2051:$I$2550,$M242)=0,"Add ID","Row "&amp;(INDEX(Data!$I$2051:$I$2550,$M242)+7)))</f>
        <v>Row 167</v>
      </c>
    </row>
    <row r="243" spans="1:14" ht="40" customHeight="1">
      <c r="A243" s="135">
        <f ca="1">IF($M243=0,"",INDEX(Data!$W$2051:$W$2550,$M243))</f>
        <v>231</v>
      </c>
      <c r="B243" s="138" t="str">
        <f ca="1">IF($M243=0,"",INDEX(Data!$B$2051:$B$2550,$M243))</f>
        <v>Philadelphia High School for Girls</v>
      </c>
      <c r="C243" s="141" t="str">
        <f ca="1">IF($M243=0,"",INDEX(Data!$C$2051:$C$2550,$M243))</f>
        <v>District</v>
      </c>
      <c r="D243" s="141" t="str">
        <f ca="1">IF($M243=0,"",INDEX(Data!$D$2051:$D$2550,$M243))</f>
        <v>High</v>
      </c>
      <c r="E243" s="142">
        <f ca="1">IF($M243=0,"",INDEX(Data!$G$2051:$G$2550,$M243))</f>
        <v>0.68710000000000004</v>
      </c>
      <c r="F243" s="141">
        <f ca="1">IF($M243=0,"",INDEX(Data!$F$2051:$F$2550,$M243))</f>
        <v>592</v>
      </c>
      <c r="G243" s="143">
        <f ca="1">IF($M243=0,"",INDEX(Data!$K$2051:$K$2550,$M243))</f>
        <v>0.6142739073848581</v>
      </c>
      <c r="H243" s="141">
        <f ca="1">IF($M243=0,"",INDEX(Data!$L$2051:$L$2550,$M243))</f>
        <v>9</v>
      </c>
      <c r="I243" s="144">
        <f ca="1">IF($M243=0,"",INDEX(Data!$T$2051:$T$2550,$M243))</f>
        <v>34</v>
      </c>
      <c r="J243" s="141" t="str">
        <f ca="1">IF($M243=0,"",INDEX(Data!$U$2051:$U$2550,$M243))</f>
        <v>Listed</v>
      </c>
      <c r="K243" s="141" t="str">
        <f ca="1">IF($M243=0,"",INDEX(Data!$AA$2051:$AA$2550,$M243))</f>
        <v>69% economic need; 0.61 mi fresh access; 9 nearby resources</v>
      </c>
      <c r="L243" s="141" t="str">
        <f ca="1">IF($M243=0,"",IF(INDEX(Data!$AN$2051:$AN$2550,$M243)=0,"",IF(INDEX(Data!$U$41:$U$540,INDEX(Data!$AN$2051:$AN$2550,$M243))="","",INDEX(Data!$U$41:$U$540,INDEX(Data!$AN$2051:$AN$2550,$M243)))))</f>
        <v>215-400-3700</v>
      </c>
      <c r="M243" s="132">
        <f ca="1">IF(COUNTIFS(Data!$AV$2051:$AV$2550,231)=1,MATCH(231,Data!$AV$2051:$AV$2550,0),0)</f>
        <v>226</v>
      </c>
      <c r="N243" s="145" t="str">
        <f ca="1">IF($M243=0,"",IF(INDEX(Data!$I$2051:$I$2550,$M243)=0,"Add ID","Row "&amp;(INDEX(Data!$I$2051:$I$2550,$M243)+7)))</f>
        <v>Row 242</v>
      </c>
    </row>
    <row r="244" spans="1:14" ht="40" customHeight="1">
      <c r="A244" s="136">
        <f ca="1">IF($M244=0,"",INDEX(Data!$W$2051:$W$2550,$M244))</f>
        <v>232</v>
      </c>
      <c r="B244" s="139" t="str">
        <f ca="1">IF($M244=0,"",INDEX(Data!$B$2051:$B$2550,$M244))</f>
        <v>Charles W. Henry School</v>
      </c>
      <c r="C244" s="146" t="str">
        <f ca="1">IF($M244=0,"",INDEX(Data!$C$2051:$C$2550,$M244))</f>
        <v>District</v>
      </c>
      <c r="D244" s="146" t="str">
        <f ca="1">IF($M244=0,"",INDEX(Data!$D$2051:$D$2550,$M244))</f>
        <v>Elementary-Middle</v>
      </c>
      <c r="E244" s="147">
        <f ca="1">IF($M244=0,"",INDEX(Data!$G$2051:$G$2550,$M244))</f>
        <v>0.41270000000000001</v>
      </c>
      <c r="F244" s="146">
        <f ca="1">IF($M244=0,"",INDEX(Data!$F$2051:$F$2550,$M244))</f>
        <v>550</v>
      </c>
      <c r="G244" s="148">
        <f ca="1">IF($M244=0,"",INDEX(Data!$K$2051:$K$2550,$M244))</f>
        <v>0.6497032188856483</v>
      </c>
      <c r="H244" s="146">
        <f ca="1">IF($M244=0,"",INDEX(Data!$L$2051:$L$2550,$M244))</f>
        <v>3</v>
      </c>
      <c r="I244" s="149">
        <f ca="1">IF($M244=0,"",INDEX(Data!$T$2051:$T$2550,$M244))</f>
        <v>34</v>
      </c>
      <c r="J244" s="146" t="str">
        <f ca="1">IF($M244=0,"",INDEX(Data!$U$2051:$U$2550,$M244))</f>
        <v>Listed</v>
      </c>
      <c r="K244" s="146" t="str">
        <f ca="1">IF($M244=0,"",INDEX(Data!$AA$2051:$AA$2550,$M244))</f>
        <v>41% economic need; 0.65 mi fresh access; 3 nearby resources</v>
      </c>
      <c r="L244" s="146" t="str">
        <f ca="1">IF($M244=0,"",IF(INDEX(Data!$AN$2051:$AN$2550,$M244)=0,"",IF(INDEX(Data!$U$41:$U$540,INDEX(Data!$AN$2051:$AN$2550,$M244))="","",INDEX(Data!$U$41:$U$540,INDEX(Data!$AN$2051:$AN$2550,$M244)))))</f>
        <v>215-400-3480</v>
      </c>
      <c r="M244" s="132">
        <f ca="1">IF(COUNTIFS(Data!$AV$2051:$AV$2550,232)=1,MATCH(232,Data!$AV$2051:$AV$2550,0),0)</f>
        <v>233</v>
      </c>
      <c r="N244" s="150" t="str">
        <f ca="1">IF($M244=0,"",IF(INDEX(Data!$I$2051:$I$2550,$M244)=0,"Add ID","Row "&amp;(INDEX(Data!$I$2051:$I$2550,$M244)+7)))</f>
        <v>Row 48</v>
      </c>
    </row>
    <row r="245" spans="1:14" ht="40" customHeight="1">
      <c r="A245" s="135">
        <f ca="1">IF($M245=0,"",INDEX(Data!$W$2051:$W$2550,$M245))</f>
        <v>233</v>
      </c>
      <c r="B245" s="138" t="str">
        <f ca="1">IF($M245=0,"",INDEX(Data!$B$2051:$B$2550,$M245))</f>
        <v>Alexander K. McClure School</v>
      </c>
      <c r="C245" s="141" t="str">
        <f ca="1">IF($M245=0,"",INDEX(Data!$C$2051:$C$2550,$M245))</f>
        <v>District</v>
      </c>
      <c r="D245" s="141" t="str">
        <f ca="1">IF($M245=0,"",INDEX(Data!$D$2051:$D$2550,$M245))</f>
        <v>Elementary</v>
      </c>
      <c r="E245" s="142">
        <f ca="1">IF($M245=0,"",INDEX(Data!$G$2051:$G$2550,$M245))</f>
        <v>0.8821</v>
      </c>
      <c r="F245" s="141">
        <f ca="1">IF($M245=0,"",INDEX(Data!$F$2051:$F$2550,$M245))</f>
        <v>353</v>
      </c>
      <c r="G245" s="143">
        <f ca="1">IF($M245=0,"",INDEX(Data!$K$2051:$K$2550,$M245))</f>
        <v>0.1960096497110867</v>
      </c>
      <c r="H245" s="141">
        <f ca="1">IF($M245=0,"",INDEX(Data!$L$2051:$L$2550,$M245))</f>
        <v>12</v>
      </c>
      <c r="I245" s="144">
        <f ca="1">IF($M245=0,"",INDEX(Data!$T$2051:$T$2550,$M245))</f>
        <v>33</v>
      </c>
      <c r="J245" s="141" t="str">
        <f ca="1">IF($M245=0,"",INDEX(Data!$U$2051:$U$2550,$M245))</f>
        <v>Listed</v>
      </c>
      <c r="K245" s="141" t="str">
        <f ca="1">IF($M245=0,"",INDEX(Data!$AA$2051:$AA$2550,$M245))</f>
        <v>88% economic need; 0.20 mi fresh access; 12 nearby resources</v>
      </c>
      <c r="L245" s="141" t="str">
        <f ca="1">IF($M245=0,"",IF(INDEX(Data!$AN$2051:$AN$2550,$M245)=0,"",IF(INDEX(Data!$U$41:$U$540,INDEX(Data!$AN$2051:$AN$2550,$M245))="","",INDEX(Data!$U$41:$U$540,INDEX(Data!$AN$2051:$AN$2550,$M245)))))</f>
        <v>215-400-3870</v>
      </c>
      <c r="M245" s="132">
        <f ca="1">IF(COUNTIFS(Data!$AV$2051:$AV$2550,233)=1,MATCH(233,Data!$AV$2051:$AV$2550,0),0)</f>
        <v>274</v>
      </c>
      <c r="N245" s="145" t="str">
        <f ca="1">IF($M245=0,"",IF(INDEX(Data!$I$2051:$I$2550,$M245)=0,"Add ID","Row "&amp;(INDEX(Data!$I$2051:$I$2550,$M245)+7)))</f>
        <v>Row 20</v>
      </c>
    </row>
    <row r="246" spans="1:14" ht="40" customHeight="1">
      <c r="A246" s="136">
        <f ca="1">IF($M246=0,"",INDEX(Data!$W$2051:$W$2550,$M246))</f>
        <v>234</v>
      </c>
      <c r="B246" s="139" t="str">
        <f ca="1">IF($M246=0,"",INDEX(Data!$B$2051:$B$2550,$M246))</f>
        <v>James J. Sullivan School</v>
      </c>
      <c r="C246" s="146" t="str">
        <f ca="1">IF($M246=0,"",INDEX(Data!$C$2051:$C$2550,$M246))</f>
        <v>District</v>
      </c>
      <c r="D246" s="146" t="str">
        <f ca="1">IF($M246=0,"",INDEX(Data!$D$2051:$D$2550,$M246))</f>
        <v>Elementary</v>
      </c>
      <c r="E246" s="147">
        <f ca="1">IF($M246=0,"",INDEX(Data!$G$2051:$G$2550,$M246))</f>
        <v>0.86399999999999999</v>
      </c>
      <c r="F246" s="146">
        <f ca="1">IF($M246=0,"",INDEX(Data!$F$2051:$F$2550,$M246))</f>
        <v>378</v>
      </c>
      <c r="G246" s="148">
        <f ca="1">IF($M246=0,"",INDEX(Data!$K$2051:$K$2550,$M246))</f>
        <v>0.24666584149936449</v>
      </c>
      <c r="H246" s="146">
        <f ca="1">IF($M246=0,"",INDEX(Data!$L$2051:$L$2550,$M246))</f>
        <v>8</v>
      </c>
      <c r="I246" s="149">
        <f ca="1">IF($M246=0,"",INDEX(Data!$T$2051:$T$2550,$M246))</f>
        <v>33</v>
      </c>
      <c r="J246" s="146" t="str">
        <f ca="1">IF($M246=0,"",INDEX(Data!$U$2051:$U$2550,$M246))</f>
        <v>Listed</v>
      </c>
      <c r="K246" s="146" t="str">
        <f ca="1">IF($M246=0,"",INDEX(Data!$AA$2051:$AA$2550,$M246))</f>
        <v>86% economic need; 0.25 mi fresh access; 8 nearby resources</v>
      </c>
      <c r="L246" s="146" t="str">
        <f ca="1">IF($M246=0,"",IF(INDEX(Data!$AN$2051:$AN$2550,$M246)=0,"",IF(INDEX(Data!$U$41:$U$540,INDEX(Data!$AN$2051:$AN$2550,$M246))="","",INDEX(Data!$U$41:$U$540,INDEX(Data!$AN$2051:$AN$2550,$M246)))))</f>
        <v>215-400-3960</v>
      </c>
      <c r="M246" s="132">
        <f ca="1">IF(COUNTIFS(Data!$AV$2051:$AV$2550,234)=1,MATCH(234,Data!$AV$2051:$AV$2550,0),0)</f>
        <v>277</v>
      </c>
      <c r="N246" s="150" t="str">
        <f ca="1">IF($M246=0,"",IF(INDEX(Data!$I$2051:$I$2550,$M246)=0,"Add ID","Row "&amp;(INDEX(Data!$I$2051:$I$2550,$M246)+7)))</f>
        <v>Row 134</v>
      </c>
    </row>
    <row r="247" spans="1:14" ht="40" customHeight="1">
      <c r="A247" s="135">
        <f ca="1">IF($M247=0,"",INDEX(Data!$W$2051:$W$2550,$M247))</f>
        <v>235</v>
      </c>
      <c r="B247" s="138" t="str">
        <f ca="1">IF($M247=0,"",INDEX(Data!$B$2051:$B$2550,$M247))</f>
        <v>Feltonville Intermediate School</v>
      </c>
      <c r="C247" s="141" t="str">
        <f ca="1">IF($M247=0,"",INDEX(Data!$C$2051:$C$2550,$M247))</f>
        <v>District</v>
      </c>
      <c r="D247" s="141" t="str">
        <f ca="1">IF($M247=0,"",INDEX(Data!$D$2051:$D$2550,$M247))</f>
        <v>Elementary</v>
      </c>
      <c r="E247" s="142">
        <f ca="1">IF($M247=0,"",INDEX(Data!$G$2051:$G$2550,$M247))</f>
        <v>0.85</v>
      </c>
      <c r="F247" s="141">
        <f ca="1">IF($M247=0,"",INDEX(Data!$F$2051:$F$2550,$M247))</f>
        <v>483</v>
      </c>
      <c r="G247" s="143">
        <f ca="1">IF($M247=0,"",INDEX(Data!$K$2051:$K$2550,$M247))</f>
        <v>0.1704569315956346</v>
      </c>
      <c r="H247" s="141">
        <f ca="1">IF($M247=0,"",INDEX(Data!$L$2051:$L$2550,$M247))</f>
        <v>7</v>
      </c>
      <c r="I247" s="144">
        <f ca="1">IF($M247=0,"",INDEX(Data!$T$2051:$T$2550,$M247))</f>
        <v>33</v>
      </c>
      <c r="J247" s="141" t="str">
        <f ca="1">IF($M247=0,"",INDEX(Data!$U$2051:$U$2550,$M247))</f>
        <v>Listed</v>
      </c>
      <c r="K247" s="141" t="str">
        <f ca="1">IF($M247=0,"",INDEX(Data!$AA$2051:$AA$2550,$M247))</f>
        <v>85% economic need; 0.17 mi fresh access; 7 nearby resources</v>
      </c>
      <c r="L247" s="141" t="str">
        <f ca="1">IF($M247=0,"",IF(INDEX(Data!$AN$2051:$AN$2550,$M247)=0,"",IF(INDEX(Data!$U$41:$U$540,INDEX(Data!$AN$2051:$AN$2550,$M247))="","",INDEX(Data!$U$41:$U$540,INDEX(Data!$AN$2051:$AN$2550,$M247)))))</f>
        <v>215-400-3730</v>
      </c>
      <c r="M247" s="132">
        <f ca="1">IF(COUNTIFS(Data!$AV$2051:$AV$2550,235)=1,MATCH(235,Data!$AV$2051:$AV$2550,0),0)</f>
        <v>268</v>
      </c>
      <c r="N247" s="145" t="str">
        <f ca="1">IF($M247=0,"",IF(INDEX(Data!$I$2051:$I$2550,$M247)=0,"Add ID","Row "&amp;(INDEX(Data!$I$2051:$I$2550,$M247)+7)))</f>
        <v>Row 80</v>
      </c>
    </row>
    <row r="248" spans="1:14" ht="40" customHeight="1">
      <c r="A248" s="136">
        <f ca="1">IF($M248=0,"",INDEX(Data!$W$2051:$W$2550,$M248))</f>
        <v>236</v>
      </c>
      <c r="B248" s="139" t="str">
        <f ca="1">IF($M248=0,"",INDEX(Data!$B$2051:$B$2550,$M248))</f>
        <v>Andrew J. Morrison School</v>
      </c>
      <c r="C248" s="146" t="str">
        <f ca="1">IF($M248=0,"",INDEX(Data!$C$2051:$C$2550,$M248))</f>
        <v>District</v>
      </c>
      <c r="D248" s="146" t="str">
        <f ca="1">IF($M248=0,"",INDEX(Data!$D$2051:$D$2550,$M248))</f>
        <v>Elementary-Middle</v>
      </c>
      <c r="E248" s="147">
        <f ca="1">IF($M248=0,"",INDEX(Data!$G$2051:$G$2550,$M248))</f>
        <v>0.8357</v>
      </c>
      <c r="F248" s="146">
        <f ca="1">IF($M248=0,"",INDEX(Data!$F$2051:$F$2550,$M248))</f>
        <v>484</v>
      </c>
      <c r="G248" s="148">
        <f ca="1">IF($M248=0,"",INDEX(Data!$K$2051:$K$2550,$M248))</f>
        <v>0.19318629483885716</v>
      </c>
      <c r="H248" s="146">
        <f ca="1">IF($M248=0,"",INDEX(Data!$L$2051:$L$2550,$M248))</f>
        <v>9</v>
      </c>
      <c r="I248" s="149">
        <f ca="1">IF($M248=0,"",INDEX(Data!$T$2051:$T$2550,$M248))</f>
        <v>33</v>
      </c>
      <c r="J248" s="146" t="str">
        <f ca="1">IF($M248=0,"",INDEX(Data!$U$2051:$U$2550,$M248))</f>
        <v>Listed</v>
      </c>
      <c r="K248" s="146" t="str">
        <f ca="1">IF($M248=0,"",INDEX(Data!$AA$2051:$AA$2550,$M248))</f>
        <v>84% economic need; 0.19 mi fresh access; 9 nearby resources</v>
      </c>
      <c r="L248" s="146" t="str">
        <f ca="1">IF($M248=0,"",IF(INDEX(Data!$AN$2051:$AN$2550,$M248)=0,"",IF(INDEX(Data!$U$41:$U$540,INDEX(Data!$AN$2051:$AN$2550,$M248))="","",INDEX(Data!$U$41:$U$540,INDEX(Data!$AN$2051:$AN$2550,$M248)))))</f>
        <v>215-400-3780</v>
      </c>
      <c r="M248" s="132">
        <f ca="1">IF(COUNTIFS(Data!$AV$2051:$AV$2550,236)=1,MATCH(236,Data!$AV$2051:$AV$2550,0),0)</f>
        <v>275</v>
      </c>
      <c r="N248" s="150" t="str">
        <f ca="1">IF($M248=0,"",IF(INDEX(Data!$I$2051:$I$2550,$M248)=0,"Add ID","Row "&amp;(INDEX(Data!$I$2051:$I$2550,$M248)+7)))</f>
        <v>Row 26</v>
      </c>
    </row>
    <row r="249" spans="1:14" ht="40" customHeight="1">
      <c r="A249" s="135">
        <f ca="1">IF($M249=0,"",INDEX(Data!$W$2051:$W$2550,$M249))</f>
        <v>237</v>
      </c>
      <c r="B249" s="138" t="str">
        <f ca="1">IF($M249=0,"",INDEX(Data!$B$2051:$B$2550,$M249))</f>
        <v>Clara Barton School</v>
      </c>
      <c r="C249" s="141" t="str">
        <f ca="1">IF($M249=0,"",INDEX(Data!$C$2051:$C$2550,$M249))</f>
        <v>District</v>
      </c>
      <c r="D249" s="141" t="str">
        <f ca="1">IF($M249=0,"",INDEX(Data!$D$2051:$D$2550,$M249))</f>
        <v>Elementary</v>
      </c>
      <c r="E249" s="142">
        <f ca="1">IF($M249=0,"",INDEX(Data!$G$2051:$G$2550,$M249))</f>
        <v>0.82969999999999999</v>
      </c>
      <c r="F249" s="141">
        <f ca="1">IF($M249=0,"",INDEX(Data!$F$2051:$F$2550,$M249))</f>
        <v>423</v>
      </c>
      <c r="G249" s="143">
        <f ca="1">IF($M249=0,"",INDEX(Data!$K$2051:$K$2550,$M249))</f>
        <v>0.14073385908456693</v>
      </c>
      <c r="H249" s="141">
        <f ca="1">IF($M249=0,"",INDEX(Data!$L$2051:$L$2550,$M249))</f>
        <v>7</v>
      </c>
      <c r="I249" s="144">
        <f ca="1">IF($M249=0,"",INDEX(Data!$T$2051:$T$2550,$M249))</f>
        <v>33</v>
      </c>
      <c r="J249" s="141" t="str">
        <f ca="1">IF($M249=0,"",INDEX(Data!$U$2051:$U$2550,$M249))</f>
        <v>Listed</v>
      </c>
      <c r="K249" s="141" t="str">
        <f ca="1">IF($M249=0,"",INDEX(Data!$AA$2051:$AA$2550,$M249))</f>
        <v>83% economic need; 0.14 mi fresh access; 7 nearby resources</v>
      </c>
      <c r="L249" s="141" t="str">
        <f ca="1">IF($M249=0,"",IF(INDEX(Data!$AN$2051:$AN$2550,$M249)=0,"",IF(INDEX(Data!$U$41:$U$540,INDEX(Data!$AN$2051:$AN$2550,$M249))="","",INDEX(Data!$U$41:$U$540,INDEX(Data!$AN$2051:$AN$2550,$M249)))))</f>
        <v>215-400-3720</v>
      </c>
      <c r="M249" s="132">
        <f ca="1">IF(COUNTIFS(Data!$AV$2051:$AV$2550,237)=1,MATCH(237,Data!$AV$2051:$AV$2550,0),0)</f>
        <v>261</v>
      </c>
      <c r="N249" s="145" t="str">
        <f ca="1">IF($M249=0,"",IF(INDEX(Data!$I$2051:$I$2550,$M249)=0,"Add ID","Row "&amp;(INDEX(Data!$I$2051:$I$2550,$M249)+7)))</f>
        <v>Row 50</v>
      </c>
    </row>
    <row r="250" spans="1:14" ht="40" customHeight="1">
      <c r="A250" s="136">
        <f ca="1">IF($M250=0,"",INDEX(Data!$W$2051:$W$2550,$M250))</f>
        <v>238</v>
      </c>
      <c r="B250" s="139" t="str">
        <f ca="1">IF($M250=0,"",INDEX(Data!$B$2051:$B$2550,$M250))</f>
        <v>Joseph W. Catharine School</v>
      </c>
      <c r="C250" s="146" t="str">
        <f ca="1">IF($M250=0,"",INDEX(Data!$C$2051:$C$2550,$M250))</f>
        <v>District</v>
      </c>
      <c r="D250" s="146" t="str">
        <f ca="1">IF($M250=0,"",INDEX(Data!$D$2051:$D$2550,$M250))</f>
        <v>Elementary</v>
      </c>
      <c r="E250" s="147">
        <f ca="1">IF($M250=0,"",INDEX(Data!$G$2051:$G$2550,$M250))</f>
        <v>0.78200000000000003</v>
      </c>
      <c r="F250" s="146">
        <f ca="1">IF($M250=0,"",INDEX(Data!$F$2051:$F$2550,$M250))</f>
        <v>377</v>
      </c>
      <c r="G250" s="148">
        <f ca="1">IF($M250=0,"",INDEX(Data!$K$2051:$K$2550,$M250))</f>
        <v>0.33729059636229231</v>
      </c>
      <c r="H250" s="146">
        <f ca="1">IF($M250=0,"",INDEX(Data!$L$2051:$L$2550,$M250))</f>
        <v>5</v>
      </c>
      <c r="I250" s="149">
        <f ca="1">IF($M250=0,"",INDEX(Data!$T$2051:$T$2550,$M250))</f>
        <v>33</v>
      </c>
      <c r="J250" s="146" t="str">
        <f ca="1">IF($M250=0,"",INDEX(Data!$U$2051:$U$2550,$M250))</f>
        <v>Listed</v>
      </c>
      <c r="K250" s="146" t="str">
        <f ca="1">IF($M250=0,"",INDEX(Data!$AA$2051:$AA$2550,$M250))</f>
        <v>78% economic need; 0.34 mi fresh access; 5 nearby resources</v>
      </c>
      <c r="L250" s="146" t="str">
        <f ca="1">IF($M250=0,"",IF(INDEX(Data!$AN$2051:$AN$2550,$M250)=0,"",IF(INDEX(Data!$U$41:$U$540,INDEX(Data!$AN$2051:$AN$2550,$M250))="","",INDEX(Data!$U$41:$U$540,INDEX(Data!$AN$2051:$AN$2550,$M250)))))</f>
        <v>215-400-8150</v>
      </c>
      <c r="M250" s="132">
        <f ca="1">IF(COUNTIFS(Data!$AV$2051:$AV$2550,238)=1,MATCH(238,Data!$AV$2051:$AV$2550,0),0)</f>
        <v>10</v>
      </c>
      <c r="N250" s="150" t="str">
        <f ca="1">IF($M250=0,"",IF(INDEX(Data!$I$2051:$I$2550,$M250)=0,"Add ID","Row "&amp;(INDEX(Data!$I$2051:$I$2550,$M250)+7)))</f>
        <v>Row 156</v>
      </c>
    </row>
    <row r="251" spans="1:14" ht="40" customHeight="1">
      <c r="A251" s="135">
        <f ca="1">IF($M251=0,"",INDEX(Data!$W$2051:$W$2550,$M251))</f>
        <v>239</v>
      </c>
      <c r="B251" s="138" t="str">
        <f ca="1">IF($M251=0,"",INDEX(Data!$B$2051:$B$2550,$M251))</f>
        <v>Eliza B. Kirkbride School</v>
      </c>
      <c r="C251" s="141" t="str">
        <f ca="1">IF($M251=0,"",INDEX(Data!$C$2051:$C$2550,$M251))</f>
        <v>District</v>
      </c>
      <c r="D251" s="141" t="str">
        <f ca="1">IF($M251=0,"",INDEX(Data!$D$2051:$D$2550,$M251))</f>
        <v>Elementary-Middle</v>
      </c>
      <c r="E251" s="142">
        <f ca="1">IF($M251=0,"",INDEX(Data!$G$2051:$G$2550,$M251))</f>
        <v>0.77159999999999995</v>
      </c>
      <c r="F251" s="141">
        <f ca="1">IF($M251=0,"",INDEX(Data!$F$2051:$F$2550,$M251))</f>
        <v>481</v>
      </c>
      <c r="G251" s="143">
        <f ca="1">IF($M251=0,"",INDEX(Data!$K$2051:$K$2550,$M251))</f>
        <v>0.31234605949705418</v>
      </c>
      <c r="H251" s="141">
        <f ca="1">IF($M251=0,"",INDEX(Data!$L$2051:$L$2550,$M251))</f>
        <v>9</v>
      </c>
      <c r="I251" s="144">
        <f ca="1">IF($M251=0,"",INDEX(Data!$T$2051:$T$2550,$M251))</f>
        <v>33</v>
      </c>
      <c r="J251" s="141" t="str">
        <f ca="1">IF($M251=0,"",INDEX(Data!$U$2051:$U$2550,$M251))</f>
        <v>Listed</v>
      </c>
      <c r="K251" s="141" t="str">
        <f ca="1">IF($M251=0,"",INDEX(Data!$AA$2051:$AA$2550,$M251))</f>
        <v>77% economic need; 0.31 mi fresh access; 9 nearby resources</v>
      </c>
      <c r="L251" s="141" t="str">
        <f ca="1">IF($M251=0,"",IF(INDEX(Data!$AN$2051:$AN$2550,$M251)=0,"",IF(INDEX(Data!$U$41:$U$540,INDEX(Data!$AN$2051:$AN$2550,$M251))="","",INDEX(Data!$U$41:$U$540,INDEX(Data!$AN$2051:$AN$2550,$M251)))))</f>
        <v>215-400-7980</v>
      </c>
      <c r="M251" s="132">
        <f ca="1">IF(COUNTIFS(Data!$AV$2051:$AV$2550,239)=1,MATCH(239,Data!$AV$2051:$AV$2550,0),0)</f>
        <v>55</v>
      </c>
      <c r="N251" s="145" t="str">
        <f ca="1">IF($M251=0,"",IF(INDEX(Data!$I$2051:$I$2550,$M251)=0,"Add ID","Row "&amp;(INDEX(Data!$I$2051:$I$2550,$M251)+7)))</f>
        <v>Row 69</v>
      </c>
    </row>
    <row r="252" spans="1:14" ht="40" customHeight="1">
      <c r="A252" s="136">
        <f ca="1">IF($M252=0,"",INDEX(Data!$W$2051:$W$2550,$M252))</f>
        <v>240</v>
      </c>
      <c r="B252" s="139" t="str">
        <f ca="1">IF($M252=0,"",INDEX(Data!$B$2051:$B$2550,$M252))</f>
        <v>George W. Childs School</v>
      </c>
      <c r="C252" s="146" t="str">
        <f ca="1">IF($M252=0,"",INDEX(Data!$C$2051:$C$2550,$M252))</f>
        <v>District</v>
      </c>
      <c r="D252" s="146" t="str">
        <f ca="1">IF($M252=0,"",INDEX(Data!$D$2051:$D$2550,$M252))</f>
        <v>Elementary-Middle</v>
      </c>
      <c r="E252" s="147">
        <f ca="1">IF($M252=0,"",INDEX(Data!$G$2051:$G$2550,$M252))</f>
        <v>0.76259999999999994</v>
      </c>
      <c r="F252" s="146">
        <f ca="1">IF($M252=0,"",INDEX(Data!$F$2051:$F$2550,$M252))</f>
        <v>443</v>
      </c>
      <c r="G252" s="148">
        <f ca="1">IF($M252=0,"",INDEX(Data!$K$2051:$K$2550,$M252))</f>
        <v>0.3433018637346939</v>
      </c>
      <c r="H252" s="146">
        <f ca="1">IF($M252=0,"",INDEX(Data!$L$2051:$L$2550,$M252))</f>
        <v>16</v>
      </c>
      <c r="I252" s="149">
        <f ca="1">IF($M252=0,"",INDEX(Data!$T$2051:$T$2550,$M252))</f>
        <v>33</v>
      </c>
      <c r="J252" s="146" t="str">
        <f ca="1">IF($M252=0,"",INDEX(Data!$U$2051:$U$2550,$M252))</f>
        <v>Listed</v>
      </c>
      <c r="K252" s="146" t="str">
        <f ca="1">IF($M252=0,"",INDEX(Data!$AA$2051:$AA$2550,$M252))</f>
        <v>76% economic need; 0.34 mi fresh access; 16 nearby resources</v>
      </c>
      <c r="L252" s="146" t="str">
        <f ca="1">IF($M252=0,"",IF(INDEX(Data!$AN$2051:$AN$2550,$M252)=0,"",IF(INDEX(Data!$U$41:$U$540,INDEX(Data!$AN$2051:$AN$2550,$M252))="","",INDEX(Data!$U$41:$U$540,INDEX(Data!$AN$2051:$AN$2550,$M252)))))</f>
        <v>215-400-7950</v>
      </c>
      <c r="M252" s="132">
        <f ca="1">IF(COUNTIFS(Data!$AV$2051:$AV$2550,240)=1,MATCH(240,Data!$AV$2051:$AV$2550,0),0)</f>
        <v>38</v>
      </c>
      <c r="N252" s="150" t="str">
        <f ca="1">IF($M252=0,"",IF(INDEX(Data!$I$2051:$I$2550,$M252)=0,"Add ID","Row "&amp;(INDEX(Data!$I$2051:$I$2550,$M252)+7)))</f>
        <v>Row 101</v>
      </c>
    </row>
    <row r="253" spans="1:14" ht="40" customHeight="1">
      <c r="A253" s="135">
        <f ca="1">IF($M253=0,"",INDEX(Data!$W$2051:$W$2550,$M253))</f>
        <v>241</v>
      </c>
      <c r="B253" s="138" t="str">
        <f ca="1">IF($M253=0,"",INDEX(Data!$B$2051:$B$2550,$M253))</f>
        <v>Henry C. Lea School</v>
      </c>
      <c r="C253" s="141" t="str">
        <f ca="1">IF($M253=0,"",INDEX(Data!$C$2051:$C$2550,$M253))</f>
        <v>District</v>
      </c>
      <c r="D253" s="141" t="str">
        <f ca="1">IF($M253=0,"",INDEX(Data!$D$2051:$D$2550,$M253))</f>
        <v>Elementary-Middle</v>
      </c>
      <c r="E253" s="142">
        <f ca="1">IF($M253=0,"",INDEX(Data!$G$2051:$G$2550,$M253))</f>
        <v>0.70809999999999995</v>
      </c>
      <c r="F253" s="141">
        <f ca="1">IF($M253=0,"",INDEX(Data!$F$2051:$F$2550,$M253))</f>
        <v>463</v>
      </c>
      <c r="G253" s="143">
        <f ca="1">IF($M253=0,"",INDEX(Data!$K$2051:$K$2550,$M253))</f>
        <v>0.37371428105719978</v>
      </c>
      <c r="H253" s="141">
        <f ca="1">IF($M253=0,"",INDEX(Data!$L$2051:$L$2550,$M253))</f>
        <v>12</v>
      </c>
      <c r="I253" s="144">
        <f ca="1">IF($M253=0,"",INDEX(Data!$T$2051:$T$2550,$M253))</f>
        <v>33</v>
      </c>
      <c r="J253" s="141" t="str">
        <f ca="1">IF($M253=0,"",INDEX(Data!$U$2051:$U$2550,$M253))</f>
        <v>Listed</v>
      </c>
      <c r="K253" s="141" t="str">
        <f ca="1">IF($M253=0,"",INDEX(Data!$AA$2051:$AA$2550,$M253))</f>
        <v>71% economic need; 0.37 mi fresh access; 12 nearby resources</v>
      </c>
      <c r="L253" s="141" t="str">
        <f ca="1">IF($M253=0,"",IF(INDEX(Data!$AN$2051:$AN$2550,$M253)=0,"",IF(INDEX(Data!$U$41:$U$540,INDEX(Data!$AN$2051:$AN$2550,$M253))="","",INDEX(Data!$U$41:$U$540,INDEX(Data!$AN$2051:$AN$2550,$M253)))))</f>
        <v>215-400-7660</v>
      </c>
      <c r="M253" s="132">
        <f ca="1">IF(COUNTIFS(Data!$AV$2051:$AV$2550,241)=1,MATCH(241,Data!$AV$2051:$AV$2550,0),0)</f>
        <v>15</v>
      </c>
      <c r="N253" s="145" t="str">
        <f ca="1">IF($M253=0,"",IF(INDEX(Data!$I$2051:$I$2550,$M253)=0,"Add ID","Row "&amp;(INDEX(Data!$I$2051:$I$2550,$M253)+7)))</f>
        <v>Row 117</v>
      </c>
    </row>
    <row r="254" spans="1:14" ht="40" customHeight="1">
      <c r="A254" s="136">
        <f ca="1">IF($M254=0,"",INDEX(Data!$W$2051:$W$2550,$M254))</f>
        <v>242</v>
      </c>
      <c r="B254" s="139" t="str">
        <f ca="1">IF($M254=0,"",INDEX(Data!$B$2051:$B$2550,$M254))</f>
        <v>Anna L. Lingelbach School</v>
      </c>
      <c r="C254" s="146" t="str">
        <f ca="1">IF($M254=0,"",INDEX(Data!$C$2051:$C$2550,$M254))</f>
        <v>District</v>
      </c>
      <c r="D254" s="146" t="str">
        <f ca="1">IF($M254=0,"",INDEX(Data!$D$2051:$D$2550,$M254))</f>
        <v>Elementary-Middle</v>
      </c>
      <c r="E254" s="147">
        <f ca="1">IF($M254=0,"",INDEX(Data!$G$2051:$G$2550,$M254))</f>
        <v>0.63280000000000003</v>
      </c>
      <c r="F254" s="146">
        <f ca="1">IF($M254=0,"",INDEX(Data!$F$2051:$F$2550,$M254))</f>
        <v>366</v>
      </c>
      <c r="G254" s="148">
        <f ca="1">IF($M254=0,"",INDEX(Data!$K$2051:$K$2550,$M254))</f>
        <v>0.50919049133552885</v>
      </c>
      <c r="H254" s="146">
        <f ca="1">IF($M254=0,"",INDEX(Data!$L$2051:$L$2550,$M254))</f>
        <v>12</v>
      </c>
      <c r="I254" s="149">
        <f ca="1">IF($M254=0,"",INDEX(Data!$T$2051:$T$2550,$M254))</f>
        <v>33</v>
      </c>
      <c r="J254" s="146" t="str">
        <f ca="1">IF($M254=0,"",INDEX(Data!$U$2051:$U$2550,$M254))</f>
        <v>Listed</v>
      </c>
      <c r="K254" s="146" t="str">
        <f ca="1">IF($M254=0,"",INDEX(Data!$AA$2051:$AA$2550,$M254))</f>
        <v>63% economic need; 0.51 mi fresh access; 12 nearby resources</v>
      </c>
      <c r="L254" s="146" t="str">
        <f ca="1">IF($M254=0,"",IF(INDEX(Data!$AN$2051:$AN$2550,$M254)=0,"",IF(INDEX(Data!$U$41:$U$540,INDEX(Data!$AN$2051:$AN$2550,$M254))="","",INDEX(Data!$U$41:$U$540,INDEX(Data!$AN$2051:$AN$2550,$M254)))))</f>
        <v>215-400-3630</v>
      </c>
      <c r="M254" s="132">
        <f ca="1">IF(COUNTIFS(Data!$AV$2051:$AV$2550,242)=1,MATCH(242,Data!$AV$2051:$AV$2550,0),0)</f>
        <v>246</v>
      </c>
      <c r="N254" s="150" t="str">
        <f ca="1">IF($M254=0,"",IF(INDEX(Data!$I$2051:$I$2550,$M254)=0,"Add ID","Row "&amp;(INDEX(Data!$I$2051:$I$2550,$M254)+7)))</f>
        <v>Row 28</v>
      </c>
    </row>
    <row r="255" spans="1:14" ht="40" customHeight="1">
      <c r="A255" s="135">
        <f ca="1">IF($M255=0,"",INDEX(Data!$W$2051:$W$2550,$M255))</f>
        <v>243</v>
      </c>
      <c r="B255" s="138" t="str">
        <f ca="1">IF($M255=0,"",INDEX(Data!$B$2051:$B$2550,$M255))</f>
        <v>General George G. Meade School</v>
      </c>
      <c r="C255" s="141" t="str">
        <f ca="1">IF($M255=0,"",INDEX(Data!$C$2051:$C$2550,$M255))</f>
        <v>District</v>
      </c>
      <c r="D255" s="141" t="str">
        <f ca="1">IF($M255=0,"",INDEX(Data!$D$2051:$D$2550,$M255))</f>
        <v>Elementary-Middle</v>
      </c>
      <c r="E255" s="142">
        <f ca="1">IF($M255=0,"",INDEX(Data!$G$2051:$G$2550,$M255))</f>
        <v>0.89890000000000003</v>
      </c>
      <c r="F255" s="141">
        <f ca="1">IF($M255=0,"",INDEX(Data!$F$2051:$F$2550,$M255))</f>
        <v>256</v>
      </c>
      <c r="G255" s="143">
        <f ca="1">IF($M255=0,"",INDEX(Data!$K$2051:$K$2550,$M255))</f>
        <v>0.21564962660321715</v>
      </c>
      <c r="H255" s="141">
        <f ca="1">IF($M255=0,"",INDEX(Data!$L$2051:$L$2550,$M255))</f>
        <v>15</v>
      </c>
      <c r="I255" s="144">
        <f ca="1">IF($M255=0,"",INDEX(Data!$T$2051:$T$2550,$M255))</f>
        <v>32</v>
      </c>
      <c r="J255" s="141" t="str">
        <f ca="1">IF($M255=0,"",INDEX(Data!$U$2051:$U$2550,$M255))</f>
        <v>Listed</v>
      </c>
      <c r="K255" s="141" t="str">
        <f ca="1">IF($M255=0,"",INDEX(Data!$AA$2051:$AA$2550,$M255))</f>
        <v>90% economic need; 0.22 mi fresh access; 15 nearby resources</v>
      </c>
      <c r="L255" s="141" t="str">
        <f ca="1">IF($M255=0,"",IF(INDEX(Data!$AN$2051:$AN$2550,$M255)=0,"",IF(INDEX(Data!$U$41:$U$540,INDEX(Data!$AN$2051:$AN$2550,$M255))="","",INDEX(Data!$U$41:$U$540,INDEX(Data!$AN$2051:$AN$2550,$M255)))))</f>
        <v>215-400-7310</v>
      </c>
      <c r="M255" s="132">
        <f ca="1">IF(COUNTIFS(Data!$AV$2051:$AV$2550,243)=1,MATCH(243,Data!$AV$2051:$AV$2550,0),0)</f>
        <v>178</v>
      </c>
      <c r="N255" s="145" t="str">
        <f ca="1">IF($M255=0,"",IF(INDEX(Data!$I$2051:$I$2550,$M255)=0,"Add ID","Row "&amp;(INDEX(Data!$I$2051:$I$2550,$M255)+7)))</f>
        <v>Row 98</v>
      </c>
    </row>
    <row r="256" spans="1:14" ht="40" customHeight="1">
      <c r="A256" s="136">
        <f ca="1">IF($M256=0,"",INDEX(Data!$W$2051:$W$2550,$M256))</f>
        <v>244</v>
      </c>
      <c r="B256" s="139" t="str">
        <f ca="1">IF($M256=0,"",INDEX(Data!$B$2051:$B$2550,$M256))</f>
        <v>William McKinley School</v>
      </c>
      <c r="C256" s="146" t="str">
        <f ca="1">IF($M256=0,"",INDEX(Data!$C$2051:$C$2550,$M256))</f>
        <v>District</v>
      </c>
      <c r="D256" s="146" t="str">
        <f ca="1">IF($M256=0,"",INDEX(Data!$D$2051:$D$2550,$M256))</f>
        <v>Elementary-Middle</v>
      </c>
      <c r="E256" s="147">
        <f ca="1">IF($M256=0,"",INDEX(Data!$G$2051:$G$2550,$M256))</f>
        <v>0.88849999999999996</v>
      </c>
      <c r="F256" s="146">
        <f ca="1">IF($M256=0,"",INDEX(Data!$F$2051:$F$2550,$M256))</f>
        <v>275</v>
      </c>
      <c r="G256" s="148">
        <f ca="1">IF($M256=0,"",INDEX(Data!$K$2051:$K$2550,$M256))</f>
        <v>0.17660905495101062</v>
      </c>
      <c r="H256" s="146">
        <f ca="1">IF($M256=0,"",INDEX(Data!$L$2051:$L$2550,$M256))</f>
        <v>14</v>
      </c>
      <c r="I256" s="149">
        <f ca="1">IF($M256=0,"",INDEX(Data!$T$2051:$T$2550,$M256))</f>
        <v>32</v>
      </c>
      <c r="J256" s="146" t="str">
        <f ca="1">IF($M256=0,"",INDEX(Data!$U$2051:$U$2550,$M256))</f>
        <v>Listed</v>
      </c>
      <c r="K256" s="146" t="str">
        <f ca="1">IF($M256=0,"",INDEX(Data!$AA$2051:$AA$2550,$M256))</f>
        <v>89% economic need; 0.18 mi fresh access; 14 nearby resources</v>
      </c>
      <c r="L256" s="146" t="str">
        <f ca="1">IF($M256=0,"",IF(INDEX(Data!$AN$2051:$AN$2550,$M256)=0,"",IF(INDEX(Data!$U$41:$U$540,INDEX(Data!$AN$2051:$AN$2550,$M256))="","",INDEX(Data!$U$41:$U$540,INDEX(Data!$AN$2051:$AN$2550,$M256)))))</f>
        <v>215-400-7440</v>
      </c>
      <c r="M256" s="132">
        <f ca="1">IF(COUNTIFS(Data!$AV$2051:$AV$2550,244)=1,MATCH(244,Data!$AV$2051:$AV$2550,0),0)</f>
        <v>198</v>
      </c>
      <c r="N256" s="150" t="str">
        <f ca="1">IF($M256=0,"",IF(INDEX(Data!$I$2051:$I$2550,$M256)=0,"Add ID","Row "&amp;(INDEX(Data!$I$2051:$I$2550,$M256)+7)))</f>
        <v>Row 329</v>
      </c>
    </row>
    <row r="257" spans="1:14" ht="40" customHeight="1">
      <c r="A257" s="135">
        <f ca="1">IF($M257=0,"",INDEX(Data!$W$2051:$W$2550,$M257))</f>
        <v>245</v>
      </c>
      <c r="B257" s="138" t="str">
        <f ca="1">IF($M257=0,"",INDEX(Data!$B$2051:$B$2550,$M257))</f>
        <v>Grover Washington, Jr. Middle School</v>
      </c>
      <c r="C257" s="141" t="str">
        <f ca="1">IF($M257=0,"",INDEX(Data!$C$2051:$C$2550,$M257))</f>
        <v>District</v>
      </c>
      <c r="D257" s="141" t="str">
        <f ca="1">IF($M257=0,"",INDEX(Data!$D$2051:$D$2550,$M257))</f>
        <v>Middle</v>
      </c>
      <c r="E257" s="142">
        <f ca="1">IF($M257=0,"",INDEX(Data!$G$2051:$G$2550,$M257))</f>
        <v>0.86760000000000004</v>
      </c>
      <c r="F257" s="141">
        <f ca="1">IF($M257=0,"",INDEX(Data!$F$2051:$F$2550,$M257))</f>
        <v>332</v>
      </c>
      <c r="G257" s="143">
        <f ca="1">IF($M257=0,"",INDEX(Data!$K$2051:$K$2550,$M257))</f>
        <v>0.17926401142772272</v>
      </c>
      <c r="H257" s="141">
        <f ca="1">IF($M257=0,"",INDEX(Data!$L$2051:$L$2550,$M257))</f>
        <v>6</v>
      </c>
      <c r="I257" s="144">
        <f ca="1">IF($M257=0,"",INDEX(Data!$T$2051:$T$2550,$M257))</f>
        <v>32</v>
      </c>
      <c r="J257" s="141" t="str">
        <f ca="1">IF($M257=0,"",INDEX(Data!$U$2051:$U$2550,$M257))</f>
        <v>Listed</v>
      </c>
      <c r="K257" s="141" t="str">
        <f ca="1">IF($M257=0,"",INDEX(Data!$AA$2051:$AA$2550,$M257))</f>
        <v>87% economic need; 0.18 mi fresh access; 6 nearby resources</v>
      </c>
      <c r="L257" s="141" t="str">
        <f ca="1">IF($M257=0,"",IF(INDEX(Data!$AN$2051:$AN$2550,$M257)=0,"",IF(INDEX(Data!$U$41:$U$540,INDEX(Data!$AN$2051:$AN$2550,$M257))="","",INDEX(Data!$U$41:$U$540,INDEX(Data!$AN$2051:$AN$2550,$M257)))))</f>
        <v>215-400-3820</v>
      </c>
      <c r="M257" s="132">
        <f ca="1">IF(COUNTIFS(Data!$AV$2051:$AV$2550,245)=1,MATCH(245,Data!$AV$2051:$AV$2550,0),0)</f>
        <v>273</v>
      </c>
      <c r="N257" s="145" t="str">
        <f ca="1">IF($M257=0,"",IF(INDEX(Data!$I$2051:$I$2550,$M257)=0,"Add ID","Row "&amp;(INDEX(Data!$I$2051:$I$2550,$M257)+7)))</f>
        <v>Row 111</v>
      </c>
    </row>
    <row r="258" spans="1:14" ht="40" customHeight="1">
      <c r="A258" s="136">
        <f ca="1">IF($M258=0,"",INDEX(Data!$W$2051:$W$2550,$M258))</f>
        <v>246</v>
      </c>
      <c r="B258" s="139" t="str">
        <f ca="1">IF($M258=0,"",INDEX(Data!$B$2051:$B$2550,$M258))</f>
        <v>Spring Garden School</v>
      </c>
      <c r="C258" s="146" t="str">
        <f ca="1">IF($M258=0,"",INDEX(Data!$C$2051:$C$2550,$M258))</f>
        <v>District</v>
      </c>
      <c r="D258" s="146" t="str">
        <f ca="1">IF($M258=0,"",INDEX(Data!$D$2051:$D$2550,$M258))</f>
        <v>Elementary-Middle</v>
      </c>
      <c r="E258" s="147">
        <f ca="1">IF($M258=0,"",INDEX(Data!$G$2051:$G$2550,$M258))</f>
        <v>0.85770000000000002</v>
      </c>
      <c r="F258" s="146">
        <f ca="1">IF($M258=0,"",INDEX(Data!$F$2051:$F$2550,$M258))</f>
        <v>247</v>
      </c>
      <c r="G258" s="148">
        <f ca="1">IF($M258=0,"",INDEX(Data!$K$2051:$K$2550,$M258))</f>
        <v>0.18757831963817834</v>
      </c>
      <c r="H258" s="146">
        <f ca="1">IF($M258=0,"",INDEX(Data!$L$2051:$L$2550,$M258))</f>
        <v>10</v>
      </c>
      <c r="I258" s="149">
        <f ca="1">IF($M258=0,"",INDEX(Data!$T$2051:$T$2550,$M258))</f>
        <v>32</v>
      </c>
      <c r="J258" s="146" t="str">
        <f ca="1">IF($M258=0,"",INDEX(Data!$U$2051:$U$2550,$M258))</f>
        <v>Listed</v>
      </c>
      <c r="K258" s="146" t="str">
        <f ca="1">IF($M258=0,"",INDEX(Data!$AA$2051:$AA$2550,$M258))</f>
        <v>86% economic need; 0.19 mi fresh access; 10 nearby resources</v>
      </c>
      <c r="L258" s="146" t="str">
        <f ca="1">IF($M258=0,"",IF(INDEX(Data!$AN$2051:$AN$2550,$M258)=0,"",IF(INDEX(Data!$U$41:$U$540,INDEX(Data!$AN$2051:$AN$2550,$M258))="","",INDEX(Data!$U$41:$U$540,INDEX(Data!$AN$2051:$AN$2550,$M258)))))</f>
        <v>215-400-7610</v>
      </c>
      <c r="M258" s="132">
        <f ca="1">IF(COUNTIFS(Data!$AV$2051:$AV$2550,246)=1,MATCH(246,Data!$AV$2051:$AV$2550,0),0)</f>
        <v>213</v>
      </c>
      <c r="N258" s="150" t="str">
        <f ca="1">IF($M258=0,"",IF(INDEX(Data!$I$2051:$I$2550,$M258)=0,"Add ID","Row "&amp;(INDEX(Data!$I$2051:$I$2550,$M258)+7)))</f>
        <v>Row 281</v>
      </c>
    </row>
    <row r="259" spans="1:14" ht="40" customHeight="1">
      <c r="A259" s="135">
        <f ca="1">IF($M259=0,"",INDEX(Data!$W$2051:$W$2550,$M259))</f>
        <v>247</v>
      </c>
      <c r="B259" s="138" t="str">
        <f ca="1">IF($M259=0,"",INDEX(Data!$B$2051:$B$2550,$M259))</f>
        <v>Alain Locke School</v>
      </c>
      <c r="C259" s="141" t="str">
        <f ca="1">IF($M259=0,"",INDEX(Data!$C$2051:$C$2550,$M259))</f>
        <v>District</v>
      </c>
      <c r="D259" s="141" t="str">
        <f ca="1">IF($M259=0,"",INDEX(Data!$D$2051:$D$2550,$M259))</f>
        <v>Elementary-Middle</v>
      </c>
      <c r="E259" s="142">
        <f ca="1">IF($M259=0,"",INDEX(Data!$G$2051:$G$2550,$M259))</f>
        <v>0.82899999999999996</v>
      </c>
      <c r="F259" s="141">
        <f ca="1">IF($M259=0,"",INDEX(Data!$F$2051:$F$2550,$M259))</f>
        <v>276</v>
      </c>
      <c r="G259" s="143">
        <f ca="1">IF($M259=0,"",INDEX(Data!$K$2051:$K$2550,$M259))</f>
        <v>0.23280418789792304</v>
      </c>
      <c r="H259" s="141">
        <f ca="1">IF($M259=0,"",INDEX(Data!$L$2051:$L$2550,$M259))</f>
        <v>15</v>
      </c>
      <c r="I259" s="144">
        <f ca="1">IF($M259=0,"",INDEX(Data!$T$2051:$T$2550,$M259))</f>
        <v>32</v>
      </c>
      <c r="J259" s="141" t="str">
        <f ca="1">IF($M259=0,"",INDEX(Data!$U$2051:$U$2550,$M259))</f>
        <v>Listed</v>
      </c>
      <c r="K259" s="141" t="str">
        <f ca="1">IF($M259=0,"",INDEX(Data!$AA$2051:$AA$2550,$M259))</f>
        <v>83% economic need; 0.23 mi fresh access; 15 nearby resources</v>
      </c>
      <c r="L259" s="141" t="str">
        <f ca="1">IF($M259=0,"",IF(INDEX(Data!$AN$2051:$AN$2550,$M259)=0,"",IF(INDEX(Data!$U$41:$U$540,INDEX(Data!$AN$2051:$AN$2550,$M259))="","",INDEX(Data!$U$41:$U$540,INDEX(Data!$AN$2051:$AN$2550,$M259)))))</f>
        <v>215-400-7670</v>
      </c>
      <c r="M259" s="132">
        <f ca="1">IF(COUNTIFS(Data!$AV$2051:$AV$2550,247)=1,MATCH(247,Data!$AV$2051:$AV$2550,0),0)</f>
        <v>26</v>
      </c>
      <c r="N259" s="145" t="str">
        <f ca="1">IF($M259=0,"",IF(INDEX(Data!$I$2051:$I$2550,$M259)=0,"Add ID","Row "&amp;(INDEX(Data!$I$2051:$I$2550,$M259)+7)))</f>
        <v>Row 17</v>
      </c>
    </row>
    <row r="260" spans="1:14" ht="40" customHeight="1">
      <c r="A260" s="136">
        <f ca="1">IF($M260=0,"",INDEX(Data!$W$2051:$W$2550,$M260))</f>
        <v>248</v>
      </c>
      <c r="B260" s="139" t="str">
        <f ca="1">IF($M260=0,"",INDEX(Data!$B$2051:$B$2550,$M260))</f>
        <v>George W. Sharswood School</v>
      </c>
      <c r="C260" s="146" t="str">
        <f ca="1">IF($M260=0,"",INDEX(Data!$C$2051:$C$2550,$M260))</f>
        <v>District</v>
      </c>
      <c r="D260" s="146" t="str">
        <f ca="1">IF($M260=0,"",INDEX(Data!$D$2051:$D$2550,$M260))</f>
        <v>Elementary-Middle</v>
      </c>
      <c r="E260" s="147">
        <f ca="1">IF($M260=0,"",INDEX(Data!$G$2051:$G$2550,$M260))</f>
        <v>0.79769999999999996</v>
      </c>
      <c r="F260" s="146">
        <f ca="1">IF($M260=0,"",INDEX(Data!$F$2051:$F$2550,$M260))</f>
        <v>317</v>
      </c>
      <c r="G260" s="148">
        <f ca="1">IF($M260=0,"",INDEX(Data!$K$2051:$K$2550,$M260))</f>
        <v>0.24947051507250717</v>
      </c>
      <c r="H260" s="146">
        <f ca="1">IF($M260=0,"",INDEX(Data!$L$2051:$L$2550,$M260))</f>
        <v>4</v>
      </c>
      <c r="I260" s="149">
        <f ca="1">IF($M260=0,"",INDEX(Data!$T$2051:$T$2550,$M260))</f>
        <v>32</v>
      </c>
      <c r="J260" s="146" t="str">
        <f ca="1">IF($M260=0,"",INDEX(Data!$U$2051:$U$2550,$M260))</f>
        <v>Listed</v>
      </c>
      <c r="K260" s="146" t="str">
        <f ca="1">IF($M260=0,"",INDEX(Data!$AA$2051:$AA$2550,$M260))</f>
        <v>80% economic need; 0.25 mi fresh access; 4 nearby resources</v>
      </c>
      <c r="L260" s="146" t="str">
        <f ca="1">IF($M260=0,"",IF(INDEX(Data!$AN$2051:$AN$2550,$M260)=0,"",IF(INDEX(Data!$U$41:$U$540,INDEX(Data!$AN$2051:$AN$2550,$M260))="","",INDEX(Data!$U$41:$U$540,INDEX(Data!$AN$2051:$AN$2550,$M260)))))</f>
        <v>215-400-8270</v>
      </c>
      <c r="M260" s="132">
        <f ca="1">IF(COUNTIFS(Data!$AV$2051:$AV$2550,248)=1,MATCH(248,Data!$AV$2051:$AV$2550,0),0)</f>
        <v>58</v>
      </c>
      <c r="N260" s="150" t="str">
        <f ca="1">IF($M260=0,"",IF(INDEX(Data!$I$2051:$I$2550,$M260)=0,"Add ID","Row "&amp;(INDEX(Data!$I$2051:$I$2550,$M260)+7)))</f>
        <v>Row 103</v>
      </c>
    </row>
    <row r="261" spans="1:14" ht="40" customHeight="1">
      <c r="A261" s="135">
        <f ca="1">IF($M261=0,"",INDEX(Data!$W$2051:$W$2550,$M261))</f>
        <v>249</v>
      </c>
      <c r="B261" s="138" t="str">
        <f ca="1">IF($M261=0,"",INDEX(Data!$B$2051:$B$2550,$M261))</f>
        <v>Multicultural Academy Charter School</v>
      </c>
      <c r="C261" s="141" t="str">
        <f ca="1">IF($M261=0,"",INDEX(Data!$C$2051:$C$2550,$M261))</f>
        <v>Charter</v>
      </c>
      <c r="D261" s="141" t="str">
        <f ca="1">IF($M261=0,"",INDEX(Data!$D$2051:$D$2550,$M261))</f>
        <v>High</v>
      </c>
      <c r="E261" s="142">
        <f ca="1">IF($M261=0,"",INDEX(Data!$G$2051:$G$2550,$M261))</f>
        <v>0.68959999999999999</v>
      </c>
      <c r="F261" s="141">
        <f ca="1">IF($M261=0,"",INDEX(Data!$F$2051:$F$2550,$M261))</f>
        <v>261</v>
      </c>
      <c r="G261" s="143">
        <f ca="1">IF($M261=0,"",INDEX(Data!$K$2051:$K$2550,$M261))</f>
        <v>0.69819959197966086</v>
      </c>
      <c r="H261" s="141">
        <f ca="1">IF($M261=0,"",INDEX(Data!$L$2051:$L$2550,$M261))</f>
        <v>9</v>
      </c>
      <c r="I261" s="144">
        <f ca="1">IF($M261=0,"",INDEX(Data!$T$2051:$T$2550,$M261))</f>
        <v>32</v>
      </c>
      <c r="J261" s="141" t="str">
        <f ca="1">IF($M261=0,"",INDEX(Data!$U$2051:$U$2550,$M261))</f>
        <v>Listed</v>
      </c>
      <c r="K261" s="141" t="str">
        <f ca="1">IF($M261=0,"",INDEX(Data!$AA$2051:$AA$2550,$M261))</f>
        <v>69% economic need; 0.70 mi fresh access; 9 nearby resources</v>
      </c>
      <c r="L261" s="141" t="str">
        <f ca="1">IF($M261=0,"",IF(INDEX(Data!$AN$2051:$AN$2550,$M261)=0,"",IF(INDEX(Data!$U$41:$U$540,INDEX(Data!$AN$2051:$AN$2550,$M261))="","",INDEX(Data!$U$41:$U$540,INDEX(Data!$AN$2051:$AN$2550,$M261)))))</f>
        <v>215-457-6666</v>
      </c>
      <c r="M261" s="132">
        <f ca="1">IF(COUNTIFS(Data!$AV$2051:$AV$2550,249)=1,MATCH(249,Data!$AV$2051:$AV$2550,0),0)</f>
        <v>81</v>
      </c>
      <c r="N261" s="145" t="str">
        <f ca="1">IF($M261=0,"",IF(INDEX(Data!$I$2051:$I$2550,$M261)=0,"Add ID","Row "&amp;(INDEX(Data!$I$2051:$I$2550,$M261)+7)))</f>
        <v>Row 209</v>
      </c>
    </row>
    <row r="262" spans="1:14" ht="40" customHeight="1">
      <c r="A262" s="136">
        <f ca="1">IF($M262=0,"",INDEX(Data!$W$2051:$W$2550,$M262))</f>
        <v>250</v>
      </c>
      <c r="B262" s="139" t="str">
        <f ca="1">IF($M262=0,"",INDEX(Data!$B$2051:$B$2550,$M262))</f>
        <v>Inquiry Charter School</v>
      </c>
      <c r="C262" s="146" t="str">
        <f ca="1">IF($M262=0,"",INDEX(Data!$C$2051:$C$2550,$M262))</f>
        <v>Charter</v>
      </c>
      <c r="D262" s="146" t="str">
        <f ca="1">IF($M262=0,"",INDEX(Data!$D$2051:$D$2550,$M262))</f>
        <v>Elementary</v>
      </c>
      <c r="E262" s="147">
        <f ca="1">IF($M262=0,"",INDEX(Data!$G$2051:$G$2550,$M262))</f>
        <v>0.63360000000000005</v>
      </c>
      <c r="F262" s="146">
        <f ca="1">IF($M262=0,"",INDEX(Data!$F$2051:$F$2550,$M262))</f>
        <v>272</v>
      </c>
      <c r="G262" s="148">
        <f ca="1">IF($M262=0,"",INDEX(Data!$K$2051:$K$2550,$M262))</f>
        <v>0.54025252040445781</v>
      </c>
      <c r="H262" s="146">
        <f ca="1">IF($M262=0,"",INDEX(Data!$L$2051:$L$2550,$M262))</f>
        <v>9</v>
      </c>
      <c r="I262" s="149">
        <f ca="1">IF($M262=0,"",INDEX(Data!$T$2051:$T$2550,$M262))</f>
        <v>32</v>
      </c>
      <c r="J262" s="146" t="str">
        <f ca="1">IF($M262=0,"",INDEX(Data!$U$2051:$U$2550,$M262))</f>
        <v>Listed</v>
      </c>
      <c r="K262" s="146" t="str">
        <f ca="1">IF($M262=0,"",INDEX(Data!$AA$2051:$AA$2550,$M262))</f>
        <v>63% economic need; 0.54 mi fresh access; 9 nearby resources</v>
      </c>
      <c r="L262" s="146" t="str">
        <f ca="1">IF($M262=0,"",IF(INDEX(Data!$AN$2051:$AN$2550,$M262)=0,"",IF(INDEX(Data!$U$41:$U$540,INDEX(Data!$AN$2051:$AN$2550,$M262))="","",INDEX(Data!$U$41:$U$540,INDEX(Data!$AN$2051:$AN$2550,$M262)))))</f>
        <v>215-386-5768</v>
      </c>
      <c r="M262" s="132">
        <f ca="1">IF(COUNTIFS(Data!$AV$2051:$AV$2550,250)=1,MATCH(250,Data!$AV$2051:$AV$2550,0),0)</f>
        <v>78</v>
      </c>
      <c r="N262" s="150" t="str">
        <f ca="1">IF($M262=0,"",IF(INDEX(Data!$I$2051:$I$2550,$M262)=0,"Add ID","Row "&amp;(INDEX(Data!$I$2051:$I$2550,$M262)+7)))</f>
        <v>Row 129</v>
      </c>
    </row>
    <row r="263" spans="1:14" ht="40" customHeight="1">
      <c r="A263" s="135">
        <f ca="1">IF($M263=0,"",INDEX(Data!$W$2051:$W$2550,$M263))</f>
        <v>251</v>
      </c>
      <c r="B263" s="138" t="str">
        <f ca="1">IF($M263=0,"",INDEX(Data!$B$2051:$B$2550,$M263))</f>
        <v>Laura W. Waring School</v>
      </c>
      <c r="C263" s="141" t="str">
        <f ca="1">IF($M263=0,"",INDEX(Data!$C$2051:$C$2550,$M263))</f>
        <v>District</v>
      </c>
      <c r="D263" s="141" t="str">
        <f ca="1">IF($M263=0,"",INDEX(Data!$D$2051:$D$2550,$M263))</f>
        <v>Elementary-Middle</v>
      </c>
      <c r="E263" s="142">
        <f ca="1">IF($M263=0,"",INDEX(Data!$G$2051:$G$2550,$M263))</f>
        <v>0.79159999999999997</v>
      </c>
      <c r="F263" s="141">
        <f ca="1">IF($M263=0,"",INDEX(Data!$F$2051:$F$2550,$M263))</f>
        <v>170</v>
      </c>
      <c r="G263" s="143">
        <f ca="1">IF($M263=0,"",INDEX(Data!$K$2051:$K$2550,$M263))</f>
        <v>0.31974289027423447</v>
      </c>
      <c r="H263" s="141">
        <f ca="1">IF($M263=0,"",INDEX(Data!$L$2051:$L$2550,$M263))</f>
        <v>9</v>
      </c>
      <c r="I263" s="144">
        <f ca="1">IF($M263=0,"",INDEX(Data!$T$2051:$T$2550,$M263))</f>
        <v>31</v>
      </c>
      <c r="J263" s="141" t="str">
        <f ca="1">IF($M263=0,"",INDEX(Data!$U$2051:$U$2550,$M263))</f>
        <v>Listed</v>
      </c>
      <c r="K263" s="141" t="str">
        <f ca="1">IF($M263=0,"",INDEX(Data!$AA$2051:$AA$2550,$M263))</f>
        <v>79% economic need; 0.32 mi fresh access; 9 nearby resources</v>
      </c>
      <c r="L263" s="141" t="str">
        <f ca="1">IF($M263=0,"",IF(INDEX(Data!$AN$2051:$AN$2550,$M263)=0,"",IF(INDEX(Data!$U$41:$U$540,INDEX(Data!$AN$2051:$AN$2550,$M263))="","",INDEX(Data!$U$41:$U$540,INDEX(Data!$AN$2051:$AN$2550,$M263)))))</f>
        <v>215-400-7560</v>
      </c>
      <c r="M263" s="132">
        <f ca="1">IF(COUNTIFS(Data!$AV$2051:$AV$2550,251)=1,MATCH(251,Data!$AV$2051:$AV$2550,0),0)</f>
        <v>50</v>
      </c>
      <c r="N263" s="145" t="str">
        <f ca="1">IF($M263=0,"",IF(INDEX(Data!$I$2051:$I$2550,$M263)=0,"Add ID","Row "&amp;(INDEX(Data!$I$2051:$I$2550,$M263)+7)))</f>
        <v>Row 176</v>
      </c>
    </row>
    <row r="264" spans="1:14" ht="40" customHeight="1">
      <c r="A264" s="136">
        <f ca="1">IF($M264=0,"",INDEX(Data!$W$2051:$W$2550,$M264))</f>
        <v>252</v>
      </c>
      <c r="B264" s="139" t="str">
        <f ca="1">IF($M264=0,"",INDEX(Data!$B$2051:$B$2550,$M264))</f>
        <v>Parkway West High School</v>
      </c>
      <c r="C264" s="146" t="str">
        <f ca="1">IF($M264=0,"",INDEX(Data!$C$2051:$C$2550,$M264))</f>
        <v>District</v>
      </c>
      <c r="D264" s="146" t="str">
        <f ca="1">IF($M264=0,"",INDEX(Data!$D$2051:$D$2550,$M264))</f>
        <v>High</v>
      </c>
      <c r="E264" s="147">
        <f ca="1">IF($M264=0,"",INDEX(Data!$G$2051:$G$2550,$M264))</f>
        <v>0.76419999999999999</v>
      </c>
      <c r="F264" s="146">
        <f ca="1">IF($M264=0,"",INDEX(Data!$F$2051:$F$2550,$M264))</f>
        <v>140</v>
      </c>
      <c r="G264" s="148">
        <f ca="1">IF($M264=0,"",INDEX(Data!$K$2051:$K$2550,$M264))</f>
        <v>0.36728004506671763</v>
      </c>
      <c r="H264" s="146">
        <f ca="1">IF($M264=0,"",INDEX(Data!$L$2051:$L$2550,$M264))</f>
        <v>14</v>
      </c>
      <c r="I264" s="149">
        <f ca="1">IF($M264=0,"",INDEX(Data!$T$2051:$T$2550,$M264))</f>
        <v>31</v>
      </c>
      <c r="J264" s="146" t="str">
        <f ca="1">IF($M264=0,"",INDEX(Data!$U$2051:$U$2550,$M264))</f>
        <v>Listed</v>
      </c>
      <c r="K264" s="146" t="str">
        <f ca="1">IF($M264=0,"",INDEX(Data!$AA$2051:$AA$2550,$M264))</f>
        <v>76% economic need; 0.37 mi fresh access; 14 nearby resources</v>
      </c>
      <c r="L264" s="146" t="str">
        <f ca="1">IF($M264=0,"",IF(INDEX(Data!$AN$2051:$AN$2550,$M264)=0,"",IF(INDEX(Data!$U$41:$U$540,INDEX(Data!$AN$2051:$AN$2550,$M264))="","",INDEX(Data!$U$41:$U$540,INDEX(Data!$AN$2051:$AN$2550,$M264)))))</f>
        <v>215-400-7710</v>
      </c>
      <c r="M264" s="132">
        <f ca="1">IF(COUNTIFS(Data!$AV$2051:$AV$2550,252)=1,MATCH(252,Data!$AV$2051:$AV$2550,0),0)</f>
        <v>184</v>
      </c>
      <c r="N264" s="150" t="str">
        <f ca="1">IF($M264=0,"",IF(INDEX(Data!$I$2051:$I$2550,$M264)=0,"Add ID","Row "&amp;(INDEX(Data!$I$2051:$I$2550,$M264)+7)))</f>
        <v>Row 231</v>
      </c>
    </row>
    <row r="265" spans="1:14" ht="40" customHeight="1">
      <c r="A265" s="135">
        <f ca="1">IF($M265=0,"",INDEX(Data!$W$2051:$W$2550,$M265))</f>
        <v>253</v>
      </c>
      <c r="B265" s="138" t="str">
        <f ca="1">IF($M265=0,"",INDEX(Data!$B$2051:$B$2550,$M265))</f>
        <v>Olney High School</v>
      </c>
      <c r="C265" s="141" t="str">
        <f ca="1">IF($M265=0,"",INDEX(Data!$C$2051:$C$2550,$M265))</f>
        <v>District</v>
      </c>
      <c r="D265" s="141" t="str">
        <f ca="1">IF($M265=0,"",INDEX(Data!$D$2051:$D$2550,$M265))</f>
        <v>High</v>
      </c>
      <c r="E265" s="142">
        <f ca="1">IF($M265=0,"",INDEX(Data!$G$2051:$G$2550,$M265))</f>
        <v>0.79879999999999995</v>
      </c>
      <c r="F265" s="141">
        <f ca="1">IF($M265=0,"",INDEX(Data!$F$2051:$F$2550,$M265))</f>
        <v>1036</v>
      </c>
      <c r="G265" s="143">
        <f ca="1">IF($M265=0,"",INDEX(Data!$K$2051:$K$2550,$M265))</f>
        <v>0.11440310296307804</v>
      </c>
      <c r="H265" s="141">
        <f ca="1">IF($M265=0,"",INDEX(Data!$L$2051:$L$2550,$M265))</f>
        <v>8</v>
      </c>
      <c r="I265" s="144">
        <f ca="1">IF($M265=0,"",INDEX(Data!$T$2051:$T$2550,$M265))</f>
        <v>30</v>
      </c>
      <c r="J265" s="141" t="str">
        <f ca="1">IF($M265=0,"",INDEX(Data!$U$2051:$U$2550,$M265))</f>
        <v>Listed</v>
      </c>
      <c r="K265" s="141" t="str">
        <f ca="1">IF($M265=0,"",INDEX(Data!$AA$2051:$AA$2550,$M265))</f>
        <v>80% economic need; 0.11 mi fresh access; 8 nearby resources</v>
      </c>
      <c r="L265" s="141" t="str">
        <f ca="1">IF($M265=0,"",IF(INDEX(Data!$AN$2051:$AN$2550,$M265)=0,"",IF(INDEX(Data!$U$41:$U$540,INDEX(Data!$AN$2051:$AN$2550,$M265))="","",INDEX(Data!$U$41:$U$540,INDEX(Data!$AN$2051:$AN$2550,$M265)))))</f>
        <v>215-400-9140</v>
      </c>
      <c r="M265" s="132">
        <f ca="1">IF(COUNTIFS(Data!$AV$2051:$AV$2550,253)=1,MATCH(253,Data!$AV$2051:$AV$2550,0),0)</f>
        <v>253</v>
      </c>
      <c r="N265" s="145" t="str">
        <f ca="1">IF($M265=0,"",IF(INDEX(Data!$I$2051:$I$2550,$M265)=0,"Add ID","Row "&amp;(INDEX(Data!$I$2051:$I$2550,$M265)+7)))</f>
        <v>Row 218</v>
      </c>
    </row>
    <row r="266" spans="1:14" ht="40" customHeight="1">
      <c r="A266" s="136">
        <f ca="1">IF($M266=0,"",INDEX(Data!$W$2051:$W$2550,$M266))</f>
        <v>254</v>
      </c>
      <c r="B266" s="139" t="str">
        <f ca="1">IF($M266=0,"",INDEX(Data!$B$2051:$B$2550,$M266))</f>
        <v>Franklin Learning Center</v>
      </c>
      <c r="C266" s="146" t="str">
        <f ca="1">IF($M266=0,"",INDEX(Data!$C$2051:$C$2550,$M266))</f>
        <v>District</v>
      </c>
      <c r="D266" s="146" t="str">
        <f ca="1">IF($M266=0,"",INDEX(Data!$D$2051:$D$2550,$M266))</f>
        <v>High</v>
      </c>
      <c r="E266" s="147">
        <f ca="1">IF($M266=0,"",INDEX(Data!$G$2051:$G$2550,$M266))</f>
        <v>0.76029999999999998</v>
      </c>
      <c r="F266" s="146">
        <f ca="1">IF($M266=0,"",INDEX(Data!$F$2051:$F$2550,$M266))</f>
        <v>975</v>
      </c>
      <c r="G266" s="148">
        <f ca="1">IF($M266=0,"",INDEX(Data!$K$2051:$K$2550,$M266))</f>
        <v>0.14628358627531837</v>
      </c>
      <c r="H266" s="146">
        <f ca="1">IF($M266=0,"",INDEX(Data!$L$2051:$L$2550,$M266))</f>
        <v>10</v>
      </c>
      <c r="I266" s="149">
        <f ca="1">IF($M266=0,"",INDEX(Data!$T$2051:$T$2550,$M266))</f>
        <v>30</v>
      </c>
      <c r="J266" s="146" t="str">
        <f ca="1">IF($M266=0,"",INDEX(Data!$U$2051:$U$2550,$M266))</f>
        <v>Listed</v>
      </c>
      <c r="K266" s="146" t="str">
        <f ca="1">IF($M266=0,"",INDEX(Data!$AA$2051:$AA$2550,$M266))</f>
        <v>76% economic need; 0.15 mi fresh access; 10 nearby resources</v>
      </c>
      <c r="L266" s="146" t="str">
        <f ca="1">IF($M266=0,"",IF(INDEX(Data!$AN$2051:$AN$2550,$M266)=0,"",IF(INDEX(Data!$U$41:$U$540,INDEX(Data!$AN$2051:$AN$2550,$M266))="","",INDEX(Data!$U$41:$U$540,INDEX(Data!$AN$2051:$AN$2550,$M266)))))</f>
        <v>215-400-7570</v>
      </c>
      <c r="M266" s="132">
        <f ca="1">IF(COUNTIFS(Data!$AV$2051:$AV$2550,254)=1,MATCH(254,Data!$AV$2051:$AV$2550,0),0)</f>
        <v>39</v>
      </c>
      <c r="N266" s="150" t="str">
        <f ca="1">IF($M266=0,"",IF(INDEX(Data!$I$2051:$I$2550,$M266)=0,"Add ID","Row "&amp;(INDEX(Data!$I$2051:$I$2550,$M266)+7)))</f>
        <v>Row 90</v>
      </c>
    </row>
    <row r="267" spans="1:14" ht="40" customHeight="1">
      <c r="A267" s="135">
        <f ca="1">IF($M267=0,"",INDEX(Data!$W$2051:$W$2550,$M267))</f>
        <v>255</v>
      </c>
      <c r="B267" s="138" t="str">
        <f ca="1">IF($M267=0,"",INDEX(Data!$B$2051:$B$2550,$M267))</f>
        <v>Northwood Academy Charter School</v>
      </c>
      <c r="C267" s="141" t="str">
        <f ca="1">IF($M267=0,"",INDEX(Data!$C$2051:$C$2550,$M267))</f>
        <v>Charter</v>
      </c>
      <c r="D267" s="141" t="str">
        <f ca="1">IF($M267=0,"",INDEX(Data!$D$2051:$D$2550,$M267))</f>
        <v>Elementary-Middle</v>
      </c>
      <c r="E267" s="142">
        <f ca="1">IF($M267=0,"",INDEX(Data!$G$2051:$G$2550,$M267))</f>
        <v>0.75060000000000004</v>
      </c>
      <c r="F267" s="141">
        <f ca="1">IF($M267=0,"",INDEX(Data!$F$2051:$F$2550,$M267))</f>
        <v>801</v>
      </c>
      <c r="G267" s="143">
        <f ca="1">IF($M267=0,"",INDEX(Data!$K$2051:$K$2550,$M267))</f>
        <v>5.1136273911278562E-2</v>
      </c>
      <c r="H267" s="141">
        <f ca="1">IF($M267=0,"",INDEX(Data!$L$2051:$L$2550,$M267))</f>
        <v>6</v>
      </c>
      <c r="I267" s="144">
        <f ca="1">IF($M267=0,"",INDEX(Data!$T$2051:$T$2550,$M267))</f>
        <v>30</v>
      </c>
      <c r="J267" s="141" t="str">
        <f ca="1">IF($M267=0,"",INDEX(Data!$U$2051:$U$2550,$M267))</f>
        <v>Listed</v>
      </c>
      <c r="K267" s="141" t="str">
        <f ca="1">IF($M267=0,"",INDEX(Data!$AA$2051:$AA$2550,$M267))</f>
        <v>75% economic need; 0.05 mi fresh access; 6 nearby resources</v>
      </c>
      <c r="L267" s="141" t="str">
        <f ca="1">IF($M267=0,"",IF(INDEX(Data!$AN$2051:$AN$2550,$M267)=0,"",IF(INDEX(Data!$U$41:$U$540,INDEX(Data!$AN$2051:$AN$2550,$M267))="","",INDEX(Data!$U$41:$U$540,INDEX(Data!$AN$2051:$AN$2550,$M267)))))</f>
        <v>215-289-5606</v>
      </c>
      <c r="M267" s="132">
        <f ca="1">IF(COUNTIFS(Data!$AV$2051:$AV$2550,255)=1,MATCH(255,Data!$AV$2051:$AV$2550,0),0)</f>
        <v>117</v>
      </c>
      <c r="N267" s="145" t="str">
        <f ca="1">IF($M267=0,"",IF(INDEX(Data!$I$2051:$I$2550,$M267)=0,"Add ID","Row "&amp;(INDEX(Data!$I$2051:$I$2550,$M267)+7)))</f>
        <v>Row 215</v>
      </c>
    </row>
    <row r="268" spans="1:14" ht="40" customHeight="1">
      <c r="A268" s="136">
        <f ca="1">IF($M268=0,"",INDEX(Data!$W$2051:$W$2550,$M268))</f>
        <v>256</v>
      </c>
      <c r="B268" s="139" t="str">
        <f ca="1">IF($M268=0,"",INDEX(Data!$B$2051:$B$2550,$M268))</f>
        <v>Freire Charter School</v>
      </c>
      <c r="C268" s="146" t="str">
        <f ca="1">IF($M268=0,"",INDEX(Data!$C$2051:$C$2550,$M268))</f>
        <v>Charter</v>
      </c>
      <c r="D268" s="146" t="str">
        <f ca="1">IF($M268=0,"",INDEX(Data!$D$2051:$D$2550,$M268))</f>
        <v>Middle-High</v>
      </c>
      <c r="E268" s="147">
        <f ca="1">IF($M268=0,"",INDEX(Data!$G$2051:$G$2550,$M268))</f>
        <v>0.74880000000000002</v>
      </c>
      <c r="F268" s="146">
        <f ca="1">IF($M268=0,"",INDEX(Data!$F$2051:$F$2550,$M268))</f>
        <v>1072</v>
      </c>
      <c r="G268" s="148">
        <f ca="1">IF($M268=0,"",INDEX(Data!$K$2051:$K$2550,$M268))</f>
        <v>0.13231860273611198</v>
      </c>
      <c r="H268" s="146">
        <f ca="1">IF($M268=0,"",INDEX(Data!$L$2051:$L$2550,$M268))</f>
        <v>5</v>
      </c>
      <c r="I268" s="149">
        <f ca="1">IF($M268=0,"",INDEX(Data!$T$2051:$T$2550,$M268))</f>
        <v>30</v>
      </c>
      <c r="J268" s="146" t="str">
        <f ca="1">IF($M268=0,"",INDEX(Data!$U$2051:$U$2550,$M268))</f>
        <v>Listed</v>
      </c>
      <c r="K268" s="146" t="str">
        <f ca="1">IF($M268=0,"",INDEX(Data!$AA$2051:$AA$2550,$M268))</f>
        <v>75% economic need; 0.13 mi fresh access; 5 nearby resources</v>
      </c>
      <c r="L268" s="146" t="str">
        <f ca="1">IF($M268=0,"",IF(INDEX(Data!$AN$2051:$AN$2550,$M268)=0,"",IF(INDEX(Data!$U$41:$U$540,INDEX(Data!$AN$2051:$AN$2550,$M268))="","",INDEX(Data!$U$41:$U$540,INDEX(Data!$AN$2051:$AN$2550,$M268)))))</f>
        <v>215-557-8555</v>
      </c>
      <c r="M268" s="132">
        <f ca="1">IF(COUNTIFS(Data!$AV$2051:$AV$2550,256)=1,MATCH(256,Data!$AV$2051:$AV$2550,0),0)</f>
        <v>85</v>
      </c>
      <c r="N268" s="150" t="str">
        <f ca="1">IF($M268=0,"",IF(INDEX(Data!$I$2051:$I$2550,$M268)=0,"Add ID","Row "&amp;(INDEX(Data!$I$2051:$I$2550,$M268)+7)))</f>
        <v>Row 94</v>
      </c>
    </row>
    <row r="269" spans="1:14" ht="40" customHeight="1">
      <c r="A269" s="135">
        <f ca="1">IF($M269=0,"",INDEX(Data!$W$2051:$W$2550,$M269))</f>
        <v>257</v>
      </c>
      <c r="B269" s="138" t="str">
        <f ca="1">IF($M269=0,"",INDEX(Data!$B$2051:$B$2550,$M269))</f>
        <v>KIPP Philadelphia Charter School</v>
      </c>
      <c r="C269" s="141" t="str">
        <f ca="1">IF($M269=0,"",INDEX(Data!$C$2051:$C$2550,$M269))</f>
        <v>Charter</v>
      </c>
      <c r="D269" s="141" t="str">
        <f ca="1">IF($M269=0,"",INDEX(Data!$D$2051:$D$2550,$M269))</f>
        <v>Elementary-Middle</v>
      </c>
      <c r="E269" s="142">
        <f ca="1">IF($M269=0,"",INDEX(Data!$G$2051:$G$2550,$M269))</f>
        <v>0.6643</v>
      </c>
      <c r="F269" s="141">
        <f ca="1">IF($M269=0,"",INDEX(Data!$F$2051:$F$2550,$M269))</f>
        <v>845</v>
      </c>
      <c r="G269" s="143">
        <f ca="1">IF($M269=0,"",INDEX(Data!$K$2051:$K$2550,$M269))</f>
        <v>0.4278518155031602</v>
      </c>
      <c r="H269" s="141">
        <f ca="1">IF($M269=0,"",INDEX(Data!$L$2051:$L$2550,$M269))</f>
        <v>8</v>
      </c>
      <c r="I269" s="144">
        <f ca="1">IF($M269=0,"",INDEX(Data!$T$2051:$T$2550,$M269))</f>
        <v>30</v>
      </c>
      <c r="J269" s="141" t="str">
        <f ca="1">IF($M269=0,"",INDEX(Data!$U$2051:$U$2550,$M269))</f>
        <v>Listed</v>
      </c>
      <c r="K269" s="141" t="str">
        <f ca="1">IF($M269=0,"",INDEX(Data!$AA$2051:$AA$2550,$M269))</f>
        <v>66% economic need; 0.43 mi fresh access; 8 nearby resources</v>
      </c>
      <c r="L269" s="141" t="str">
        <f ca="1">IF($M269=0,"",IF(INDEX(Data!$AN$2051:$AN$2550,$M269)=0,"",IF(INDEX(Data!$U$41:$U$540,INDEX(Data!$AN$2051:$AN$2550,$M269))="","",INDEX(Data!$U$41:$U$540,INDEX(Data!$AN$2051:$AN$2550,$M269)))))</f>
        <v>215-227-1728</v>
      </c>
      <c r="M269" s="132">
        <f ca="1">IF(COUNTIFS(Data!$AV$2051:$AV$2550,257)=1,MATCH(257,Data!$AV$2051:$AV$2550,0),0)</f>
        <v>110</v>
      </c>
      <c r="N269" s="145" t="str">
        <f ca="1">IF($M269=0,"",IF(INDEX(Data!$I$2051:$I$2550,$M269)=0,"Add ID","Row "&amp;(INDEX(Data!$I$2051:$I$2550,$M269)+7)))</f>
        <v>Row 171</v>
      </c>
    </row>
    <row r="270" spans="1:14" ht="40" customHeight="1">
      <c r="A270" s="136">
        <f ca="1">IF($M270=0,"",INDEX(Data!$W$2051:$W$2550,$M270))</f>
        <v>258</v>
      </c>
      <c r="B270" s="139" t="str">
        <f ca="1">IF($M270=0,"",INDEX(Data!$B$2051:$B$2550,$M270))</f>
        <v>Boys' Latin of Philadelphia Charter School</v>
      </c>
      <c r="C270" s="146" t="str">
        <f ca="1">IF($M270=0,"",INDEX(Data!$C$2051:$C$2550,$M270))</f>
        <v>Charter</v>
      </c>
      <c r="D270" s="146" t="str">
        <f ca="1">IF($M270=0,"",INDEX(Data!$D$2051:$D$2550,$M270))</f>
        <v>Middle-High</v>
      </c>
      <c r="E270" s="147">
        <f ca="1">IF($M270=0,"",INDEX(Data!$G$2051:$G$2550,$M270))</f>
        <v>0.65510000000000002</v>
      </c>
      <c r="F270" s="146">
        <f ca="1">IF($M270=0,"",INDEX(Data!$F$2051:$F$2550,$M270))</f>
        <v>768</v>
      </c>
      <c r="G270" s="148">
        <f ca="1">IF($M270=0,"",INDEX(Data!$K$2051:$K$2550,$M270))</f>
        <v>0.43883924319742251</v>
      </c>
      <c r="H270" s="146">
        <f ca="1">IF($M270=0,"",INDEX(Data!$L$2051:$L$2550,$M270))</f>
        <v>11</v>
      </c>
      <c r="I270" s="149">
        <f ca="1">IF($M270=0,"",INDEX(Data!$T$2051:$T$2550,$M270))</f>
        <v>30</v>
      </c>
      <c r="J270" s="146" t="str">
        <f ca="1">IF($M270=0,"",INDEX(Data!$U$2051:$U$2550,$M270))</f>
        <v>Listed</v>
      </c>
      <c r="K270" s="146" t="str">
        <f ca="1">IF($M270=0,"",INDEX(Data!$AA$2051:$AA$2550,$M270))</f>
        <v>66% economic need; 0.44 mi fresh access; 11 nearby resources</v>
      </c>
      <c r="L270" s="146" t="str">
        <f ca="1">IF($M270=0,"",IF(INDEX(Data!$AN$2051:$AN$2550,$M270)=0,"",IF(INDEX(Data!$U$41:$U$540,INDEX(Data!$AN$2051:$AN$2550,$M270))="","",INDEX(Data!$U$41:$U$540,INDEX(Data!$AN$2051:$AN$2550,$M270)))))</f>
        <v>215-387-5149</v>
      </c>
      <c r="M270" s="132">
        <f ca="1">IF(COUNTIFS(Data!$AV$2051:$AV$2550,258)=1,MATCH(258,Data!$AV$2051:$AV$2550,0),0)</f>
        <v>118</v>
      </c>
      <c r="N270" s="150" t="str">
        <f ca="1">IF($M270=0,"",IF(INDEX(Data!$I$2051:$I$2550,$M270)=0,"Add ID","Row "&amp;(INDEX(Data!$I$2051:$I$2550,$M270)+7)))</f>
        <v>Row 40</v>
      </c>
    </row>
    <row r="271" spans="1:14" ht="40" customHeight="1">
      <c r="A271" s="135">
        <f ca="1">IF($M271=0,"",INDEX(Data!$W$2051:$W$2550,$M271))</f>
        <v>259</v>
      </c>
      <c r="B271" s="138" t="str">
        <f ca="1">IF($M271=0,"",INDEX(Data!$B$2051:$B$2550,$M271))</f>
        <v>Philadelphia Performing Arts Charter School</v>
      </c>
      <c r="C271" s="141" t="str">
        <f ca="1">IF($M271=0,"",INDEX(Data!$C$2051:$C$2550,$M271))</f>
        <v>Charter</v>
      </c>
      <c r="D271" s="141" t="str">
        <f ca="1">IF($M271=0,"",INDEX(Data!$D$2051:$D$2550,$M271))</f>
        <v>Elementary-Middle-High</v>
      </c>
      <c r="E271" s="142">
        <f ca="1">IF($M271=0,"",INDEX(Data!$G$2051:$G$2550,$M271))</f>
        <v>0.63009999999999999</v>
      </c>
      <c r="F271" s="141">
        <f ca="1">IF($M271=0,"",INDEX(Data!$F$2051:$F$2550,$M271))</f>
        <v>2484</v>
      </c>
      <c r="G271" s="143">
        <f ca="1">IF($M271=0,"",INDEX(Data!$K$2051:$K$2550,$M271))</f>
        <v>0.46247214304635692</v>
      </c>
      <c r="H271" s="141">
        <f ca="1">IF($M271=0,"",INDEX(Data!$L$2051:$L$2550,$M271))</f>
        <v>5</v>
      </c>
      <c r="I271" s="144">
        <f ca="1">IF($M271=0,"",INDEX(Data!$T$2051:$T$2550,$M271))</f>
        <v>30</v>
      </c>
      <c r="J271" s="141" t="str">
        <f ca="1">IF($M271=0,"",INDEX(Data!$U$2051:$U$2550,$M271))</f>
        <v>Listed</v>
      </c>
      <c r="K271" s="141" t="str">
        <f ca="1">IF($M271=0,"",INDEX(Data!$AA$2051:$AA$2550,$M271))</f>
        <v>63% economic need; 0.46 mi fresh access; 5 nearby resources</v>
      </c>
      <c r="L271" s="141" t="str">
        <f ca="1">IF($M271=0,"",IF(INDEX(Data!$AN$2051:$AN$2550,$M271)=0,"",IF(INDEX(Data!$U$41:$U$540,INDEX(Data!$AN$2051:$AN$2550,$M271))="","",INDEX(Data!$U$41:$U$540,INDEX(Data!$AN$2051:$AN$2550,$M271)))))</f>
        <v>215-551-4000</v>
      </c>
      <c r="M271" s="132">
        <f ca="1">IF(COUNTIFS(Data!$AV$2051:$AV$2550,259)=1,MATCH(259,Data!$AV$2051:$AV$2550,0),0)</f>
        <v>96</v>
      </c>
      <c r="N271" s="145" t="str">
        <f ca="1">IF($M271=0,"",IF(INDEX(Data!$I$2051:$I$2550,$M271)=0,"Add ID","Row "&amp;(INDEX(Data!$I$2051:$I$2550,$M271)+7)))</f>
        <v>Row 248</v>
      </c>
    </row>
    <row r="272" spans="1:14" ht="40" customHeight="1">
      <c r="A272" s="136">
        <f ca="1">IF($M272=0,"",INDEX(Data!$W$2051:$W$2550,$M272))</f>
        <v>260</v>
      </c>
      <c r="B272" s="139" t="str">
        <f ca="1">IF($M272=0,"",INDEX(Data!$B$2051:$B$2550,$M272))</f>
        <v>Carver High School of Engineering and Science</v>
      </c>
      <c r="C272" s="146" t="str">
        <f ca="1">IF($M272=0,"",INDEX(Data!$C$2051:$C$2550,$M272))</f>
        <v>District</v>
      </c>
      <c r="D272" s="146" t="str">
        <f ca="1">IF($M272=0,"",INDEX(Data!$D$2051:$D$2550,$M272))</f>
        <v>Middle-High</v>
      </c>
      <c r="E272" s="147">
        <f ca="1">IF($M272=0,"",INDEX(Data!$G$2051:$G$2550,$M272))</f>
        <v>0.5444</v>
      </c>
      <c r="F272" s="146">
        <f ca="1">IF($M272=0,"",INDEX(Data!$F$2051:$F$2550,$M272))</f>
        <v>906</v>
      </c>
      <c r="G272" s="148">
        <f ca="1">IF($M272=0,"",INDEX(Data!$K$2051:$K$2550,$M272))</f>
        <v>0.51247886527807518</v>
      </c>
      <c r="H272" s="146">
        <f ca="1">IF($M272=0,"",INDEX(Data!$L$2051:$L$2550,$M272))</f>
        <v>13</v>
      </c>
      <c r="I272" s="149">
        <f ca="1">IF($M272=0,"",INDEX(Data!$T$2051:$T$2550,$M272))</f>
        <v>30</v>
      </c>
      <c r="J272" s="146" t="str">
        <f ca="1">IF($M272=0,"",INDEX(Data!$U$2051:$U$2550,$M272))</f>
        <v>Listed</v>
      </c>
      <c r="K272" s="146" t="str">
        <f ca="1">IF($M272=0,"",INDEX(Data!$AA$2051:$AA$2550,$M272))</f>
        <v>54% economic need; 0.51 mi fresh access; 13 nearby resources</v>
      </c>
      <c r="L272" s="146" t="str">
        <f ca="1">IF($M272=0,"",IF(INDEX(Data!$AN$2051:$AN$2550,$M272)=0,"",IF(INDEX(Data!$U$41:$U$540,INDEX(Data!$AN$2051:$AN$2550,$M272))="","",INDEX(Data!$U$41:$U$540,INDEX(Data!$AN$2051:$AN$2550,$M272)))))</f>
        <v>215-400-7380</v>
      </c>
      <c r="M272" s="132">
        <f ca="1">IF(COUNTIFS(Data!$AV$2051:$AV$2550,260)=1,MATCH(260,Data!$AV$2051:$AV$2550,0),0)</f>
        <v>158</v>
      </c>
      <c r="N272" s="150" t="str">
        <f ca="1">IF($M272=0,"",IF(INDEX(Data!$I$2051:$I$2550,$M272)=0,"Add ID","Row "&amp;(INDEX(Data!$I$2051:$I$2550,$M272)+7)))</f>
        <v>Row 43</v>
      </c>
    </row>
    <row r="273" spans="1:14" ht="40" customHeight="1">
      <c r="A273" s="135">
        <f ca="1">IF($M273=0,"",INDEX(Data!$W$2051:$W$2550,$M273))</f>
        <v>261</v>
      </c>
      <c r="B273" s="138" t="str">
        <f ca="1">IF($M273=0,"",INDEX(Data!$B$2051:$B$2550,$M273))</f>
        <v>Philadelphia Academy Charter School</v>
      </c>
      <c r="C273" s="141" t="str">
        <f ca="1">IF($M273=0,"",INDEX(Data!$C$2051:$C$2550,$M273))</f>
        <v>Charter</v>
      </c>
      <c r="D273" s="141" t="str">
        <f ca="1">IF($M273=0,"",INDEX(Data!$D$2051:$D$2550,$M273))</f>
        <v>Elementary-Middle-High</v>
      </c>
      <c r="E273" s="142">
        <f ca="1">IF($M273=0,"",INDEX(Data!$G$2051:$G$2550,$M273))</f>
        <v>0.53879999999999995</v>
      </c>
      <c r="F273" s="141">
        <f ca="1">IF($M273=0,"",INDEX(Data!$F$2051:$F$2550,$M273))</f>
        <v>1195</v>
      </c>
      <c r="G273" s="143">
        <f ca="1">IF($M273=0,"",INDEX(Data!$K$2051:$K$2550,$M273))</f>
        <v>0.15913114827820626</v>
      </c>
      <c r="H273" s="141">
        <f ca="1">IF($M273=0,"",INDEX(Data!$L$2051:$L$2550,$M273))</f>
        <v>3</v>
      </c>
      <c r="I273" s="144">
        <f ca="1">IF($M273=0,"",INDEX(Data!$T$2051:$T$2550,$M273))</f>
        <v>30</v>
      </c>
      <c r="J273" s="141" t="str">
        <f ca="1">IF($M273=0,"",INDEX(Data!$U$2051:$U$2550,$M273))</f>
        <v>Listed</v>
      </c>
      <c r="K273" s="141" t="str">
        <f ca="1">IF($M273=0,"",INDEX(Data!$AA$2051:$AA$2550,$M273))</f>
        <v>54% economic need; 0.16 mi fresh access; 3 nearby resources</v>
      </c>
      <c r="L273" s="141" t="str">
        <f ca="1">IF($M273=0,"",IF(INDEX(Data!$AN$2051:$AN$2550,$M273)=0,"",IF(INDEX(Data!$U$41:$U$540,INDEX(Data!$AN$2051:$AN$2550,$M273))="","",INDEX(Data!$U$41:$U$540,INDEX(Data!$AN$2051:$AN$2550,$M273)))))</f>
        <v>215-676-8320</v>
      </c>
      <c r="M273" s="132">
        <f ca="1">IF(COUNTIFS(Data!$AV$2051:$AV$2550,261)=1,MATCH(261,Data!$AV$2051:$AV$2550,0),0)</f>
        <v>86</v>
      </c>
      <c r="N273" s="145" t="str">
        <f ca="1">IF($M273=0,"",IF(INDEX(Data!$I$2051:$I$2550,$M273)=0,"Add ID","Row "&amp;(INDEX(Data!$I$2051:$I$2550,$M273)+7)))</f>
        <v>Row 238</v>
      </c>
    </row>
    <row r="274" spans="1:14" ht="40" customHeight="1">
      <c r="A274" s="136">
        <f ca="1">IF($M274=0,"",INDEX(Data!$W$2051:$W$2550,$M274))</f>
        <v>262</v>
      </c>
      <c r="B274" s="139" t="str">
        <f ca="1">IF($M274=0,"",INDEX(Data!$B$2051:$B$2550,$M274))</f>
        <v>Central High School</v>
      </c>
      <c r="C274" s="146" t="str">
        <f ca="1">IF($M274=0,"",INDEX(Data!$C$2051:$C$2550,$M274))</f>
        <v>District</v>
      </c>
      <c r="D274" s="146" t="str">
        <f ca="1">IF($M274=0,"",INDEX(Data!$D$2051:$D$2550,$M274))</f>
        <v>High</v>
      </c>
      <c r="E274" s="147">
        <f ca="1">IF($M274=0,"",INDEX(Data!$G$2051:$G$2550,$M274))</f>
        <v>0.52729999999999999</v>
      </c>
      <c r="F274" s="146">
        <f ca="1">IF($M274=0,"",INDEX(Data!$F$2051:$F$2550,$M274))</f>
        <v>2343</v>
      </c>
      <c r="G274" s="148">
        <f ca="1">IF($M274=0,"",INDEX(Data!$K$2051:$K$2550,$M274))</f>
        <v>0.52481256973767909</v>
      </c>
      <c r="H274" s="146">
        <f ca="1">IF($M274=0,"",INDEX(Data!$L$2051:$L$2550,$M274))</f>
        <v>12</v>
      </c>
      <c r="I274" s="149">
        <f ca="1">IF($M274=0,"",INDEX(Data!$T$2051:$T$2550,$M274))</f>
        <v>30</v>
      </c>
      <c r="J274" s="146" t="str">
        <f ca="1">IF($M274=0,"",INDEX(Data!$U$2051:$U$2550,$M274))</f>
        <v>Listed</v>
      </c>
      <c r="K274" s="146" t="str">
        <f ca="1">IF($M274=0,"",INDEX(Data!$AA$2051:$AA$2550,$M274))</f>
        <v>53% economic need; 0.52 mi fresh access; 12 nearby resources</v>
      </c>
      <c r="L274" s="146" t="str">
        <f ca="1">IF($M274=0,"",IF(INDEX(Data!$AN$2051:$AN$2550,$M274)=0,"",IF(INDEX(Data!$U$41:$U$540,INDEX(Data!$AN$2051:$AN$2550,$M274))="","",INDEX(Data!$U$41:$U$540,INDEX(Data!$AN$2051:$AN$2550,$M274)))))</f>
        <v>215-400-3590</v>
      </c>
      <c r="M274" s="132">
        <f ca="1">IF(COUNTIFS(Data!$AV$2051:$AV$2550,262)=1,MATCH(262,Data!$AV$2051:$AV$2550,0),0)</f>
        <v>223</v>
      </c>
      <c r="N274" s="150" t="str">
        <f ca="1">IF($M274=0,"",IF(INDEX(Data!$I$2051:$I$2550,$M274)=0,"Add ID","Row "&amp;(INDEX(Data!$I$2051:$I$2550,$M274)+7)))</f>
        <v>Row 46</v>
      </c>
    </row>
    <row r="275" spans="1:14" ht="40" customHeight="1">
      <c r="A275" s="135">
        <f ca="1">IF($M275=0,"",INDEX(Data!$W$2051:$W$2550,$M275))</f>
        <v>263</v>
      </c>
      <c r="B275" s="138" t="str">
        <f ca="1">IF($M275=0,"",INDEX(Data!$B$2051:$B$2550,$M275))</f>
        <v>South Philadelphia High School</v>
      </c>
      <c r="C275" s="141" t="str">
        <f ca="1">IF($M275=0,"",INDEX(Data!$C$2051:$C$2550,$M275))</f>
        <v>District</v>
      </c>
      <c r="D275" s="141" t="str">
        <f ca="1">IF($M275=0,"",INDEX(Data!$D$2051:$D$2550,$M275))</f>
        <v>High</v>
      </c>
      <c r="E275" s="142">
        <f ca="1">IF($M275=0,"",INDEX(Data!$G$2051:$G$2550,$M275))</f>
        <v>0.78029999999999999</v>
      </c>
      <c r="F275" s="141">
        <f ca="1">IF($M275=0,"",INDEX(Data!$F$2051:$F$2550,$M275))</f>
        <v>647</v>
      </c>
      <c r="G275" s="143">
        <f ca="1">IF($M275=0,"",INDEX(Data!$K$2051:$K$2550,$M275))</f>
        <v>6.7715010080251201E-2</v>
      </c>
      <c r="H275" s="141">
        <f ca="1">IF($M275=0,"",INDEX(Data!$L$2051:$L$2550,$M275))</f>
        <v>10</v>
      </c>
      <c r="I275" s="144">
        <f ca="1">IF($M275=0,"",INDEX(Data!$T$2051:$T$2550,$M275))</f>
        <v>29</v>
      </c>
      <c r="J275" s="141" t="str">
        <f ca="1">IF($M275=0,"",INDEX(Data!$U$2051:$U$2550,$M275))</f>
        <v>Listed</v>
      </c>
      <c r="K275" s="141" t="str">
        <f ca="1">IF($M275=0,"",INDEX(Data!$AA$2051:$AA$2550,$M275))</f>
        <v>78% economic need; 0.07 mi fresh access; 10 nearby resources</v>
      </c>
      <c r="L275" s="141" t="str">
        <f ca="1">IF($M275=0,"",IF(INDEX(Data!$AN$2051:$AN$2550,$M275)=0,"",IF(INDEX(Data!$U$41:$U$540,INDEX(Data!$AN$2051:$AN$2550,$M275))="","",INDEX(Data!$U$41:$U$540,INDEX(Data!$AN$2051:$AN$2550,$M275)))))</f>
        <v>215-400-8400</v>
      </c>
      <c r="M275" s="132">
        <f ca="1">IF(COUNTIFS(Data!$AV$2051:$AV$2550,263)=1,MATCH(263,Data!$AV$2051:$AV$2550,0),0)</f>
        <v>29</v>
      </c>
      <c r="N275" s="145" t="str">
        <f ca="1">IF($M275=0,"",IF(INDEX(Data!$I$2051:$I$2550,$M275)=0,"Add ID","Row "&amp;(INDEX(Data!$I$2051:$I$2550,$M275)+7)))</f>
        <v>Row 277</v>
      </c>
    </row>
    <row r="276" spans="1:14" ht="40" customHeight="1">
      <c r="A276" s="136">
        <f ca="1">IF($M276=0,"",INDEX(Data!$W$2051:$W$2550,$M276))</f>
        <v>264</v>
      </c>
      <c r="B276" s="139" t="str">
        <f ca="1">IF($M276=0,"",INDEX(Data!$B$2051:$B$2550,$M276))</f>
        <v>William W. Bodine High School</v>
      </c>
      <c r="C276" s="146" t="str">
        <f ca="1">IF($M276=0,"",INDEX(Data!$C$2051:$C$2550,$M276))</f>
        <v>District</v>
      </c>
      <c r="D276" s="146" t="str">
        <f ca="1">IF($M276=0,"",INDEX(Data!$D$2051:$D$2550,$M276))</f>
        <v>High</v>
      </c>
      <c r="E276" s="147">
        <f ca="1">IF($M276=0,"",INDEX(Data!$G$2051:$G$2550,$M276))</f>
        <v>0.70679999999999998</v>
      </c>
      <c r="F276" s="146">
        <f ca="1">IF($M276=0,"",INDEX(Data!$F$2051:$F$2550,$M276))</f>
        <v>523</v>
      </c>
      <c r="G276" s="148">
        <f ca="1">IF($M276=0,"",INDEX(Data!$K$2051:$K$2550,$M276))</f>
        <v>0.18327217006672497</v>
      </c>
      <c r="H276" s="146">
        <f ca="1">IF($M276=0,"",INDEX(Data!$L$2051:$L$2550,$M276))</f>
        <v>10</v>
      </c>
      <c r="I276" s="149">
        <f ca="1">IF($M276=0,"",INDEX(Data!$T$2051:$T$2550,$M276))</f>
        <v>29</v>
      </c>
      <c r="J276" s="146" t="str">
        <f ca="1">IF($M276=0,"",INDEX(Data!$U$2051:$U$2550,$M276))</f>
        <v>Listed</v>
      </c>
      <c r="K276" s="146" t="str">
        <f ca="1">IF($M276=0,"",INDEX(Data!$AA$2051:$AA$2550,$M276))</f>
        <v>71% economic need; 0.18 mi fresh access; 10 nearby resources</v>
      </c>
      <c r="L276" s="146" t="str">
        <f ca="1">IF($M276=0,"",IF(INDEX(Data!$AN$2051:$AN$2550,$M276)=0,"",IF(INDEX(Data!$U$41:$U$540,INDEX(Data!$AN$2051:$AN$2550,$M276))="","",INDEX(Data!$U$41:$U$540,INDEX(Data!$AN$2051:$AN$2550,$M276)))))</f>
        <v>215-400-7630</v>
      </c>
      <c r="M276" s="132">
        <f ca="1">IF(COUNTIFS(Data!$AV$2051:$AV$2550,264)=1,MATCH(264,Data!$AV$2051:$AV$2550,0),0)</f>
        <v>185</v>
      </c>
      <c r="N276" s="150" t="str">
        <f ca="1">IF($M276=0,"",IF(INDEX(Data!$I$2051:$I$2550,$M276)=0,"Add ID","Row "&amp;(INDEX(Data!$I$2051:$I$2550,$M276)+7)))</f>
        <v>Row 332</v>
      </c>
    </row>
    <row r="277" spans="1:14" ht="40" customHeight="1">
      <c r="A277" s="135">
        <f ca="1">IF($M277=0,"",INDEX(Data!$W$2051:$W$2550,$M277))</f>
        <v>265</v>
      </c>
      <c r="B277" s="138" t="str">
        <f ca="1">IF($M277=0,"",INDEX(Data!$B$2051:$B$2550,$M277))</f>
        <v>Alexander Adaire School</v>
      </c>
      <c r="C277" s="141" t="str">
        <f ca="1">IF($M277=0,"",INDEX(Data!$C$2051:$C$2550,$M277))</f>
        <v>District</v>
      </c>
      <c r="D277" s="141" t="str">
        <f ca="1">IF($M277=0,"",INDEX(Data!$D$2051:$D$2550,$M277))</f>
        <v>Elementary-Middle</v>
      </c>
      <c r="E277" s="142">
        <f ca="1">IF($M277=0,"",INDEX(Data!$G$2051:$G$2550,$M277))</f>
        <v>0.31259999999999999</v>
      </c>
      <c r="F277" s="141">
        <f ca="1">IF($M277=0,"",INDEX(Data!$F$2051:$F$2550,$M277))</f>
        <v>451</v>
      </c>
      <c r="G277" s="143">
        <f ca="1">IF($M277=0,"",INDEX(Data!$K$2051:$K$2550,$M277))</f>
        <v>0.56132509723043378</v>
      </c>
      <c r="H277" s="141">
        <f ca="1">IF($M277=0,"",INDEX(Data!$L$2051:$L$2550,$M277))</f>
        <v>3</v>
      </c>
      <c r="I277" s="144">
        <f ca="1">IF($M277=0,"",INDEX(Data!$T$2051:$T$2550,$M277))</f>
        <v>28</v>
      </c>
      <c r="J277" s="141" t="str">
        <f ca="1">IF($M277=0,"",INDEX(Data!$U$2051:$U$2550,$M277))</f>
        <v>Listed</v>
      </c>
      <c r="K277" s="141" t="str">
        <f ca="1">IF($M277=0,"",INDEX(Data!$AA$2051:$AA$2550,$M277))</f>
        <v>31% economic need; 0.56 mi fresh access; 3 nearby resources</v>
      </c>
      <c r="L277" s="141" t="str">
        <f ca="1">IF($M277=0,"",IF(INDEX(Data!$AN$2051:$AN$2550,$M277)=0,"",IF(INDEX(Data!$U$41:$U$540,INDEX(Data!$AN$2051:$AN$2550,$M277))="","",INDEX(Data!$U$41:$U$540,INDEX(Data!$AN$2051:$AN$2550,$M277)))))</f>
        <v>215-400-7480</v>
      </c>
      <c r="M277" s="132">
        <f ca="1">IF(COUNTIFS(Data!$AV$2051:$AV$2550,265)=1,MATCH(265,Data!$AV$2051:$AV$2550,0),0)</f>
        <v>189</v>
      </c>
      <c r="N277" s="145" t="str">
        <f ca="1">IF($M277=0,"",IF(INDEX(Data!$I$2051:$I$2550,$M277)=0,"Add ID","Row "&amp;(INDEX(Data!$I$2051:$I$2550,$M277)+7)))</f>
        <v>Row 19</v>
      </c>
    </row>
    <row r="278" spans="1:14" ht="40" customHeight="1">
      <c r="A278" s="136">
        <f ca="1">IF($M278=0,"",INDEX(Data!$W$2051:$W$2550,$M278))</f>
        <v>266</v>
      </c>
      <c r="B278" s="139" t="str">
        <f ca="1">IF($M278=0,"",INDEX(Data!$B$2051:$B$2550,$M278))</f>
        <v>Paul Robeson High School for Human Services</v>
      </c>
      <c r="C278" s="146" t="str">
        <f ca="1">IF($M278=0,"",INDEX(Data!$C$2051:$C$2550,$M278))</f>
        <v>District</v>
      </c>
      <c r="D278" s="146" t="str">
        <f ca="1">IF($M278=0,"",INDEX(Data!$D$2051:$D$2550,$M278))</f>
        <v>High</v>
      </c>
      <c r="E278" s="147">
        <f ca="1">IF($M278=0,"",INDEX(Data!$G$2051:$G$2550,$M278))</f>
        <v>0.75329999999999997</v>
      </c>
      <c r="F278" s="146">
        <f ca="1">IF($M278=0,"",INDEX(Data!$F$2051:$F$2550,$M278))</f>
        <v>300</v>
      </c>
      <c r="G278" s="148">
        <f ca="1">IF($M278=0,"",INDEX(Data!$K$2051:$K$2550,$M278))</f>
        <v>0.1812821079384152</v>
      </c>
      <c r="H278" s="146">
        <f ca="1">IF($M278=0,"",INDEX(Data!$L$2051:$L$2550,$M278))</f>
        <v>12</v>
      </c>
      <c r="I278" s="149">
        <f ca="1">IF($M278=0,"",INDEX(Data!$T$2051:$T$2550,$M278))</f>
        <v>27</v>
      </c>
      <c r="J278" s="146" t="str">
        <f ca="1">IF($M278=0,"",INDEX(Data!$U$2051:$U$2550,$M278))</f>
        <v>Listed</v>
      </c>
      <c r="K278" s="146" t="str">
        <f ca="1">IF($M278=0,"",INDEX(Data!$AA$2051:$AA$2550,$M278))</f>
        <v>75% economic need; 0.18 mi fresh access; 12 nearby resources</v>
      </c>
      <c r="L278" s="146" t="str">
        <f ca="1">IF($M278=0,"",IF(INDEX(Data!$AN$2051:$AN$2550,$M278)=0,"",IF(INDEX(Data!$U$41:$U$540,INDEX(Data!$AN$2051:$AN$2550,$M278))="","",INDEX(Data!$U$41:$U$540,INDEX(Data!$AN$2051:$AN$2550,$M278)))))</f>
        <v>215-400-7780</v>
      </c>
      <c r="M278" s="132">
        <f ca="1">IF(COUNTIFS(Data!$AV$2051:$AV$2550,266)=1,MATCH(266,Data!$AV$2051:$AV$2550,0),0)</f>
        <v>4</v>
      </c>
      <c r="N278" s="150" t="str">
        <f ca="1">IF($M278=0,"",IF(INDEX(Data!$I$2051:$I$2550,$M278)=0,"Add ID","Row "&amp;(INDEX(Data!$I$2051:$I$2550,$M278)+7)))</f>
        <v>Row 233</v>
      </c>
    </row>
    <row r="279" spans="1:14" ht="40" customHeight="1">
      <c r="A279" s="135">
        <f ca="1">IF($M279=0,"",INDEX(Data!$W$2051:$W$2550,$M279))</f>
        <v>267</v>
      </c>
      <c r="B279" s="138" t="str">
        <f ca="1">IF($M279=0,"",INDEX(Data!$B$2051:$B$2550,$M279))</f>
        <v>Edwin M. Stanton School</v>
      </c>
      <c r="C279" s="141" t="str">
        <f ca="1">IF($M279=0,"",INDEX(Data!$C$2051:$C$2550,$M279))</f>
        <v>District</v>
      </c>
      <c r="D279" s="141" t="str">
        <f ca="1">IF($M279=0,"",INDEX(Data!$D$2051:$D$2550,$M279))</f>
        <v>Elementary-Middle</v>
      </c>
      <c r="E279" s="142">
        <f ca="1">IF($M279=0,"",INDEX(Data!$G$2051:$G$2550,$M279))</f>
        <v>0.64970000000000006</v>
      </c>
      <c r="F279" s="141">
        <f ca="1">IF($M279=0,"",INDEX(Data!$F$2051:$F$2550,$M279))</f>
        <v>316</v>
      </c>
      <c r="G279" s="143">
        <f ca="1">IF($M279=0,"",INDEX(Data!$K$2051:$K$2550,$M279))</f>
        <v>0.26255188949064612</v>
      </c>
      <c r="H279" s="141">
        <f ca="1">IF($M279=0,"",INDEX(Data!$L$2051:$L$2550,$M279))</f>
        <v>15</v>
      </c>
      <c r="I279" s="144">
        <f ca="1">IF($M279=0,"",INDEX(Data!$T$2051:$T$2550,$M279))</f>
        <v>27</v>
      </c>
      <c r="J279" s="141" t="str">
        <f ca="1">IF($M279=0,"",INDEX(Data!$U$2051:$U$2550,$M279))</f>
        <v>Listed</v>
      </c>
      <c r="K279" s="141" t="str">
        <f ca="1">IF($M279=0,"",INDEX(Data!$AA$2051:$AA$2550,$M279))</f>
        <v>65% economic need; 0.26 mi fresh access; 15 nearby resources</v>
      </c>
      <c r="L279" s="141" t="str">
        <f ca="1">IF($M279=0,"",IF(INDEX(Data!$AN$2051:$AN$2550,$M279)=0,"",IF(INDEX(Data!$U$41:$U$540,INDEX(Data!$AN$2051:$AN$2550,$M279))="","",INDEX(Data!$U$41:$U$540,INDEX(Data!$AN$2051:$AN$2550,$M279)))))</f>
        <v>215-400-7960</v>
      </c>
      <c r="M279" s="132">
        <f ca="1">IF(COUNTIFS(Data!$AV$2051:$AV$2550,267)=1,MATCH(267,Data!$AV$2051:$AV$2550,0),0)</f>
        <v>47</v>
      </c>
      <c r="N279" s="145" t="str">
        <f ca="1">IF($M279=0,"",IF(INDEX(Data!$I$2051:$I$2550,$M279)=0,"Add ID","Row "&amp;(INDEX(Data!$I$2051:$I$2550,$M279)+7)))</f>
        <v>Row 66</v>
      </c>
    </row>
    <row r="280" spans="1:14" ht="40" customHeight="1">
      <c r="A280" s="136">
        <f ca="1">IF($M280=0,"",INDEX(Data!$W$2051:$W$2550,$M280))</f>
        <v>268</v>
      </c>
      <c r="B280" s="139" t="str">
        <f ca="1">IF($M280=0,"",INDEX(Data!$B$2051:$B$2550,$M280))</f>
        <v>Abram S. Jenks School</v>
      </c>
      <c r="C280" s="146" t="str">
        <f ca="1">IF($M280=0,"",INDEX(Data!$C$2051:$C$2550,$M280))</f>
        <v>District</v>
      </c>
      <c r="D280" s="146" t="str">
        <f ca="1">IF($M280=0,"",INDEX(Data!$D$2051:$D$2550,$M280))</f>
        <v>Elementary</v>
      </c>
      <c r="E280" s="147">
        <f ca="1">IF($M280=0,"",INDEX(Data!$G$2051:$G$2550,$M280))</f>
        <v>0.61899999999999999</v>
      </c>
      <c r="F280" s="146">
        <f ca="1">IF($M280=0,"",INDEX(Data!$F$2051:$F$2550,$M280))</f>
        <v>272</v>
      </c>
      <c r="G280" s="148">
        <f ca="1">IF($M280=0,"",INDEX(Data!$K$2051:$K$2550,$M280))</f>
        <v>0.39797068808990738</v>
      </c>
      <c r="H280" s="146">
        <f ca="1">IF($M280=0,"",INDEX(Data!$L$2051:$L$2550,$M280))</f>
        <v>6</v>
      </c>
      <c r="I280" s="149">
        <f ca="1">IF($M280=0,"",INDEX(Data!$T$2051:$T$2550,$M280))</f>
        <v>27</v>
      </c>
      <c r="J280" s="146" t="str">
        <f ca="1">IF($M280=0,"",INDEX(Data!$U$2051:$U$2550,$M280))</f>
        <v>Listed</v>
      </c>
      <c r="K280" s="146" t="str">
        <f ca="1">IF($M280=0,"",INDEX(Data!$AA$2051:$AA$2550,$M280))</f>
        <v>62% economic need; 0.40 mi fresh access; 6 nearby resources</v>
      </c>
      <c r="L280" s="146" t="str">
        <f ca="1">IF($M280=0,"",IF(INDEX(Data!$AN$2051:$AN$2550,$M280)=0,"",IF(INDEX(Data!$U$41:$U$540,INDEX(Data!$AN$2051:$AN$2550,$M280))="","",INDEX(Data!$U$41:$U$540,INDEX(Data!$AN$2051:$AN$2550,$M280)))))</f>
        <v>215-400-8240</v>
      </c>
      <c r="M280" s="132">
        <f ca="1">IF(COUNTIFS(Data!$AV$2051:$AV$2550,268)=1,MATCH(268,Data!$AV$2051:$AV$2550,0),0)</f>
        <v>52</v>
      </c>
      <c r="N280" s="150" t="str">
        <f ca="1">IF($M280=0,"",IF(INDEX(Data!$I$2051:$I$2550,$M280)=0,"Add ID","Row "&amp;(INDEX(Data!$I$2051:$I$2550,$M280)+7)))</f>
        <v>Row 10</v>
      </c>
    </row>
    <row r="281" spans="1:14" ht="40" customHeight="1">
      <c r="A281" s="135">
        <f ca="1">IF($M281=0,"",INDEX(Data!$W$2051:$W$2550,$M281))</f>
        <v>269</v>
      </c>
      <c r="B281" s="138" t="str">
        <f ca="1">IF($M281=0,"",INDEX(Data!$B$2051:$B$2550,$M281))</f>
        <v>Horace Furness High School</v>
      </c>
      <c r="C281" s="141" t="str">
        <f ca="1">IF($M281=0,"",INDEX(Data!$C$2051:$C$2550,$M281))</f>
        <v>District</v>
      </c>
      <c r="D281" s="141" t="str">
        <f ca="1">IF($M281=0,"",INDEX(Data!$D$2051:$D$2550,$M281))</f>
        <v>High</v>
      </c>
      <c r="E281" s="142">
        <f ca="1">IF($M281=0,"",INDEX(Data!$G$2051:$G$2550,$M281))</f>
        <v>0.68889999999999996</v>
      </c>
      <c r="F281" s="141">
        <f ca="1">IF($M281=0,"",INDEX(Data!$F$2051:$F$2550,$M281))</f>
        <v>836</v>
      </c>
      <c r="G281" s="143">
        <f ca="1">IF($M281=0,"",INDEX(Data!$K$2051:$K$2550,$M281))</f>
        <v>0.19535268348524887</v>
      </c>
      <c r="H281" s="141">
        <f ca="1">IF($M281=0,"",INDEX(Data!$L$2051:$L$2550,$M281))</f>
        <v>6</v>
      </c>
      <c r="I281" s="144">
        <f ca="1">IF($M281=0,"",INDEX(Data!$T$2051:$T$2550,$M281))</f>
        <v>25</v>
      </c>
      <c r="J281" s="141" t="str">
        <f ca="1">IF($M281=0,"",INDEX(Data!$U$2051:$U$2550,$M281))</f>
        <v>Listed</v>
      </c>
      <c r="K281" s="141" t="str">
        <f ca="1">IF($M281=0,"",INDEX(Data!$AA$2051:$AA$2550,$M281))</f>
        <v>69% economic need; 0.20 mi fresh access; 6 nearby resources</v>
      </c>
      <c r="L281" s="141" t="str">
        <f ca="1">IF($M281=0,"",IF(INDEX(Data!$AN$2051:$AN$2550,$M281)=0,"",IF(INDEX(Data!$U$41:$U$540,INDEX(Data!$AN$2051:$AN$2550,$M281))="","",INDEX(Data!$U$41:$U$540,INDEX(Data!$AN$2051:$AN$2550,$M281)))))</f>
        <v>215-400-8300</v>
      </c>
      <c r="M281" s="132">
        <f ca="1">IF(COUNTIFS(Data!$AV$2051:$AV$2550,269)=1,MATCH(269,Data!$AV$2051:$AV$2550,0),0)</f>
        <v>34</v>
      </c>
      <c r="N281" s="145" t="str">
        <f ca="1">IF($M281=0,"",IF(INDEX(Data!$I$2051:$I$2550,$M281)=0,"Add ID","Row "&amp;(INDEX(Data!$I$2051:$I$2550,$M281)+7)))</f>
        <v>Row 124</v>
      </c>
    </row>
    <row r="282" spans="1:14" ht="40" customHeight="1">
      <c r="A282" s="136">
        <f ca="1">IF($M282=0,"",INDEX(Data!$W$2051:$W$2550,$M282))</f>
        <v>270</v>
      </c>
      <c r="B282" s="139" t="str">
        <f ca="1">IF($M282=0,"",INDEX(Data!$B$2051:$B$2550,$M282))</f>
        <v>Christopher Columbus Charter School</v>
      </c>
      <c r="C282" s="146" t="str">
        <f ca="1">IF($M282=0,"",INDEX(Data!$C$2051:$C$2550,$M282))</f>
        <v>Charter</v>
      </c>
      <c r="D282" s="146" t="str">
        <f ca="1">IF($M282=0,"",INDEX(Data!$D$2051:$D$2550,$M282))</f>
        <v>Elementary-Middle</v>
      </c>
      <c r="E282" s="147">
        <f ca="1">IF($M282=0,"",INDEX(Data!$G$2051:$G$2550,$M282))</f>
        <v>0.60309999999999997</v>
      </c>
      <c r="F282" s="146">
        <f ca="1">IF($M282=0,"",INDEX(Data!$F$2051:$F$2550,$M282))</f>
        <v>817</v>
      </c>
      <c r="G282" s="148">
        <f ca="1">IF($M282=0,"",INDEX(Data!$K$2051:$K$2550,$M282))</f>
        <v>0.22052858366333475</v>
      </c>
      <c r="H282" s="146">
        <f ca="1">IF($M282=0,"",INDEX(Data!$L$2051:$L$2550,$M282))</f>
        <v>11</v>
      </c>
      <c r="I282" s="149">
        <f ca="1">IF($M282=0,"",INDEX(Data!$T$2051:$T$2550,$M282))</f>
        <v>25</v>
      </c>
      <c r="J282" s="146" t="str">
        <f ca="1">IF($M282=0,"",INDEX(Data!$U$2051:$U$2550,$M282))</f>
        <v>Listed</v>
      </c>
      <c r="K282" s="146" t="str">
        <f ca="1">IF($M282=0,"",INDEX(Data!$AA$2051:$AA$2550,$M282))</f>
        <v>60% economic need; 0.22 mi fresh access; 11 nearby resources</v>
      </c>
      <c r="L282" s="146" t="str">
        <f ca="1">IF($M282=0,"",IF(INDEX(Data!$AN$2051:$AN$2550,$M282)=0,"",IF(INDEX(Data!$U$41:$U$540,INDEX(Data!$AN$2051:$AN$2550,$M282))="","",INDEX(Data!$U$41:$U$540,INDEX(Data!$AN$2051:$AN$2550,$M282)))))</f>
        <v>215-925-7400</v>
      </c>
      <c r="M282" s="132">
        <f ca="1">IF(COUNTIFS(Data!$AV$2051:$AV$2550,270)=1,MATCH(270,Data!$AV$2051:$AV$2550,0),0)</f>
        <v>76</v>
      </c>
      <c r="N282" s="150" t="str">
        <f ca="1">IF($M282=0,"",IF(INDEX(Data!$I$2051:$I$2550,$M282)=0,"Add ID","Row "&amp;(INDEX(Data!$I$2051:$I$2550,$M282)+7)))</f>
        <v>Row 49</v>
      </c>
    </row>
    <row r="283" spans="1:14" ht="40" customHeight="1">
      <c r="A283" s="135">
        <f ca="1">IF($M283=0,"",INDEX(Data!$W$2051:$W$2550,$M283))</f>
        <v>271</v>
      </c>
      <c r="B283" s="138" t="str">
        <f ca="1">IF($M283=0,"",INDEX(Data!$B$2051:$B$2550,$M283))</f>
        <v>KIPP North Philadelphia Charter School</v>
      </c>
      <c r="C283" s="141" t="str">
        <f ca="1">IF($M283=0,"",INDEX(Data!$C$2051:$C$2550,$M283))</f>
        <v>Charter</v>
      </c>
      <c r="D283" s="141" t="str">
        <f ca="1">IF($M283=0,"",INDEX(Data!$D$2051:$D$2550,$M283))</f>
        <v>Elementary</v>
      </c>
      <c r="E283" s="142">
        <f ca="1">IF($M283=0,"",INDEX(Data!$G$2051:$G$2550,$M283))</f>
        <v>0.59040000000000004</v>
      </c>
      <c r="F283" s="141">
        <f ca="1">IF($M283=0,"",INDEX(Data!$F$2051:$F$2550,$M283))</f>
        <v>705</v>
      </c>
      <c r="G283" s="143">
        <f ca="1">IF($M283=0,"",INDEX(Data!$K$2051:$K$2550,$M283))</f>
        <v>0.47647430656461814</v>
      </c>
      <c r="H283" s="141">
        <f ca="1">IF($M283=0,"",INDEX(Data!$L$2051:$L$2550,$M283))</f>
        <v>16</v>
      </c>
      <c r="I283" s="144">
        <f ca="1">IF($M283=0,"",INDEX(Data!$T$2051:$T$2550,$M283))</f>
        <v>25</v>
      </c>
      <c r="J283" s="141" t="str">
        <f ca="1">IF($M283=0,"",INDEX(Data!$U$2051:$U$2550,$M283))</f>
        <v>Listed</v>
      </c>
      <c r="K283" s="141" t="str">
        <f ca="1">IF($M283=0,"",INDEX(Data!$AA$2051:$AA$2550,$M283))</f>
        <v>59% economic need; 0.48 mi fresh access; 16 nearby resources</v>
      </c>
      <c r="L283" s="141" t="str">
        <f ca="1">IF($M283=0,"",IF(INDEX(Data!$AN$2051:$AN$2550,$M283)=0,"",IF(INDEX(Data!$U$41:$U$540,INDEX(Data!$AN$2051:$AN$2550,$M283))="","",INDEX(Data!$U$41:$U$540,INDEX(Data!$AN$2051:$AN$2550,$M283)))))</f>
        <v/>
      </c>
      <c r="M283" s="132">
        <f ca="1">IF(COUNTIFS(Data!$AV$2051:$AV$2550,271)=1,MATCH(271,Data!$AV$2051:$AV$2550,0),0)</f>
        <v>143</v>
      </c>
      <c r="N283" s="145" t="str">
        <f ca="1">IF($M283=0,"",IF(INDEX(Data!$I$2051:$I$2550,$M283)=0,"Add ID","Row "&amp;(INDEX(Data!$I$2051:$I$2550,$M283)+7)))</f>
        <v>Row 169</v>
      </c>
    </row>
    <row r="284" spans="1:14" ht="40" customHeight="1">
      <c r="A284" s="136">
        <f ca="1">IF($M284=0,"",INDEX(Data!$W$2051:$W$2550,$M284))</f>
        <v>272</v>
      </c>
      <c r="B284" s="139" t="str">
        <f ca="1">IF($M284=0,"",INDEX(Data!$B$2051:$B$2550,$M284))</f>
        <v>KIPP DuBois Charter School</v>
      </c>
      <c r="C284" s="146" t="str">
        <f ca="1">IF($M284=0,"",INDEX(Data!$C$2051:$C$2550,$M284))</f>
        <v>Charter</v>
      </c>
      <c r="D284" s="146" t="str">
        <f ca="1">IF($M284=0,"",INDEX(Data!$D$2051:$D$2550,$M284))</f>
        <v>High</v>
      </c>
      <c r="E284" s="147">
        <f ca="1">IF($M284=0,"",INDEX(Data!$G$2051:$G$2550,$M284))</f>
        <v>0.59640000000000004</v>
      </c>
      <c r="F284" s="146">
        <f ca="1">IF($M284=0,"",INDEX(Data!$F$2051:$F$2550,$M284))</f>
        <v>504</v>
      </c>
      <c r="G284" s="148">
        <f ca="1">IF($M284=0,"",INDEX(Data!$K$2051:$K$2550,$M284))</f>
        <v>0.25382886535158589</v>
      </c>
      <c r="H284" s="146">
        <f ca="1">IF($M284=0,"",INDEX(Data!$L$2051:$L$2550,$M284))</f>
        <v>5</v>
      </c>
      <c r="I284" s="149">
        <f ca="1">IF($M284=0,"",INDEX(Data!$T$2051:$T$2550,$M284))</f>
        <v>24</v>
      </c>
      <c r="J284" s="146" t="str">
        <f ca="1">IF($M284=0,"",INDEX(Data!$U$2051:$U$2550,$M284))</f>
        <v>Listed</v>
      </c>
      <c r="K284" s="146" t="str">
        <f ca="1">IF($M284=0,"",INDEX(Data!$AA$2051:$AA$2550,$M284))</f>
        <v>60% economic need; 0.25 mi fresh access; 5 nearby resources</v>
      </c>
      <c r="L284" s="146" t="str">
        <f ca="1">IF($M284=0,"",IF(INDEX(Data!$AN$2051:$AN$2550,$M284)=0,"",IF(INDEX(Data!$U$41:$U$540,INDEX(Data!$AN$2051:$AN$2550,$M284))="","",INDEX(Data!$U$41:$U$540,INDEX(Data!$AN$2051:$AN$2550,$M284)))))</f>
        <v/>
      </c>
      <c r="M284" s="132">
        <f ca="1">IF(COUNTIFS(Data!$AV$2051:$AV$2550,272)=1,MATCH(272,Data!$AV$2051:$AV$2550,0),0)</f>
        <v>99</v>
      </c>
      <c r="N284" s="150" t="str">
        <f ca="1">IF($M284=0,"",IF(INDEX(Data!$I$2051:$I$2550,$M284)=0,"Add ID","Row "&amp;(INDEX(Data!$I$2051:$I$2550,$M284)+7)))</f>
        <v>Row 168</v>
      </c>
    </row>
    <row r="285" spans="1:14" ht="40" customHeight="1">
      <c r="A285" s="135">
        <f ca="1">IF($M285=0,"",INDEX(Data!$W$2051:$W$2550,$M285))</f>
        <v>273</v>
      </c>
      <c r="B285" s="138" t="str">
        <f ca="1">IF($M285=0,"",INDEX(Data!$B$2051:$B$2550,$M285))</f>
        <v>Bache-Martin School</v>
      </c>
      <c r="C285" s="141" t="str">
        <f ca="1">IF($M285=0,"",INDEX(Data!$C$2051:$C$2550,$M285))</f>
        <v>District</v>
      </c>
      <c r="D285" s="141" t="str">
        <f ca="1">IF($M285=0,"",INDEX(Data!$D$2051:$D$2550,$M285))</f>
        <v>Elementary-Middle</v>
      </c>
      <c r="E285" s="142">
        <f ca="1">IF($M285=0,"",INDEX(Data!$G$2051:$G$2550,$M285))</f>
        <v>0.53339999999999999</v>
      </c>
      <c r="F285" s="141">
        <f ca="1">IF($M285=0,"",INDEX(Data!$F$2051:$F$2550,$M285))</f>
        <v>622</v>
      </c>
      <c r="G285" s="143">
        <f ca="1">IF($M285=0,"",INDEX(Data!$K$2051:$K$2550,$M285))</f>
        <v>0.29713947061757184</v>
      </c>
      <c r="H285" s="141">
        <f ca="1">IF($M285=0,"",INDEX(Data!$L$2051:$L$2550,$M285))</f>
        <v>7</v>
      </c>
      <c r="I285" s="144">
        <f ca="1">IF($M285=0,"",INDEX(Data!$T$2051:$T$2550,$M285))</f>
        <v>24</v>
      </c>
      <c r="J285" s="141" t="str">
        <f ca="1">IF($M285=0,"",INDEX(Data!$U$2051:$U$2550,$M285))</f>
        <v>Listed</v>
      </c>
      <c r="K285" s="141" t="str">
        <f ca="1">IF($M285=0,"",INDEX(Data!$AA$2051:$AA$2550,$M285))</f>
        <v>53% economic need; 0.30 mi fresh access; 7 nearby resources</v>
      </c>
      <c r="L285" s="141" t="str">
        <f ca="1">IF($M285=0,"",IF(INDEX(Data!$AN$2051:$AN$2550,$M285)=0,"",IF(INDEX(Data!$U$41:$U$540,INDEX(Data!$AN$2051:$AN$2550,$M285))="","",INDEX(Data!$U$41:$U$540,INDEX(Data!$AN$2051:$AN$2550,$M285)))))</f>
        <v>215-400-7550</v>
      </c>
      <c r="M285" s="132">
        <f ca="1">IF(COUNTIFS(Data!$AV$2051:$AV$2550,273)=1,MATCH(273,Data!$AV$2051:$AV$2550,0),0)</f>
        <v>36</v>
      </c>
      <c r="N285" s="145" t="str">
        <f ca="1">IF($M285=0,"",IF(INDEX(Data!$I$2051:$I$2550,$M285)=0,"Add ID","Row "&amp;(INDEX(Data!$I$2051:$I$2550,$M285)+7)))</f>
        <v>Row 33</v>
      </c>
    </row>
    <row r="286" spans="1:14" ht="40" customHeight="1">
      <c r="A286" s="136">
        <f ca="1">IF($M286=0,"",INDEX(Data!$W$2051:$W$2550,$M286))</f>
        <v>274</v>
      </c>
      <c r="B286" s="139" t="str">
        <f ca="1">IF($M286=0,"",INDEX(Data!$B$2051:$B$2550,$M286))</f>
        <v>Vare-Washington School</v>
      </c>
      <c r="C286" s="146" t="str">
        <f ca="1">IF($M286=0,"",INDEX(Data!$C$2051:$C$2550,$M286))</f>
        <v>District</v>
      </c>
      <c r="D286" s="146" t="str">
        <f ca="1">IF($M286=0,"",INDEX(Data!$D$2051:$D$2550,$M286))</f>
        <v>Elementary-Middle</v>
      </c>
      <c r="E286" s="147">
        <f ca="1">IF($M286=0,"",INDEX(Data!$G$2051:$G$2550,$M286))</f>
        <v>0.68559999999999999</v>
      </c>
      <c r="F286" s="146">
        <f ca="1">IF($M286=0,"",INDEX(Data!$F$2051:$F$2550,$M286))</f>
        <v>370</v>
      </c>
      <c r="G286" s="148">
        <f ca="1">IF($M286=0,"",INDEX(Data!$K$2051:$K$2550,$M286))</f>
        <v>6.4942968368302934E-2</v>
      </c>
      <c r="H286" s="146">
        <f ca="1">IF($M286=0,"",INDEX(Data!$L$2051:$L$2550,$M286))</f>
        <v>8</v>
      </c>
      <c r="I286" s="149">
        <f ca="1">IF($M286=0,"",INDEX(Data!$T$2051:$T$2550,$M286))</f>
        <v>23</v>
      </c>
      <c r="J286" s="146" t="str">
        <f ca="1">IF($M286=0,"",INDEX(Data!$U$2051:$U$2550,$M286))</f>
        <v>Listed</v>
      </c>
      <c r="K286" s="146" t="str">
        <f ca="1">IF($M286=0,"",INDEX(Data!$AA$2051:$AA$2550,$M286))</f>
        <v>69% economic need; 0.06 mi fresh access; 8 nearby resources</v>
      </c>
      <c r="L286" s="146" t="str">
        <f ca="1">IF($M286=0,"",IF(INDEX(Data!$AN$2051:$AN$2550,$M286)=0,"",IF(INDEX(Data!$U$41:$U$540,INDEX(Data!$AN$2051:$AN$2550,$M286))="","",INDEX(Data!$U$41:$U$540,INDEX(Data!$AN$2051:$AN$2550,$M286)))))</f>
        <v>215-400-8120</v>
      </c>
      <c r="M286" s="132">
        <f ca="1">IF(COUNTIFS(Data!$AV$2051:$AV$2550,274)=1,MATCH(274,Data!$AV$2051:$AV$2550,0),0)</f>
        <v>64</v>
      </c>
      <c r="N286" s="150" t="str">
        <f ca="1">IF($M286=0,"",IF(INDEX(Data!$I$2051:$I$2550,$M286)=0,"Add ID","Row "&amp;(INDEX(Data!$I$2051:$I$2550,$M286)+7)))</f>
        <v>Row 310</v>
      </c>
    </row>
    <row r="287" spans="1:14" ht="40" customHeight="1">
      <c r="A287" s="135">
        <f ca="1">IF($M287=0,"",INDEX(Data!$W$2051:$W$2550,$M287))</f>
        <v>275</v>
      </c>
      <c r="B287" s="138" t="str">
        <f ca="1">IF($M287=0,"",INDEX(Data!$B$2051:$B$2550,$M287))</f>
        <v>Parkway Center City Middle College High School</v>
      </c>
      <c r="C287" s="141" t="str">
        <f ca="1">IF($M287=0,"",INDEX(Data!$C$2051:$C$2550,$M287))</f>
        <v>District</v>
      </c>
      <c r="D287" s="141" t="str">
        <f ca="1">IF($M287=0,"",INDEX(Data!$D$2051:$D$2550,$M287))</f>
        <v>High</v>
      </c>
      <c r="E287" s="142">
        <f ca="1">IF($M287=0,"",INDEX(Data!$G$2051:$G$2550,$M287))</f>
        <v>0.68079999999999996</v>
      </c>
      <c r="F287" s="141">
        <f ca="1">IF($M287=0,"",INDEX(Data!$F$2051:$F$2550,$M287))</f>
        <v>449</v>
      </c>
      <c r="G287" s="143">
        <f ca="1">IF($M287=0,"",INDEX(Data!$K$2051:$K$2550,$M287))</f>
        <v>0.1555798399436579</v>
      </c>
      <c r="H287" s="141">
        <f ca="1">IF($M287=0,"",INDEX(Data!$L$2051:$L$2550,$M287))</f>
        <v>10</v>
      </c>
      <c r="I287" s="144">
        <f ca="1">IF($M287=0,"",INDEX(Data!$T$2051:$T$2550,$M287))</f>
        <v>23</v>
      </c>
      <c r="J287" s="141" t="str">
        <f ca="1">IF($M287=0,"",INDEX(Data!$U$2051:$U$2550,$M287))</f>
        <v>Listed</v>
      </c>
      <c r="K287" s="141" t="str">
        <f ca="1">IF($M287=0,"",INDEX(Data!$AA$2051:$AA$2550,$M287))</f>
        <v>68% economic need; 0.16 mi fresh access; 10 nearby resources</v>
      </c>
      <c r="L287" s="141" t="str">
        <f ca="1">IF($M287=0,"",IF(INDEX(Data!$AN$2051:$AN$2550,$M287)=0,"",IF(INDEX(Data!$U$41:$U$540,INDEX(Data!$AN$2051:$AN$2550,$M287))="","",INDEX(Data!$U$41:$U$540,INDEX(Data!$AN$2051:$AN$2550,$M287)))))</f>
        <v>215-400-7620</v>
      </c>
      <c r="M287" s="132">
        <f ca="1">IF(COUNTIFS(Data!$AV$2051:$AV$2550,275)=1,MATCH(275,Data!$AV$2051:$AV$2550,0),0)</f>
        <v>183</v>
      </c>
      <c r="N287" s="145" t="str">
        <f ca="1">IF($M287=0,"",IF(INDEX(Data!$I$2051:$I$2550,$M287)=0,"Add ID","Row "&amp;(INDEX(Data!$I$2051:$I$2550,$M287)+7)))</f>
        <v>Row 229</v>
      </c>
    </row>
    <row r="288" spans="1:14" ht="40" customHeight="1">
      <c r="A288" s="136">
        <f ca="1">IF($M288=0,"",INDEX(Data!$W$2051:$W$2550,$M288))</f>
        <v>276</v>
      </c>
      <c r="B288" s="139" t="str">
        <f ca="1">IF($M288=0,"",INDEX(Data!$B$2051:$B$2550,$M288))</f>
        <v>George W. Nebinger School</v>
      </c>
      <c r="C288" s="146" t="str">
        <f ca="1">IF($M288=0,"",INDEX(Data!$C$2051:$C$2550,$M288))</f>
        <v>District</v>
      </c>
      <c r="D288" s="146" t="str">
        <f ca="1">IF($M288=0,"",INDEX(Data!$D$2051:$D$2550,$M288))</f>
        <v>Elementary-Middle</v>
      </c>
      <c r="E288" s="147">
        <f ca="1">IF($M288=0,"",INDEX(Data!$G$2051:$G$2550,$M288))</f>
        <v>0.62619999999999998</v>
      </c>
      <c r="F288" s="146">
        <f ca="1">IF($M288=0,"",INDEX(Data!$F$2051:$F$2550,$M288))</f>
        <v>399</v>
      </c>
      <c r="G288" s="148">
        <f ca="1">IF($M288=0,"",INDEX(Data!$K$2051:$K$2550,$M288))</f>
        <v>0.18536353970744446</v>
      </c>
      <c r="H288" s="146">
        <f ca="1">IF($M288=0,"",INDEX(Data!$L$2051:$L$2550,$M288))</f>
        <v>8</v>
      </c>
      <c r="I288" s="149">
        <f ca="1">IF($M288=0,"",INDEX(Data!$T$2051:$T$2550,$M288))</f>
        <v>23</v>
      </c>
      <c r="J288" s="146" t="str">
        <f ca="1">IF($M288=0,"",INDEX(Data!$U$2051:$U$2550,$M288))</f>
        <v>Listed</v>
      </c>
      <c r="K288" s="146" t="str">
        <f ca="1">IF($M288=0,"",INDEX(Data!$AA$2051:$AA$2550,$M288))</f>
        <v>63% economic need; 0.19 mi fresh access; 8 nearby resources</v>
      </c>
      <c r="L288" s="146" t="str">
        <f ca="1">IF($M288=0,"",IF(INDEX(Data!$AN$2051:$AN$2550,$M288)=0,"",IF(INDEX(Data!$U$41:$U$540,INDEX(Data!$AN$2051:$AN$2550,$M288))="","",INDEX(Data!$U$41:$U$540,INDEX(Data!$AN$2051:$AN$2550,$M288)))))</f>
        <v>215-400-8110</v>
      </c>
      <c r="M288" s="132">
        <f ca="1">IF(COUNTIFS(Data!$AV$2051:$AV$2550,276)=1,MATCH(276,Data!$AV$2051:$AV$2550,0),0)</f>
        <v>56</v>
      </c>
      <c r="N288" s="150" t="str">
        <f ca="1">IF($M288=0,"",IF(INDEX(Data!$I$2051:$I$2550,$M288)=0,"Add ID","Row "&amp;(INDEX(Data!$I$2051:$I$2550,$M288)+7)))</f>
        <v>Row 102</v>
      </c>
    </row>
    <row r="289" spans="1:14" ht="40" customHeight="1">
      <c r="A289" s="135">
        <f ca="1">IF($M289=0,"",INDEX(Data!$W$2051:$W$2550,$M289))</f>
        <v>277</v>
      </c>
      <c r="B289" s="138" t="str">
        <f ca="1">IF($M289=0,"",INDEX(Data!$B$2051:$B$2550,$M289))</f>
        <v>Horatio B. Hackett School</v>
      </c>
      <c r="C289" s="141" t="str">
        <f ca="1">IF($M289=0,"",INDEX(Data!$C$2051:$C$2550,$M289))</f>
        <v>District</v>
      </c>
      <c r="D289" s="141" t="str">
        <f ca="1">IF($M289=0,"",INDEX(Data!$D$2051:$D$2550,$M289))</f>
        <v>Elementary</v>
      </c>
      <c r="E289" s="142">
        <f ca="1">IF($M289=0,"",INDEX(Data!$G$2051:$G$2550,$M289))</f>
        <v>0.57679999999999998</v>
      </c>
      <c r="F289" s="141">
        <f ca="1">IF($M289=0,"",INDEX(Data!$F$2051:$F$2550,$M289))</f>
        <v>372</v>
      </c>
      <c r="G289" s="143">
        <f ca="1">IF($M289=0,"",INDEX(Data!$K$2051:$K$2550,$M289))</f>
        <v>0.39765574679839522</v>
      </c>
      <c r="H289" s="141">
        <f ca="1">IF($M289=0,"",INDEX(Data!$L$2051:$L$2550,$M289))</f>
        <v>5</v>
      </c>
      <c r="I289" s="144">
        <f ca="1">IF($M289=0,"",INDEX(Data!$T$2051:$T$2550,$M289))</f>
        <v>23</v>
      </c>
      <c r="J289" s="141" t="str">
        <f ca="1">IF($M289=0,"",INDEX(Data!$U$2051:$U$2550,$M289))</f>
        <v>Listed</v>
      </c>
      <c r="K289" s="141" t="str">
        <f ca="1">IF($M289=0,"",INDEX(Data!$AA$2051:$AA$2550,$M289))</f>
        <v>58% economic need; 0.40 mi fresh access; 5 nearby resources</v>
      </c>
      <c r="L289" s="141" t="str">
        <f ca="1">IF($M289=0,"",IF(INDEX(Data!$AN$2051:$AN$2550,$M289)=0,"",IF(INDEX(Data!$U$41:$U$540,INDEX(Data!$AN$2051:$AN$2550,$M289))="","",INDEX(Data!$U$41:$U$540,INDEX(Data!$AN$2051:$AN$2550,$M289)))))</f>
        <v>215-400-7470</v>
      </c>
      <c r="M289" s="132">
        <f ca="1">IF(COUNTIFS(Data!$AV$2051:$AV$2550,277)=1,MATCH(277,Data!$AV$2051:$AV$2550,0),0)</f>
        <v>194</v>
      </c>
      <c r="N289" s="145" t="str">
        <f ca="1">IF($M289=0,"",IF(INDEX(Data!$I$2051:$I$2550,$M289)=0,"Add ID","Row "&amp;(INDEX(Data!$I$2051:$I$2550,$M289)+7)))</f>
        <v>Row 125</v>
      </c>
    </row>
    <row r="290" spans="1:14" ht="40" customHeight="1">
      <c r="A290" s="136">
        <f ca="1">IF($M290=0,"",INDEX(Data!$W$2051:$W$2550,$M290))</f>
        <v>278</v>
      </c>
      <c r="B290" s="139" t="str">
        <f ca="1">IF($M290=0,"",INDEX(Data!$B$2051:$B$2550,$M290))</f>
        <v>John Moffet School</v>
      </c>
      <c r="C290" s="146" t="str">
        <f ca="1">IF($M290=0,"",INDEX(Data!$C$2051:$C$2550,$M290))</f>
        <v>District</v>
      </c>
      <c r="D290" s="146" t="str">
        <f ca="1">IF($M290=0,"",INDEX(Data!$D$2051:$D$2550,$M290))</f>
        <v>Elementary</v>
      </c>
      <c r="E290" s="147">
        <f ca="1">IF($M290=0,"",INDEX(Data!$G$2051:$G$2550,$M290))</f>
        <v>0.57809999999999995</v>
      </c>
      <c r="F290" s="146">
        <f ca="1">IF($M290=0,"",INDEX(Data!$F$2051:$F$2550,$M290))</f>
        <v>212</v>
      </c>
      <c r="G290" s="148">
        <f ca="1">IF($M290=0,"",INDEX(Data!$K$2051:$K$2550,$M290))</f>
        <v>0.3328580538926092</v>
      </c>
      <c r="H290" s="146">
        <f ca="1">IF($M290=0,"",INDEX(Data!$L$2051:$L$2550,$M290))</f>
        <v>7</v>
      </c>
      <c r="I290" s="149">
        <f ca="1">IF($M290=0,"",INDEX(Data!$T$2051:$T$2550,$M290))</f>
        <v>22</v>
      </c>
      <c r="J290" s="146" t="str">
        <f ca="1">IF($M290=0,"",INDEX(Data!$U$2051:$U$2550,$M290))</f>
        <v>Listed</v>
      </c>
      <c r="K290" s="146" t="str">
        <f ca="1">IF($M290=0,"",INDEX(Data!$AA$2051:$AA$2550,$M290))</f>
        <v>58% economic need; 0.33 mi fresh access; 7 nearby resources</v>
      </c>
      <c r="L290" s="146" t="str">
        <f ca="1">IF($M290=0,"",IF(INDEX(Data!$AN$2051:$AN$2550,$M290)=0,"",IF(INDEX(Data!$U$41:$U$540,INDEX(Data!$AN$2051:$AN$2550,$M290))="","",INDEX(Data!$U$41:$U$540,INDEX(Data!$AN$2051:$AN$2550,$M290)))))</f>
        <v>215-400-7390</v>
      </c>
      <c r="M290" s="132">
        <f ca="1">IF(COUNTIFS(Data!$AV$2051:$AV$2550,278)=1,MATCH(278,Data!$AV$2051:$AV$2550,0),0)</f>
        <v>199</v>
      </c>
      <c r="N290" s="150" t="str">
        <f ca="1">IF($M290=0,"",IF(INDEX(Data!$I$2051:$I$2550,$M290)=0,"Add ID","Row "&amp;(INDEX(Data!$I$2051:$I$2550,$M290)+7)))</f>
        <v>Row 150</v>
      </c>
    </row>
    <row r="291" spans="1:14" ht="40" customHeight="1">
      <c r="A291" s="135">
        <f ca="1">IF($M291=0,"",INDEX(Data!$W$2051:$W$2550,$M291))</f>
        <v>279</v>
      </c>
      <c r="B291" s="138" t="str">
        <f ca="1">IF($M291=0,"",INDEX(Data!$B$2051:$B$2550,$M291))</f>
        <v>Academy at Palumbo</v>
      </c>
      <c r="C291" s="141" t="str">
        <f ca="1">IF($M291=0,"",INDEX(Data!$C$2051:$C$2550,$M291))</f>
        <v>District</v>
      </c>
      <c r="D291" s="141" t="str">
        <f ca="1">IF($M291=0,"",INDEX(Data!$D$2051:$D$2550,$M291))</f>
        <v>High</v>
      </c>
      <c r="E291" s="142">
        <f ca="1">IF($M291=0,"",INDEX(Data!$G$2051:$G$2550,$M291))</f>
        <v>0.5998</v>
      </c>
      <c r="F291" s="141">
        <f ca="1">IF($M291=0,"",INDEX(Data!$F$2051:$F$2550,$M291))</f>
        <v>1242</v>
      </c>
      <c r="G291" s="143">
        <f ca="1">IF($M291=0,"",INDEX(Data!$K$2051:$K$2550,$M291))</f>
        <v>0.20588081692677693</v>
      </c>
      <c r="H291" s="141">
        <f ca="1">IF($M291=0,"",INDEX(Data!$L$2051:$L$2550,$M291))</f>
        <v>11</v>
      </c>
      <c r="I291" s="144">
        <f ca="1">IF($M291=0,"",INDEX(Data!$T$2051:$T$2550,$M291))</f>
        <v>20</v>
      </c>
      <c r="J291" s="141" t="str">
        <f ca="1">IF($M291=0,"",INDEX(Data!$U$2051:$U$2550,$M291))</f>
        <v>Listed</v>
      </c>
      <c r="K291" s="141" t="str">
        <f ca="1">IF($M291=0,"",INDEX(Data!$AA$2051:$AA$2550,$M291))</f>
        <v>60% economic need; 0.21 mi fresh access; 11 nearby resources</v>
      </c>
      <c r="L291" s="141" t="str">
        <f ca="1">IF($M291=0,"",IF(INDEX(Data!$AN$2051:$AN$2550,$M291)=0,"",IF(INDEX(Data!$U$41:$U$540,INDEX(Data!$AN$2051:$AN$2550,$M291))="","",INDEX(Data!$U$41:$U$540,INDEX(Data!$AN$2051:$AN$2550,$M291)))))</f>
        <v>215-400-8130</v>
      </c>
      <c r="M291" s="132">
        <f ca="1">IF(COUNTIFS(Data!$AV$2051:$AV$2550,279)=1,MATCH(279,Data!$AV$2051:$AV$2550,0),0)</f>
        <v>57</v>
      </c>
      <c r="N291" s="145" t="str">
        <f ca="1">IF($M291=0,"",IF(INDEX(Data!$I$2051:$I$2550,$M291)=0,"Add ID","Row "&amp;(INDEX(Data!$I$2051:$I$2550,$M291)+7)))</f>
        <v>Row 11</v>
      </c>
    </row>
    <row r="292" spans="1:14" ht="40" customHeight="1">
      <c r="A292" s="136">
        <f ca="1">IF($M292=0,"",INDEX(Data!$W$2051:$W$2550,$M292))</f>
        <v>280</v>
      </c>
      <c r="B292" s="139" t="str">
        <f ca="1">IF($M292=0,"",INDEX(Data!$B$2051:$B$2550,$M292))</f>
        <v>Independence Charter School</v>
      </c>
      <c r="C292" s="146" t="str">
        <f ca="1">IF($M292=0,"",INDEX(Data!$C$2051:$C$2550,$M292))</f>
        <v>Charter</v>
      </c>
      <c r="D292" s="146" t="str">
        <f ca="1">IF($M292=0,"",INDEX(Data!$D$2051:$D$2550,$M292))</f>
        <v>Elementary-Middle</v>
      </c>
      <c r="E292" s="147">
        <f ca="1">IF($M292=0,"",INDEX(Data!$G$2051:$G$2550,$M292))</f>
        <v>0.54649999999999999</v>
      </c>
      <c r="F292" s="146">
        <f ca="1">IF($M292=0,"",INDEX(Data!$F$2051:$F$2550,$M292))</f>
        <v>815</v>
      </c>
      <c r="G292" s="148">
        <f ca="1">IF($M292=0,"",INDEX(Data!$K$2051:$K$2550,$M292))</f>
        <v>0.20679124402661642</v>
      </c>
      <c r="H292" s="146">
        <f ca="1">IF($M292=0,"",INDEX(Data!$L$2051:$L$2550,$M292))</f>
        <v>10</v>
      </c>
      <c r="I292" s="149">
        <f ca="1">IF($M292=0,"",INDEX(Data!$T$2051:$T$2550,$M292))</f>
        <v>20</v>
      </c>
      <c r="J292" s="146" t="str">
        <f ca="1">IF($M292=0,"",INDEX(Data!$U$2051:$U$2550,$M292))</f>
        <v>Listed</v>
      </c>
      <c r="K292" s="146" t="str">
        <f ca="1">IF($M292=0,"",INDEX(Data!$AA$2051:$AA$2550,$M292))</f>
        <v>55% economic need; 0.21 mi fresh access; 10 nearby resources</v>
      </c>
      <c r="L292" s="146" t="str">
        <f ca="1">IF($M292=0,"",IF(INDEX(Data!$AN$2051:$AN$2550,$M292)=0,"",IF(INDEX(Data!$U$41:$U$540,INDEX(Data!$AN$2051:$AN$2550,$M292))="","",INDEX(Data!$U$41:$U$540,INDEX(Data!$AN$2051:$AN$2550,$M292)))))</f>
        <v>215-238-8000</v>
      </c>
      <c r="M292" s="132">
        <f ca="1">IF(COUNTIFS(Data!$AV$2051:$AV$2550,280)=1,MATCH(280,Data!$AV$2051:$AV$2550,0),0)</f>
        <v>98</v>
      </c>
      <c r="N292" s="150" t="str">
        <f ca="1">IF($M292=0,"",IF(INDEX(Data!$I$2051:$I$2550,$M292)=0,"Add ID","Row "&amp;(INDEX(Data!$I$2051:$I$2550,$M292)+7)))</f>
        <v>Row 128</v>
      </c>
    </row>
    <row r="293" spans="1:14" ht="40" customHeight="1">
      <c r="A293" s="135">
        <f ca="1">IF($M293=0,"",INDEX(Data!$W$2051:$W$2550,$M293))</f>
        <v>281</v>
      </c>
      <c r="B293" s="138" t="str">
        <f ca="1">IF($M293=0,"",INDEX(Data!$B$2051:$B$2550,$M293))</f>
        <v>Science Leadership Academy Middle School</v>
      </c>
      <c r="C293" s="141" t="str">
        <f ca="1">IF($M293=0,"",INDEX(Data!$C$2051:$C$2550,$M293))</f>
        <v>District</v>
      </c>
      <c r="D293" s="141" t="str">
        <f ca="1">IF($M293=0,"",INDEX(Data!$D$2051:$D$2550,$M293))</f>
        <v>Middle</v>
      </c>
      <c r="E293" s="142">
        <f ca="1">IF($M293=0,"",INDEX(Data!$G$2051:$G$2550,$M293))</f>
        <v>0.51</v>
      </c>
      <c r="F293" s="141">
        <f ca="1">IF($M293=0,"",INDEX(Data!$F$2051:$F$2550,$M293))</f>
        <v>351</v>
      </c>
      <c r="G293" s="143">
        <f ca="1">IF($M293=0,"",INDEX(Data!$K$2051:$K$2550,$M293))</f>
        <v>0.24657974806699834</v>
      </c>
      <c r="H293" s="141">
        <f ca="1">IF($M293=0,"",INDEX(Data!$L$2051:$L$2550,$M293))</f>
        <v>10</v>
      </c>
      <c r="I293" s="144">
        <f ca="1">IF($M293=0,"",INDEX(Data!$T$2051:$T$2550,$M293))</f>
        <v>18</v>
      </c>
      <c r="J293" s="141" t="str">
        <f ca="1">IF($M293=0,"",INDEX(Data!$U$2051:$U$2550,$M293))</f>
        <v>Listed</v>
      </c>
      <c r="K293" s="141" t="str">
        <f ca="1">IF($M293=0,"",INDEX(Data!$AA$2051:$AA$2550,$M293))</f>
        <v>51% economic need; 0.25 mi fresh access; 10 nearby resources</v>
      </c>
      <c r="L293" s="141" t="str">
        <f ca="1">IF($M293=0,"",IF(INDEX(Data!$AN$2051:$AN$2550,$M293)=0,"",IF(INDEX(Data!$U$41:$U$540,INDEX(Data!$AN$2051:$AN$2550,$M293))="","",INDEX(Data!$U$41:$U$540,INDEX(Data!$AN$2051:$AN$2550,$M293)))))</f>
        <v>215-400-8320</v>
      </c>
      <c r="M293" s="132">
        <f ca="1">IF(COUNTIFS(Data!$AV$2051:$AV$2550,281)=1,MATCH(281,Data!$AV$2051:$AV$2550,0),0)</f>
        <v>32</v>
      </c>
      <c r="N293" s="145" t="str">
        <f ca="1">IF($M293=0,"",IF(INDEX(Data!$I$2051:$I$2550,$M293)=0,"Add ID","Row "&amp;(INDEX(Data!$I$2051:$I$2550,$M293)+7)))</f>
        <v>Row 274</v>
      </c>
    </row>
    <row r="294" spans="1:14" ht="40" customHeight="1">
      <c r="A294" s="136">
        <f ca="1">IF($M294=0,"",INDEX(Data!$W$2051:$W$2550,$M294))</f>
        <v>282</v>
      </c>
      <c r="B294" s="139" t="str">
        <f ca="1">IF($M294=0,"",INDEX(Data!$B$2051:$B$2550,$M294))</f>
        <v>Folk Arts-Cultural Treasures Charter School</v>
      </c>
      <c r="C294" s="146" t="str">
        <f ca="1">IF($M294=0,"",INDEX(Data!$C$2051:$C$2550,$M294))</f>
        <v>Charter</v>
      </c>
      <c r="D294" s="146" t="str">
        <f ca="1">IF($M294=0,"",INDEX(Data!$D$2051:$D$2550,$M294))</f>
        <v>Elementary-Middle</v>
      </c>
      <c r="E294" s="147">
        <f ca="1">IF($M294=0,"",INDEX(Data!$G$2051:$G$2550,$M294))</f>
        <v>0.43140000000000001</v>
      </c>
      <c r="F294" s="146">
        <f ca="1">IF($M294=0,"",INDEX(Data!$F$2051:$F$2550,$M294))</f>
        <v>497</v>
      </c>
      <c r="G294" s="148">
        <f ca="1">IF($M294=0,"",INDEX(Data!$K$2051:$K$2550,$M294))</f>
        <v>0.27837564931711301</v>
      </c>
      <c r="H294" s="146">
        <f ca="1">IF($M294=0,"",INDEX(Data!$L$2051:$L$2550,$M294))</f>
        <v>11</v>
      </c>
      <c r="I294" s="149">
        <f ca="1">IF($M294=0,"",INDEX(Data!$T$2051:$T$2550,$M294))</f>
        <v>18</v>
      </c>
      <c r="J294" s="146" t="str">
        <f ca="1">IF($M294=0,"",INDEX(Data!$U$2051:$U$2550,$M294))</f>
        <v>Listed</v>
      </c>
      <c r="K294" s="146" t="str">
        <f ca="1">IF($M294=0,"",INDEX(Data!$AA$2051:$AA$2550,$M294))</f>
        <v>43% economic need; 0.28 mi fresh access; 11 nearby resources</v>
      </c>
      <c r="L294" s="146" t="str">
        <f ca="1">IF($M294=0,"",IF(INDEX(Data!$AN$2051:$AN$2550,$M294)=0,"",IF(INDEX(Data!$U$41:$U$540,INDEX(Data!$AN$2051:$AN$2550,$M294))="","",INDEX(Data!$U$41:$U$540,INDEX(Data!$AN$2051:$AN$2550,$M294)))))</f>
        <v>215-569-2600</v>
      </c>
      <c r="M294" s="132">
        <f ca="1">IF(COUNTIFS(Data!$AV$2051:$AV$2550,282)=1,MATCH(282,Data!$AV$2051:$AV$2550,0),0)</f>
        <v>115</v>
      </c>
      <c r="N294" s="150" t="str">
        <f ca="1">IF($M294=0,"",IF(INDEX(Data!$I$2051:$I$2550,$M294)=0,"Add ID","Row "&amp;(INDEX(Data!$I$2051:$I$2550,$M294)+7)))</f>
        <v>Row 84</v>
      </c>
    </row>
    <row r="295" spans="1:14" ht="40" customHeight="1">
      <c r="A295" s="135">
        <f ca="1">IF($M295=0,"",INDEX(Data!$W$2051:$W$2550,$M295))</f>
        <v>283</v>
      </c>
      <c r="B295" s="138" t="str">
        <f ca="1">IF($M295=0,"",INDEX(Data!$B$2051:$B$2550,$M295))</f>
        <v>High School for Creative and Performing Arts</v>
      </c>
      <c r="C295" s="141" t="str">
        <f ca="1">IF($M295=0,"",INDEX(Data!$C$2051:$C$2550,$M295))</f>
        <v>District</v>
      </c>
      <c r="D295" s="141" t="str">
        <f ca="1">IF($M295=0,"",INDEX(Data!$D$2051:$D$2550,$M295))</f>
        <v>High</v>
      </c>
      <c r="E295" s="142">
        <f ca="1">IF($M295=0,"",INDEX(Data!$G$2051:$G$2550,$M295))</f>
        <v>0.48149999999999998</v>
      </c>
      <c r="F295" s="141">
        <f ca="1">IF($M295=0,"",INDEX(Data!$F$2051:$F$2550,$M295))</f>
        <v>597</v>
      </c>
      <c r="G295" s="143">
        <f ca="1">IF($M295=0,"",INDEX(Data!$K$2051:$K$2550,$M295))</f>
        <v>7.5008438570214067E-2</v>
      </c>
      <c r="H295" s="141">
        <f ca="1">IF($M295=0,"",INDEX(Data!$L$2051:$L$2550,$M295))</f>
        <v>13</v>
      </c>
      <c r="I295" s="144">
        <f ca="1">IF($M295=0,"",INDEX(Data!$T$2051:$T$2550,$M295))</f>
        <v>14</v>
      </c>
      <c r="J295" s="141" t="str">
        <f ca="1">IF($M295=0,"",INDEX(Data!$U$2051:$U$2550,$M295))</f>
        <v>Listed</v>
      </c>
      <c r="K295" s="141" t="str">
        <f ca="1">IF($M295=0,"",INDEX(Data!$AA$2051:$AA$2550,$M295))</f>
        <v>48% economic need; 0.08 mi fresh access; 13 nearby resources</v>
      </c>
      <c r="L295" s="141" t="str">
        <f ca="1">IF($M295=0,"",IF(INDEX(Data!$AN$2051:$AN$2550,$M295)=0,"",IF(INDEX(Data!$U$41:$U$540,INDEX(Data!$AN$2051:$AN$2550,$M295))="","",INDEX(Data!$U$41:$U$540,INDEX(Data!$AN$2051:$AN$2550,$M295)))))</f>
        <v>215-400-8140</v>
      </c>
      <c r="M295" s="132">
        <f ca="1">IF(COUNTIFS(Data!$AV$2051:$AV$2550,283)=1,MATCH(283,Data!$AV$2051:$AV$2550,0),0)</f>
        <v>31</v>
      </c>
      <c r="N295" s="145" t="str">
        <f ca="1">IF($M295=0,"",IF(INDEX(Data!$I$2051:$I$2550,$M295)=0,"Add ID","Row "&amp;(INDEX(Data!$I$2051:$I$2550,$M295)+7)))</f>
        <v>Row 120</v>
      </c>
    </row>
    <row r="296" spans="1:14" ht="40" customHeight="1">
      <c r="A296" s="136">
        <f ca="1">IF($M296=0,"",INDEX(Data!$W$2051:$W$2550,$M296))</f>
        <v>284</v>
      </c>
      <c r="B296" s="139" t="str">
        <f ca="1">IF($M296=0,"",INDEX(Data!$B$2051:$B$2550,$M296))</f>
        <v>Science Leadership Academy High School</v>
      </c>
      <c r="C296" s="146" t="str">
        <f ca="1">IF($M296=0,"",INDEX(Data!$C$2051:$C$2550,$M296))</f>
        <v>District</v>
      </c>
      <c r="D296" s="146" t="str">
        <f ca="1">IF($M296=0,"",INDEX(Data!$D$2051:$D$2550,$M296))</f>
        <v>High</v>
      </c>
      <c r="E296" s="147">
        <f ca="1">IF($M296=0,"",INDEX(Data!$G$2051:$G$2550,$M296))</f>
        <v>0.4627</v>
      </c>
      <c r="F296" s="146">
        <f ca="1">IF($M296=0,"",INDEX(Data!$F$2051:$F$2550,$M296))</f>
        <v>510</v>
      </c>
      <c r="G296" s="148">
        <f ca="1">IF($M296=0,"",INDEX(Data!$K$2051:$K$2550,$M296))</f>
        <v>5.2755379355640127E-2</v>
      </c>
      <c r="H296" s="146">
        <f ca="1">IF($M296=0,"",INDEX(Data!$L$2051:$L$2550,$M296))</f>
        <v>10</v>
      </c>
      <c r="I296" s="149">
        <f ca="1">IF($M296=0,"",INDEX(Data!$T$2051:$T$2550,$M296))</f>
        <v>14</v>
      </c>
      <c r="J296" s="146" t="str">
        <f ca="1">IF($M296=0,"",INDEX(Data!$U$2051:$U$2550,$M296))</f>
        <v>Listed</v>
      </c>
      <c r="K296" s="146" t="str">
        <f ca="1">IF($M296=0,"",INDEX(Data!$AA$2051:$AA$2550,$M296))</f>
        <v>46% economic need; 0.05 mi fresh access; 10 nearby resources</v>
      </c>
      <c r="L296" s="146" t="str">
        <f ca="1">IF($M296=0,"",IF(INDEX(Data!$AN$2051:$AN$2550,$M296)=0,"",IF(INDEX(Data!$U$41:$U$540,INDEX(Data!$AN$2051:$AN$2550,$M296))="","",INDEX(Data!$U$41:$U$540,INDEX(Data!$AN$2051:$AN$2550,$M296)))))</f>
        <v>215-400-7830</v>
      </c>
      <c r="M296" s="132">
        <f ca="1">IF(COUNTIFS(Data!$AV$2051:$AV$2550,284)=1,MATCH(284,Data!$AV$2051:$AV$2550,0),0)</f>
        <v>60</v>
      </c>
      <c r="N296" s="150" t="str">
        <f ca="1">IF($M296=0,"",IF(INDEX(Data!$I$2051:$I$2550,$M296)=0,"Add ID","Row "&amp;(INDEX(Data!$I$2051:$I$2550,$M296)+7)))</f>
        <v>Row 273</v>
      </c>
    </row>
    <row r="297" spans="1:14" ht="40" customHeight="1">
      <c r="A297" s="135">
        <f ca="1">IF($M297=0,"",INDEX(Data!$W$2051:$W$2550,$M297))</f>
        <v>285</v>
      </c>
      <c r="B297" s="138" t="str">
        <f ca="1">IF($M297=0,"",INDEX(Data!$B$2051:$B$2550,$M297))</f>
        <v>Fanny Jackson Coppin School</v>
      </c>
      <c r="C297" s="141" t="str">
        <f ca="1">IF($M297=0,"",INDEX(Data!$C$2051:$C$2550,$M297))</f>
        <v>District</v>
      </c>
      <c r="D297" s="141" t="str">
        <f ca="1">IF($M297=0,"",INDEX(Data!$D$2051:$D$2550,$M297))</f>
        <v>Elementary-Middle</v>
      </c>
      <c r="E297" s="142">
        <f ca="1">IF($M297=0,"",INDEX(Data!$G$2051:$G$2550,$M297))</f>
        <v>0.45639999999999997</v>
      </c>
      <c r="F297" s="141">
        <f ca="1">IF($M297=0,"",INDEX(Data!$F$2051:$F$2550,$M297))</f>
        <v>541</v>
      </c>
      <c r="G297" s="143">
        <f ca="1">IF($M297=0,"",INDEX(Data!$K$2051:$K$2550,$M297))</f>
        <v>0.1719375482245509</v>
      </c>
      <c r="H297" s="141">
        <f ca="1">IF($M297=0,"",INDEX(Data!$L$2051:$L$2550,$M297))</f>
        <v>11</v>
      </c>
      <c r="I297" s="144">
        <f ca="1">IF($M297=0,"",INDEX(Data!$T$2051:$T$2550,$M297))</f>
        <v>14</v>
      </c>
      <c r="J297" s="141" t="str">
        <f ca="1">IF($M297=0,"",INDEX(Data!$U$2051:$U$2550,$M297))</f>
        <v>Listed</v>
      </c>
      <c r="K297" s="141" t="str">
        <f ca="1">IF($M297=0,"",INDEX(Data!$AA$2051:$AA$2550,$M297))</f>
        <v>46% economic need; 0.17 mi fresh access; 11 nearby resources</v>
      </c>
      <c r="L297" s="141" t="str">
        <f ca="1">IF($M297=0,"",IF(INDEX(Data!$AN$2051:$AN$2550,$M297)=0,"",IF(INDEX(Data!$U$41:$U$540,INDEX(Data!$AN$2051:$AN$2550,$M297))="","",INDEX(Data!$U$41:$U$540,INDEX(Data!$AN$2051:$AN$2550,$M297)))))</f>
        <v>215-400-7970</v>
      </c>
      <c r="M297" s="132">
        <f ca="1">IF(COUNTIFS(Data!$AV$2051:$AV$2550,285)=1,MATCH(285,Data!$AV$2051:$AV$2550,0),0)</f>
        <v>51</v>
      </c>
      <c r="N297" s="145" t="str">
        <f ca="1">IF($M297=0,"",IF(INDEX(Data!$I$2051:$I$2550,$M297)=0,"Add ID","Row "&amp;(INDEX(Data!$I$2051:$I$2550,$M297)+7)))</f>
        <v>Row 79</v>
      </c>
    </row>
    <row r="298" spans="1:14" ht="40" customHeight="1">
      <c r="A298" s="136">
        <f ca="1">IF($M298=0,"",INDEX(Data!$W$2051:$W$2550,$M298))</f>
        <v>286</v>
      </c>
      <c r="B298" s="139" t="str">
        <f ca="1">IF($M298=0,"",INDEX(Data!$B$2051:$B$2550,$M298))</f>
        <v>General George A. McCall School</v>
      </c>
      <c r="C298" s="146" t="str">
        <f ca="1">IF($M298=0,"",INDEX(Data!$C$2051:$C$2550,$M298))</f>
        <v>District</v>
      </c>
      <c r="D298" s="146" t="str">
        <f ca="1">IF($M298=0,"",INDEX(Data!$D$2051:$D$2550,$M298))</f>
        <v>Elementary-Middle</v>
      </c>
      <c r="E298" s="147">
        <f ca="1">IF($M298=0,"",INDEX(Data!$G$2051:$G$2550,$M298))</f>
        <v>0.40089999999999998</v>
      </c>
      <c r="F298" s="146">
        <f ca="1">IF($M298=0,"",INDEX(Data!$F$2051:$F$2550,$M298))</f>
        <v>667</v>
      </c>
      <c r="G298" s="148">
        <f ca="1">IF($M298=0,"",INDEX(Data!$K$2051:$K$2550,$M298))</f>
        <v>0.16356395069541119</v>
      </c>
      <c r="H298" s="146">
        <f ca="1">IF($M298=0,"",INDEX(Data!$L$2051:$L$2550,$M298))</f>
        <v>7</v>
      </c>
      <c r="I298" s="149">
        <f ca="1">IF($M298=0,"",INDEX(Data!$T$2051:$T$2550,$M298))</f>
        <v>14</v>
      </c>
      <c r="J298" s="146" t="str">
        <f ca="1">IF($M298=0,"",INDEX(Data!$U$2051:$U$2550,$M298))</f>
        <v>Listed</v>
      </c>
      <c r="K298" s="146" t="str">
        <f ca="1">IF($M298=0,"",INDEX(Data!$AA$2051:$AA$2550,$M298))</f>
        <v>40% economic need; 0.16 mi fresh access; 7 nearby resources</v>
      </c>
      <c r="L298" s="146" t="str">
        <f ca="1">IF($M298=0,"",IF(INDEX(Data!$AN$2051:$AN$2550,$M298)=0,"",IF(INDEX(Data!$U$41:$U$540,INDEX(Data!$AN$2051:$AN$2550,$M298))="","",INDEX(Data!$U$41:$U$540,INDEX(Data!$AN$2051:$AN$2550,$M298)))))</f>
        <v>215-400-7840</v>
      </c>
      <c r="M298" s="132">
        <f ca="1">IF(COUNTIFS(Data!$AV$2051:$AV$2550,286)=1,MATCH(286,Data!$AV$2051:$AV$2550,0),0)</f>
        <v>42</v>
      </c>
      <c r="N298" s="150" t="str">
        <f ca="1">IF($M298=0,"",IF(INDEX(Data!$I$2051:$I$2550,$M298)=0,"Add ID","Row "&amp;(INDEX(Data!$I$2051:$I$2550,$M298)+7)))</f>
        <v>Row 97</v>
      </c>
    </row>
    <row r="299" spans="1:14" ht="40" customHeight="1">
      <c r="A299" s="135">
        <f ca="1">IF($M299=0,"",INDEX(Data!$W$2051:$W$2550,$M299))</f>
        <v>287</v>
      </c>
      <c r="B299" s="138" t="str">
        <f ca="1">IF($M299=0,"",INDEX(Data!$B$2051:$B$2550,$M299))</f>
        <v>William M. Meredith School</v>
      </c>
      <c r="C299" s="141" t="str">
        <f ca="1">IF($M299=0,"",INDEX(Data!$C$2051:$C$2550,$M299))</f>
        <v>District</v>
      </c>
      <c r="D299" s="141" t="str">
        <f ca="1">IF($M299=0,"",INDEX(Data!$D$2051:$D$2550,$M299))</f>
        <v>Elementary-Middle</v>
      </c>
      <c r="E299" s="142">
        <f ca="1">IF($M299=0,"",INDEX(Data!$G$2051:$G$2550,$M299))</f>
        <v>0.15390000000000001</v>
      </c>
      <c r="F299" s="141">
        <f ca="1">IF($M299=0,"",INDEX(Data!$F$2051:$F$2550,$M299))</f>
        <v>579</v>
      </c>
      <c r="G299" s="143">
        <f ca="1">IF($M299=0,"",INDEX(Data!$K$2051:$K$2550,$M299))</f>
        <v>0.35822108467378699</v>
      </c>
      <c r="H299" s="141">
        <f ca="1">IF($M299=0,"",INDEX(Data!$L$2051:$L$2550,$M299))</f>
        <v>6</v>
      </c>
      <c r="I299" s="144">
        <f ca="1">IF($M299=0,"",INDEX(Data!$T$2051:$T$2550,$M299))</f>
        <v>14</v>
      </c>
      <c r="J299" s="141" t="str">
        <f ca="1">IF($M299=0,"",INDEX(Data!$U$2051:$U$2550,$M299))</f>
        <v>Listed</v>
      </c>
      <c r="K299" s="141" t="str">
        <f ca="1">IF($M299=0,"",INDEX(Data!$AA$2051:$AA$2550,$M299))</f>
        <v>15% economic need; 0.36 mi fresh access; 6 nearby resources</v>
      </c>
      <c r="L299" s="141" t="str">
        <f ca="1">IF($M299=0,"",IF(INDEX(Data!$AN$2051:$AN$2550,$M299)=0,"",IF(INDEX(Data!$U$41:$U$540,INDEX(Data!$AN$2051:$AN$2550,$M299))="","",INDEX(Data!$U$41:$U$540,INDEX(Data!$AN$2051:$AN$2550,$M299)))))</f>
        <v>215-400-7990</v>
      </c>
      <c r="M299" s="132">
        <f ca="1">IF(COUNTIFS(Data!$AV$2051:$AV$2550,287)=1,MATCH(287,Data!$AV$2051:$AV$2550,0),0)</f>
        <v>44</v>
      </c>
      <c r="N299" s="145" t="str">
        <f ca="1">IF($M299=0,"",IF(INDEX(Data!$I$2051:$I$2550,$M299)=0,"Add ID","Row "&amp;(INDEX(Data!$I$2051:$I$2550,$M299)+7)))</f>
        <v>Row 328</v>
      </c>
    </row>
    <row r="300" spans="1:14" ht="40" customHeight="1">
      <c r="A300" s="136">
        <f ca="1">IF($M300=0,"",INDEX(Data!$W$2051:$W$2550,$M300))</f>
        <v>288</v>
      </c>
      <c r="B300" s="139" t="str">
        <f ca="1">IF($M300=0,"",INDEX(Data!$B$2051:$B$2550,$M300))</f>
        <v>Samuel Powel School</v>
      </c>
      <c r="C300" s="146" t="str">
        <f ca="1">IF($M300=0,"",INDEX(Data!$C$2051:$C$2550,$M300))</f>
        <v>District</v>
      </c>
      <c r="D300" s="146" t="str">
        <f ca="1">IF($M300=0,"",INDEX(Data!$D$2051:$D$2550,$M300))</f>
        <v>Elementary</v>
      </c>
      <c r="E300" s="147">
        <f ca="1">IF($M300=0,"",INDEX(Data!$G$2051:$G$2550,$M300))</f>
        <v>0.47360000000000002</v>
      </c>
      <c r="F300" s="146">
        <f ca="1">IF($M300=0,"",INDEX(Data!$F$2051:$F$2550,$M300))</f>
        <v>342</v>
      </c>
      <c r="G300" s="148">
        <f ca="1">IF($M300=0,"",INDEX(Data!$K$2051:$K$2550,$M300))</f>
        <v>0.24657974806699834</v>
      </c>
      <c r="H300" s="146">
        <f ca="1">IF($M300=0,"",INDEX(Data!$L$2051:$L$2550,$M300))</f>
        <v>10</v>
      </c>
      <c r="I300" s="149">
        <f ca="1">IF($M300=0,"",INDEX(Data!$T$2051:$T$2550,$M300))</f>
        <v>12</v>
      </c>
      <c r="J300" s="146" t="str">
        <f ca="1">IF($M300=0,"",INDEX(Data!$U$2051:$U$2550,$M300))</f>
        <v>Listed</v>
      </c>
      <c r="K300" s="146" t="str">
        <f ca="1">IF($M300=0,"",INDEX(Data!$AA$2051:$AA$2550,$M300))</f>
        <v>47% economic need; 0.25 mi fresh access; 10 nearby resources</v>
      </c>
      <c r="L300" s="146" t="str">
        <f ca="1">IF($M300=0,"",IF(INDEX(Data!$AN$2051:$AN$2550,$M300)=0,"",IF(INDEX(Data!$U$41:$U$540,INDEX(Data!$AN$2051:$AN$2550,$M300))="","",INDEX(Data!$U$41:$U$540,INDEX(Data!$AN$2051:$AN$2550,$M300)))))</f>
        <v>215-400-7740</v>
      </c>
      <c r="M300" s="132">
        <f ca="1">IF(COUNTIFS(Data!$AV$2051:$AV$2550,288)=1,MATCH(288,Data!$AV$2051:$AV$2550,0),0)</f>
        <v>20</v>
      </c>
      <c r="N300" s="150" t="str">
        <f ca="1">IF($M300=0,"",IF(INDEX(Data!$I$2051:$I$2550,$M300)=0,"Add ID","Row "&amp;(INDEX(Data!$I$2051:$I$2550,$M300)+7)))</f>
        <v>Row 271</v>
      </c>
    </row>
    <row r="301" spans="1:14" ht="40" customHeight="1">
      <c r="A301" s="135">
        <f ca="1">IF($M301=0,"",INDEX(Data!$W$2051:$W$2550,$M301))</f>
        <v>289</v>
      </c>
      <c r="B301" s="138" t="str">
        <f ca="1">IF($M301=0,"",INDEX(Data!$B$2051:$B$2550,$M301))</f>
        <v>Marian Anderson Neighborhood Academy</v>
      </c>
      <c r="C301" s="141" t="str">
        <f ca="1">IF($M301=0,"",INDEX(Data!$C$2051:$C$2550,$M301))</f>
        <v>District</v>
      </c>
      <c r="D301" s="141" t="str">
        <f ca="1">IF($M301=0,"",INDEX(Data!$D$2051:$D$2550,$M301))</f>
        <v>Elementary-Middle</v>
      </c>
      <c r="E301" s="142">
        <f ca="1">IF($M301=0,"",INDEX(Data!$G$2051:$G$2550,$M301))</f>
        <v>0.41089999999999999</v>
      </c>
      <c r="F301" s="141">
        <f ca="1">IF($M301=0,"",INDEX(Data!$F$2051:$F$2550,$M301))</f>
        <v>348</v>
      </c>
      <c r="G301" s="143">
        <f ca="1">IF($M301=0,"",INDEX(Data!$K$2051:$K$2550,$M301))</f>
        <v>0.22881499019783172</v>
      </c>
      <c r="H301" s="141">
        <f ca="1">IF($M301=0,"",INDEX(Data!$L$2051:$L$2550,$M301))</f>
        <v>16</v>
      </c>
      <c r="I301" s="144">
        <f ca="1">IF($M301=0,"",INDEX(Data!$T$2051:$T$2550,$M301))</f>
        <v>12</v>
      </c>
      <c r="J301" s="141" t="str">
        <f ca="1">IF($M301=0,"",INDEX(Data!$U$2051:$U$2550,$M301))</f>
        <v>Listed</v>
      </c>
      <c r="K301" s="141" t="str">
        <f ca="1">IF($M301=0,"",INDEX(Data!$AA$2051:$AA$2550,$M301))</f>
        <v>41% economic need; 0.23 mi fresh access; 16 nearby resources</v>
      </c>
      <c r="L301" s="141" t="str">
        <f ca="1">IF($M301=0,"",IF(INDEX(Data!$AN$2051:$AN$2550,$M301)=0,"",IF(INDEX(Data!$U$41:$U$540,INDEX(Data!$AN$2051:$AN$2550,$M301))="","",INDEX(Data!$U$41:$U$540,INDEX(Data!$AN$2051:$AN$2550,$M301)))))</f>
        <v>215-400-7940</v>
      </c>
      <c r="M301" s="132">
        <f ca="1">IF(COUNTIFS(Data!$AV$2051:$AV$2550,289)=1,MATCH(289,Data!$AV$2051:$AV$2550,0),0)</f>
        <v>49</v>
      </c>
      <c r="N301" s="145" t="str">
        <f ca="1">IF($M301=0,"",IF(INDEX(Data!$I$2051:$I$2550,$M301)=0,"Add ID","Row "&amp;(INDEX(Data!$I$2051:$I$2550,$M301)+7)))</f>
        <v>Row 180</v>
      </c>
    </row>
    <row r="302" spans="1:14" ht="40" customHeight="1">
      <c r="A302" s="136">
        <f ca="1">IF($M302=0,"",INDEX(Data!$W$2051:$W$2550,$M302))</f>
        <v>290</v>
      </c>
      <c r="B302" s="139" t="str">
        <f ca="1">IF($M302=0,"",INDEX(Data!$B$2051:$B$2550,$M302))</f>
        <v>Julia R. Masterman High School</v>
      </c>
      <c r="C302" s="146" t="str">
        <f ca="1">IF($M302=0,"",INDEX(Data!$C$2051:$C$2550,$M302))</f>
        <v>District</v>
      </c>
      <c r="D302" s="146" t="str">
        <f ca="1">IF($M302=0,"",INDEX(Data!$D$2051:$D$2550,$M302))</f>
        <v>Middle-High</v>
      </c>
      <c r="E302" s="147">
        <f ca="1">IF($M302=0,"",INDEX(Data!$G$2051:$G$2550,$M302))</f>
        <v>0.37780000000000002</v>
      </c>
      <c r="F302" s="146">
        <f ca="1">IF($M302=0,"",INDEX(Data!$F$2051:$F$2550,$M302))</f>
        <v>1221</v>
      </c>
      <c r="G302" s="148">
        <f ca="1">IF($M302=0,"",INDEX(Data!$K$2051:$K$2550,$M302))</f>
        <v>0.2115534996326848</v>
      </c>
      <c r="H302" s="146">
        <f ca="1">IF($M302=0,"",INDEX(Data!$L$2051:$L$2550,$M302))</f>
        <v>8</v>
      </c>
      <c r="I302" s="149">
        <f ca="1">IF($M302=0,"",INDEX(Data!$T$2051:$T$2550,$M302))</f>
        <v>10</v>
      </c>
      <c r="J302" s="146" t="str">
        <f ca="1">IF($M302=0,"",INDEX(Data!$U$2051:$U$2550,$M302))</f>
        <v>Listed</v>
      </c>
      <c r="K302" s="146" t="str">
        <f ca="1">IF($M302=0,"",INDEX(Data!$AA$2051:$AA$2550,$M302))</f>
        <v>38% economic need; 0.21 mi fresh access; 8 nearby resources</v>
      </c>
      <c r="L302" s="146" t="str">
        <f ca="1">IF($M302=0,"",IF(INDEX(Data!$AN$2051:$AN$2550,$M302)=0,"",IF(INDEX(Data!$U$41:$U$540,INDEX(Data!$AN$2051:$AN$2550,$M302))="","",INDEX(Data!$U$41:$U$540,INDEX(Data!$AN$2051:$AN$2550,$M302)))))</f>
        <v>215-400-7580</v>
      </c>
      <c r="M302" s="132">
        <f ca="1">IF(COUNTIFS(Data!$AV$2051:$AV$2550,290)=1,MATCH(290,Data!$AV$2051:$AV$2550,0),0)</f>
        <v>33</v>
      </c>
      <c r="N302" s="150" t="str">
        <f ca="1">IF($M302=0,"",IF(INDEX(Data!$I$2051:$I$2550,$M302)=0,"Add ID","Row "&amp;(INDEX(Data!$I$2051:$I$2550,$M302)+7)))</f>
        <v>Row 159</v>
      </c>
    </row>
    <row r="303" spans="1:14" ht="40" customHeight="1">
      <c r="A303" s="135">
        <f ca="1">IF($M303=0,"",INDEX(Data!$W$2051:$W$2550,$M303))</f>
        <v>291</v>
      </c>
      <c r="B303" s="138" t="str">
        <f ca="1">IF($M303=0,"",INDEX(Data!$B$2051:$B$2550,$M303))</f>
        <v>Albert M. Greenfield School</v>
      </c>
      <c r="C303" s="141" t="str">
        <f ca="1">IF($M303=0,"",INDEX(Data!$C$2051:$C$2550,$M303))</f>
        <v>District</v>
      </c>
      <c r="D303" s="141" t="str">
        <f ca="1">IF($M303=0,"",INDEX(Data!$D$2051:$D$2550,$M303))</f>
        <v>Elementary-Middle</v>
      </c>
      <c r="E303" s="142">
        <f ca="1">IF($M303=0,"",INDEX(Data!$G$2051:$G$2550,$M303))</f>
        <v>0.15759999999999999</v>
      </c>
      <c r="F303" s="141">
        <f ca="1">IF($M303=0,"",INDEX(Data!$F$2051:$F$2550,$M303))</f>
        <v>757</v>
      </c>
      <c r="G303" s="143">
        <f ca="1">IF($M303=0,"",INDEX(Data!$K$2051:$K$2550,$M303))</f>
        <v>0.13384961289225211</v>
      </c>
      <c r="H303" s="141">
        <f ca="1">IF($M303=0,"",INDEX(Data!$L$2051:$L$2550,$M303))</f>
        <v>5</v>
      </c>
      <c r="I303" s="144">
        <f ca="1">IF($M303=0,"",INDEX(Data!$T$2051:$T$2550,$M303))</f>
        <v>10</v>
      </c>
      <c r="J303" s="141" t="str">
        <f ca="1">IF($M303=0,"",INDEX(Data!$U$2051:$U$2550,$M303))</f>
        <v>Listed</v>
      </c>
      <c r="K303" s="141" t="str">
        <f ca="1">IF($M303=0,"",INDEX(Data!$AA$2051:$AA$2550,$M303))</f>
        <v>16% economic need; 0.13 mi fresh access; 5 nearby resources</v>
      </c>
      <c r="L303" s="141" t="str">
        <f ca="1">IF($M303=0,"",IF(INDEX(Data!$AN$2051:$AN$2550,$M303)=0,"",IF(INDEX(Data!$U$41:$U$540,INDEX(Data!$AN$2051:$AN$2550,$M303))="","",INDEX(Data!$U$41:$U$540,INDEX(Data!$AN$2051:$AN$2550,$M303)))))</f>
        <v>215-400-7810</v>
      </c>
      <c r="M303" s="132">
        <f ca="1">IF(COUNTIFS(Data!$AV$2051:$AV$2550,291)=1,MATCH(291,Data!$AV$2051:$AV$2550,0),0)</f>
        <v>48</v>
      </c>
      <c r="N303" s="145" t="str">
        <f ca="1">IF($M303=0,"",IF(INDEX(Data!$I$2051:$I$2550,$M303)=0,"Add ID","Row "&amp;(INDEX(Data!$I$2051:$I$2550,$M303)+7)))</f>
        <v>Row 18</v>
      </c>
    </row>
    <row r="304" spans="1:14" ht="40" customHeight="1">
      <c r="A304" s="136">
        <f ca="1">IF($M304=0,"",INDEX(Data!$W$2051:$W$2550,$M304))</f>
        <v>292</v>
      </c>
      <c r="B304" s="139" t="str">
        <f ca="1">IF($M304=0,"",INDEX(Data!$B$2051:$B$2550,$M304))</f>
        <v>Philadelphia Virtual Academy</v>
      </c>
      <c r="C304" s="146" t="str">
        <f ca="1">IF($M304=0,"",INDEX(Data!$C$2051:$C$2550,$M304))</f>
        <v>District</v>
      </c>
      <c r="D304" s="146" t="str">
        <f ca="1">IF($M304=0,"",INDEX(Data!$D$2051:$D$2550,$M304))</f>
        <v>Elementary-Middle-High</v>
      </c>
      <c r="E304" s="147">
        <f ca="1">IF($M304=0,"",INDEX(Data!$G$2051:$G$2550,$M304))</f>
        <v>0</v>
      </c>
      <c r="F304" s="146">
        <f ca="1">IF($M304=0,"",INDEX(Data!$F$2051:$F$2550,$M304))</f>
        <v>1174</v>
      </c>
      <c r="G304" s="148">
        <f ca="1">IF($M304=0,"",INDEX(Data!$K$2051:$K$2550,$M304))</f>
        <v>0.13651599008722429</v>
      </c>
      <c r="H304" s="146">
        <f ca="1">IF($M304=0,"",INDEX(Data!$L$2051:$L$2550,$M304))</f>
        <v>10</v>
      </c>
      <c r="I304" s="149">
        <f ca="1">IF($M304=0,"",INDEX(Data!$T$2051:$T$2550,$M304))</f>
        <v>10</v>
      </c>
      <c r="J304" s="146" t="str">
        <f ca="1">IF($M304=0,"",INDEX(Data!$U$2051:$U$2550,$M304))</f>
        <v>Listed</v>
      </c>
      <c r="K304" s="146" t="str">
        <f ca="1">IF($M304=0,"",INDEX(Data!$AA$2051:$AA$2550,$M304))</f>
        <v>0% economic need; 0.14 mi fresh access; 10 nearby resources</v>
      </c>
      <c r="L304" s="146" t="str">
        <f ca="1">IF($M304=0,"",IF(INDEX(Data!$AN$2051:$AN$2550,$M304)=0,"",IF(INDEX(Data!$U$41:$U$540,INDEX(Data!$AN$2051:$AN$2550,$M304))="","",INDEX(Data!$U$41:$U$540,INDEX(Data!$AN$2051:$AN$2550,$M304)))))</f>
        <v>215-400-3110</v>
      </c>
      <c r="M304" s="132">
        <f ca="1">IF(COUNTIFS(Data!$AV$2051:$AV$2550,292)=1,MATCH(292,Data!$AV$2051:$AV$2550,0),0)</f>
        <v>325</v>
      </c>
      <c r="N304" s="150" t="str">
        <f ca="1">IF($M304=0,"",IF(INDEX(Data!$I$2051:$I$2550,$M304)=0,"Add ID","Row "&amp;(INDEX(Data!$I$2051:$I$2550,$M304)+7)))</f>
        <v>Row 249</v>
      </c>
    </row>
    <row r="305" spans="1:14" ht="40" customHeight="1">
      <c r="A305" s="135">
        <f ca="1">IF($M305=0,"",INDEX(Data!$W$2051:$W$2550,$M305))</f>
        <v>293</v>
      </c>
      <c r="B305" s="138" t="str">
        <f ca="1">IF($M305=0,"",INDEX(Data!$B$2051:$B$2550,$M305))</f>
        <v>Sadie T.M. Alexander UPenn Partnership School</v>
      </c>
      <c r="C305" s="141" t="str">
        <f ca="1">IF($M305=0,"",INDEX(Data!$C$2051:$C$2550,$M305))</f>
        <v>District</v>
      </c>
      <c r="D305" s="141" t="str">
        <f ca="1">IF($M305=0,"",INDEX(Data!$D$2051:$D$2550,$M305))</f>
        <v>Elementary-Middle</v>
      </c>
      <c r="E305" s="142">
        <f ca="1">IF($M305=0,"",INDEX(Data!$G$2051:$G$2550,$M305))</f>
        <v>0.2288</v>
      </c>
      <c r="F305" s="141">
        <f ca="1">IF($M305=0,"",INDEX(Data!$F$2051:$F$2550,$M305))</f>
        <v>601</v>
      </c>
      <c r="G305" s="143">
        <f ca="1">IF($M305=0,"",INDEX(Data!$K$2051:$K$2550,$M305))</f>
        <v>0.13992622182183717</v>
      </c>
      <c r="H305" s="141">
        <f ca="1">IF($M305=0,"",INDEX(Data!$L$2051:$L$2550,$M305))</f>
        <v>10</v>
      </c>
      <c r="I305" s="144">
        <f ca="1">IF($M305=0,"",INDEX(Data!$T$2051:$T$2550,$M305))</f>
        <v>9</v>
      </c>
      <c r="J305" s="141" t="str">
        <f ca="1">IF($M305=0,"",INDEX(Data!$U$2051:$U$2550,$M305))</f>
        <v>Listed</v>
      </c>
      <c r="K305" s="141" t="str">
        <f ca="1">IF($M305=0,"",INDEX(Data!$AA$2051:$AA$2550,$M305))</f>
        <v>23% economic need; 0.14 mi fresh access; 10 nearby resources</v>
      </c>
      <c r="L305" s="141" t="str">
        <f ca="1">IF($M305=0,"",IF(INDEX(Data!$AN$2051:$AN$2550,$M305)=0,"",IF(INDEX(Data!$U$41:$U$540,INDEX(Data!$AN$2051:$AN$2550,$M305))="","",INDEX(Data!$U$41:$U$540,INDEX(Data!$AN$2051:$AN$2550,$M305)))))</f>
        <v>215-400-7760</v>
      </c>
      <c r="M305" s="132">
        <f ca="1">IF(COUNTIFS(Data!$AV$2051:$AV$2550,293)=1,MATCH(293,Data!$AV$2051:$AV$2550,0),0)</f>
        <v>12</v>
      </c>
      <c r="N305" s="145" t="str">
        <f ca="1">IF($M305=0,"",IF(INDEX(Data!$I$2051:$I$2550,$M305)=0,"Add ID","Row "&amp;(INDEX(Data!$I$2051:$I$2550,$M305)+7)))</f>
        <v>Row 267</v>
      </c>
    </row>
    <row r="306" spans="1:14" ht="40" customHeight="1">
      <c r="A306" s="136" t="str">
        <f ca="1">IF($M306=0,"",INDEX(Data!$W$2051:$W$2550,$M306))</f>
        <v/>
      </c>
      <c r="B306" s="139" t="str">
        <f ca="1">IF($M306=0,"",INDEX(Data!$B$2051:$B$2550,$M306))</f>
        <v/>
      </c>
      <c r="C306" s="146" t="str">
        <f ca="1">IF($M306=0,"",INDEX(Data!$C$2051:$C$2550,$M306))</f>
        <v/>
      </c>
      <c r="D306" s="146" t="str">
        <f ca="1">IF($M306=0,"",INDEX(Data!$D$2051:$D$2550,$M306))</f>
        <v/>
      </c>
      <c r="E306" s="147" t="str">
        <f ca="1">IF($M306=0,"",INDEX(Data!$G$2051:$G$2550,$M306))</f>
        <v/>
      </c>
      <c r="F306" s="146" t="str">
        <f ca="1">IF($M306=0,"",INDEX(Data!$F$2051:$F$2550,$M306))</f>
        <v/>
      </c>
      <c r="G306" s="148" t="str">
        <f ca="1">IF($M306=0,"",INDEX(Data!$K$2051:$K$2550,$M306))</f>
        <v/>
      </c>
      <c r="H306" s="146" t="str">
        <f ca="1">IF($M306=0,"",INDEX(Data!$L$2051:$L$2550,$M306))</f>
        <v/>
      </c>
      <c r="I306" s="149" t="str">
        <f ca="1">IF($M306=0,"",INDEX(Data!$T$2051:$T$2550,$M306))</f>
        <v/>
      </c>
      <c r="J306" s="146" t="str">
        <f ca="1">IF($M306=0,"",INDEX(Data!$U$2051:$U$2550,$M306))</f>
        <v/>
      </c>
      <c r="K306" s="146" t="str">
        <f ca="1">IF($M306=0,"",INDEX(Data!$AA$2051:$AA$2550,$M306))</f>
        <v/>
      </c>
      <c r="L306" s="146" t="str">
        <f ca="1">IF($M306=0,"",IF(INDEX(Data!$AN$2051:$AN$2550,$M306)=0,"",IF(INDEX(Data!$U$41:$U$540,INDEX(Data!$AN$2051:$AN$2550,$M306))="","",INDEX(Data!$U$41:$U$540,INDEX(Data!$AN$2051:$AN$2550,$M306)))))</f>
        <v/>
      </c>
      <c r="M306" s="132">
        <f ca="1">IF(COUNTIFS(Data!$AV$2051:$AV$2550,294)=1,MATCH(294,Data!$AV$2051:$AV$2550,0),0)</f>
        <v>0</v>
      </c>
      <c r="N306" s="150" t="str">
        <f ca="1">IF($M306=0,"",IF(INDEX(Data!$I$2051:$I$2550,$M306)=0,"Add ID","Row "&amp;(INDEX(Data!$I$2051:$I$2550,$M306)+7)))</f>
        <v/>
      </c>
    </row>
    <row r="307" spans="1:14" ht="40" customHeight="1">
      <c r="A307" s="135" t="str">
        <f ca="1">IF($M307=0,"",INDEX(Data!$W$2051:$W$2550,$M307))</f>
        <v/>
      </c>
      <c r="B307" s="138" t="str">
        <f ca="1">IF($M307=0,"",INDEX(Data!$B$2051:$B$2550,$M307))</f>
        <v/>
      </c>
      <c r="C307" s="141" t="str">
        <f ca="1">IF($M307=0,"",INDEX(Data!$C$2051:$C$2550,$M307))</f>
        <v/>
      </c>
      <c r="D307" s="141" t="str">
        <f ca="1">IF($M307=0,"",INDEX(Data!$D$2051:$D$2550,$M307))</f>
        <v/>
      </c>
      <c r="E307" s="142" t="str">
        <f ca="1">IF($M307=0,"",INDEX(Data!$G$2051:$G$2550,$M307))</f>
        <v/>
      </c>
      <c r="F307" s="141" t="str">
        <f ca="1">IF($M307=0,"",INDEX(Data!$F$2051:$F$2550,$M307))</f>
        <v/>
      </c>
      <c r="G307" s="143" t="str">
        <f ca="1">IF($M307=0,"",INDEX(Data!$K$2051:$K$2550,$M307))</f>
        <v/>
      </c>
      <c r="H307" s="141" t="str">
        <f ca="1">IF($M307=0,"",INDEX(Data!$L$2051:$L$2550,$M307))</f>
        <v/>
      </c>
      <c r="I307" s="144" t="str">
        <f ca="1">IF($M307=0,"",INDEX(Data!$T$2051:$T$2550,$M307))</f>
        <v/>
      </c>
      <c r="J307" s="141" t="str">
        <f ca="1">IF($M307=0,"",INDEX(Data!$U$2051:$U$2550,$M307))</f>
        <v/>
      </c>
      <c r="K307" s="141" t="str">
        <f ca="1">IF($M307=0,"",INDEX(Data!$AA$2051:$AA$2550,$M307))</f>
        <v/>
      </c>
      <c r="L307" s="141" t="str">
        <f ca="1">IF($M307=0,"",IF(INDEX(Data!$AN$2051:$AN$2550,$M307)=0,"",IF(INDEX(Data!$U$41:$U$540,INDEX(Data!$AN$2051:$AN$2550,$M307))="","",INDEX(Data!$U$41:$U$540,INDEX(Data!$AN$2051:$AN$2550,$M307)))))</f>
        <v/>
      </c>
      <c r="M307" s="132">
        <f ca="1">IF(COUNTIFS(Data!$AV$2051:$AV$2550,295)=1,MATCH(295,Data!$AV$2051:$AV$2550,0),0)</f>
        <v>0</v>
      </c>
      <c r="N307" s="145" t="str">
        <f ca="1">IF($M307=0,"",IF(INDEX(Data!$I$2051:$I$2550,$M307)=0,"Add ID","Row "&amp;(INDEX(Data!$I$2051:$I$2550,$M307)+7)))</f>
        <v/>
      </c>
    </row>
    <row r="308" spans="1:14" ht="40" customHeight="1">
      <c r="A308" s="136" t="str">
        <f ca="1">IF($M308=0,"",INDEX(Data!$W$2051:$W$2550,$M308))</f>
        <v/>
      </c>
      <c r="B308" s="139" t="str">
        <f ca="1">IF($M308=0,"",INDEX(Data!$B$2051:$B$2550,$M308))</f>
        <v/>
      </c>
      <c r="C308" s="146" t="str">
        <f ca="1">IF($M308=0,"",INDEX(Data!$C$2051:$C$2550,$M308))</f>
        <v/>
      </c>
      <c r="D308" s="146" t="str">
        <f ca="1">IF($M308=0,"",INDEX(Data!$D$2051:$D$2550,$M308))</f>
        <v/>
      </c>
      <c r="E308" s="147" t="str">
        <f ca="1">IF($M308=0,"",INDEX(Data!$G$2051:$G$2550,$M308))</f>
        <v/>
      </c>
      <c r="F308" s="146" t="str">
        <f ca="1">IF($M308=0,"",INDEX(Data!$F$2051:$F$2550,$M308))</f>
        <v/>
      </c>
      <c r="G308" s="148" t="str">
        <f ca="1">IF($M308=0,"",INDEX(Data!$K$2051:$K$2550,$M308))</f>
        <v/>
      </c>
      <c r="H308" s="146" t="str">
        <f ca="1">IF($M308=0,"",INDEX(Data!$L$2051:$L$2550,$M308))</f>
        <v/>
      </c>
      <c r="I308" s="149" t="str">
        <f ca="1">IF($M308=0,"",INDEX(Data!$T$2051:$T$2550,$M308))</f>
        <v/>
      </c>
      <c r="J308" s="146" t="str">
        <f ca="1">IF($M308=0,"",INDEX(Data!$U$2051:$U$2550,$M308))</f>
        <v/>
      </c>
      <c r="K308" s="146" t="str">
        <f ca="1">IF($M308=0,"",INDEX(Data!$AA$2051:$AA$2550,$M308))</f>
        <v/>
      </c>
      <c r="L308" s="146" t="str">
        <f ca="1">IF($M308=0,"",IF(INDEX(Data!$AN$2051:$AN$2550,$M308)=0,"",IF(INDEX(Data!$U$41:$U$540,INDEX(Data!$AN$2051:$AN$2550,$M308))="","",INDEX(Data!$U$41:$U$540,INDEX(Data!$AN$2051:$AN$2550,$M308)))))</f>
        <v/>
      </c>
      <c r="M308" s="132">
        <f ca="1">IF(COUNTIFS(Data!$AV$2051:$AV$2550,296)=1,MATCH(296,Data!$AV$2051:$AV$2550,0),0)</f>
        <v>0</v>
      </c>
      <c r="N308" s="150" t="str">
        <f ca="1">IF($M308=0,"",IF(INDEX(Data!$I$2051:$I$2550,$M308)=0,"Add ID","Row "&amp;(INDEX(Data!$I$2051:$I$2550,$M308)+7)))</f>
        <v/>
      </c>
    </row>
    <row r="309" spans="1:14" ht="40" customHeight="1">
      <c r="A309" s="135" t="str">
        <f ca="1">IF($M309=0,"",INDEX(Data!$W$2051:$W$2550,$M309))</f>
        <v/>
      </c>
      <c r="B309" s="138" t="str">
        <f ca="1">IF($M309=0,"",INDEX(Data!$B$2051:$B$2550,$M309))</f>
        <v/>
      </c>
      <c r="C309" s="141" t="str">
        <f ca="1">IF($M309=0,"",INDEX(Data!$C$2051:$C$2550,$M309))</f>
        <v/>
      </c>
      <c r="D309" s="141" t="str">
        <f ca="1">IF($M309=0,"",INDEX(Data!$D$2051:$D$2550,$M309))</f>
        <v/>
      </c>
      <c r="E309" s="142" t="str">
        <f ca="1">IF($M309=0,"",INDEX(Data!$G$2051:$G$2550,$M309))</f>
        <v/>
      </c>
      <c r="F309" s="141" t="str">
        <f ca="1">IF($M309=0,"",INDEX(Data!$F$2051:$F$2550,$M309))</f>
        <v/>
      </c>
      <c r="G309" s="143" t="str">
        <f ca="1">IF($M309=0,"",INDEX(Data!$K$2051:$K$2550,$M309))</f>
        <v/>
      </c>
      <c r="H309" s="141" t="str">
        <f ca="1">IF($M309=0,"",INDEX(Data!$L$2051:$L$2550,$M309))</f>
        <v/>
      </c>
      <c r="I309" s="144" t="str">
        <f ca="1">IF($M309=0,"",INDEX(Data!$T$2051:$T$2550,$M309))</f>
        <v/>
      </c>
      <c r="J309" s="141" t="str">
        <f ca="1">IF($M309=0,"",INDEX(Data!$U$2051:$U$2550,$M309))</f>
        <v/>
      </c>
      <c r="K309" s="141" t="str">
        <f ca="1">IF($M309=0,"",INDEX(Data!$AA$2051:$AA$2550,$M309))</f>
        <v/>
      </c>
      <c r="L309" s="141" t="str">
        <f ca="1">IF($M309=0,"",IF(INDEX(Data!$AN$2051:$AN$2550,$M309)=0,"",IF(INDEX(Data!$U$41:$U$540,INDEX(Data!$AN$2051:$AN$2550,$M309))="","",INDEX(Data!$U$41:$U$540,INDEX(Data!$AN$2051:$AN$2550,$M309)))))</f>
        <v/>
      </c>
      <c r="M309" s="132">
        <f ca="1">IF(COUNTIFS(Data!$AV$2051:$AV$2550,297)=1,MATCH(297,Data!$AV$2051:$AV$2550,0),0)</f>
        <v>0</v>
      </c>
      <c r="N309" s="145" t="str">
        <f ca="1">IF($M309=0,"",IF(INDEX(Data!$I$2051:$I$2550,$M309)=0,"Add ID","Row "&amp;(INDEX(Data!$I$2051:$I$2550,$M309)+7)))</f>
        <v/>
      </c>
    </row>
    <row r="310" spans="1:14" ht="40" customHeight="1">
      <c r="A310" s="136" t="str">
        <f ca="1">IF($M310=0,"",INDEX(Data!$W$2051:$W$2550,$M310))</f>
        <v/>
      </c>
      <c r="B310" s="139" t="str">
        <f ca="1">IF($M310=0,"",INDEX(Data!$B$2051:$B$2550,$M310))</f>
        <v/>
      </c>
      <c r="C310" s="146" t="str">
        <f ca="1">IF($M310=0,"",INDEX(Data!$C$2051:$C$2550,$M310))</f>
        <v/>
      </c>
      <c r="D310" s="146" t="str">
        <f ca="1">IF($M310=0,"",INDEX(Data!$D$2051:$D$2550,$M310))</f>
        <v/>
      </c>
      <c r="E310" s="147" t="str">
        <f ca="1">IF($M310=0,"",INDEX(Data!$G$2051:$G$2550,$M310))</f>
        <v/>
      </c>
      <c r="F310" s="146" t="str">
        <f ca="1">IF($M310=0,"",INDEX(Data!$F$2051:$F$2550,$M310))</f>
        <v/>
      </c>
      <c r="G310" s="148" t="str">
        <f ca="1">IF($M310=0,"",INDEX(Data!$K$2051:$K$2550,$M310))</f>
        <v/>
      </c>
      <c r="H310" s="146" t="str">
        <f ca="1">IF($M310=0,"",INDEX(Data!$L$2051:$L$2550,$M310))</f>
        <v/>
      </c>
      <c r="I310" s="149" t="str">
        <f ca="1">IF($M310=0,"",INDEX(Data!$T$2051:$T$2550,$M310))</f>
        <v/>
      </c>
      <c r="J310" s="146" t="str">
        <f ca="1">IF($M310=0,"",INDEX(Data!$U$2051:$U$2550,$M310))</f>
        <v/>
      </c>
      <c r="K310" s="146" t="str">
        <f ca="1">IF($M310=0,"",INDEX(Data!$AA$2051:$AA$2550,$M310))</f>
        <v/>
      </c>
      <c r="L310" s="146" t="str">
        <f ca="1">IF($M310=0,"",IF(INDEX(Data!$AN$2051:$AN$2550,$M310)=0,"",IF(INDEX(Data!$U$41:$U$540,INDEX(Data!$AN$2051:$AN$2550,$M310))="","",INDEX(Data!$U$41:$U$540,INDEX(Data!$AN$2051:$AN$2550,$M310)))))</f>
        <v/>
      </c>
      <c r="M310" s="132">
        <f ca="1">IF(COUNTIFS(Data!$AV$2051:$AV$2550,298)=1,MATCH(298,Data!$AV$2051:$AV$2550,0),0)</f>
        <v>0</v>
      </c>
      <c r="N310" s="150" t="str">
        <f ca="1">IF($M310=0,"",IF(INDEX(Data!$I$2051:$I$2550,$M310)=0,"Add ID","Row "&amp;(INDEX(Data!$I$2051:$I$2550,$M310)+7)))</f>
        <v/>
      </c>
    </row>
    <row r="311" spans="1:14" ht="40" customHeight="1">
      <c r="A311" s="135" t="str">
        <f ca="1">IF($M311=0,"",INDEX(Data!$W$2051:$W$2550,$M311))</f>
        <v/>
      </c>
      <c r="B311" s="138" t="str">
        <f ca="1">IF($M311=0,"",INDEX(Data!$B$2051:$B$2550,$M311))</f>
        <v/>
      </c>
      <c r="C311" s="141" t="str">
        <f ca="1">IF($M311=0,"",INDEX(Data!$C$2051:$C$2550,$M311))</f>
        <v/>
      </c>
      <c r="D311" s="141" t="str">
        <f ca="1">IF($M311=0,"",INDEX(Data!$D$2051:$D$2550,$M311))</f>
        <v/>
      </c>
      <c r="E311" s="142" t="str">
        <f ca="1">IF($M311=0,"",INDEX(Data!$G$2051:$G$2550,$M311))</f>
        <v/>
      </c>
      <c r="F311" s="141" t="str">
        <f ca="1">IF($M311=0,"",INDEX(Data!$F$2051:$F$2550,$M311))</f>
        <v/>
      </c>
      <c r="G311" s="143" t="str">
        <f ca="1">IF($M311=0,"",INDEX(Data!$K$2051:$K$2550,$M311))</f>
        <v/>
      </c>
      <c r="H311" s="141" t="str">
        <f ca="1">IF($M311=0,"",INDEX(Data!$L$2051:$L$2550,$M311))</f>
        <v/>
      </c>
      <c r="I311" s="144" t="str">
        <f ca="1">IF($M311=0,"",INDEX(Data!$T$2051:$T$2550,$M311))</f>
        <v/>
      </c>
      <c r="J311" s="141" t="str">
        <f ca="1">IF($M311=0,"",INDEX(Data!$U$2051:$U$2550,$M311))</f>
        <v/>
      </c>
      <c r="K311" s="141" t="str">
        <f ca="1">IF($M311=0,"",INDEX(Data!$AA$2051:$AA$2550,$M311))</f>
        <v/>
      </c>
      <c r="L311" s="141" t="str">
        <f ca="1">IF($M311=0,"",IF(INDEX(Data!$AN$2051:$AN$2550,$M311)=0,"",IF(INDEX(Data!$U$41:$U$540,INDEX(Data!$AN$2051:$AN$2550,$M311))="","",INDEX(Data!$U$41:$U$540,INDEX(Data!$AN$2051:$AN$2550,$M311)))))</f>
        <v/>
      </c>
      <c r="M311" s="132">
        <f ca="1">IF(COUNTIFS(Data!$AV$2051:$AV$2550,299)=1,MATCH(299,Data!$AV$2051:$AV$2550,0),0)</f>
        <v>0</v>
      </c>
      <c r="N311" s="145" t="str">
        <f ca="1">IF($M311=0,"",IF(INDEX(Data!$I$2051:$I$2550,$M311)=0,"Add ID","Row "&amp;(INDEX(Data!$I$2051:$I$2550,$M311)+7)))</f>
        <v/>
      </c>
    </row>
    <row r="312" spans="1:14" ht="40" customHeight="1">
      <c r="A312" s="136" t="str">
        <f ca="1">IF($M312=0,"",INDEX(Data!$W$2051:$W$2550,$M312))</f>
        <v/>
      </c>
      <c r="B312" s="139" t="str">
        <f ca="1">IF($M312=0,"",INDEX(Data!$B$2051:$B$2550,$M312))</f>
        <v/>
      </c>
      <c r="C312" s="146" t="str">
        <f ca="1">IF($M312=0,"",INDEX(Data!$C$2051:$C$2550,$M312))</f>
        <v/>
      </c>
      <c r="D312" s="146" t="str">
        <f ca="1">IF($M312=0,"",INDEX(Data!$D$2051:$D$2550,$M312))</f>
        <v/>
      </c>
      <c r="E312" s="147" t="str">
        <f ca="1">IF($M312=0,"",INDEX(Data!$G$2051:$G$2550,$M312))</f>
        <v/>
      </c>
      <c r="F312" s="146" t="str">
        <f ca="1">IF($M312=0,"",INDEX(Data!$F$2051:$F$2550,$M312))</f>
        <v/>
      </c>
      <c r="G312" s="148" t="str">
        <f ca="1">IF($M312=0,"",INDEX(Data!$K$2051:$K$2550,$M312))</f>
        <v/>
      </c>
      <c r="H312" s="146" t="str">
        <f ca="1">IF($M312=0,"",INDEX(Data!$L$2051:$L$2550,$M312))</f>
        <v/>
      </c>
      <c r="I312" s="149" t="str">
        <f ca="1">IF($M312=0,"",INDEX(Data!$T$2051:$T$2550,$M312))</f>
        <v/>
      </c>
      <c r="J312" s="146" t="str">
        <f ca="1">IF($M312=0,"",INDEX(Data!$U$2051:$U$2550,$M312))</f>
        <v/>
      </c>
      <c r="K312" s="146" t="str">
        <f ca="1">IF($M312=0,"",INDEX(Data!$AA$2051:$AA$2550,$M312))</f>
        <v/>
      </c>
      <c r="L312" s="146" t="str">
        <f ca="1">IF($M312=0,"",IF(INDEX(Data!$AN$2051:$AN$2550,$M312)=0,"",IF(INDEX(Data!$U$41:$U$540,INDEX(Data!$AN$2051:$AN$2550,$M312))="","",INDEX(Data!$U$41:$U$540,INDEX(Data!$AN$2051:$AN$2550,$M312)))))</f>
        <v/>
      </c>
      <c r="M312" s="132">
        <f ca="1">IF(COUNTIFS(Data!$AV$2051:$AV$2550,300)=1,MATCH(300,Data!$AV$2051:$AV$2550,0),0)</f>
        <v>0</v>
      </c>
      <c r="N312" s="150" t="str">
        <f ca="1">IF($M312=0,"",IF(INDEX(Data!$I$2051:$I$2550,$M312)=0,"Add ID","Row "&amp;(INDEX(Data!$I$2051:$I$2550,$M312)+7)))</f>
        <v/>
      </c>
    </row>
    <row r="313" spans="1:14" ht="40" customHeight="1">
      <c r="A313" s="135" t="str">
        <f ca="1">IF($M313=0,"",INDEX(Data!$W$2051:$W$2550,$M313))</f>
        <v/>
      </c>
      <c r="B313" s="138" t="str">
        <f ca="1">IF($M313=0,"",INDEX(Data!$B$2051:$B$2550,$M313))</f>
        <v/>
      </c>
      <c r="C313" s="141" t="str">
        <f ca="1">IF($M313=0,"",INDEX(Data!$C$2051:$C$2550,$M313))</f>
        <v/>
      </c>
      <c r="D313" s="141" t="str">
        <f ca="1">IF($M313=0,"",INDEX(Data!$D$2051:$D$2550,$M313))</f>
        <v/>
      </c>
      <c r="E313" s="142" t="str">
        <f ca="1">IF($M313=0,"",INDEX(Data!$G$2051:$G$2550,$M313))</f>
        <v/>
      </c>
      <c r="F313" s="141" t="str">
        <f ca="1">IF($M313=0,"",INDEX(Data!$F$2051:$F$2550,$M313))</f>
        <v/>
      </c>
      <c r="G313" s="143" t="str">
        <f ca="1">IF($M313=0,"",INDEX(Data!$K$2051:$K$2550,$M313))</f>
        <v/>
      </c>
      <c r="H313" s="141" t="str">
        <f ca="1">IF($M313=0,"",INDEX(Data!$L$2051:$L$2550,$M313))</f>
        <v/>
      </c>
      <c r="I313" s="144" t="str">
        <f ca="1">IF($M313=0,"",INDEX(Data!$T$2051:$T$2550,$M313))</f>
        <v/>
      </c>
      <c r="J313" s="141" t="str">
        <f ca="1">IF($M313=0,"",INDEX(Data!$U$2051:$U$2550,$M313))</f>
        <v/>
      </c>
      <c r="K313" s="141" t="str">
        <f ca="1">IF($M313=0,"",INDEX(Data!$AA$2051:$AA$2550,$M313))</f>
        <v/>
      </c>
      <c r="L313" s="141" t="str">
        <f ca="1">IF($M313=0,"",IF(INDEX(Data!$AN$2051:$AN$2550,$M313)=0,"",IF(INDEX(Data!$U$41:$U$540,INDEX(Data!$AN$2051:$AN$2550,$M313))="","",INDEX(Data!$U$41:$U$540,INDEX(Data!$AN$2051:$AN$2550,$M313)))))</f>
        <v/>
      </c>
      <c r="M313" s="132">
        <f ca="1">IF(COUNTIFS(Data!$AV$2051:$AV$2550,301)=1,MATCH(301,Data!$AV$2051:$AV$2550,0),0)</f>
        <v>0</v>
      </c>
      <c r="N313" s="145" t="str">
        <f ca="1">IF($M313=0,"",IF(INDEX(Data!$I$2051:$I$2550,$M313)=0,"Add ID","Row "&amp;(INDEX(Data!$I$2051:$I$2550,$M313)+7)))</f>
        <v/>
      </c>
    </row>
    <row r="314" spans="1:14" ht="40" customHeight="1">
      <c r="A314" s="136" t="str">
        <f ca="1">IF($M314=0,"",INDEX(Data!$W$2051:$W$2550,$M314))</f>
        <v/>
      </c>
      <c r="B314" s="139" t="str">
        <f ca="1">IF($M314=0,"",INDEX(Data!$B$2051:$B$2550,$M314))</f>
        <v/>
      </c>
      <c r="C314" s="146" t="str">
        <f ca="1">IF($M314=0,"",INDEX(Data!$C$2051:$C$2550,$M314))</f>
        <v/>
      </c>
      <c r="D314" s="146" t="str">
        <f ca="1">IF($M314=0,"",INDEX(Data!$D$2051:$D$2550,$M314))</f>
        <v/>
      </c>
      <c r="E314" s="147" t="str">
        <f ca="1">IF($M314=0,"",INDEX(Data!$G$2051:$G$2550,$M314))</f>
        <v/>
      </c>
      <c r="F314" s="146" t="str">
        <f ca="1">IF($M314=0,"",INDEX(Data!$F$2051:$F$2550,$M314))</f>
        <v/>
      </c>
      <c r="G314" s="148" t="str">
        <f ca="1">IF($M314=0,"",INDEX(Data!$K$2051:$K$2550,$M314))</f>
        <v/>
      </c>
      <c r="H314" s="146" t="str">
        <f ca="1">IF($M314=0,"",INDEX(Data!$L$2051:$L$2550,$M314))</f>
        <v/>
      </c>
      <c r="I314" s="149" t="str">
        <f ca="1">IF($M314=0,"",INDEX(Data!$T$2051:$T$2550,$M314))</f>
        <v/>
      </c>
      <c r="J314" s="146" t="str">
        <f ca="1">IF($M314=0,"",INDEX(Data!$U$2051:$U$2550,$M314))</f>
        <v/>
      </c>
      <c r="K314" s="146" t="str">
        <f ca="1">IF($M314=0,"",INDEX(Data!$AA$2051:$AA$2550,$M314))</f>
        <v/>
      </c>
      <c r="L314" s="146" t="str">
        <f ca="1">IF($M314=0,"",IF(INDEX(Data!$AN$2051:$AN$2550,$M314)=0,"",IF(INDEX(Data!$U$41:$U$540,INDEX(Data!$AN$2051:$AN$2550,$M314))="","",INDEX(Data!$U$41:$U$540,INDEX(Data!$AN$2051:$AN$2550,$M314)))))</f>
        <v/>
      </c>
      <c r="M314" s="132">
        <f ca="1">IF(COUNTIFS(Data!$AV$2051:$AV$2550,302)=1,MATCH(302,Data!$AV$2051:$AV$2550,0),0)</f>
        <v>0</v>
      </c>
      <c r="N314" s="150" t="str">
        <f ca="1">IF($M314=0,"",IF(INDEX(Data!$I$2051:$I$2550,$M314)=0,"Add ID","Row "&amp;(INDEX(Data!$I$2051:$I$2550,$M314)+7)))</f>
        <v/>
      </c>
    </row>
    <row r="315" spans="1:14" ht="40" customHeight="1">
      <c r="A315" s="135" t="str">
        <f ca="1">IF($M315=0,"",INDEX(Data!$W$2051:$W$2550,$M315))</f>
        <v/>
      </c>
      <c r="B315" s="138" t="str">
        <f ca="1">IF($M315=0,"",INDEX(Data!$B$2051:$B$2550,$M315))</f>
        <v/>
      </c>
      <c r="C315" s="141" t="str">
        <f ca="1">IF($M315=0,"",INDEX(Data!$C$2051:$C$2550,$M315))</f>
        <v/>
      </c>
      <c r="D315" s="141" t="str">
        <f ca="1">IF($M315=0,"",INDEX(Data!$D$2051:$D$2550,$M315))</f>
        <v/>
      </c>
      <c r="E315" s="142" t="str">
        <f ca="1">IF($M315=0,"",INDEX(Data!$G$2051:$G$2550,$M315))</f>
        <v/>
      </c>
      <c r="F315" s="141" t="str">
        <f ca="1">IF($M315=0,"",INDEX(Data!$F$2051:$F$2550,$M315))</f>
        <v/>
      </c>
      <c r="G315" s="143" t="str">
        <f ca="1">IF($M315=0,"",INDEX(Data!$K$2051:$K$2550,$M315))</f>
        <v/>
      </c>
      <c r="H315" s="141" t="str">
        <f ca="1">IF($M315=0,"",INDEX(Data!$L$2051:$L$2550,$M315))</f>
        <v/>
      </c>
      <c r="I315" s="144" t="str">
        <f ca="1">IF($M315=0,"",INDEX(Data!$T$2051:$T$2550,$M315))</f>
        <v/>
      </c>
      <c r="J315" s="141" t="str">
        <f ca="1">IF($M315=0,"",INDEX(Data!$U$2051:$U$2550,$M315))</f>
        <v/>
      </c>
      <c r="K315" s="141" t="str">
        <f ca="1">IF($M315=0,"",INDEX(Data!$AA$2051:$AA$2550,$M315))</f>
        <v/>
      </c>
      <c r="L315" s="141" t="str">
        <f ca="1">IF($M315=0,"",IF(INDEX(Data!$AN$2051:$AN$2550,$M315)=0,"",IF(INDEX(Data!$U$41:$U$540,INDEX(Data!$AN$2051:$AN$2550,$M315))="","",INDEX(Data!$U$41:$U$540,INDEX(Data!$AN$2051:$AN$2550,$M315)))))</f>
        <v/>
      </c>
      <c r="M315" s="132">
        <f ca="1">IF(COUNTIFS(Data!$AV$2051:$AV$2550,303)=1,MATCH(303,Data!$AV$2051:$AV$2550,0),0)</f>
        <v>0</v>
      </c>
      <c r="N315" s="145" t="str">
        <f ca="1">IF($M315=0,"",IF(INDEX(Data!$I$2051:$I$2550,$M315)=0,"Add ID","Row "&amp;(INDEX(Data!$I$2051:$I$2550,$M315)+7)))</f>
        <v/>
      </c>
    </row>
    <row r="316" spans="1:14" ht="40" customHeight="1">
      <c r="A316" s="136" t="str">
        <f ca="1">IF($M316=0,"",INDEX(Data!$W$2051:$W$2550,$M316))</f>
        <v/>
      </c>
      <c r="B316" s="139" t="str">
        <f ca="1">IF($M316=0,"",INDEX(Data!$B$2051:$B$2550,$M316))</f>
        <v/>
      </c>
      <c r="C316" s="146" t="str">
        <f ca="1">IF($M316=0,"",INDEX(Data!$C$2051:$C$2550,$M316))</f>
        <v/>
      </c>
      <c r="D316" s="146" t="str">
        <f ca="1">IF($M316=0,"",INDEX(Data!$D$2051:$D$2550,$M316))</f>
        <v/>
      </c>
      <c r="E316" s="147" t="str">
        <f ca="1">IF($M316=0,"",INDEX(Data!$G$2051:$G$2550,$M316))</f>
        <v/>
      </c>
      <c r="F316" s="146" t="str">
        <f ca="1">IF($M316=0,"",INDEX(Data!$F$2051:$F$2550,$M316))</f>
        <v/>
      </c>
      <c r="G316" s="148" t="str">
        <f ca="1">IF($M316=0,"",INDEX(Data!$K$2051:$K$2550,$M316))</f>
        <v/>
      </c>
      <c r="H316" s="146" t="str">
        <f ca="1">IF($M316=0,"",INDEX(Data!$L$2051:$L$2550,$M316))</f>
        <v/>
      </c>
      <c r="I316" s="149" t="str">
        <f ca="1">IF($M316=0,"",INDEX(Data!$T$2051:$T$2550,$M316))</f>
        <v/>
      </c>
      <c r="J316" s="146" t="str">
        <f ca="1">IF($M316=0,"",INDEX(Data!$U$2051:$U$2550,$M316))</f>
        <v/>
      </c>
      <c r="K316" s="146" t="str">
        <f ca="1">IF($M316=0,"",INDEX(Data!$AA$2051:$AA$2550,$M316))</f>
        <v/>
      </c>
      <c r="L316" s="146" t="str">
        <f ca="1">IF($M316=0,"",IF(INDEX(Data!$AN$2051:$AN$2550,$M316)=0,"",IF(INDEX(Data!$U$41:$U$540,INDEX(Data!$AN$2051:$AN$2550,$M316))="","",INDEX(Data!$U$41:$U$540,INDEX(Data!$AN$2051:$AN$2550,$M316)))))</f>
        <v/>
      </c>
      <c r="M316" s="132">
        <f ca="1">IF(COUNTIFS(Data!$AV$2051:$AV$2550,304)=1,MATCH(304,Data!$AV$2051:$AV$2550,0),0)</f>
        <v>0</v>
      </c>
      <c r="N316" s="150" t="str">
        <f ca="1">IF($M316=0,"",IF(INDEX(Data!$I$2051:$I$2550,$M316)=0,"Add ID","Row "&amp;(INDEX(Data!$I$2051:$I$2550,$M316)+7)))</f>
        <v/>
      </c>
    </row>
    <row r="317" spans="1:14" ht="40" customHeight="1">
      <c r="A317" s="135" t="str">
        <f ca="1">IF($M317=0,"",INDEX(Data!$W$2051:$W$2550,$M317))</f>
        <v/>
      </c>
      <c r="B317" s="138" t="str">
        <f ca="1">IF($M317=0,"",INDEX(Data!$B$2051:$B$2550,$M317))</f>
        <v/>
      </c>
      <c r="C317" s="141" t="str">
        <f ca="1">IF($M317=0,"",INDEX(Data!$C$2051:$C$2550,$M317))</f>
        <v/>
      </c>
      <c r="D317" s="141" t="str">
        <f ca="1">IF($M317=0,"",INDEX(Data!$D$2051:$D$2550,$M317))</f>
        <v/>
      </c>
      <c r="E317" s="142" t="str">
        <f ca="1">IF($M317=0,"",INDEX(Data!$G$2051:$G$2550,$M317))</f>
        <v/>
      </c>
      <c r="F317" s="141" t="str">
        <f ca="1">IF($M317=0,"",INDEX(Data!$F$2051:$F$2550,$M317))</f>
        <v/>
      </c>
      <c r="G317" s="143" t="str">
        <f ca="1">IF($M317=0,"",INDEX(Data!$K$2051:$K$2550,$M317))</f>
        <v/>
      </c>
      <c r="H317" s="141" t="str">
        <f ca="1">IF($M317=0,"",INDEX(Data!$L$2051:$L$2550,$M317))</f>
        <v/>
      </c>
      <c r="I317" s="144" t="str">
        <f ca="1">IF($M317=0,"",INDEX(Data!$T$2051:$T$2550,$M317))</f>
        <v/>
      </c>
      <c r="J317" s="141" t="str">
        <f ca="1">IF($M317=0,"",INDEX(Data!$U$2051:$U$2550,$M317))</f>
        <v/>
      </c>
      <c r="K317" s="141" t="str">
        <f ca="1">IF($M317=0,"",INDEX(Data!$AA$2051:$AA$2550,$M317))</f>
        <v/>
      </c>
      <c r="L317" s="141" t="str">
        <f ca="1">IF($M317=0,"",IF(INDEX(Data!$AN$2051:$AN$2550,$M317)=0,"",IF(INDEX(Data!$U$41:$U$540,INDEX(Data!$AN$2051:$AN$2550,$M317))="","",INDEX(Data!$U$41:$U$540,INDEX(Data!$AN$2051:$AN$2550,$M317)))))</f>
        <v/>
      </c>
      <c r="M317" s="132">
        <f ca="1">IF(COUNTIFS(Data!$AV$2051:$AV$2550,305)=1,MATCH(305,Data!$AV$2051:$AV$2550,0),0)</f>
        <v>0</v>
      </c>
      <c r="N317" s="145" t="str">
        <f ca="1">IF($M317=0,"",IF(INDEX(Data!$I$2051:$I$2550,$M317)=0,"Add ID","Row "&amp;(INDEX(Data!$I$2051:$I$2550,$M317)+7)))</f>
        <v/>
      </c>
    </row>
    <row r="318" spans="1:14" ht="40" customHeight="1">
      <c r="A318" s="136" t="str">
        <f ca="1">IF($M318=0,"",INDEX(Data!$W$2051:$W$2550,$M318))</f>
        <v/>
      </c>
      <c r="B318" s="139" t="str">
        <f ca="1">IF($M318=0,"",INDEX(Data!$B$2051:$B$2550,$M318))</f>
        <v/>
      </c>
      <c r="C318" s="146" t="str">
        <f ca="1">IF($M318=0,"",INDEX(Data!$C$2051:$C$2550,$M318))</f>
        <v/>
      </c>
      <c r="D318" s="146" t="str">
        <f ca="1">IF($M318=0,"",INDEX(Data!$D$2051:$D$2550,$M318))</f>
        <v/>
      </c>
      <c r="E318" s="147" t="str">
        <f ca="1">IF($M318=0,"",INDEX(Data!$G$2051:$G$2550,$M318))</f>
        <v/>
      </c>
      <c r="F318" s="146" t="str">
        <f ca="1">IF($M318=0,"",INDEX(Data!$F$2051:$F$2550,$M318))</f>
        <v/>
      </c>
      <c r="G318" s="148" t="str">
        <f ca="1">IF($M318=0,"",INDEX(Data!$K$2051:$K$2550,$M318))</f>
        <v/>
      </c>
      <c r="H318" s="146" t="str">
        <f ca="1">IF($M318=0,"",INDEX(Data!$L$2051:$L$2550,$M318))</f>
        <v/>
      </c>
      <c r="I318" s="149" t="str">
        <f ca="1">IF($M318=0,"",INDEX(Data!$T$2051:$T$2550,$M318))</f>
        <v/>
      </c>
      <c r="J318" s="146" t="str">
        <f ca="1">IF($M318=0,"",INDEX(Data!$U$2051:$U$2550,$M318))</f>
        <v/>
      </c>
      <c r="K318" s="146" t="str">
        <f ca="1">IF($M318=0,"",INDEX(Data!$AA$2051:$AA$2550,$M318))</f>
        <v/>
      </c>
      <c r="L318" s="146" t="str">
        <f ca="1">IF($M318=0,"",IF(INDEX(Data!$AN$2051:$AN$2550,$M318)=0,"",IF(INDEX(Data!$U$41:$U$540,INDEX(Data!$AN$2051:$AN$2550,$M318))="","",INDEX(Data!$U$41:$U$540,INDEX(Data!$AN$2051:$AN$2550,$M318)))))</f>
        <v/>
      </c>
      <c r="M318" s="132">
        <f ca="1">IF(COUNTIFS(Data!$AV$2051:$AV$2550,306)=1,MATCH(306,Data!$AV$2051:$AV$2550,0),0)</f>
        <v>0</v>
      </c>
      <c r="N318" s="150" t="str">
        <f ca="1">IF($M318=0,"",IF(INDEX(Data!$I$2051:$I$2550,$M318)=0,"Add ID","Row "&amp;(INDEX(Data!$I$2051:$I$2550,$M318)+7)))</f>
        <v/>
      </c>
    </row>
    <row r="319" spans="1:14" ht="40" customHeight="1">
      <c r="A319" s="135" t="str">
        <f ca="1">IF($M319=0,"",INDEX(Data!$W$2051:$W$2550,$M319))</f>
        <v/>
      </c>
      <c r="B319" s="138" t="str">
        <f ca="1">IF($M319=0,"",INDEX(Data!$B$2051:$B$2550,$M319))</f>
        <v/>
      </c>
      <c r="C319" s="141" t="str">
        <f ca="1">IF($M319=0,"",INDEX(Data!$C$2051:$C$2550,$M319))</f>
        <v/>
      </c>
      <c r="D319" s="141" t="str">
        <f ca="1">IF($M319=0,"",INDEX(Data!$D$2051:$D$2550,$M319))</f>
        <v/>
      </c>
      <c r="E319" s="142" t="str">
        <f ca="1">IF($M319=0,"",INDEX(Data!$G$2051:$G$2550,$M319))</f>
        <v/>
      </c>
      <c r="F319" s="141" t="str">
        <f ca="1">IF($M319=0,"",INDEX(Data!$F$2051:$F$2550,$M319))</f>
        <v/>
      </c>
      <c r="G319" s="143" t="str">
        <f ca="1">IF($M319=0,"",INDEX(Data!$K$2051:$K$2550,$M319))</f>
        <v/>
      </c>
      <c r="H319" s="141" t="str">
        <f ca="1">IF($M319=0,"",INDEX(Data!$L$2051:$L$2550,$M319))</f>
        <v/>
      </c>
      <c r="I319" s="144" t="str">
        <f ca="1">IF($M319=0,"",INDEX(Data!$T$2051:$T$2550,$M319))</f>
        <v/>
      </c>
      <c r="J319" s="141" t="str">
        <f ca="1">IF($M319=0,"",INDEX(Data!$U$2051:$U$2550,$M319))</f>
        <v/>
      </c>
      <c r="K319" s="141" t="str">
        <f ca="1">IF($M319=0,"",INDEX(Data!$AA$2051:$AA$2550,$M319))</f>
        <v/>
      </c>
      <c r="L319" s="141" t="str">
        <f ca="1">IF($M319=0,"",IF(INDEX(Data!$AN$2051:$AN$2550,$M319)=0,"",IF(INDEX(Data!$U$41:$U$540,INDEX(Data!$AN$2051:$AN$2550,$M319))="","",INDEX(Data!$U$41:$U$540,INDEX(Data!$AN$2051:$AN$2550,$M319)))))</f>
        <v/>
      </c>
      <c r="M319" s="132">
        <f ca="1">IF(COUNTIFS(Data!$AV$2051:$AV$2550,307)=1,MATCH(307,Data!$AV$2051:$AV$2550,0),0)</f>
        <v>0</v>
      </c>
      <c r="N319" s="145" t="str">
        <f ca="1">IF($M319=0,"",IF(INDEX(Data!$I$2051:$I$2550,$M319)=0,"Add ID","Row "&amp;(INDEX(Data!$I$2051:$I$2550,$M319)+7)))</f>
        <v/>
      </c>
    </row>
    <row r="320" spans="1:14" ht="40" customHeight="1">
      <c r="A320" s="136" t="str">
        <f ca="1">IF($M320=0,"",INDEX(Data!$W$2051:$W$2550,$M320))</f>
        <v/>
      </c>
      <c r="B320" s="139" t="str">
        <f ca="1">IF($M320=0,"",INDEX(Data!$B$2051:$B$2550,$M320))</f>
        <v/>
      </c>
      <c r="C320" s="146" t="str">
        <f ca="1">IF($M320=0,"",INDEX(Data!$C$2051:$C$2550,$M320))</f>
        <v/>
      </c>
      <c r="D320" s="146" t="str">
        <f ca="1">IF($M320=0,"",INDEX(Data!$D$2051:$D$2550,$M320))</f>
        <v/>
      </c>
      <c r="E320" s="147" t="str">
        <f ca="1">IF($M320=0,"",INDEX(Data!$G$2051:$G$2550,$M320))</f>
        <v/>
      </c>
      <c r="F320" s="146" t="str">
        <f ca="1">IF($M320=0,"",INDEX(Data!$F$2051:$F$2550,$M320))</f>
        <v/>
      </c>
      <c r="G320" s="148" t="str">
        <f ca="1">IF($M320=0,"",INDEX(Data!$K$2051:$K$2550,$M320))</f>
        <v/>
      </c>
      <c r="H320" s="146" t="str">
        <f ca="1">IF($M320=0,"",INDEX(Data!$L$2051:$L$2550,$M320))</f>
        <v/>
      </c>
      <c r="I320" s="149" t="str">
        <f ca="1">IF($M320=0,"",INDEX(Data!$T$2051:$T$2550,$M320))</f>
        <v/>
      </c>
      <c r="J320" s="146" t="str">
        <f ca="1">IF($M320=0,"",INDEX(Data!$U$2051:$U$2550,$M320))</f>
        <v/>
      </c>
      <c r="K320" s="146" t="str">
        <f ca="1">IF($M320=0,"",INDEX(Data!$AA$2051:$AA$2550,$M320))</f>
        <v/>
      </c>
      <c r="L320" s="146" t="str">
        <f ca="1">IF($M320=0,"",IF(INDEX(Data!$AN$2051:$AN$2550,$M320)=0,"",IF(INDEX(Data!$U$41:$U$540,INDEX(Data!$AN$2051:$AN$2550,$M320))="","",INDEX(Data!$U$41:$U$540,INDEX(Data!$AN$2051:$AN$2550,$M320)))))</f>
        <v/>
      </c>
      <c r="M320" s="132">
        <f ca="1">IF(COUNTIFS(Data!$AV$2051:$AV$2550,308)=1,MATCH(308,Data!$AV$2051:$AV$2550,0),0)</f>
        <v>0</v>
      </c>
      <c r="N320" s="150" t="str">
        <f ca="1">IF($M320=0,"",IF(INDEX(Data!$I$2051:$I$2550,$M320)=0,"Add ID","Row "&amp;(INDEX(Data!$I$2051:$I$2550,$M320)+7)))</f>
        <v/>
      </c>
    </row>
    <row r="321" spans="1:14" ht="40" customHeight="1">
      <c r="A321" s="135" t="str">
        <f ca="1">IF($M321=0,"",INDEX(Data!$W$2051:$W$2550,$M321))</f>
        <v/>
      </c>
      <c r="B321" s="138" t="str">
        <f ca="1">IF($M321=0,"",INDEX(Data!$B$2051:$B$2550,$M321))</f>
        <v/>
      </c>
      <c r="C321" s="141" t="str">
        <f ca="1">IF($M321=0,"",INDEX(Data!$C$2051:$C$2550,$M321))</f>
        <v/>
      </c>
      <c r="D321" s="141" t="str">
        <f ca="1">IF($M321=0,"",INDEX(Data!$D$2051:$D$2550,$M321))</f>
        <v/>
      </c>
      <c r="E321" s="142" t="str">
        <f ca="1">IF($M321=0,"",INDEX(Data!$G$2051:$G$2550,$M321))</f>
        <v/>
      </c>
      <c r="F321" s="141" t="str">
        <f ca="1">IF($M321=0,"",INDEX(Data!$F$2051:$F$2550,$M321))</f>
        <v/>
      </c>
      <c r="G321" s="143" t="str">
        <f ca="1">IF($M321=0,"",INDEX(Data!$K$2051:$K$2550,$M321))</f>
        <v/>
      </c>
      <c r="H321" s="141" t="str">
        <f ca="1">IF($M321=0,"",INDEX(Data!$L$2051:$L$2550,$M321))</f>
        <v/>
      </c>
      <c r="I321" s="144" t="str">
        <f ca="1">IF($M321=0,"",INDEX(Data!$T$2051:$T$2550,$M321))</f>
        <v/>
      </c>
      <c r="J321" s="141" t="str">
        <f ca="1">IF($M321=0,"",INDEX(Data!$U$2051:$U$2550,$M321))</f>
        <v/>
      </c>
      <c r="K321" s="141" t="str">
        <f ca="1">IF($M321=0,"",INDEX(Data!$AA$2051:$AA$2550,$M321))</f>
        <v/>
      </c>
      <c r="L321" s="141" t="str">
        <f ca="1">IF($M321=0,"",IF(INDEX(Data!$AN$2051:$AN$2550,$M321)=0,"",IF(INDEX(Data!$U$41:$U$540,INDEX(Data!$AN$2051:$AN$2550,$M321))="","",INDEX(Data!$U$41:$U$540,INDEX(Data!$AN$2051:$AN$2550,$M321)))))</f>
        <v/>
      </c>
      <c r="M321" s="132">
        <f ca="1">IF(COUNTIFS(Data!$AV$2051:$AV$2550,309)=1,MATCH(309,Data!$AV$2051:$AV$2550,0),0)</f>
        <v>0</v>
      </c>
      <c r="N321" s="145" t="str">
        <f ca="1">IF($M321=0,"",IF(INDEX(Data!$I$2051:$I$2550,$M321)=0,"Add ID","Row "&amp;(INDEX(Data!$I$2051:$I$2550,$M321)+7)))</f>
        <v/>
      </c>
    </row>
    <row r="322" spans="1:14" ht="40" customHeight="1">
      <c r="A322" s="136" t="str">
        <f ca="1">IF($M322=0,"",INDEX(Data!$W$2051:$W$2550,$M322))</f>
        <v/>
      </c>
      <c r="B322" s="139" t="str">
        <f ca="1">IF($M322=0,"",INDEX(Data!$B$2051:$B$2550,$M322))</f>
        <v/>
      </c>
      <c r="C322" s="146" t="str">
        <f ca="1">IF($M322=0,"",INDEX(Data!$C$2051:$C$2550,$M322))</f>
        <v/>
      </c>
      <c r="D322" s="146" t="str">
        <f ca="1">IF($M322=0,"",INDEX(Data!$D$2051:$D$2550,$M322))</f>
        <v/>
      </c>
      <c r="E322" s="147" t="str">
        <f ca="1">IF($M322=0,"",INDEX(Data!$G$2051:$G$2550,$M322))</f>
        <v/>
      </c>
      <c r="F322" s="146" t="str">
        <f ca="1">IF($M322=0,"",INDEX(Data!$F$2051:$F$2550,$M322))</f>
        <v/>
      </c>
      <c r="G322" s="148" t="str">
        <f ca="1">IF($M322=0,"",INDEX(Data!$K$2051:$K$2550,$M322))</f>
        <v/>
      </c>
      <c r="H322" s="146" t="str">
        <f ca="1">IF($M322=0,"",INDEX(Data!$L$2051:$L$2550,$M322))</f>
        <v/>
      </c>
      <c r="I322" s="149" t="str">
        <f ca="1">IF($M322=0,"",INDEX(Data!$T$2051:$T$2550,$M322))</f>
        <v/>
      </c>
      <c r="J322" s="146" t="str">
        <f ca="1">IF($M322=0,"",INDEX(Data!$U$2051:$U$2550,$M322))</f>
        <v/>
      </c>
      <c r="K322" s="146" t="str">
        <f ca="1">IF($M322=0,"",INDEX(Data!$AA$2051:$AA$2550,$M322))</f>
        <v/>
      </c>
      <c r="L322" s="146" t="str">
        <f ca="1">IF($M322=0,"",IF(INDEX(Data!$AN$2051:$AN$2550,$M322)=0,"",IF(INDEX(Data!$U$41:$U$540,INDEX(Data!$AN$2051:$AN$2550,$M322))="","",INDEX(Data!$U$41:$U$540,INDEX(Data!$AN$2051:$AN$2550,$M322)))))</f>
        <v/>
      </c>
      <c r="M322" s="132">
        <f ca="1">IF(COUNTIFS(Data!$AV$2051:$AV$2550,310)=1,MATCH(310,Data!$AV$2051:$AV$2550,0),0)</f>
        <v>0</v>
      </c>
      <c r="N322" s="150" t="str">
        <f ca="1">IF($M322=0,"",IF(INDEX(Data!$I$2051:$I$2550,$M322)=0,"Add ID","Row "&amp;(INDEX(Data!$I$2051:$I$2550,$M322)+7)))</f>
        <v/>
      </c>
    </row>
    <row r="323" spans="1:14" ht="40" customHeight="1">
      <c r="A323" s="135" t="str">
        <f ca="1">IF($M323=0,"",INDEX(Data!$W$2051:$W$2550,$M323))</f>
        <v/>
      </c>
      <c r="B323" s="138" t="str">
        <f ca="1">IF($M323=0,"",INDEX(Data!$B$2051:$B$2550,$M323))</f>
        <v/>
      </c>
      <c r="C323" s="141" t="str">
        <f ca="1">IF($M323=0,"",INDEX(Data!$C$2051:$C$2550,$M323))</f>
        <v/>
      </c>
      <c r="D323" s="141" t="str">
        <f ca="1">IF($M323=0,"",INDEX(Data!$D$2051:$D$2550,$M323))</f>
        <v/>
      </c>
      <c r="E323" s="142" t="str">
        <f ca="1">IF($M323=0,"",INDEX(Data!$G$2051:$G$2550,$M323))</f>
        <v/>
      </c>
      <c r="F323" s="141" t="str">
        <f ca="1">IF($M323=0,"",INDEX(Data!$F$2051:$F$2550,$M323))</f>
        <v/>
      </c>
      <c r="G323" s="143" t="str">
        <f ca="1">IF($M323=0,"",INDEX(Data!$K$2051:$K$2550,$M323))</f>
        <v/>
      </c>
      <c r="H323" s="141" t="str">
        <f ca="1">IF($M323=0,"",INDEX(Data!$L$2051:$L$2550,$M323))</f>
        <v/>
      </c>
      <c r="I323" s="144" t="str">
        <f ca="1">IF($M323=0,"",INDEX(Data!$T$2051:$T$2550,$M323))</f>
        <v/>
      </c>
      <c r="J323" s="141" t="str">
        <f ca="1">IF($M323=0,"",INDEX(Data!$U$2051:$U$2550,$M323))</f>
        <v/>
      </c>
      <c r="K323" s="141" t="str">
        <f ca="1">IF($M323=0,"",INDEX(Data!$AA$2051:$AA$2550,$M323))</f>
        <v/>
      </c>
      <c r="L323" s="141" t="str">
        <f ca="1">IF($M323=0,"",IF(INDEX(Data!$AN$2051:$AN$2550,$M323)=0,"",IF(INDEX(Data!$U$41:$U$540,INDEX(Data!$AN$2051:$AN$2550,$M323))="","",INDEX(Data!$U$41:$U$540,INDEX(Data!$AN$2051:$AN$2550,$M323)))))</f>
        <v/>
      </c>
      <c r="M323" s="132">
        <f ca="1">IF(COUNTIFS(Data!$AV$2051:$AV$2550,311)=1,MATCH(311,Data!$AV$2051:$AV$2550,0),0)</f>
        <v>0</v>
      </c>
      <c r="N323" s="145" t="str">
        <f ca="1">IF($M323=0,"",IF(INDEX(Data!$I$2051:$I$2550,$M323)=0,"Add ID","Row "&amp;(INDEX(Data!$I$2051:$I$2550,$M323)+7)))</f>
        <v/>
      </c>
    </row>
    <row r="324" spans="1:14" ht="40" customHeight="1">
      <c r="A324" s="136" t="str">
        <f ca="1">IF($M324=0,"",INDEX(Data!$W$2051:$W$2550,$M324))</f>
        <v/>
      </c>
      <c r="B324" s="139" t="str">
        <f ca="1">IF($M324=0,"",INDEX(Data!$B$2051:$B$2550,$M324))</f>
        <v/>
      </c>
      <c r="C324" s="146" t="str">
        <f ca="1">IF($M324=0,"",INDEX(Data!$C$2051:$C$2550,$M324))</f>
        <v/>
      </c>
      <c r="D324" s="146" t="str">
        <f ca="1">IF($M324=0,"",INDEX(Data!$D$2051:$D$2550,$M324))</f>
        <v/>
      </c>
      <c r="E324" s="147" t="str">
        <f ca="1">IF($M324=0,"",INDEX(Data!$G$2051:$G$2550,$M324))</f>
        <v/>
      </c>
      <c r="F324" s="146" t="str">
        <f ca="1">IF($M324=0,"",INDEX(Data!$F$2051:$F$2550,$M324))</f>
        <v/>
      </c>
      <c r="G324" s="148" t="str">
        <f ca="1">IF($M324=0,"",INDEX(Data!$K$2051:$K$2550,$M324))</f>
        <v/>
      </c>
      <c r="H324" s="146" t="str">
        <f ca="1">IF($M324=0,"",INDEX(Data!$L$2051:$L$2550,$M324))</f>
        <v/>
      </c>
      <c r="I324" s="149" t="str">
        <f ca="1">IF($M324=0,"",INDEX(Data!$T$2051:$T$2550,$M324))</f>
        <v/>
      </c>
      <c r="J324" s="146" t="str">
        <f ca="1">IF($M324=0,"",INDEX(Data!$U$2051:$U$2550,$M324))</f>
        <v/>
      </c>
      <c r="K324" s="146" t="str">
        <f ca="1">IF($M324=0,"",INDEX(Data!$AA$2051:$AA$2550,$M324))</f>
        <v/>
      </c>
      <c r="L324" s="146" t="str">
        <f ca="1">IF($M324=0,"",IF(INDEX(Data!$AN$2051:$AN$2550,$M324)=0,"",IF(INDEX(Data!$U$41:$U$540,INDEX(Data!$AN$2051:$AN$2550,$M324))="","",INDEX(Data!$U$41:$U$540,INDEX(Data!$AN$2051:$AN$2550,$M324)))))</f>
        <v/>
      </c>
      <c r="M324" s="132">
        <f ca="1">IF(COUNTIFS(Data!$AV$2051:$AV$2550,312)=1,MATCH(312,Data!$AV$2051:$AV$2550,0),0)</f>
        <v>0</v>
      </c>
      <c r="N324" s="150" t="str">
        <f ca="1">IF($M324=0,"",IF(INDEX(Data!$I$2051:$I$2550,$M324)=0,"Add ID","Row "&amp;(INDEX(Data!$I$2051:$I$2550,$M324)+7)))</f>
        <v/>
      </c>
    </row>
    <row r="325" spans="1:14" ht="40" customHeight="1">
      <c r="A325" s="135" t="str">
        <f ca="1">IF($M325=0,"",INDEX(Data!$W$2051:$W$2550,$M325))</f>
        <v/>
      </c>
      <c r="B325" s="138" t="str">
        <f ca="1">IF($M325=0,"",INDEX(Data!$B$2051:$B$2550,$M325))</f>
        <v/>
      </c>
      <c r="C325" s="141" t="str">
        <f ca="1">IF($M325=0,"",INDEX(Data!$C$2051:$C$2550,$M325))</f>
        <v/>
      </c>
      <c r="D325" s="141" t="str">
        <f ca="1">IF($M325=0,"",INDEX(Data!$D$2051:$D$2550,$M325))</f>
        <v/>
      </c>
      <c r="E325" s="142" t="str">
        <f ca="1">IF($M325=0,"",INDEX(Data!$G$2051:$G$2550,$M325))</f>
        <v/>
      </c>
      <c r="F325" s="141" t="str">
        <f ca="1">IF($M325=0,"",INDEX(Data!$F$2051:$F$2550,$M325))</f>
        <v/>
      </c>
      <c r="G325" s="143" t="str">
        <f ca="1">IF($M325=0,"",INDEX(Data!$K$2051:$K$2550,$M325))</f>
        <v/>
      </c>
      <c r="H325" s="141" t="str">
        <f ca="1">IF($M325=0,"",INDEX(Data!$L$2051:$L$2550,$M325))</f>
        <v/>
      </c>
      <c r="I325" s="144" t="str">
        <f ca="1">IF($M325=0,"",INDEX(Data!$T$2051:$T$2550,$M325))</f>
        <v/>
      </c>
      <c r="J325" s="141" t="str">
        <f ca="1">IF($M325=0,"",INDEX(Data!$U$2051:$U$2550,$M325))</f>
        <v/>
      </c>
      <c r="K325" s="141" t="str">
        <f ca="1">IF($M325=0,"",INDEX(Data!$AA$2051:$AA$2550,$M325))</f>
        <v/>
      </c>
      <c r="L325" s="141" t="str">
        <f ca="1">IF($M325=0,"",IF(INDEX(Data!$AN$2051:$AN$2550,$M325)=0,"",IF(INDEX(Data!$U$41:$U$540,INDEX(Data!$AN$2051:$AN$2550,$M325))="","",INDEX(Data!$U$41:$U$540,INDEX(Data!$AN$2051:$AN$2550,$M325)))))</f>
        <v/>
      </c>
      <c r="M325" s="132">
        <f ca="1">IF(COUNTIFS(Data!$AV$2051:$AV$2550,313)=1,MATCH(313,Data!$AV$2051:$AV$2550,0),0)</f>
        <v>0</v>
      </c>
      <c r="N325" s="145" t="str">
        <f ca="1">IF($M325=0,"",IF(INDEX(Data!$I$2051:$I$2550,$M325)=0,"Add ID","Row "&amp;(INDEX(Data!$I$2051:$I$2550,$M325)+7)))</f>
        <v/>
      </c>
    </row>
    <row r="326" spans="1:14" ht="40" customHeight="1">
      <c r="A326" s="136" t="str">
        <f ca="1">IF($M326=0,"",INDEX(Data!$W$2051:$W$2550,$M326))</f>
        <v/>
      </c>
      <c r="B326" s="139" t="str">
        <f ca="1">IF($M326=0,"",INDEX(Data!$B$2051:$B$2550,$M326))</f>
        <v/>
      </c>
      <c r="C326" s="146" t="str">
        <f ca="1">IF($M326=0,"",INDEX(Data!$C$2051:$C$2550,$M326))</f>
        <v/>
      </c>
      <c r="D326" s="146" t="str">
        <f ca="1">IF($M326=0,"",INDEX(Data!$D$2051:$D$2550,$M326))</f>
        <v/>
      </c>
      <c r="E326" s="147" t="str">
        <f ca="1">IF($M326=0,"",INDEX(Data!$G$2051:$G$2550,$M326))</f>
        <v/>
      </c>
      <c r="F326" s="146" t="str">
        <f ca="1">IF($M326=0,"",INDEX(Data!$F$2051:$F$2550,$M326))</f>
        <v/>
      </c>
      <c r="G326" s="148" t="str">
        <f ca="1">IF($M326=0,"",INDEX(Data!$K$2051:$K$2550,$M326))</f>
        <v/>
      </c>
      <c r="H326" s="146" t="str">
        <f ca="1">IF($M326=0,"",INDEX(Data!$L$2051:$L$2550,$M326))</f>
        <v/>
      </c>
      <c r="I326" s="149" t="str">
        <f ca="1">IF($M326=0,"",INDEX(Data!$T$2051:$T$2550,$M326))</f>
        <v/>
      </c>
      <c r="J326" s="146" t="str">
        <f ca="1">IF($M326=0,"",INDEX(Data!$U$2051:$U$2550,$M326))</f>
        <v/>
      </c>
      <c r="K326" s="146" t="str">
        <f ca="1">IF($M326=0,"",INDEX(Data!$AA$2051:$AA$2550,$M326))</f>
        <v/>
      </c>
      <c r="L326" s="146" t="str">
        <f ca="1">IF($M326=0,"",IF(INDEX(Data!$AN$2051:$AN$2550,$M326)=0,"",IF(INDEX(Data!$U$41:$U$540,INDEX(Data!$AN$2051:$AN$2550,$M326))="","",INDEX(Data!$U$41:$U$540,INDEX(Data!$AN$2051:$AN$2550,$M326)))))</f>
        <v/>
      </c>
      <c r="M326" s="132">
        <f ca="1">IF(COUNTIFS(Data!$AV$2051:$AV$2550,314)=1,MATCH(314,Data!$AV$2051:$AV$2550,0),0)</f>
        <v>0</v>
      </c>
      <c r="N326" s="150" t="str">
        <f ca="1">IF($M326=0,"",IF(INDEX(Data!$I$2051:$I$2550,$M326)=0,"Add ID","Row "&amp;(INDEX(Data!$I$2051:$I$2550,$M326)+7)))</f>
        <v/>
      </c>
    </row>
    <row r="327" spans="1:14" ht="40" customHeight="1">
      <c r="A327" s="135" t="str">
        <f ca="1">IF($M327=0,"",INDEX(Data!$W$2051:$W$2550,$M327))</f>
        <v/>
      </c>
      <c r="B327" s="138" t="str">
        <f ca="1">IF($M327=0,"",INDEX(Data!$B$2051:$B$2550,$M327))</f>
        <v/>
      </c>
      <c r="C327" s="141" t="str">
        <f ca="1">IF($M327=0,"",INDEX(Data!$C$2051:$C$2550,$M327))</f>
        <v/>
      </c>
      <c r="D327" s="141" t="str">
        <f ca="1">IF($M327=0,"",INDEX(Data!$D$2051:$D$2550,$M327))</f>
        <v/>
      </c>
      <c r="E327" s="142" t="str">
        <f ca="1">IF($M327=0,"",INDEX(Data!$G$2051:$G$2550,$M327))</f>
        <v/>
      </c>
      <c r="F327" s="141" t="str">
        <f ca="1">IF($M327=0,"",INDEX(Data!$F$2051:$F$2550,$M327))</f>
        <v/>
      </c>
      <c r="G327" s="143" t="str">
        <f ca="1">IF($M327=0,"",INDEX(Data!$K$2051:$K$2550,$M327))</f>
        <v/>
      </c>
      <c r="H327" s="141" t="str">
        <f ca="1">IF($M327=0,"",INDEX(Data!$L$2051:$L$2550,$M327))</f>
        <v/>
      </c>
      <c r="I327" s="144" t="str">
        <f ca="1">IF($M327=0,"",INDEX(Data!$T$2051:$T$2550,$M327))</f>
        <v/>
      </c>
      <c r="J327" s="141" t="str">
        <f ca="1">IF($M327=0,"",INDEX(Data!$U$2051:$U$2550,$M327))</f>
        <v/>
      </c>
      <c r="K327" s="141" t="str">
        <f ca="1">IF($M327=0,"",INDEX(Data!$AA$2051:$AA$2550,$M327))</f>
        <v/>
      </c>
      <c r="L327" s="141" t="str">
        <f ca="1">IF($M327=0,"",IF(INDEX(Data!$AN$2051:$AN$2550,$M327)=0,"",IF(INDEX(Data!$U$41:$U$540,INDEX(Data!$AN$2051:$AN$2550,$M327))="","",INDEX(Data!$U$41:$U$540,INDEX(Data!$AN$2051:$AN$2550,$M327)))))</f>
        <v/>
      </c>
      <c r="M327" s="132">
        <f ca="1">IF(COUNTIFS(Data!$AV$2051:$AV$2550,315)=1,MATCH(315,Data!$AV$2051:$AV$2550,0),0)</f>
        <v>0</v>
      </c>
      <c r="N327" s="145" t="str">
        <f ca="1">IF($M327=0,"",IF(INDEX(Data!$I$2051:$I$2550,$M327)=0,"Add ID","Row "&amp;(INDEX(Data!$I$2051:$I$2550,$M327)+7)))</f>
        <v/>
      </c>
    </row>
    <row r="328" spans="1:14" ht="40" customHeight="1">
      <c r="A328" s="136" t="str">
        <f ca="1">IF($M328=0,"",INDEX(Data!$W$2051:$W$2550,$M328))</f>
        <v/>
      </c>
      <c r="B328" s="139" t="str">
        <f ca="1">IF($M328=0,"",INDEX(Data!$B$2051:$B$2550,$M328))</f>
        <v/>
      </c>
      <c r="C328" s="146" t="str">
        <f ca="1">IF($M328=0,"",INDEX(Data!$C$2051:$C$2550,$M328))</f>
        <v/>
      </c>
      <c r="D328" s="146" t="str">
        <f ca="1">IF($M328=0,"",INDEX(Data!$D$2051:$D$2550,$M328))</f>
        <v/>
      </c>
      <c r="E328" s="147" t="str">
        <f ca="1">IF($M328=0,"",INDEX(Data!$G$2051:$G$2550,$M328))</f>
        <v/>
      </c>
      <c r="F328" s="146" t="str">
        <f ca="1">IF($M328=0,"",INDEX(Data!$F$2051:$F$2550,$M328))</f>
        <v/>
      </c>
      <c r="G328" s="148" t="str">
        <f ca="1">IF($M328=0,"",INDEX(Data!$K$2051:$K$2550,$M328))</f>
        <v/>
      </c>
      <c r="H328" s="146" t="str">
        <f ca="1">IF($M328=0,"",INDEX(Data!$L$2051:$L$2550,$M328))</f>
        <v/>
      </c>
      <c r="I328" s="149" t="str">
        <f ca="1">IF($M328=0,"",INDEX(Data!$T$2051:$T$2550,$M328))</f>
        <v/>
      </c>
      <c r="J328" s="146" t="str">
        <f ca="1">IF($M328=0,"",INDEX(Data!$U$2051:$U$2550,$M328))</f>
        <v/>
      </c>
      <c r="K328" s="146" t="str">
        <f ca="1">IF($M328=0,"",INDEX(Data!$AA$2051:$AA$2550,$M328))</f>
        <v/>
      </c>
      <c r="L328" s="146" t="str">
        <f ca="1">IF($M328=0,"",IF(INDEX(Data!$AN$2051:$AN$2550,$M328)=0,"",IF(INDEX(Data!$U$41:$U$540,INDEX(Data!$AN$2051:$AN$2550,$M328))="","",INDEX(Data!$U$41:$U$540,INDEX(Data!$AN$2051:$AN$2550,$M328)))))</f>
        <v/>
      </c>
      <c r="M328" s="132">
        <f ca="1">IF(COUNTIFS(Data!$AV$2051:$AV$2550,316)=1,MATCH(316,Data!$AV$2051:$AV$2550,0),0)</f>
        <v>0</v>
      </c>
      <c r="N328" s="150" t="str">
        <f ca="1">IF($M328=0,"",IF(INDEX(Data!$I$2051:$I$2550,$M328)=0,"Add ID","Row "&amp;(INDEX(Data!$I$2051:$I$2550,$M328)+7)))</f>
        <v/>
      </c>
    </row>
    <row r="329" spans="1:14" ht="40" customHeight="1">
      <c r="A329" s="135" t="str">
        <f ca="1">IF($M329=0,"",INDEX(Data!$W$2051:$W$2550,$M329))</f>
        <v/>
      </c>
      <c r="B329" s="138" t="str">
        <f ca="1">IF($M329=0,"",INDEX(Data!$B$2051:$B$2550,$M329))</f>
        <v/>
      </c>
      <c r="C329" s="141" t="str">
        <f ca="1">IF($M329=0,"",INDEX(Data!$C$2051:$C$2550,$M329))</f>
        <v/>
      </c>
      <c r="D329" s="141" t="str">
        <f ca="1">IF($M329=0,"",INDEX(Data!$D$2051:$D$2550,$M329))</f>
        <v/>
      </c>
      <c r="E329" s="142" t="str">
        <f ca="1">IF($M329=0,"",INDEX(Data!$G$2051:$G$2550,$M329))</f>
        <v/>
      </c>
      <c r="F329" s="141" t="str">
        <f ca="1">IF($M329=0,"",INDEX(Data!$F$2051:$F$2550,$M329))</f>
        <v/>
      </c>
      <c r="G329" s="143" t="str">
        <f ca="1">IF($M329=0,"",INDEX(Data!$K$2051:$K$2550,$M329))</f>
        <v/>
      </c>
      <c r="H329" s="141" t="str">
        <f ca="1">IF($M329=0,"",INDEX(Data!$L$2051:$L$2550,$M329))</f>
        <v/>
      </c>
      <c r="I329" s="144" t="str">
        <f ca="1">IF($M329=0,"",INDEX(Data!$T$2051:$T$2550,$M329))</f>
        <v/>
      </c>
      <c r="J329" s="141" t="str">
        <f ca="1">IF($M329=0,"",INDEX(Data!$U$2051:$U$2550,$M329))</f>
        <v/>
      </c>
      <c r="K329" s="141" t="str">
        <f ca="1">IF($M329=0,"",INDEX(Data!$AA$2051:$AA$2550,$M329))</f>
        <v/>
      </c>
      <c r="L329" s="141" t="str">
        <f ca="1">IF($M329=0,"",IF(INDEX(Data!$AN$2051:$AN$2550,$M329)=0,"",IF(INDEX(Data!$U$41:$U$540,INDEX(Data!$AN$2051:$AN$2550,$M329))="","",INDEX(Data!$U$41:$U$540,INDEX(Data!$AN$2051:$AN$2550,$M329)))))</f>
        <v/>
      </c>
      <c r="M329" s="132">
        <f ca="1">IF(COUNTIFS(Data!$AV$2051:$AV$2550,317)=1,MATCH(317,Data!$AV$2051:$AV$2550,0),0)</f>
        <v>0</v>
      </c>
      <c r="N329" s="145" t="str">
        <f ca="1">IF($M329=0,"",IF(INDEX(Data!$I$2051:$I$2550,$M329)=0,"Add ID","Row "&amp;(INDEX(Data!$I$2051:$I$2550,$M329)+7)))</f>
        <v/>
      </c>
    </row>
    <row r="330" spans="1:14" ht="40" customHeight="1">
      <c r="A330" s="136" t="str">
        <f ca="1">IF($M330=0,"",INDEX(Data!$W$2051:$W$2550,$M330))</f>
        <v/>
      </c>
      <c r="B330" s="139" t="str">
        <f ca="1">IF($M330=0,"",INDEX(Data!$B$2051:$B$2550,$M330))</f>
        <v/>
      </c>
      <c r="C330" s="146" t="str">
        <f ca="1">IF($M330=0,"",INDEX(Data!$C$2051:$C$2550,$M330))</f>
        <v/>
      </c>
      <c r="D330" s="146" t="str">
        <f ca="1">IF($M330=0,"",INDEX(Data!$D$2051:$D$2550,$M330))</f>
        <v/>
      </c>
      <c r="E330" s="147" t="str">
        <f ca="1">IF($M330=0,"",INDEX(Data!$G$2051:$G$2550,$M330))</f>
        <v/>
      </c>
      <c r="F330" s="146" t="str">
        <f ca="1">IF($M330=0,"",INDEX(Data!$F$2051:$F$2550,$M330))</f>
        <v/>
      </c>
      <c r="G330" s="148" t="str">
        <f ca="1">IF($M330=0,"",INDEX(Data!$K$2051:$K$2550,$M330))</f>
        <v/>
      </c>
      <c r="H330" s="146" t="str">
        <f ca="1">IF($M330=0,"",INDEX(Data!$L$2051:$L$2550,$M330))</f>
        <v/>
      </c>
      <c r="I330" s="149" t="str">
        <f ca="1">IF($M330=0,"",INDEX(Data!$T$2051:$T$2550,$M330))</f>
        <v/>
      </c>
      <c r="J330" s="146" t="str">
        <f ca="1">IF($M330=0,"",INDEX(Data!$U$2051:$U$2550,$M330))</f>
        <v/>
      </c>
      <c r="K330" s="146" t="str">
        <f ca="1">IF($M330=0,"",INDEX(Data!$AA$2051:$AA$2550,$M330))</f>
        <v/>
      </c>
      <c r="L330" s="146" t="str">
        <f ca="1">IF($M330=0,"",IF(INDEX(Data!$AN$2051:$AN$2550,$M330)=0,"",IF(INDEX(Data!$U$41:$U$540,INDEX(Data!$AN$2051:$AN$2550,$M330))="","",INDEX(Data!$U$41:$U$540,INDEX(Data!$AN$2051:$AN$2550,$M330)))))</f>
        <v/>
      </c>
      <c r="M330" s="132">
        <f ca="1">IF(COUNTIFS(Data!$AV$2051:$AV$2550,318)=1,MATCH(318,Data!$AV$2051:$AV$2550,0),0)</f>
        <v>0</v>
      </c>
      <c r="N330" s="150" t="str">
        <f ca="1">IF($M330=0,"",IF(INDEX(Data!$I$2051:$I$2550,$M330)=0,"Add ID","Row "&amp;(INDEX(Data!$I$2051:$I$2550,$M330)+7)))</f>
        <v/>
      </c>
    </row>
    <row r="331" spans="1:14" ht="40" customHeight="1">
      <c r="A331" s="135" t="str">
        <f ca="1">IF($M331=0,"",INDEX(Data!$W$2051:$W$2550,$M331))</f>
        <v/>
      </c>
      <c r="B331" s="138" t="str">
        <f ca="1">IF($M331=0,"",INDEX(Data!$B$2051:$B$2550,$M331))</f>
        <v/>
      </c>
      <c r="C331" s="141" t="str">
        <f ca="1">IF($M331=0,"",INDEX(Data!$C$2051:$C$2550,$M331))</f>
        <v/>
      </c>
      <c r="D331" s="141" t="str">
        <f ca="1">IF($M331=0,"",INDEX(Data!$D$2051:$D$2550,$M331))</f>
        <v/>
      </c>
      <c r="E331" s="142" t="str">
        <f ca="1">IF($M331=0,"",INDEX(Data!$G$2051:$G$2550,$M331))</f>
        <v/>
      </c>
      <c r="F331" s="141" t="str">
        <f ca="1">IF($M331=0,"",INDEX(Data!$F$2051:$F$2550,$M331))</f>
        <v/>
      </c>
      <c r="G331" s="143" t="str">
        <f ca="1">IF($M331=0,"",INDEX(Data!$K$2051:$K$2550,$M331))</f>
        <v/>
      </c>
      <c r="H331" s="141" t="str">
        <f ca="1">IF($M331=0,"",INDEX(Data!$L$2051:$L$2550,$M331))</f>
        <v/>
      </c>
      <c r="I331" s="144" t="str">
        <f ca="1">IF($M331=0,"",INDEX(Data!$T$2051:$T$2550,$M331))</f>
        <v/>
      </c>
      <c r="J331" s="141" t="str">
        <f ca="1">IF($M331=0,"",INDEX(Data!$U$2051:$U$2550,$M331))</f>
        <v/>
      </c>
      <c r="K331" s="141" t="str">
        <f ca="1">IF($M331=0,"",INDEX(Data!$AA$2051:$AA$2550,$M331))</f>
        <v/>
      </c>
      <c r="L331" s="141" t="str">
        <f ca="1">IF($M331=0,"",IF(INDEX(Data!$AN$2051:$AN$2550,$M331)=0,"",IF(INDEX(Data!$U$41:$U$540,INDEX(Data!$AN$2051:$AN$2550,$M331))="","",INDEX(Data!$U$41:$U$540,INDEX(Data!$AN$2051:$AN$2550,$M331)))))</f>
        <v/>
      </c>
      <c r="M331" s="132">
        <f ca="1">IF(COUNTIFS(Data!$AV$2051:$AV$2550,319)=1,MATCH(319,Data!$AV$2051:$AV$2550,0),0)</f>
        <v>0</v>
      </c>
      <c r="N331" s="145" t="str">
        <f ca="1">IF($M331=0,"",IF(INDEX(Data!$I$2051:$I$2550,$M331)=0,"Add ID","Row "&amp;(INDEX(Data!$I$2051:$I$2550,$M331)+7)))</f>
        <v/>
      </c>
    </row>
    <row r="332" spans="1:14" ht="40" customHeight="1">
      <c r="A332" s="136" t="str">
        <f ca="1">IF($M332=0,"",INDEX(Data!$W$2051:$W$2550,$M332))</f>
        <v/>
      </c>
      <c r="B332" s="139" t="str">
        <f ca="1">IF($M332=0,"",INDEX(Data!$B$2051:$B$2550,$M332))</f>
        <v/>
      </c>
      <c r="C332" s="146" t="str">
        <f ca="1">IF($M332=0,"",INDEX(Data!$C$2051:$C$2550,$M332))</f>
        <v/>
      </c>
      <c r="D332" s="146" t="str">
        <f ca="1">IF($M332=0,"",INDEX(Data!$D$2051:$D$2550,$M332))</f>
        <v/>
      </c>
      <c r="E332" s="147" t="str">
        <f ca="1">IF($M332=0,"",INDEX(Data!$G$2051:$G$2550,$M332))</f>
        <v/>
      </c>
      <c r="F332" s="146" t="str">
        <f ca="1">IF($M332=0,"",INDEX(Data!$F$2051:$F$2550,$M332))</f>
        <v/>
      </c>
      <c r="G332" s="148" t="str">
        <f ca="1">IF($M332=0,"",INDEX(Data!$K$2051:$K$2550,$M332))</f>
        <v/>
      </c>
      <c r="H332" s="146" t="str">
        <f ca="1">IF($M332=0,"",INDEX(Data!$L$2051:$L$2550,$M332))</f>
        <v/>
      </c>
      <c r="I332" s="149" t="str">
        <f ca="1">IF($M332=0,"",INDEX(Data!$T$2051:$T$2550,$M332))</f>
        <v/>
      </c>
      <c r="J332" s="146" t="str">
        <f ca="1">IF($M332=0,"",INDEX(Data!$U$2051:$U$2550,$M332))</f>
        <v/>
      </c>
      <c r="K332" s="146" t="str">
        <f ca="1">IF($M332=0,"",INDEX(Data!$AA$2051:$AA$2550,$M332))</f>
        <v/>
      </c>
      <c r="L332" s="146" t="str">
        <f ca="1">IF($M332=0,"",IF(INDEX(Data!$AN$2051:$AN$2550,$M332)=0,"",IF(INDEX(Data!$U$41:$U$540,INDEX(Data!$AN$2051:$AN$2550,$M332))="","",INDEX(Data!$U$41:$U$540,INDEX(Data!$AN$2051:$AN$2550,$M332)))))</f>
        <v/>
      </c>
      <c r="M332" s="132">
        <f ca="1">IF(COUNTIFS(Data!$AV$2051:$AV$2550,320)=1,MATCH(320,Data!$AV$2051:$AV$2550,0),0)</f>
        <v>0</v>
      </c>
      <c r="N332" s="150" t="str">
        <f ca="1">IF($M332=0,"",IF(INDEX(Data!$I$2051:$I$2550,$M332)=0,"Add ID","Row "&amp;(INDEX(Data!$I$2051:$I$2550,$M332)+7)))</f>
        <v/>
      </c>
    </row>
    <row r="333" spans="1:14" ht="40" customHeight="1">
      <c r="A333" s="135" t="str">
        <f ca="1">IF($M333=0,"",INDEX(Data!$W$2051:$W$2550,$M333))</f>
        <v/>
      </c>
      <c r="B333" s="138" t="str">
        <f ca="1">IF($M333=0,"",INDEX(Data!$B$2051:$B$2550,$M333))</f>
        <v/>
      </c>
      <c r="C333" s="141" t="str">
        <f ca="1">IF($M333=0,"",INDEX(Data!$C$2051:$C$2550,$M333))</f>
        <v/>
      </c>
      <c r="D333" s="141" t="str">
        <f ca="1">IF($M333=0,"",INDEX(Data!$D$2051:$D$2550,$M333))</f>
        <v/>
      </c>
      <c r="E333" s="142" t="str">
        <f ca="1">IF($M333=0,"",INDEX(Data!$G$2051:$G$2550,$M333))</f>
        <v/>
      </c>
      <c r="F333" s="141" t="str">
        <f ca="1">IF($M333=0,"",INDEX(Data!$F$2051:$F$2550,$M333))</f>
        <v/>
      </c>
      <c r="G333" s="143" t="str">
        <f ca="1">IF($M333=0,"",INDEX(Data!$K$2051:$K$2550,$M333))</f>
        <v/>
      </c>
      <c r="H333" s="141" t="str">
        <f ca="1">IF($M333=0,"",INDEX(Data!$L$2051:$L$2550,$M333))</f>
        <v/>
      </c>
      <c r="I333" s="144" t="str">
        <f ca="1">IF($M333=0,"",INDEX(Data!$T$2051:$T$2550,$M333))</f>
        <v/>
      </c>
      <c r="J333" s="141" t="str">
        <f ca="1">IF($M333=0,"",INDEX(Data!$U$2051:$U$2550,$M333))</f>
        <v/>
      </c>
      <c r="K333" s="141" t="str">
        <f ca="1">IF($M333=0,"",INDEX(Data!$AA$2051:$AA$2550,$M333))</f>
        <v/>
      </c>
      <c r="L333" s="141" t="str">
        <f ca="1">IF($M333=0,"",IF(INDEX(Data!$AN$2051:$AN$2550,$M333)=0,"",IF(INDEX(Data!$U$41:$U$540,INDEX(Data!$AN$2051:$AN$2550,$M333))="","",INDEX(Data!$U$41:$U$540,INDEX(Data!$AN$2051:$AN$2550,$M333)))))</f>
        <v/>
      </c>
      <c r="M333" s="132">
        <f ca="1">IF(COUNTIFS(Data!$AV$2051:$AV$2550,321)=1,MATCH(321,Data!$AV$2051:$AV$2550,0),0)</f>
        <v>0</v>
      </c>
      <c r="N333" s="145" t="str">
        <f ca="1">IF($M333=0,"",IF(INDEX(Data!$I$2051:$I$2550,$M333)=0,"Add ID","Row "&amp;(INDEX(Data!$I$2051:$I$2550,$M333)+7)))</f>
        <v/>
      </c>
    </row>
    <row r="334" spans="1:14" ht="40" customHeight="1">
      <c r="A334" s="136" t="str">
        <f ca="1">IF($M334=0,"",INDEX(Data!$W$2051:$W$2550,$M334))</f>
        <v/>
      </c>
      <c r="B334" s="139" t="str">
        <f ca="1">IF($M334=0,"",INDEX(Data!$B$2051:$B$2550,$M334))</f>
        <v/>
      </c>
      <c r="C334" s="146" t="str">
        <f ca="1">IF($M334=0,"",INDEX(Data!$C$2051:$C$2550,$M334))</f>
        <v/>
      </c>
      <c r="D334" s="146" t="str">
        <f ca="1">IF($M334=0,"",INDEX(Data!$D$2051:$D$2550,$M334))</f>
        <v/>
      </c>
      <c r="E334" s="147" t="str">
        <f ca="1">IF($M334=0,"",INDEX(Data!$G$2051:$G$2550,$M334))</f>
        <v/>
      </c>
      <c r="F334" s="146" t="str">
        <f ca="1">IF($M334=0,"",INDEX(Data!$F$2051:$F$2550,$M334))</f>
        <v/>
      </c>
      <c r="G334" s="148" t="str">
        <f ca="1">IF($M334=0,"",INDEX(Data!$K$2051:$K$2550,$M334))</f>
        <v/>
      </c>
      <c r="H334" s="146" t="str">
        <f ca="1">IF($M334=0,"",INDEX(Data!$L$2051:$L$2550,$M334))</f>
        <v/>
      </c>
      <c r="I334" s="149" t="str">
        <f ca="1">IF($M334=0,"",INDEX(Data!$T$2051:$T$2550,$M334))</f>
        <v/>
      </c>
      <c r="J334" s="146" t="str">
        <f ca="1">IF($M334=0,"",INDEX(Data!$U$2051:$U$2550,$M334))</f>
        <v/>
      </c>
      <c r="K334" s="146" t="str">
        <f ca="1">IF($M334=0,"",INDEX(Data!$AA$2051:$AA$2550,$M334))</f>
        <v/>
      </c>
      <c r="L334" s="146" t="str">
        <f ca="1">IF($M334=0,"",IF(INDEX(Data!$AN$2051:$AN$2550,$M334)=0,"",IF(INDEX(Data!$U$41:$U$540,INDEX(Data!$AN$2051:$AN$2550,$M334))="","",INDEX(Data!$U$41:$U$540,INDEX(Data!$AN$2051:$AN$2550,$M334)))))</f>
        <v/>
      </c>
      <c r="M334" s="132">
        <f ca="1">IF(COUNTIFS(Data!$AV$2051:$AV$2550,322)=1,MATCH(322,Data!$AV$2051:$AV$2550,0),0)</f>
        <v>0</v>
      </c>
      <c r="N334" s="150" t="str">
        <f ca="1">IF($M334=0,"",IF(INDEX(Data!$I$2051:$I$2550,$M334)=0,"Add ID","Row "&amp;(INDEX(Data!$I$2051:$I$2550,$M334)+7)))</f>
        <v/>
      </c>
    </row>
    <row r="335" spans="1:14" ht="40" customHeight="1">
      <c r="A335" s="135" t="str">
        <f ca="1">IF($M335=0,"",INDEX(Data!$W$2051:$W$2550,$M335))</f>
        <v/>
      </c>
      <c r="B335" s="138" t="str">
        <f ca="1">IF($M335=0,"",INDEX(Data!$B$2051:$B$2550,$M335))</f>
        <v/>
      </c>
      <c r="C335" s="141" t="str">
        <f ca="1">IF($M335=0,"",INDEX(Data!$C$2051:$C$2550,$M335))</f>
        <v/>
      </c>
      <c r="D335" s="141" t="str">
        <f ca="1">IF($M335=0,"",INDEX(Data!$D$2051:$D$2550,$M335))</f>
        <v/>
      </c>
      <c r="E335" s="142" t="str">
        <f ca="1">IF($M335=0,"",INDEX(Data!$G$2051:$G$2550,$M335))</f>
        <v/>
      </c>
      <c r="F335" s="141" t="str">
        <f ca="1">IF($M335=0,"",INDEX(Data!$F$2051:$F$2550,$M335))</f>
        <v/>
      </c>
      <c r="G335" s="143" t="str">
        <f ca="1">IF($M335=0,"",INDEX(Data!$K$2051:$K$2550,$M335))</f>
        <v/>
      </c>
      <c r="H335" s="141" t="str">
        <f ca="1">IF($M335=0,"",INDEX(Data!$L$2051:$L$2550,$M335))</f>
        <v/>
      </c>
      <c r="I335" s="144" t="str">
        <f ca="1">IF($M335=0,"",INDEX(Data!$T$2051:$T$2550,$M335))</f>
        <v/>
      </c>
      <c r="J335" s="141" t="str">
        <f ca="1">IF($M335=0,"",INDEX(Data!$U$2051:$U$2550,$M335))</f>
        <v/>
      </c>
      <c r="K335" s="141" t="str">
        <f ca="1">IF($M335=0,"",INDEX(Data!$AA$2051:$AA$2550,$M335))</f>
        <v/>
      </c>
      <c r="L335" s="141" t="str">
        <f ca="1">IF($M335=0,"",IF(INDEX(Data!$AN$2051:$AN$2550,$M335)=0,"",IF(INDEX(Data!$U$41:$U$540,INDEX(Data!$AN$2051:$AN$2550,$M335))="","",INDEX(Data!$U$41:$U$540,INDEX(Data!$AN$2051:$AN$2550,$M335)))))</f>
        <v/>
      </c>
      <c r="M335" s="132">
        <f ca="1">IF(COUNTIFS(Data!$AV$2051:$AV$2550,323)=1,MATCH(323,Data!$AV$2051:$AV$2550,0),0)</f>
        <v>0</v>
      </c>
      <c r="N335" s="145" t="str">
        <f ca="1">IF($M335=0,"",IF(INDEX(Data!$I$2051:$I$2550,$M335)=0,"Add ID","Row "&amp;(INDEX(Data!$I$2051:$I$2550,$M335)+7)))</f>
        <v/>
      </c>
    </row>
    <row r="336" spans="1:14" ht="40" customHeight="1">
      <c r="A336" s="136" t="str">
        <f ca="1">IF($M336=0,"",INDEX(Data!$W$2051:$W$2550,$M336))</f>
        <v/>
      </c>
      <c r="B336" s="139" t="str">
        <f ca="1">IF($M336=0,"",INDEX(Data!$B$2051:$B$2550,$M336))</f>
        <v/>
      </c>
      <c r="C336" s="146" t="str">
        <f ca="1">IF($M336=0,"",INDEX(Data!$C$2051:$C$2550,$M336))</f>
        <v/>
      </c>
      <c r="D336" s="146" t="str">
        <f ca="1">IF($M336=0,"",INDEX(Data!$D$2051:$D$2550,$M336))</f>
        <v/>
      </c>
      <c r="E336" s="147" t="str">
        <f ca="1">IF($M336=0,"",INDEX(Data!$G$2051:$G$2550,$M336))</f>
        <v/>
      </c>
      <c r="F336" s="146" t="str">
        <f ca="1">IF($M336=0,"",INDEX(Data!$F$2051:$F$2550,$M336))</f>
        <v/>
      </c>
      <c r="G336" s="148" t="str">
        <f ca="1">IF($M336=0,"",INDEX(Data!$K$2051:$K$2550,$M336))</f>
        <v/>
      </c>
      <c r="H336" s="146" t="str">
        <f ca="1">IF($M336=0,"",INDEX(Data!$L$2051:$L$2550,$M336))</f>
        <v/>
      </c>
      <c r="I336" s="149" t="str">
        <f ca="1">IF($M336=0,"",INDEX(Data!$T$2051:$T$2550,$M336))</f>
        <v/>
      </c>
      <c r="J336" s="146" t="str">
        <f ca="1">IF($M336=0,"",INDEX(Data!$U$2051:$U$2550,$M336))</f>
        <v/>
      </c>
      <c r="K336" s="146" t="str">
        <f ca="1">IF($M336=0,"",INDEX(Data!$AA$2051:$AA$2550,$M336))</f>
        <v/>
      </c>
      <c r="L336" s="146" t="str">
        <f ca="1">IF($M336=0,"",IF(INDEX(Data!$AN$2051:$AN$2550,$M336)=0,"",IF(INDEX(Data!$U$41:$U$540,INDEX(Data!$AN$2051:$AN$2550,$M336))="","",INDEX(Data!$U$41:$U$540,INDEX(Data!$AN$2051:$AN$2550,$M336)))))</f>
        <v/>
      </c>
      <c r="M336" s="132">
        <f ca="1">IF(COUNTIFS(Data!$AV$2051:$AV$2550,324)=1,MATCH(324,Data!$AV$2051:$AV$2550,0),0)</f>
        <v>0</v>
      </c>
      <c r="N336" s="150" t="str">
        <f ca="1">IF($M336=0,"",IF(INDEX(Data!$I$2051:$I$2550,$M336)=0,"Add ID","Row "&amp;(INDEX(Data!$I$2051:$I$2550,$M336)+7)))</f>
        <v/>
      </c>
    </row>
    <row r="337" spans="1:14" ht="40" customHeight="1">
      <c r="A337" s="135" t="str">
        <f ca="1">IF($M337=0,"",INDEX(Data!$W$2051:$W$2550,$M337))</f>
        <v/>
      </c>
      <c r="B337" s="138" t="str">
        <f ca="1">IF($M337=0,"",INDEX(Data!$B$2051:$B$2550,$M337))</f>
        <v/>
      </c>
      <c r="C337" s="141" t="str">
        <f ca="1">IF($M337=0,"",INDEX(Data!$C$2051:$C$2550,$M337))</f>
        <v/>
      </c>
      <c r="D337" s="141" t="str">
        <f ca="1">IF($M337=0,"",INDEX(Data!$D$2051:$D$2550,$M337))</f>
        <v/>
      </c>
      <c r="E337" s="142" t="str">
        <f ca="1">IF($M337=0,"",INDEX(Data!$G$2051:$G$2550,$M337))</f>
        <v/>
      </c>
      <c r="F337" s="141" t="str">
        <f ca="1">IF($M337=0,"",INDEX(Data!$F$2051:$F$2550,$M337))</f>
        <v/>
      </c>
      <c r="G337" s="143" t="str">
        <f ca="1">IF($M337=0,"",INDEX(Data!$K$2051:$K$2550,$M337))</f>
        <v/>
      </c>
      <c r="H337" s="141" t="str">
        <f ca="1">IF($M337=0,"",INDEX(Data!$L$2051:$L$2550,$M337))</f>
        <v/>
      </c>
      <c r="I337" s="144" t="str">
        <f ca="1">IF($M337=0,"",INDEX(Data!$T$2051:$T$2550,$M337))</f>
        <v/>
      </c>
      <c r="J337" s="141" t="str">
        <f ca="1">IF($M337=0,"",INDEX(Data!$U$2051:$U$2550,$M337))</f>
        <v/>
      </c>
      <c r="K337" s="141" t="str">
        <f ca="1">IF($M337=0,"",INDEX(Data!$AA$2051:$AA$2550,$M337))</f>
        <v/>
      </c>
      <c r="L337" s="141" t="str">
        <f ca="1">IF($M337=0,"",IF(INDEX(Data!$AN$2051:$AN$2550,$M337)=0,"",IF(INDEX(Data!$U$41:$U$540,INDEX(Data!$AN$2051:$AN$2550,$M337))="","",INDEX(Data!$U$41:$U$540,INDEX(Data!$AN$2051:$AN$2550,$M337)))))</f>
        <v/>
      </c>
      <c r="M337" s="132">
        <f ca="1">IF(COUNTIFS(Data!$AV$2051:$AV$2550,325)=1,MATCH(325,Data!$AV$2051:$AV$2550,0),0)</f>
        <v>0</v>
      </c>
      <c r="N337" s="145" t="str">
        <f ca="1">IF($M337=0,"",IF(INDEX(Data!$I$2051:$I$2550,$M337)=0,"Add ID","Row "&amp;(INDEX(Data!$I$2051:$I$2550,$M337)+7)))</f>
        <v/>
      </c>
    </row>
    <row r="338" spans="1:14" ht="40" customHeight="1">
      <c r="A338" s="136" t="str">
        <f ca="1">IF($M338=0,"",INDEX(Data!$W$2051:$W$2550,$M338))</f>
        <v/>
      </c>
      <c r="B338" s="139" t="str">
        <f ca="1">IF($M338=0,"",INDEX(Data!$B$2051:$B$2550,$M338))</f>
        <v/>
      </c>
      <c r="C338" s="146" t="str">
        <f ca="1">IF($M338=0,"",INDEX(Data!$C$2051:$C$2550,$M338))</f>
        <v/>
      </c>
      <c r="D338" s="146" t="str">
        <f ca="1">IF($M338=0,"",INDEX(Data!$D$2051:$D$2550,$M338))</f>
        <v/>
      </c>
      <c r="E338" s="147" t="str">
        <f ca="1">IF($M338=0,"",INDEX(Data!$G$2051:$G$2550,$M338))</f>
        <v/>
      </c>
      <c r="F338" s="146" t="str">
        <f ca="1">IF($M338=0,"",INDEX(Data!$F$2051:$F$2550,$M338))</f>
        <v/>
      </c>
      <c r="G338" s="148" t="str">
        <f ca="1">IF($M338=0,"",INDEX(Data!$K$2051:$K$2550,$M338))</f>
        <v/>
      </c>
      <c r="H338" s="146" t="str">
        <f ca="1">IF($M338=0,"",INDEX(Data!$L$2051:$L$2550,$M338))</f>
        <v/>
      </c>
      <c r="I338" s="149" t="str">
        <f ca="1">IF($M338=0,"",INDEX(Data!$T$2051:$T$2550,$M338))</f>
        <v/>
      </c>
      <c r="J338" s="146" t="str">
        <f ca="1">IF($M338=0,"",INDEX(Data!$U$2051:$U$2550,$M338))</f>
        <v/>
      </c>
      <c r="K338" s="146" t="str">
        <f ca="1">IF($M338=0,"",INDEX(Data!$AA$2051:$AA$2550,$M338))</f>
        <v/>
      </c>
      <c r="L338" s="146" t="str">
        <f ca="1">IF($M338=0,"",IF(INDEX(Data!$AN$2051:$AN$2550,$M338)=0,"",IF(INDEX(Data!$U$41:$U$540,INDEX(Data!$AN$2051:$AN$2550,$M338))="","",INDEX(Data!$U$41:$U$540,INDEX(Data!$AN$2051:$AN$2550,$M338)))))</f>
        <v/>
      </c>
      <c r="M338" s="132">
        <f ca="1">IF(COUNTIFS(Data!$AV$2051:$AV$2550,326)=1,MATCH(326,Data!$AV$2051:$AV$2550,0),0)</f>
        <v>0</v>
      </c>
      <c r="N338" s="150" t="str">
        <f ca="1">IF($M338=0,"",IF(INDEX(Data!$I$2051:$I$2550,$M338)=0,"Add ID","Row "&amp;(INDEX(Data!$I$2051:$I$2550,$M338)+7)))</f>
        <v/>
      </c>
    </row>
    <row r="339" spans="1:14" ht="40" customHeight="1">
      <c r="A339" s="135" t="str">
        <f ca="1">IF($M339=0,"",INDEX(Data!$W$2051:$W$2550,$M339))</f>
        <v/>
      </c>
      <c r="B339" s="138" t="str">
        <f ca="1">IF($M339=0,"",INDEX(Data!$B$2051:$B$2550,$M339))</f>
        <v/>
      </c>
      <c r="C339" s="141" t="str">
        <f ca="1">IF($M339=0,"",INDEX(Data!$C$2051:$C$2550,$M339))</f>
        <v/>
      </c>
      <c r="D339" s="141" t="str">
        <f ca="1">IF($M339=0,"",INDEX(Data!$D$2051:$D$2550,$M339))</f>
        <v/>
      </c>
      <c r="E339" s="142" t="str">
        <f ca="1">IF($M339=0,"",INDEX(Data!$G$2051:$G$2550,$M339))</f>
        <v/>
      </c>
      <c r="F339" s="141" t="str">
        <f ca="1">IF($M339=0,"",INDEX(Data!$F$2051:$F$2550,$M339))</f>
        <v/>
      </c>
      <c r="G339" s="143" t="str">
        <f ca="1">IF($M339=0,"",INDEX(Data!$K$2051:$K$2550,$M339))</f>
        <v/>
      </c>
      <c r="H339" s="141" t="str">
        <f ca="1">IF($M339=0,"",INDEX(Data!$L$2051:$L$2550,$M339))</f>
        <v/>
      </c>
      <c r="I339" s="144" t="str">
        <f ca="1">IF($M339=0,"",INDEX(Data!$T$2051:$T$2550,$M339))</f>
        <v/>
      </c>
      <c r="J339" s="141" t="str">
        <f ca="1">IF($M339=0,"",INDEX(Data!$U$2051:$U$2550,$M339))</f>
        <v/>
      </c>
      <c r="K339" s="141" t="str">
        <f ca="1">IF($M339=0,"",INDEX(Data!$AA$2051:$AA$2550,$M339))</f>
        <v/>
      </c>
      <c r="L339" s="141" t="str">
        <f ca="1">IF($M339=0,"",IF(INDEX(Data!$AN$2051:$AN$2550,$M339)=0,"",IF(INDEX(Data!$U$41:$U$540,INDEX(Data!$AN$2051:$AN$2550,$M339))="","",INDEX(Data!$U$41:$U$540,INDEX(Data!$AN$2051:$AN$2550,$M339)))))</f>
        <v/>
      </c>
      <c r="M339" s="132">
        <f ca="1">IF(COUNTIFS(Data!$AV$2051:$AV$2550,327)=1,MATCH(327,Data!$AV$2051:$AV$2550,0),0)</f>
        <v>0</v>
      </c>
      <c r="N339" s="145" t="str">
        <f ca="1">IF($M339=0,"",IF(INDEX(Data!$I$2051:$I$2550,$M339)=0,"Add ID","Row "&amp;(INDEX(Data!$I$2051:$I$2550,$M339)+7)))</f>
        <v/>
      </c>
    </row>
    <row r="340" spans="1:14" ht="40" customHeight="1">
      <c r="A340" s="136" t="str">
        <f ca="1">IF($M340=0,"",INDEX(Data!$W$2051:$W$2550,$M340))</f>
        <v/>
      </c>
      <c r="B340" s="139" t="str">
        <f ca="1">IF($M340=0,"",INDEX(Data!$B$2051:$B$2550,$M340))</f>
        <v/>
      </c>
      <c r="C340" s="146" t="str">
        <f ca="1">IF($M340=0,"",INDEX(Data!$C$2051:$C$2550,$M340))</f>
        <v/>
      </c>
      <c r="D340" s="146" t="str">
        <f ca="1">IF($M340=0,"",INDEX(Data!$D$2051:$D$2550,$M340))</f>
        <v/>
      </c>
      <c r="E340" s="147" t="str">
        <f ca="1">IF($M340=0,"",INDEX(Data!$G$2051:$G$2550,$M340))</f>
        <v/>
      </c>
      <c r="F340" s="146" t="str">
        <f ca="1">IF($M340=0,"",INDEX(Data!$F$2051:$F$2550,$M340))</f>
        <v/>
      </c>
      <c r="G340" s="148" t="str">
        <f ca="1">IF($M340=0,"",INDEX(Data!$K$2051:$K$2550,$M340))</f>
        <v/>
      </c>
      <c r="H340" s="146" t="str">
        <f ca="1">IF($M340=0,"",INDEX(Data!$L$2051:$L$2550,$M340))</f>
        <v/>
      </c>
      <c r="I340" s="149" t="str">
        <f ca="1">IF($M340=0,"",INDEX(Data!$T$2051:$T$2550,$M340))</f>
        <v/>
      </c>
      <c r="J340" s="146" t="str">
        <f ca="1">IF($M340=0,"",INDEX(Data!$U$2051:$U$2550,$M340))</f>
        <v/>
      </c>
      <c r="K340" s="146" t="str">
        <f ca="1">IF($M340=0,"",INDEX(Data!$AA$2051:$AA$2550,$M340))</f>
        <v/>
      </c>
      <c r="L340" s="146" t="str">
        <f ca="1">IF($M340=0,"",IF(INDEX(Data!$AN$2051:$AN$2550,$M340)=0,"",IF(INDEX(Data!$U$41:$U$540,INDEX(Data!$AN$2051:$AN$2550,$M340))="","",INDEX(Data!$U$41:$U$540,INDEX(Data!$AN$2051:$AN$2550,$M340)))))</f>
        <v/>
      </c>
      <c r="M340" s="132">
        <f ca="1">IF(COUNTIFS(Data!$AV$2051:$AV$2550,328)=1,MATCH(328,Data!$AV$2051:$AV$2550,0),0)</f>
        <v>0</v>
      </c>
      <c r="N340" s="150" t="str">
        <f ca="1">IF($M340=0,"",IF(INDEX(Data!$I$2051:$I$2550,$M340)=0,"Add ID","Row "&amp;(INDEX(Data!$I$2051:$I$2550,$M340)+7)))</f>
        <v/>
      </c>
    </row>
    <row r="341" spans="1:14" ht="40" customHeight="1">
      <c r="A341" s="135" t="str">
        <f ca="1">IF($M341=0,"",INDEX(Data!$W$2051:$W$2550,$M341))</f>
        <v/>
      </c>
      <c r="B341" s="138" t="str">
        <f ca="1">IF($M341=0,"",INDEX(Data!$B$2051:$B$2550,$M341))</f>
        <v/>
      </c>
      <c r="C341" s="141" t="str">
        <f ca="1">IF($M341=0,"",INDEX(Data!$C$2051:$C$2550,$M341))</f>
        <v/>
      </c>
      <c r="D341" s="141" t="str">
        <f ca="1">IF($M341=0,"",INDEX(Data!$D$2051:$D$2550,$M341))</f>
        <v/>
      </c>
      <c r="E341" s="142" t="str">
        <f ca="1">IF($M341=0,"",INDEX(Data!$G$2051:$G$2550,$M341))</f>
        <v/>
      </c>
      <c r="F341" s="141" t="str">
        <f ca="1">IF($M341=0,"",INDEX(Data!$F$2051:$F$2550,$M341))</f>
        <v/>
      </c>
      <c r="G341" s="143" t="str">
        <f ca="1">IF($M341=0,"",INDEX(Data!$K$2051:$K$2550,$M341))</f>
        <v/>
      </c>
      <c r="H341" s="141" t="str">
        <f ca="1">IF($M341=0,"",INDEX(Data!$L$2051:$L$2550,$M341))</f>
        <v/>
      </c>
      <c r="I341" s="144" t="str">
        <f ca="1">IF($M341=0,"",INDEX(Data!$T$2051:$T$2550,$M341))</f>
        <v/>
      </c>
      <c r="J341" s="141" t="str">
        <f ca="1">IF($M341=0,"",INDEX(Data!$U$2051:$U$2550,$M341))</f>
        <v/>
      </c>
      <c r="K341" s="141" t="str">
        <f ca="1">IF($M341=0,"",INDEX(Data!$AA$2051:$AA$2550,$M341))</f>
        <v/>
      </c>
      <c r="L341" s="141" t="str">
        <f ca="1">IF($M341=0,"",IF(INDEX(Data!$AN$2051:$AN$2550,$M341)=0,"",IF(INDEX(Data!$U$41:$U$540,INDEX(Data!$AN$2051:$AN$2550,$M341))="","",INDEX(Data!$U$41:$U$540,INDEX(Data!$AN$2051:$AN$2550,$M341)))))</f>
        <v/>
      </c>
      <c r="M341" s="132">
        <f ca="1">IF(COUNTIFS(Data!$AV$2051:$AV$2550,329)=1,MATCH(329,Data!$AV$2051:$AV$2550,0),0)</f>
        <v>0</v>
      </c>
      <c r="N341" s="145" t="str">
        <f ca="1">IF($M341=0,"",IF(INDEX(Data!$I$2051:$I$2550,$M341)=0,"Add ID","Row "&amp;(INDEX(Data!$I$2051:$I$2550,$M341)+7)))</f>
        <v/>
      </c>
    </row>
    <row r="342" spans="1:14" ht="40" customHeight="1">
      <c r="A342" s="136" t="str">
        <f ca="1">IF($M342=0,"",INDEX(Data!$W$2051:$W$2550,$M342))</f>
        <v/>
      </c>
      <c r="B342" s="139" t="str">
        <f ca="1">IF($M342=0,"",INDEX(Data!$B$2051:$B$2550,$M342))</f>
        <v/>
      </c>
      <c r="C342" s="146" t="str">
        <f ca="1">IF($M342=0,"",INDEX(Data!$C$2051:$C$2550,$M342))</f>
        <v/>
      </c>
      <c r="D342" s="146" t="str">
        <f ca="1">IF($M342=0,"",INDEX(Data!$D$2051:$D$2550,$M342))</f>
        <v/>
      </c>
      <c r="E342" s="147" t="str">
        <f ca="1">IF($M342=0,"",INDEX(Data!$G$2051:$G$2550,$M342))</f>
        <v/>
      </c>
      <c r="F342" s="146" t="str">
        <f ca="1">IF($M342=0,"",INDEX(Data!$F$2051:$F$2550,$M342))</f>
        <v/>
      </c>
      <c r="G342" s="148" t="str">
        <f ca="1">IF($M342=0,"",INDEX(Data!$K$2051:$K$2550,$M342))</f>
        <v/>
      </c>
      <c r="H342" s="146" t="str">
        <f ca="1">IF($M342=0,"",INDEX(Data!$L$2051:$L$2550,$M342))</f>
        <v/>
      </c>
      <c r="I342" s="149" t="str">
        <f ca="1">IF($M342=0,"",INDEX(Data!$T$2051:$T$2550,$M342))</f>
        <v/>
      </c>
      <c r="J342" s="146" t="str">
        <f ca="1">IF($M342=0,"",INDEX(Data!$U$2051:$U$2550,$M342))</f>
        <v/>
      </c>
      <c r="K342" s="146" t="str">
        <f ca="1">IF($M342=0,"",INDEX(Data!$AA$2051:$AA$2550,$M342))</f>
        <v/>
      </c>
      <c r="L342" s="146" t="str">
        <f ca="1">IF($M342=0,"",IF(INDEX(Data!$AN$2051:$AN$2550,$M342)=0,"",IF(INDEX(Data!$U$41:$U$540,INDEX(Data!$AN$2051:$AN$2550,$M342))="","",INDEX(Data!$U$41:$U$540,INDEX(Data!$AN$2051:$AN$2550,$M342)))))</f>
        <v/>
      </c>
      <c r="M342" s="132">
        <f ca="1">IF(COUNTIFS(Data!$AV$2051:$AV$2550,330)=1,MATCH(330,Data!$AV$2051:$AV$2550,0),0)</f>
        <v>0</v>
      </c>
      <c r="N342" s="150" t="str">
        <f ca="1">IF($M342=0,"",IF(INDEX(Data!$I$2051:$I$2550,$M342)=0,"Add ID","Row "&amp;(INDEX(Data!$I$2051:$I$2550,$M342)+7)))</f>
        <v/>
      </c>
    </row>
    <row r="343" spans="1:14" ht="40" customHeight="1">
      <c r="A343" s="135" t="str">
        <f ca="1">IF($M343=0,"",INDEX(Data!$W$2051:$W$2550,$M343))</f>
        <v/>
      </c>
      <c r="B343" s="138" t="str">
        <f ca="1">IF($M343=0,"",INDEX(Data!$B$2051:$B$2550,$M343))</f>
        <v/>
      </c>
      <c r="C343" s="141" t="str">
        <f ca="1">IF($M343=0,"",INDEX(Data!$C$2051:$C$2550,$M343))</f>
        <v/>
      </c>
      <c r="D343" s="141" t="str">
        <f ca="1">IF($M343=0,"",INDEX(Data!$D$2051:$D$2550,$M343))</f>
        <v/>
      </c>
      <c r="E343" s="142" t="str">
        <f ca="1">IF($M343=0,"",INDEX(Data!$G$2051:$G$2550,$M343))</f>
        <v/>
      </c>
      <c r="F343" s="141" t="str">
        <f ca="1">IF($M343=0,"",INDEX(Data!$F$2051:$F$2550,$M343))</f>
        <v/>
      </c>
      <c r="G343" s="143" t="str">
        <f ca="1">IF($M343=0,"",INDEX(Data!$K$2051:$K$2550,$M343))</f>
        <v/>
      </c>
      <c r="H343" s="141" t="str">
        <f ca="1">IF($M343=0,"",INDEX(Data!$L$2051:$L$2550,$M343))</f>
        <v/>
      </c>
      <c r="I343" s="144" t="str">
        <f ca="1">IF($M343=0,"",INDEX(Data!$T$2051:$T$2550,$M343))</f>
        <v/>
      </c>
      <c r="J343" s="141" t="str">
        <f ca="1">IF($M343=0,"",INDEX(Data!$U$2051:$U$2550,$M343))</f>
        <v/>
      </c>
      <c r="K343" s="141" t="str">
        <f ca="1">IF($M343=0,"",INDEX(Data!$AA$2051:$AA$2550,$M343))</f>
        <v/>
      </c>
      <c r="L343" s="141" t="str">
        <f ca="1">IF($M343=0,"",IF(INDEX(Data!$AN$2051:$AN$2550,$M343)=0,"",IF(INDEX(Data!$U$41:$U$540,INDEX(Data!$AN$2051:$AN$2550,$M343))="","",INDEX(Data!$U$41:$U$540,INDEX(Data!$AN$2051:$AN$2550,$M343)))))</f>
        <v/>
      </c>
      <c r="M343" s="132">
        <f ca="1">IF(COUNTIFS(Data!$AV$2051:$AV$2550,331)=1,MATCH(331,Data!$AV$2051:$AV$2550,0),0)</f>
        <v>0</v>
      </c>
      <c r="N343" s="145" t="str">
        <f ca="1">IF($M343=0,"",IF(INDEX(Data!$I$2051:$I$2550,$M343)=0,"Add ID","Row "&amp;(INDEX(Data!$I$2051:$I$2550,$M343)+7)))</f>
        <v/>
      </c>
    </row>
    <row r="344" spans="1:14" ht="40" customHeight="1">
      <c r="A344" s="136" t="str">
        <f ca="1">IF($M344=0,"",INDEX(Data!$W$2051:$W$2550,$M344))</f>
        <v/>
      </c>
      <c r="B344" s="139" t="str">
        <f ca="1">IF($M344=0,"",INDEX(Data!$B$2051:$B$2550,$M344))</f>
        <v/>
      </c>
      <c r="C344" s="146" t="str">
        <f ca="1">IF($M344=0,"",INDEX(Data!$C$2051:$C$2550,$M344))</f>
        <v/>
      </c>
      <c r="D344" s="146" t="str">
        <f ca="1">IF($M344=0,"",INDEX(Data!$D$2051:$D$2550,$M344))</f>
        <v/>
      </c>
      <c r="E344" s="147" t="str">
        <f ca="1">IF($M344=0,"",INDEX(Data!$G$2051:$G$2550,$M344))</f>
        <v/>
      </c>
      <c r="F344" s="146" t="str">
        <f ca="1">IF($M344=0,"",INDEX(Data!$F$2051:$F$2550,$M344))</f>
        <v/>
      </c>
      <c r="G344" s="148" t="str">
        <f ca="1">IF($M344=0,"",INDEX(Data!$K$2051:$K$2550,$M344))</f>
        <v/>
      </c>
      <c r="H344" s="146" t="str">
        <f ca="1">IF($M344=0,"",INDEX(Data!$L$2051:$L$2550,$M344))</f>
        <v/>
      </c>
      <c r="I344" s="149" t="str">
        <f ca="1">IF($M344=0,"",INDEX(Data!$T$2051:$T$2550,$M344))</f>
        <v/>
      </c>
      <c r="J344" s="146" t="str">
        <f ca="1">IF($M344=0,"",INDEX(Data!$U$2051:$U$2550,$M344))</f>
        <v/>
      </c>
      <c r="K344" s="146" t="str">
        <f ca="1">IF($M344=0,"",INDEX(Data!$AA$2051:$AA$2550,$M344))</f>
        <v/>
      </c>
      <c r="L344" s="146" t="str">
        <f ca="1">IF($M344=0,"",IF(INDEX(Data!$AN$2051:$AN$2550,$M344)=0,"",IF(INDEX(Data!$U$41:$U$540,INDEX(Data!$AN$2051:$AN$2550,$M344))="","",INDEX(Data!$U$41:$U$540,INDEX(Data!$AN$2051:$AN$2550,$M344)))))</f>
        <v/>
      </c>
      <c r="M344" s="132">
        <f ca="1">IF(COUNTIFS(Data!$AV$2051:$AV$2550,332)=1,MATCH(332,Data!$AV$2051:$AV$2550,0),0)</f>
        <v>0</v>
      </c>
      <c r="N344" s="150" t="str">
        <f ca="1">IF($M344=0,"",IF(INDEX(Data!$I$2051:$I$2550,$M344)=0,"Add ID","Row "&amp;(INDEX(Data!$I$2051:$I$2550,$M344)+7)))</f>
        <v/>
      </c>
    </row>
    <row r="345" spans="1:14" ht="40" customHeight="1">
      <c r="A345" s="135" t="str">
        <f ca="1">IF($M345=0,"",INDEX(Data!$W$2051:$W$2550,$M345))</f>
        <v/>
      </c>
      <c r="B345" s="138" t="str">
        <f ca="1">IF($M345=0,"",INDEX(Data!$B$2051:$B$2550,$M345))</f>
        <v/>
      </c>
      <c r="C345" s="141" t="str">
        <f ca="1">IF($M345=0,"",INDEX(Data!$C$2051:$C$2550,$M345))</f>
        <v/>
      </c>
      <c r="D345" s="141" t="str">
        <f ca="1">IF($M345=0,"",INDEX(Data!$D$2051:$D$2550,$M345))</f>
        <v/>
      </c>
      <c r="E345" s="142" t="str">
        <f ca="1">IF($M345=0,"",INDEX(Data!$G$2051:$G$2550,$M345))</f>
        <v/>
      </c>
      <c r="F345" s="141" t="str">
        <f ca="1">IF($M345=0,"",INDEX(Data!$F$2051:$F$2550,$M345))</f>
        <v/>
      </c>
      <c r="G345" s="143" t="str">
        <f ca="1">IF($M345=0,"",INDEX(Data!$K$2051:$K$2550,$M345))</f>
        <v/>
      </c>
      <c r="H345" s="141" t="str">
        <f ca="1">IF($M345=0,"",INDEX(Data!$L$2051:$L$2550,$M345))</f>
        <v/>
      </c>
      <c r="I345" s="144" t="str">
        <f ca="1">IF($M345=0,"",INDEX(Data!$T$2051:$T$2550,$M345))</f>
        <v/>
      </c>
      <c r="J345" s="141" t="str">
        <f ca="1">IF($M345=0,"",INDEX(Data!$U$2051:$U$2550,$M345))</f>
        <v/>
      </c>
      <c r="K345" s="141" t="str">
        <f ca="1">IF($M345=0,"",INDEX(Data!$AA$2051:$AA$2550,$M345))</f>
        <v/>
      </c>
      <c r="L345" s="141" t="str">
        <f ca="1">IF($M345=0,"",IF(INDEX(Data!$AN$2051:$AN$2550,$M345)=0,"",IF(INDEX(Data!$U$41:$U$540,INDEX(Data!$AN$2051:$AN$2550,$M345))="","",INDEX(Data!$U$41:$U$540,INDEX(Data!$AN$2051:$AN$2550,$M345)))))</f>
        <v/>
      </c>
      <c r="M345" s="132">
        <f ca="1">IF(COUNTIFS(Data!$AV$2051:$AV$2550,333)=1,MATCH(333,Data!$AV$2051:$AV$2550,0),0)</f>
        <v>0</v>
      </c>
      <c r="N345" s="145" t="str">
        <f ca="1">IF($M345=0,"",IF(INDEX(Data!$I$2051:$I$2550,$M345)=0,"Add ID","Row "&amp;(INDEX(Data!$I$2051:$I$2550,$M345)+7)))</f>
        <v/>
      </c>
    </row>
    <row r="346" spans="1:14" ht="40" customHeight="1">
      <c r="A346" s="136" t="str">
        <f ca="1">IF($M346=0,"",INDEX(Data!$W$2051:$W$2550,$M346))</f>
        <v/>
      </c>
      <c r="B346" s="139" t="str">
        <f ca="1">IF($M346=0,"",INDEX(Data!$B$2051:$B$2550,$M346))</f>
        <v/>
      </c>
      <c r="C346" s="146" t="str">
        <f ca="1">IF($M346=0,"",INDEX(Data!$C$2051:$C$2550,$M346))</f>
        <v/>
      </c>
      <c r="D346" s="146" t="str">
        <f ca="1">IF($M346=0,"",INDEX(Data!$D$2051:$D$2550,$M346))</f>
        <v/>
      </c>
      <c r="E346" s="147" t="str">
        <f ca="1">IF($M346=0,"",INDEX(Data!$G$2051:$G$2550,$M346))</f>
        <v/>
      </c>
      <c r="F346" s="146" t="str">
        <f ca="1">IF($M346=0,"",INDEX(Data!$F$2051:$F$2550,$M346))</f>
        <v/>
      </c>
      <c r="G346" s="148" t="str">
        <f ca="1">IF($M346=0,"",INDEX(Data!$K$2051:$K$2550,$M346))</f>
        <v/>
      </c>
      <c r="H346" s="146" t="str">
        <f ca="1">IF($M346=0,"",INDEX(Data!$L$2051:$L$2550,$M346))</f>
        <v/>
      </c>
      <c r="I346" s="149" t="str">
        <f ca="1">IF($M346=0,"",INDEX(Data!$T$2051:$T$2550,$M346))</f>
        <v/>
      </c>
      <c r="J346" s="146" t="str">
        <f ca="1">IF($M346=0,"",INDEX(Data!$U$2051:$U$2550,$M346))</f>
        <v/>
      </c>
      <c r="K346" s="146" t="str">
        <f ca="1">IF($M346=0,"",INDEX(Data!$AA$2051:$AA$2550,$M346))</f>
        <v/>
      </c>
      <c r="L346" s="146" t="str">
        <f ca="1">IF($M346=0,"",IF(INDEX(Data!$AN$2051:$AN$2550,$M346)=0,"",IF(INDEX(Data!$U$41:$U$540,INDEX(Data!$AN$2051:$AN$2550,$M346))="","",INDEX(Data!$U$41:$U$540,INDEX(Data!$AN$2051:$AN$2550,$M346)))))</f>
        <v/>
      </c>
      <c r="M346" s="132">
        <f ca="1">IF(COUNTIFS(Data!$AV$2051:$AV$2550,334)=1,MATCH(334,Data!$AV$2051:$AV$2550,0),0)</f>
        <v>0</v>
      </c>
      <c r="N346" s="150" t="str">
        <f ca="1">IF($M346=0,"",IF(INDEX(Data!$I$2051:$I$2550,$M346)=0,"Add ID","Row "&amp;(INDEX(Data!$I$2051:$I$2550,$M346)+7)))</f>
        <v/>
      </c>
    </row>
    <row r="347" spans="1:14" ht="40" customHeight="1">
      <c r="A347" s="135" t="str">
        <f ca="1">IF($M347=0,"",INDEX(Data!$W$2051:$W$2550,$M347))</f>
        <v/>
      </c>
      <c r="B347" s="138" t="str">
        <f ca="1">IF($M347=0,"",INDEX(Data!$B$2051:$B$2550,$M347))</f>
        <v/>
      </c>
      <c r="C347" s="141" t="str">
        <f ca="1">IF($M347=0,"",INDEX(Data!$C$2051:$C$2550,$M347))</f>
        <v/>
      </c>
      <c r="D347" s="141" t="str">
        <f ca="1">IF($M347=0,"",INDEX(Data!$D$2051:$D$2550,$M347))</f>
        <v/>
      </c>
      <c r="E347" s="142" t="str">
        <f ca="1">IF($M347=0,"",INDEX(Data!$G$2051:$G$2550,$M347))</f>
        <v/>
      </c>
      <c r="F347" s="141" t="str">
        <f ca="1">IF($M347=0,"",INDEX(Data!$F$2051:$F$2550,$M347))</f>
        <v/>
      </c>
      <c r="G347" s="143" t="str">
        <f ca="1">IF($M347=0,"",INDEX(Data!$K$2051:$K$2550,$M347))</f>
        <v/>
      </c>
      <c r="H347" s="141" t="str">
        <f ca="1">IF($M347=0,"",INDEX(Data!$L$2051:$L$2550,$M347))</f>
        <v/>
      </c>
      <c r="I347" s="144" t="str">
        <f ca="1">IF($M347=0,"",INDEX(Data!$T$2051:$T$2550,$M347))</f>
        <v/>
      </c>
      <c r="J347" s="141" t="str">
        <f ca="1">IF($M347=0,"",INDEX(Data!$U$2051:$U$2550,$M347))</f>
        <v/>
      </c>
      <c r="K347" s="141" t="str">
        <f ca="1">IF($M347=0,"",INDEX(Data!$AA$2051:$AA$2550,$M347))</f>
        <v/>
      </c>
      <c r="L347" s="141" t="str">
        <f ca="1">IF($M347=0,"",IF(INDEX(Data!$AN$2051:$AN$2550,$M347)=0,"",IF(INDEX(Data!$U$41:$U$540,INDEX(Data!$AN$2051:$AN$2550,$M347))="","",INDEX(Data!$U$41:$U$540,INDEX(Data!$AN$2051:$AN$2550,$M347)))))</f>
        <v/>
      </c>
      <c r="M347" s="132">
        <f ca="1">IF(COUNTIFS(Data!$AV$2051:$AV$2550,335)=1,MATCH(335,Data!$AV$2051:$AV$2550,0),0)</f>
        <v>0</v>
      </c>
      <c r="N347" s="145" t="str">
        <f ca="1">IF($M347=0,"",IF(INDEX(Data!$I$2051:$I$2550,$M347)=0,"Add ID","Row "&amp;(INDEX(Data!$I$2051:$I$2550,$M347)+7)))</f>
        <v/>
      </c>
    </row>
    <row r="348" spans="1:14" ht="40" customHeight="1">
      <c r="A348" s="136" t="str">
        <f ca="1">IF($M348=0,"",INDEX(Data!$W$2051:$W$2550,$M348))</f>
        <v/>
      </c>
      <c r="B348" s="139" t="str">
        <f ca="1">IF($M348=0,"",INDEX(Data!$B$2051:$B$2550,$M348))</f>
        <v/>
      </c>
      <c r="C348" s="146" t="str">
        <f ca="1">IF($M348=0,"",INDEX(Data!$C$2051:$C$2550,$M348))</f>
        <v/>
      </c>
      <c r="D348" s="146" t="str">
        <f ca="1">IF($M348=0,"",INDEX(Data!$D$2051:$D$2550,$M348))</f>
        <v/>
      </c>
      <c r="E348" s="147" t="str">
        <f ca="1">IF($M348=0,"",INDEX(Data!$G$2051:$G$2550,$M348))</f>
        <v/>
      </c>
      <c r="F348" s="146" t="str">
        <f ca="1">IF($M348=0,"",INDEX(Data!$F$2051:$F$2550,$M348))</f>
        <v/>
      </c>
      <c r="G348" s="148" t="str">
        <f ca="1">IF($M348=0,"",INDEX(Data!$K$2051:$K$2550,$M348))</f>
        <v/>
      </c>
      <c r="H348" s="146" t="str">
        <f ca="1">IF($M348=0,"",INDEX(Data!$L$2051:$L$2550,$M348))</f>
        <v/>
      </c>
      <c r="I348" s="149" t="str">
        <f ca="1">IF($M348=0,"",INDEX(Data!$T$2051:$T$2550,$M348))</f>
        <v/>
      </c>
      <c r="J348" s="146" t="str">
        <f ca="1">IF($M348=0,"",INDEX(Data!$U$2051:$U$2550,$M348))</f>
        <v/>
      </c>
      <c r="K348" s="146" t="str">
        <f ca="1">IF($M348=0,"",INDEX(Data!$AA$2051:$AA$2550,$M348))</f>
        <v/>
      </c>
      <c r="L348" s="146" t="str">
        <f ca="1">IF($M348=0,"",IF(INDEX(Data!$AN$2051:$AN$2550,$M348)=0,"",IF(INDEX(Data!$U$41:$U$540,INDEX(Data!$AN$2051:$AN$2550,$M348))="","",INDEX(Data!$U$41:$U$540,INDEX(Data!$AN$2051:$AN$2550,$M348)))))</f>
        <v/>
      </c>
      <c r="M348" s="132">
        <f ca="1">IF(COUNTIFS(Data!$AV$2051:$AV$2550,336)=1,MATCH(336,Data!$AV$2051:$AV$2550,0),0)</f>
        <v>0</v>
      </c>
      <c r="N348" s="150" t="str">
        <f ca="1">IF($M348=0,"",IF(INDEX(Data!$I$2051:$I$2550,$M348)=0,"Add ID","Row "&amp;(INDEX(Data!$I$2051:$I$2550,$M348)+7)))</f>
        <v/>
      </c>
    </row>
    <row r="349" spans="1:14" ht="40" customHeight="1">
      <c r="A349" s="135" t="str">
        <f ca="1">IF($M349=0,"",INDEX(Data!$W$2051:$W$2550,$M349))</f>
        <v/>
      </c>
      <c r="B349" s="138" t="str">
        <f ca="1">IF($M349=0,"",INDEX(Data!$B$2051:$B$2550,$M349))</f>
        <v/>
      </c>
      <c r="C349" s="141" t="str">
        <f ca="1">IF($M349=0,"",INDEX(Data!$C$2051:$C$2550,$M349))</f>
        <v/>
      </c>
      <c r="D349" s="141" t="str">
        <f ca="1">IF($M349=0,"",INDEX(Data!$D$2051:$D$2550,$M349))</f>
        <v/>
      </c>
      <c r="E349" s="142" t="str">
        <f ca="1">IF($M349=0,"",INDEX(Data!$G$2051:$G$2550,$M349))</f>
        <v/>
      </c>
      <c r="F349" s="141" t="str">
        <f ca="1">IF($M349=0,"",INDEX(Data!$F$2051:$F$2550,$M349))</f>
        <v/>
      </c>
      <c r="G349" s="143" t="str">
        <f ca="1">IF($M349=0,"",INDEX(Data!$K$2051:$K$2550,$M349))</f>
        <v/>
      </c>
      <c r="H349" s="141" t="str">
        <f ca="1">IF($M349=0,"",INDEX(Data!$L$2051:$L$2550,$M349))</f>
        <v/>
      </c>
      <c r="I349" s="144" t="str">
        <f ca="1">IF($M349=0,"",INDEX(Data!$T$2051:$T$2550,$M349))</f>
        <v/>
      </c>
      <c r="J349" s="141" t="str">
        <f ca="1">IF($M349=0,"",INDEX(Data!$U$2051:$U$2550,$M349))</f>
        <v/>
      </c>
      <c r="K349" s="141" t="str">
        <f ca="1">IF($M349=0,"",INDEX(Data!$AA$2051:$AA$2550,$M349))</f>
        <v/>
      </c>
      <c r="L349" s="141" t="str">
        <f ca="1">IF($M349=0,"",IF(INDEX(Data!$AN$2051:$AN$2550,$M349)=0,"",IF(INDEX(Data!$U$41:$U$540,INDEX(Data!$AN$2051:$AN$2550,$M349))="","",INDEX(Data!$U$41:$U$540,INDEX(Data!$AN$2051:$AN$2550,$M349)))))</f>
        <v/>
      </c>
      <c r="M349" s="132">
        <f ca="1">IF(COUNTIFS(Data!$AV$2051:$AV$2550,337)=1,MATCH(337,Data!$AV$2051:$AV$2550,0),0)</f>
        <v>0</v>
      </c>
      <c r="N349" s="145" t="str">
        <f ca="1">IF($M349=0,"",IF(INDEX(Data!$I$2051:$I$2550,$M349)=0,"Add ID","Row "&amp;(INDEX(Data!$I$2051:$I$2550,$M349)+7)))</f>
        <v/>
      </c>
    </row>
    <row r="350" spans="1:14" ht="40" customHeight="1">
      <c r="A350" s="136" t="str">
        <f ca="1">IF($M350=0,"",INDEX(Data!$W$2051:$W$2550,$M350))</f>
        <v/>
      </c>
      <c r="B350" s="139" t="str">
        <f ca="1">IF($M350=0,"",INDEX(Data!$B$2051:$B$2550,$M350))</f>
        <v/>
      </c>
      <c r="C350" s="146" t="str">
        <f ca="1">IF($M350=0,"",INDEX(Data!$C$2051:$C$2550,$M350))</f>
        <v/>
      </c>
      <c r="D350" s="146" t="str">
        <f ca="1">IF($M350=0,"",INDEX(Data!$D$2051:$D$2550,$M350))</f>
        <v/>
      </c>
      <c r="E350" s="147" t="str">
        <f ca="1">IF($M350=0,"",INDEX(Data!$G$2051:$G$2550,$M350))</f>
        <v/>
      </c>
      <c r="F350" s="146" t="str">
        <f ca="1">IF($M350=0,"",INDEX(Data!$F$2051:$F$2550,$M350))</f>
        <v/>
      </c>
      <c r="G350" s="148" t="str">
        <f ca="1">IF($M350=0,"",INDEX(Data!$K$2051:$K$2550,$M350))</f>
        <v/>
      </c>
      <c r="H350" s="146" t="str">
        <f ca="1">IF($M350=0,"",INDEX(Data!$L$2051:$L$2550,$M350))</f>
        <v/>
      </c>
      <c r="I350" s="149" t="str">
        <f ca="1">IF($M350=0,"",INDEX(Data!$T$2051:$T$2550,$M350))</f>
        <v/>
      </c>
      <c r="J350" s="146" t="str">
        <f ca="1">IF($M350=0,"",INDEX(Data!$U$2051:$U$2550,$M350))</f>
        <v/>
      </c>
      <c r="K350" s="146" t="str">
        <f ca="1">IF($M350=0,"",INDEX(Data!$AA$2051:$AA$2550,$M350))</f>
        <v/>
      </c>
      <c r="L350" s="146" t="str">
        <f ca="1">IF($M350=0,"",IF(INDEX(Data!$AN$2051:$AN$2550,$M350)=0,"",IF(INDEX(Data!$U$41:$U$540,INDEX(Data!$AN$2051:$AN$2550,$M350))="","",INDEX(Data!$U$41:$U$540,INDEX(Data!$AN$2051:$AN$2550,$M350)))))</f>
        <v/>
      </c>
      <c r="M350" s="132">
        <f ca="1">IF(COUNTIFS(Data!$AV$2051:$AV$2550,338)=1,MATCH(338,Data!$AV$2051:$AV$2550,0),0)</f>
        <v>0</v>
      </c>
      <c r="N350" s="150" t="str">
        <f ca="1">IF($M350=0,"",IF(INDEX(Data!$I$2051:$I$2550,$M350)=0,"Add ID","Row "&amp;(INDEX(Data!$I$2051:$I$2550,$M350)+7)))</f>
        <v/>
      </c>
    </row>
    <row r="351" spans="1:14" ht="40" customHeight="1">
      <c r="A351" s="135" t="str">
        <f ca="1">IF($M351=0,"",INDEX(Data!$W$2051:$W$2550,$M351))</f>
        <v/>
      </c>
      <c r="B351" s="138" t="str">
        <f ca="1">IF($M351=0,"",INDEX(Data!$B$2051:$B$2550,$M351))</f>
        <v/>
      </c>
      <c r="C351" s="141" t="str">
        <f ca="1">IF($M351=0,"",INDEX(Data!$C$2051:$C$2550,$M351))</f>
        <v/>
      </c>
      <c r="D351" s="141" t="str">
        <f ca="1">IF($M351=0,"",INDEX(Data!$D$2051:$D$2550,$M351))</f>
        <v/>
      </c>
      <c r="E351" s="142" t="str">
        <f ca="1">IF($M351=0,"",INDEX(Data!$G$2051:$G$2550,$M351))</f>
        <v/>
      </c>
      <c r="F351" s="141" t="str">
        <f ca="1">IF($M351=0,"",INDEX(Data!$F$2051:$F$2550,$M351))</f>
        <v/>
      </c>
      <c r="G351" s="143" t="str">
        <f ca="1">IF($M351=0,"",INDEX(Data!$K$2051:$K$2550,$M351))</f>
        <v/>
      </c>
      <c r="H351" s="141" t="str">
        <f ca="1">IF($M351=0,"",INDEX(Data!$L$2051:$L$2550,$M351))</f>
        <v/>
      </c>
      <c r="I351" s="144" t="str">
        <f ca="1">IF($M351=0,"",INDEX(Data!$T$2051:$T$2550,$M351))</f>
        <v/>
      </c>
      <c r="J351" s="141" t="str">
        <f ca="1">IF($M351=0,"",INDEX(Data!$U$2051:$U$2550,$M351))</f>
        <v/>
      </c>
      <c r="K351" s="141" t="str">
        <f ca="1">IF($M351=0,"",INDEX(Data!$AA$2051:$AA$2550,$M351))</f>
        <v/>
      </c>
      <c r="L351" s="141" t="str">
        <f ca="1">IF($M351=0,"",IF(INDEX(Data!$AN$2051:$AN$2550,$M351)=0,"",IF(INDEX(Data!$U$41:$U$540,INDEX(Data!$AN$2051:$AN$2550,$M351))="","",INDEX(Data!$U$41:$U$540,INDEX(Data!$AN$2051:$AN$2550,$M351)))))</f>
        <v/>
      </c>
      <c r="M351" s="132">
        <f ca="1">IF(COUNTIFS(Data!$AV$2051:$AV$2550,339)=1,MATCH(339,Data!$AV$2051:$AV$2550,0),0)</f>
        <v>0</v>
      </c>
      <c r="N351" s="145" t="str">
        <f ca="1">IF($M351=0,"",IF(INDEX(Data!$I$2051:$I$2550,$M351)=0,"Add ID","Row "&amp;(INDEX(Data!$I$2051:$I$2550,$M351)+7)))</f>
        <v/>
      </c>
    </row>
    <row r="352" spans="1:14" ht="40" customHeight="1">
      <c r="A352" s="136" t="str">
        <f ca="1">IF($M352=0,"",INDEX(Data!$W$2051:$W$2550,$M352))</f>
        <v/>
      </c>
      <c r="B352" s="139" t="str">
        <f ca="1">IF($M352=0,"",INDEX(Data!$B$2051:$B$2550,$M352))</f>
        <v/>
      </c>
      <c r="C352" s="146" t="str">
        <f ca="1">IF($M352=0,"",INDEX(Data!$C$2051:$C$2550,$M352))</f>
        <v/>
      </c>
      <c r="D352" s="146" t="str">
        <f ca="1">IF($M352=0,"",INDEX(Data!$D$2051:$D$2550,$M352))</f>
        <v/>
      </c>
      <c r="E352" s="147" t="str">
        <f ca="1">IF($M352=0,"",INDEX(Data!$G$2051:$G$2550,$M352))</f>
        <v/>
      </c>
      <c r="F352" s="146" t="str">
        <f ca="1">IF($M352=0,"",INDEX(Data!$F$2051:$F$2550,$M352))</f>
        <v/>
      </c>
      <c r="G352" s="148" t="str">
        <f ca="1">IF($M352=0,"",INDEX(Data!$K$2051:$K$2550,$M352))</f>
        <v/>
      </c>
      <c r="H352" s="146" t="str">
        <f ca="1">IF($M352=0,"",INDEX(Data!$L$2051:$L$2550,$M352))</f>
        <v/>
      </c>
      <c r="I352" s="149" t="str">
        <f ca="1">IF($M352=0,"",INDEX(Data!$T$2051:$T$2550,$M352))</f>
        <v/>
      </c>
      <c r="J352" s="146" t="str">
        <f ca="1">IF($M352=0,"",INDEX(Data!$U$2051:$U$2550,$M352))</f>
        <v/>
      </c>
      <c r="K352" s="146" t="str">
        <f ca="1">IF($M352=0,"",INDEX(Data!$AA$2051:$AA$2550,$M352))</f>
        <v/>
      </c>
      <c r="L352" s="146" t="str">
        <f ca="1">IF($M352=0,"",IF(INDEX(Data!$AN$2051:$AN$2550,$M352)=0,"",IF(INDEX(Data!$U$41:$U$540,INDEX(Data!$AN$2051:$AN$2550,$M352))="","",INDEX(Data!$U$41:$U$540,INDEX(Data!$AN$2051:$AN$2550,$M352)))))</f>
        <v/>
      </c>
      <c r="M352" s="132">
        <f ca="1">IF(COUNTIFS(Data!$AV$2051:$AV$2550,340)=1,MATCH(340,Data!$AV$2051:$AV$2550,0),0)</f>
        <v>0</v>
      </c>
      <c r="N352" s="150" t="str">
        <f ca="1">IF($M352=0,"",IF(INDEX(Data!$I$2051:$I$2550,$M352)=0,"Add ID","Row "&amp;(INDEX(Data!$I$2051:$I$2550,$M352)+7)))</f>
        <v/>
      </c>
    </row>
    <row r="353" spans="1:14" ht="40" customHeight="1">
      <c r="A353" s="135" t="str">
        <f ca="1">IF($M353=0,"",INDEX(Data!$W$2051:$W$2550,$M353))</f>
        <v/>
      </c>
      <c r="B353" s="138" t="str">
        <f ca="1">IF($M353=0,"",INDEX(Data!$B$2051:$B$2550,$M353))</f>
        <v/>
      </c>
      <c r="C353" s="141" t="str">
        <f ca="1">IF($M353=0,"",INDEX(Data!$C$2051:$C$2550,$M353))</f>
        <v/>
      </c>
      <c r="D353" s="141" t="str">
        <f ca="1">IF($M353=0,"",INDEX(Data!$D$2051:$D$2550,$M353))</f>
        <v/>
      </c>
      <c r="E353" s="142" t="str">
        <f ca="1">IF($M353=0,"",INDEX(Data!$G$2051:$G$2550,$M353))</f>
        <v/>
      </c>
      <c r="F353" s="141" t="str">
        <f ca="1">IF($M353=0,"",INDEX(Data!$F$2051:$F$2550,$M353))</f>
        <v/>
      </c>
      <c r="G353" s="143" t="str">
        <f ca="1">IF($M353=0,"",INDEX(Data!$K$2051:$K$2550,$M353))</f>
        <v/>
      </c>
      <c r="H353" s="141" t="str">
        <f ca="1">IF($M353=0,"",INDEX(Data!$L$2051:$L$2550,$M353))</f>
        <v/>
      </c>
      <c r="I353" s="144" t="str">
        <f ca="1">IF($M353=0,"",INDEX(Data!$T$2051:$T$2550,$M353))</f>
        <v/>
      </c>
      <c r="J353" s="141" t="str">
        <f ca="1">IF($M353=0,"",INDEX(Data!$U$2051:$U$2550,$M353))</f>
        <v/>
      </c>
      <c r="K353" s="141" t="str">
        <f ca="1">IF($M353=0,"",INDEX(Data!$AA$2051:$AA$2550,$M353))</f>
        <v/>
      </c>
      <c r="L353" s="141" t="str">
        <f ca="1">IF($M353=0,"",IF(INDEX(Data!$AN$2051:$AN$2550,$M353)=0,"",IF(INDEX(Data!$U$41:$U$540,INDEX(Data!$AN$2051:$AN$2550,$M353))="","",INDEX(Data!$U$41:$U$540,INDEX(Data!$AN$2051:$AN$2550,$M353)))))</f>
        <v/>
      </c>
      <c r="M353" s="132">
        <f ca="1">IF(COUNTIFS(Data!$AV$2051:$AV$2550,341)=1,MATCH(341,Data!$AV$2051:$AV$2550,0),0)</f>
        <v>0</v>
      </c>
      <c r="N353" s="145" t="str">
        <f ca="1">IF($M353=0,"",IF(INDEX(Data!$I$2051:$I$2550,$M353)=0,"Add ID","Row "&amp;(INDEX(Data!$I$2051:$I$2550,$M353)+7)))</f>
        <v/>
      </c>
    </row>
    <row r="354" spans="1:14" ht="40" customHeight="1">
      <c r="A354" s="136" t="str">
        <f ca="1">IF($M354=0,"",INDEX(Data!$W$2051:$W$2550,$M354))</f>
        <v/>
      </c>
      <c r="B354" s="139" t="str">
        <f ca="1">IF($M354=0,"",INDEX(Data!$B$2051:$B$2550,$M354))</f>
        <v/>
      </c>
      <c r="C354" s="146" t="str">
        <f ca="1">IF($M354=0,"",INDEX(Data!$C$2051:$C$2550,$M354))</f>
        <v/>
      </c>
      <c r="D354" s="146" t="str">
        <f ca="1">IF($M354=0,"",INDEX(Data!$D$2051:$D$2550,$M354))</f>
        <v/>
      </c>
      <c r="E354" s="147" t="str">
        <f ca="1">IF($M354=0,"",INDEX(Data!$G$2051:$G$2550,$M354))</f>
        <v/>
      </c>
      <c r="F354" s="146" t="str">
        <f ca="1">IF($M354=0,"",INDEX(Data!$F$2051:$F$2550,$M354))</f>
        <v/>
      </c>
      <c r="G354" s="148" t="str">
        <f ca="1">IF($M354=0,"",INDEX(Data!$K$2051:$K$2550,$M354))</f>
        <v/>
      </c>
      <c r="H354" s="146" t="str">
        <f ca="1">IF($M354=0,"",INDEX(Data!$L$2051:$L$2550,$M354))</f>
        <v/>
      </c>
      <c r="I354" s="149" t="str">
        <f ca="1">IF($M354=0,"",INDEX(Data!$T$2051:$T$2550,$M354))</f>
        <v/>
      </c>
      <c r="J354" s="146" t="str">
        <f ca="1">IF($M354=0,"",INDEX(Data!$U$2051:$U$2550,$M354))</f>
        <v/>
      </c>
      <c r="K354" s="146" t="str">
        <f ca="1">IF($M354=0,"",INDEX(Data!$AA$2051:$AA$2550,$M354))</f>
        <v/>
      </c>
      <c r="L354" s="146" t="str">
        <f ca="1">IF($M354=0,"",IF(INDEX(Data!$AN$2051:$AN$2550,$M354)=0,"",IF(INDEX(Data!$U$41:$U$540,INDEX(Data!$AN$2051:$AN$2550,$M354))="","",INDEX(Data!$U$41:$U$540,INDEX(Data!$AN$2051:$AN$2550,$M354)))))</f>
        <v/>
      </c>
      <c r="M354" s="132">
        <f ca="1">IF(COUNTIFS(Data!$AV$2051:$AV$2550,342)=1,MATCH(342,Data!$AV$2051:$AV$2550,0),0)</f>
        <v>0</v>
      </c>
      <c r="N354" s="150" t="str">
        <f ca="1">IF($M354=0,"",IF(INDEX(Data!$I$2051:$I$2550,$M354)=0,"Add ID","Row "&amp;(INDEX(Data!$I$2051:$I$2550,$M354)+7)))</f>
        <v/>
      </c>
    </row>
    <row r="355" spans="1:14" ht="40" customHeight="1">
      <c r="A355" s="135" t="str">
        <f ca="1">IF($M355=0,"",INDEX(Data!$W$2051:$W$2550,$M355))</f>
        <v/>
      </c>
      <c r="B355" s="138" t="str">
        <f ca="1">IF($M355=0,"",INDEX(Data!$B$2051:$B$2550,$M355))</f>
        <v/>
      </c>
      <c r="C355" s="141" t="str">
        <f ca="1">IF($M355=0,"",INDEX(Data!$C$2051:$C$2550,$M355))</f>
        <v/>
      </c>
      <c r="D355" s="141" t="str">
        <f ca="1">IF($M355=0,"",INDEX(Data!$D$2051:$D$2550,$M355))</f>
        <v/>
      </c>
      <c r="E355" s="142" t="str">
        <f ca="1">IF($M355=0,"",INDEX(Data!$G$2051:$G$2550,$M355))</f>
        <v/>
      </c>
      <c r="F355" s="141" t="str">
        <f ca="1">IF($M355=0,"",INDEX(Data!$F$2051:$F$2550,$M355))</f>
        <v/>
      </c>
      <c r="G355" s="143" t="str">
        <f ca="1">IF($M355=0,"",INDEX(Data!$K$2051:$K$2550,$M355))</f>
        <v/>
      </c>
      <c r="H355" s="141" t="str">
        <f ca="1">IF($M355=0,"",INDEX(Data!$L$2051:$L$2550,$M355))</f>
        <v/>
      </c>
      <c r="I355" s="144" t="str">
        <f ca="1">IF($M355=0,"",INDEX(Data!$T$2051:$T$2550,$M355))</f>
        <v/>
      </c>
      <c r="J355" s="141" t="str">
        <f ca="1">IF($M355=0,"",INDEX(Data!$U$2051:$U$2550,$M355))</f>
        <v/>
      </c>
      <c r="K355" s="141" t="str">
        <f ca="1">IF($M355=0,"",INDEX(Data!$AA$2051:$AA$2550,$M355))</f>
        <v/>
      </c>
      <c r="L355" s="141" t="str">
        <f ca="1">IF($M355=0,"",IF(INDEX(Data!$AN$2051:$AN$2550,$M355)=0,"",IF(INDEX(Data!$U$41:$U$540,INDEX(Data!$AN$2051:$AN$2550,$M355))="","",INDEX(Data!$U$41:$U$540,INDEX(Data!$AN$2051:$AN$2550,$M355)))))</f>
        <v/>
      </c>
      <c r="M355" s="132">
        <f ca="1">IF(COUNTIFS(Data!$AV$2051:$AV$2550,343)=1,MATCH(343,Data!$AV$2051:$AV$2550,0),0)</f>
        <v>0</v>
      </c>
      <c r="N355" s="145" t="str">
        <f ca="1">IF($M355=0,"",IF(INDEX(Data!$I$2051:$I$2550,$M355)=0,"Add ID","Row "&amp;(INDEX(Data!$I$2051:$I$2550,$M355)+7)))</f>
        <v/>
      </c>
    </row>
    <row r="356" spans="1:14" ht="40" customHeight="1">
      <c r="A356" s="136" t="str">
        <f ca="1">IF($M356=0,"",INDEX(Data!$W$2051:$W$2550,$M356))</f>
        <v/>
      </c>
      <c r="B356" s="139" t="str">
        <f ca="1">IF($M356=0,"",INDEX(Data!$B$2051:$B$2550,$M356))</f>
        <v/>
      </c>
      <c r="C356" s="146" t="str">
        <f ca="1">IF($M356=0,"",INDEX(Data!$C$2051:$C$2550,$M356))</f>
        <v/>
      </c>
      <c r="D356" s="146" t="str">
        <f ca="1">IF($M356=0,"",INDEX(Data!$D$2051:$D$2550,$M356))</f>
        <v/>
      </c>
      <c r="E356" s="147" t="str">
        <f ca="1">IF($M356=0,"",INDEX(Data!$G$2051:$G$2550,$M356))</f>
        <v/>
      </c>
      <c r="F356" s="146" t="str">
        <f ca="1">IF($M356=0,"",INDEX(Data!$F$2051:$F$2550,$M356))</f>
        <v/>
      </c>
      <c r="G356" s="148" t="str">
        <f ca="1">IF($M356=0,"",INDEX(Data!$K$2051:$K$2550,$M356))</f>
        <v/>
      </c>
      <c r="H356" s="146" t="str">
        <f ca="1">IF($M356=0,"",INDEX(Data!$L$2051:$L$2550,$M356))</f>
        <v/>
      </c>
      <c r="I356" s="149" t="str">
        <f ca="1">IF($M356=0,"",INDEX(Data!$T$2051:$T$2550,$M356))</f>
        <v/>
      </c>
      <c r="J356" s="146" t="str">
        <f ca="1">IF($M356=0,"",INDEX(Data!$U$2051:$U$2550,$M356))</f>
        <v/>
      </c>
      <c r="K356" s="146" t="str">
        <f ca="1">IF($M356=0,"",INDEX(Data!$AA$2051:$AA$2550,$M356))</f>
        <v/>
      </c>
      <c r="L356" s="146" t="str">
        <f ca="1">IF($M356=0,"",IF(INDEX(Data!$AN$2051:$AN$2550,$M356)=0,"",IF(INDEX(Data!$U$41:$U$540,INDEX(Data!$AN$2051:$AN$2550,$M356))="","",INDEX(Data!$U$41:$U$540,INDEX(Data!$AN$2051:$AN$2550,$M356)))))</f>
        <v/>
      </c>
      <c r="M356" s="132">
        <f ca="1">IF(COUNTIFS(Data!$AV$2051:$AV$2550,344)=1,MATCH(344,Data!$AV$2051:$AV$2550,0),0)</f>
        <v>0</v>
      </c>
      <c r="N356" s="150" t="str">
        <f ca="1">IF($M356=0,"",IF(INDEX(Data!$I$2051:$I$2550,$M356)=0,"Add ID","Row "&amp;(INDEX(Data!$I$2051:$I$2550,$M356)+7)))</f>
        <v/>
      </c>
    </row>
    <row r="357" spans="1:14" ht="40" customHeight="1">
      <c r="A357" s="135" t="str">
        <f ca="1">IF($M357=0,"",INDEX(Data!$W$2051:$W$2550,$M357))</f>
        <v/>
      </c>
      <c r="B357" s="138" t="str">
        <f ca="1">IF($M357=0,"",INDEX(Data!$B$2051:$B$2550,$M357))</f>
        <v/>
      </c>
      <c r="C357" s="141" t="str">
        <f ca="1">IF($M357=0,"",INDEX(Data!$C$2051:$C$2550,$M357))</f>
        <v/>
      </c>
      <c r="D357" s="141" t="str">
        <f ca="1">IF($M357=0,"",INDEX(Data!$D$2051:$D$2550,$M357))</f>
        <v/>
      </c>
      <c r="E357" s="142" t="str">
        <f ca="1">IF($M357=0,"",INDEX(Data!$G$2051:$G$2550,$M357))</f>
        <v/>
      </c>
      <c r="F357" s="141" t="str">
        <f ca="1">IF($M357=0,"",INDEX(Data!$F$2051:$F$2550,$M357))</f>
        <v/>
      </c>
      <c r="G357" s="143" t="str">
        <f ca="1">IF($M357=0,"",INDEX(Data!$K$2051:$K$2550,$M357))</f>
        <v/>
      </c>
      <c r="H357" s="141" t="str">
        <f ca="1">IF($M357=0,"",INDEX(Data!$L$2051:$L$2550,$M357))</f>
        <v/>
      </c>
      <c r="I357" s="144" t="str">
        <f ca="1">IF($M357=0,"",INDEX(Data!$T$2051:$T$2550,$M357))</f>
        <v/>
      </c>
      <c r="J357" s="141" t="str">
        <f ca="1">IF($M357=0,"",INDEX(Data!$U$2051:$U$2550,$M357))</f>
        <v/>
      </c>
      <c r="K357" s="141" t="str">
        <f ca="1">IF($M357=0,"",INDEX(Data!$AA$2051:$AA$2550,$M357))</f>
        <v/>
      </c>
      <c r="L357" s="141" t="str">
        <f ca="1">IF($M357=0,"",IF(INDEX(Data!$AN$2051:$AN$2550,$M357)=0,"",IF(INDEX(Data!$U$41:$U$540,INDEX(Data!$AN$2051:$AN$2550,$M357))="","",INDEX(Data!$U$41:$U$540,INDEX(Data!$AN$2051:$AN$2550,$M357)))))</f>
        <v/>
      </c>
      <c r="M357" s="132">
        <f ca="1">IF(COUNTIFS(Data!$AV$2051:$AV$2550,345)=1,MATCH(345,Data!$AV$2051:$AV$2550,0),0)</f>
        <v>0</v>
      </c>
      <c r="N357" s="145" t="str">
        <f ca="1">IF($M357=0,"",IF(INDEX(Data!$I$2051:$I$2550,$M357)=0,"Add ID","Row "&amp;(INDEX(Data!$I$2051:$I$2550,$M357)+7)))</f>
        <v/>
      </c>
    </row>
    <row r="358" spans="1:14" ht="40" customHeight="1">
      <c r="A358" s="136" t="str">
        <f ca="1">IF($M358=0,"",INDEX(Data!$W$2051:$W$2550,$M358))</f>
        <v/>
      </c>
      <c r="B358" s="139" t="str">
        <f ca="1">IF($M358=0,"",INDEX(Data!$B$2051:$B$2550,$M358))</f>
        <v/>
      </c>
      <c r="C358" s="146" t="str">
        <f ca="1">IF($M358=0,"",INDEX(Data!$C$2051:$C$2550,$M358))</f>
        <v/>
      </c>
      <c r="D358" s="146" t="str">
        <f ca="1">IF($M358=0,"",INDEX(Data!$D$2051:$D$2550,$M358))</f>
        <v/>
      </c>
      <c r="E358" s="147" t="str">
        <f ca="1">IF($M358=0,"",INDEX(Data!$G$2051:$G$2550,$M358))</f>
        <v/>
      </c>
      <c r="F358" s="146" t="str">
        <f ca="1">IF($M358=0,"",INDEX(Data!$F$2051:$F$2550,$M358))</f>
        <v/>
      </c>
      <c r="G358" s="148" t="str">
        <f ca="1">IF($M358=0,"",INDEX(Data!$K$2051:$K$2550,$M358))</f>
        <v/>
      </c>
      <c r="H358" s="146" t="str">
        <f ca="1">IF($M358=0,"",INDEX(Data!$L$2051:$L$2550,$M358))</f>
        <v/>
      </c>
      <c r="I358" s="149" t="str">
        <f ca="1">IF($M358=0,"",INDEX(Data!$T$2051:$T$2550,$M358))</f>
        <v/>
      </c>
      <c r="J358" s="146" t="str">
        <f ca="1">IF($M358=0,"",INDEX(Data!$U$2051:$U$2550,$M358))</f>
        <v/>
      </c>
      <c r="K358" s="146" t="str">
        <f ca="1">IF($M358=0,"",INDEX(Data!$AA$2051:$AA$2550,$M358))</f>
        <v/>
      </c>
      <c r="L358" s="146" t="str">
        <f ca="1">IF($M358=0,"",IF(INDEX(Data!$AN$2051:$AN$2550,$M358)=0,"",IF(INDEX(Data!$U$41:$U$540,INDEX(Data!$AN$2051:$AN$2550,$M358))="","",INDEX(Data!$U$41:$U$540,INDEX(Data!$AN$2051:$AN$2550,$M358)))))</f>
        <v/>
      </c>
      <c r="M358" s="132">
        <f ca="1">IF(COUNTIFS(Data!$AV$2051:$AV$2550,346)=1,MATCH(346,Data!$AV$2051:$AV$2550,0),0)</f>
        <v>0</v>
      </c>
      <c r="N358" s="150" t="str">
        <f ca="1">IF($M358=0,"",IF(INDEX(Data!$I$2051:$I$2550,$M358)=0,"Add ID","Row "&amp;(INDEX(Data!$I$2051:$I$2550,$M358)+7)))</f>
        <v/>
      </c>
    </row>
    <row r="359" spans="1:14" ht="40" customHeight="1">
      <c r="A359" s="135" t="str">
        <f ca="1">IF($M359=0,"",INDEX(Data!$W$2051:$W$2550,$M359))</f>
        <v/>
      </c>
      <c r="B359" s="138" t="str">
        <f ca="1">IF($M359=0,"",INDEX(Data!$B$2051:$B$2550,$M359))</f>
        <v/>
      </c>
      <c r="C359" s="141" t="str">
        <f ca="1">IF($M359=0,"",INDEX(Data!$C$2051:$C$2550,$M359))</f>
        <v/>
      </c>
      <c r="D359" s="141" t="str">
        <f ca="1">IF($M359=0,"",INDEX(Data!$D$2051:$D$2550,$M359))</f>
        <v/>
      </c>
      <c r="E359" s="142" t="str">
        <f ca="1">IF($M359=0,"",INDEX(Data!$G$2051:$G$2550,$M359))</f>
        <v/>
      </c>
      <c r="F359" s="141" t="str">
        <f ca="1">IF($M359=0,"",INDEX(Data!$F$2051:$F$2550,$M359))</f>
        <v/>
      </c>
      <c r="G359" s="143" t="str">
        <f ca="1">IF($M359=0,"",INDEX(Data!$K$2051:$K$2550,$M359))</f>
        <v/>
      </c>
      <c r="H359" s="141" t="str">
        <f ca="1">IF($M359=0,"",INDEX(Data!$L$2051:$L$2550,$M359))</f>
        <v/>
      </c>
      <c r="I359" s="144" t="str">
        <f ca="1">IF($M359=0,"",INDEX(Data!$T$2051:$T$2550,$M359))</f>
        <v/>
      </c>
      <c r="J359" s="141" t="str">
        <f ca="1">IF($M359=0,"",INDEX(Data!$U$2051:$U$2550,$M359))</f>
        <v/>
      </c>
      <c r="K359" s="141" t="str">
        <f ca="1">IF($M359=0,"",INDEX(Data!$AA$2051:$AA$2550,$M359))</f>
        <v/>
      </c>
      <c r="L359" s="141" t="str">
        <f ca="1">IF($M359=0,"",IF(INDEX(Data!$AN$2051:$AN$2550,$M359)=0,"",IF(INDEX(Data!$U$41:$U$540,INDEX(Data!$AN$2051:$AN$2550,$M359))="","",INDEX(Data!$U$41:$U$540,INDEX(Data!$AN$2051:$AN$2550,$M359)))))</f>
        <v/>
      </c>
      <c r="M359" s="132">
        <f ca="1">IF(COUNTIFS(Data!$AV$2051:$AV$2550,347)=1,MATCH(347,Data!$AV$2051:$AV$2550,0),0)</f>
        <v>0</v>
      </c>
      <c r="N359" s="145" t="str">
        <f ca="1">IF($M359=0,"",IF(INDEX(Data!$I$2051:$I$2550,$M359)=0,"Add ID","Row "&amp;(INDEX(Data!$I$2051:$I$2550,$M359)+7)))</f>
        <v/>
      </c>
    </row>
    <row r="360" spans="1:14" ht="40" customHeight="1">
      <c r="A360" s="136" t="str">
        <f ca="1">IF($M360=0,"",INDEX(Data!$W$2051:$W$2550,$M360))</f>
        <v/>
      </c>
      <c r="B360" s="139" t="str">
        <f ca="1">IF($M360=0,"",INDEX(Data!$B$2051:$B$2550,$M360))</f>
        <v/>
      </c>
      <c r="C360" s="146" t="str">
        <f ca="1">IF($M360=0,"",INDEX(Data!$C$2051:$C$2550,$M360))</f>
        <v/>
      </c>
      <c r="D360" s="146" t="str">
        <f ca="1">IF($M360=0,"",INDEX(Data!$D$2051:$D$2550,$M360))</f>
        <v/>
      </c>
      <c r="E360" s="147" t="str">
        <f ca="1">IF($M360=0,"",INDEX(Data!$G$2051:$G$2550,$M360))</f>
        <v/>
      </c>
      <c r="F360" s="146" t="str">
        <f ca="1">IF($M360=0,"",INDEX(Data!$F$2051:$F$2550,$M360))</f>
        <v/>
      </c>
      <c r="G360" s="148" t="str">
        <f ca="1">IF($M360=0,"",INDEX(Data!$K$2051:$K$2550,$M360))</f>
        <v/>
      </c>
      <c r="H360" s="146" t="str">
        <f ca="1">IF($M360=0,"",INDEX(Data!$L$2051:$L$2550,$M360))</f>
        <v/>
      </c>
      <c r="I360" s="149" t="str">
        <f ca="1">IF($M360=0,"",INDEX(Data!$T$2051:$T$2550,$M360))</f>
        <v/>
      </c>
      <c r="J360" s="146" t="str">
        <f ca="1">IF($M360=0,"",INDEX(Data!$U$2051:$U$2550,$M360))</f>
        <v/>
      </c>
      <c r="K360" s="146" t="str">
        <f ca="1">IF($M360=0,"",INDEX(Data!$AA$2051:$AA$2550,$M360))</f>
        <v/>
      </c>
      <c r="L360" s="146" t="str">
        <f ca="1">IF($M360=0,"",IF(INDEX(Data!$AN$2051:$AN$2550,$M360)=0,"",IF(INDEX(Data!$U$41:$U$540,INDEX(Data!$AN$2051:$AN$2550,$M360))="","",INDEX(Data!$U$41:$U$540,INDEX(Data!$AN$2051:$AN$2550,$M360)))))</f>
        <v/>
      </c>
      <c r="M360" s="132">
        <f ca="1">IF(COUNTIFS(Data!$AV$2051:$AV$2550,348)=1,MATCH(348,Data!$AV$2051:$AV$2550,0),0)</f>
        <v>0</v>
      </c>
      <c r="N360" s="150" t="str">
        <f ca="1">IF($M360=0,"",IF(INDEX(Data!$I$2051:$I$2550,$M360)=0,"Add ID","Row "&amp;(INDEX(Data!$I$2051:$I$2550,$M360)+7)))</f>
        <v/>
      </c>
    </row>
    <row r="361" spans="1:14" ht="40" customHeight="1">
      <c r="A361" s="135" t="str">
        <f ca="1">IF($M361=0,"",INDEX(Data!$W$2051:$W$2550,$M361))</f>
        <v/>
      </c>
      <c r="B361" s="138" t="str">
        <f ca="1">IF($M361=0,"",INDEX(Data!$B$2051:$B$2550,$M361))</f>
        <v/>
      </c>
      <c r="C361" s="141" t="str">
        <f ca="1">IF($M361=0,"",INDEX(Data!$C$2051:$C$2550,$M361))</f>
        <v/>
      </c>
      <c r="D361" s="141" t="str">
        <f ca="1">IF($M361=0,"",INDEX(Data!$D$2051:$D$2550,$M361))</f>
        <v/>
      </c>
      <c r="E361" s="142" t="str">
        <f ca="1">IF($M361=0,"",INDEX(Data!$G$2051:$G$2550,$M361))</f>
        <v/>
      </c>
      <c r="F361" s="141" t="str">
        <f ca="1">IF($M361=0,"",INDEX(Data!$F$2051:$F$2550,$M361))</f>
        <v/>
      </c>
      <c r="G361" s="143" t="str">
        <f ca="1">IF($M361=0,"",INDEX(Data!$K$2051:$K$2550,$M361))</f>
        <v/>
      </c>
      <c r="H361" s="141" t="str">
        <f ca="1">IF($M361=0,"",INDEX(Data!$L$2051:$L$2550,$M361))</f>
        <v/>
      </c>
      <c r="I361" s="144" t="str">
        <f ca="1">IF($M361=0,"",INDEX(Data!$T$2051:$T$2550,$M361))</f>
        <v/>
      </c>
      <c r="J361" s="141" t="str">
        <f ca="1">IF($M361=0,"",INDEX(Data!$U$2051:$U$2550,$M361))</f>
        <v/>
      </c>
      <c r="K361" s="141" t="str">
        <f ca="1">IF($M361=0,"",INDEX(Data!$AA$2051:$AA$2550,$M361))</f>
        <v/>
      </c>
      <c r="L361" s="141" t="str">
        <f ca="1">IF($M361=0,"",IF(INDEX(Data!$AN$2051:$AN$2550,$M361)=0,"",IF(INDEX(Data!$U$41:$U$540,INDEX(Data!$AN$2051:$AN$2550,$M361))="","",INDEX(Data!$U$41:$U$540,INDEX(Data!$AN$2051:$AN$2550,$M361)))))</f>
        <v/>
      </c>
      <c r="M361" s="132">
        <f ca="1">IF(COUNTIFS(Data!$AV$2051:$AV$2550,349)=1,MATCH(349,Data!$AV$2051:$AV$2550,0),0)</f>
        <v>0</v>
      </c>
      <c r="N361" s="145" t="str">
        <f ca="1">IF($M361=0,"",IF(INDEX(Data!$I$2051:$I$2550,$M361)=0,"Add ID","Row "&amp;(INDEX(Data!$I$2051:$I$2550,$M361)+7)))</f>
        <v/>
      </c>
    </row>
    <row r="362" spans="1:14" ht="40" customHeight="1">
      <c r="A362" s="136" t="str">
        <f ca="1">IF($M362=0,"",INDEX(Data!$W$2051:$W$2550,$M362))</f>
        <v/>
      </c>
      <c r="B362" s="139" t="str">
        <f ca="1">IF($M362=0,"",INDEX(Data!$B$2051:$B$2550,$M362))</f>
        <v/>
      </c>
      <c r="C362" s="146" t="str">
        <f ca="1">IF($M362=0,"",INDEX(Data!$C$2051:$C$2550,$M362))</f>
        <v/>
      </c>
      <c r="D362" s="146" t="str">
        <f ca="1">IF($M362=0,"",INDEX(Data!$D$2051:$D$2550,$M362))</f>
        <v/>
      </c>
      <c r="E362" s="147" t="str">
        <f ca="1">IF($M362=0,"",INDEX(Data!$G$2051:$G$2550,$M362))</f>
        <v/>
      </c>
      <c r="F362" s="146" t="str">
        <f ca="1">IF($M362=0,"",INDEX(Data!$F$2051:$F$2550,$M362))</f>
        <v/>
      </c>
      <c r="G362" s="148" t="str">
        <f ca="1">IF($M362=0,"",INDEX(Data!$K$2051:$K$2550,$M362))</f>
        <v/>
      </c>
      <c r="H362" s="146" t="str">
        <f ca="1">IF($M362=0,"",INDEX(Data!$L$2051:$L$2550,$M362))</f>
        <v/>
      </c>
      <c r="I362" s="149" t="str">
        <f ca="1">IF($M362=0,"",INDEX(Data!$T$2051:$T$2550,$M362))</f>
        <v/>
      </c>
      <c r="J362" s="146" t="str">
        <f ca="1">IF($M362=0,"",INDEX(Data!$U$2051:$U$2550,$M362))</f>
        <v/>
      </c>
      <c r="K362" s="146" t="str">
        <f ca="1">IF($M362=0,"",INDEX(Data!$AA$2051:$AA$2550,$M362))</f>
        <v/>
      </c>
      <c r="L362" s="146" t="str">
        <f ca="1">IF($M362=0,"",IF(INDEX(Data!$AN$2051:$AN$2550,$M362)=0,"",IF(INDEX(Data!$U$41:$U$540,INDEX(Data!$AN$2051:$AN$2550,$M362))="","",INDEX(Data!$U$41:$U$540,INDEX(Data!$AN$2051:$AN$2550,$M362)))))</f>
        <v/>
      </c>
      <c r="M362" s="132">
        <f ca="1">IF(COUNTIFS(Data!$AV$2051:$AV$2550,350)=1,MATCH(350,Data!$AV$2051:$AV$2550,0),0)</f>
        <v>0</v>
      </c>
      <c r="N362" s="150" t="str">
        <f ca="1">IF($M362=0,"",IF(INDEX(Data!$I$2051:$I$2550,$M362)=0,"Add ID","Row "&amp;(INDEX(Data!$I$2051:$I$2550,$M362)+7)))</f>
        <v/>
      </c>
    </row>
    <row r="363" spans="1:14" ht="40" customHeight="1">
      <c r="A363" s="135" t="str">
        <f ca="1">IF($M363=0,"",INDEX(Data!$W$2051:$W$2550,$M363))</f>
        <v/>
      </c>
      <c r="B363" s="138" t="str">
        <f ca="1">IF($M363=0,"",INDEX(Data!$B$2051:$B$2550,$M363))</f>
        <v/>
      </c>
      <c r="C363" s="141" t="str">
        <f ca="1">IF($M363=0,"",INDEX(Data!$C$2051:$C$2550,$M363))</f>
        <v/>
      </c>
      <c r="D363" s="141" t="str">
        <f ca="1">IF($M363=0,"",INDEX(Data!$D$2051:$D$2550,$M363))</f>
        <v/>
      </c>
      <c r="E363" s="142" t="str">
        <f ca="1">IF($M363=0,"",INDEX(Data!$G$2051:$G$2550,$M363))</f>
        <v/>
      </c>
      <c r="F363" s="141" t="str">
        <f ca="1">IF($M363=0,"",INDEX(Data!$F$2051:$F$2550,$M363))</f>
        <v/>
      </c>
      <c r="G363" s="143" t="str">
        <f ca="1">IF($M363=0,"",INDEX(Data!$K$2051:$K$2550,$M363))</f>
        <v/>
      </c>
      <c r="H363" s="141" t="str">
        <f ca="1">IF($M363=0,"",INDEX(Data!$L$2051:$L$2550,$M363))</f>
        <v/>
      </c>
      <c r="I363" s="144" t="str">
        <f ca="1">IF($M363=0,"",INDEX(Data!$T$2051:$T$2550,$M363))</f>
        <v/>
      </c>
      <c r="J363" s="141" t="str">
        <f ca="1">IF($M363=0,"",INDEX(Data!$U$2051:$U$2550,$M363))</f>
        <v/>
      </c>
      <c r="K363" s="141" t="str">
        <f ca="1">IF($M363=0,"",INDEX(Data!$AA$2051:$AA$2550,$M363))</f>
        <v/>
      </c>
      <c r="L363" s="141" t="str">
        <f ca="1">IF($M363=0,"",IF(INDEX(Data!$AN$2051:$AN$2550,$M363)=0,"",IF(INDEX(Data!$U$41:$U$540,INDEX(Data!$AN$2051:$AN$2550,$M363))="","",INDEX(Data!$U$41:$U$540,INDEX(Data!$AN$2051:$AN$2550,$M363)))))</f>
        <v/>
      </c>
      <c r="M363" s="132">
        <f ca="1">IF(COUNTIFS(Data!$AV$2051:$AV$2550,351)=1,MATCH(351,Data!$AV$2051:$AV$2550,0),0)</f>
        <v>0</v>
      </c>
      <c r="N363" s="145" t="str">
        <f ca="1">IF($M363=0,"",IF(INDEX(Data!$I$2051:$I$2550,$M363)=0,"Add ID","Row "&amp;(INDEX(Data!$I$2051:$I$2550,$M363)+7)))</f>
        <v/>
      </c>
    </row>
    <row r="364" spans="1:14" ht="40" customHeight="1">
      <c r="A364" s="136" t="str">
        <f ca="1">IF($M364=0,"",INDEX(Data!$W$2051:$W$2550,$M364))</f>
        <v/>
      </c>
      <c r="B364" s="139" t="str">
        <f ca="1">IF($M364=0,"",INDEX(Data!$B$2051:$B$2550,$M364))</f>
        <v/>
      </c>
      <c r="C364" s="146" t="str">
        <f ca="1">IF($M364=0,"",INDEX(Data!$C$2051:$C$2550,$M364))</f>
        <v/>
      </c>
      <c r="D364" s="146" t="str">
        <f ca="1">IF($M364=0,"",INDEX(Data!$D$2051:$D$2550,$M364))</f>
        <v/>
      </c>
      <c r="E364" s="147" t="str">
        <f ca="1">IF($M364=0,"",INDEX(Data!$G$2051:$G$2550,$M364))</f>
        <v/>
      </c>
      <c r="F364" s="146" t="str">
        <f ca="1">IF($M364=0,"",INDEX(Data!$F$2051:$F$2550,$M364))</f>
        <v/>
      </c>
      <c r="G364" s="148" t="str">
        <f ca="1">IF($M364=0,"",INDEX(Data!$K$2051:$K$2550,$M364))</f>
        <v/>
      </c>
      <c r="H364" s="146" t="str">
        <f ca="1">IF($M364=0,"",INDEX(Data!$L$2051:$L$2550,$M364))</f>
        <v/>
      </c>
      <c r="I364" s="149" t="str">
        <f ca="1">IF($M364=0,"",INDEX(Data!$T$2051:$T$2550,$M364))</f>
        <v/>
      </c>
      <c r="J364" s="146" t="str">
        <f ca="1">IF($M364=0,"",INDEX(Data!$U$2051:$U$2550,$M364))</f>
        <v/>
      </c>
      <c r="K364" s="146" t="str">
        <f ca="1">IF($M364=0,"",INDEX(Data!$AA$2051:$AA$2550,$M364))</f>
        <v/>
      </c>
      <c r="L364" s="146" t="str">
        <f ca="1">IF($M364=0,"",IF(INDEX(Data!$AN$2051:$AN$2550,$M364)=0,"",IF(INDEX(Data!$U$41:$U$540,INDEX(Data!$AN$2051:$AN$2550,$M364))="","",INDEX(Data!$U$41:$U$540,INDEX(Data!$AN$2051:$AN$2550,$M364)))))</f>
        <v/>
      </c>
      <c r="M364" s="132">
        <f ca="1">IF(COUNTIFS(Data!$AV$2051:$AV$2550,352)=1,MATCH(352,Data!$AV$2051:$AV$2550,0),0)</f>
        <v>0</v>
      </c>
      <c r="N364" s="150" t="str">
        <f ca="1">IF($M364=0,"",IF(INDEX(Data!$I$2051:$I$2550,$M364)=0,"Add ID","Row "&amp;(INDEX(Data!$I$2051:$I$2550,$M364)+7)))</f>
        <v/>
      </c>
    </row>
    <row r="365" spans="1:14" ht="40" customHeight="1">
      <c r="A365" s="135" t="str">
        <f ca="1">IF($M365=0,"",INDEX(Data!$W$2051:$W$2550,$M365))</f>
        <v/>
      </c>
      <c r="B365" s="138" t="str">
        <f ca="1">IF($M365=0,"",INDEX(Data!$B$2051:$B$2550,$M365))</f>
        <v/>
      </c>
      <c r="C365" s="141" t="str">
        <f ca="1">IF($M365=0,"",INDEX(Data!$C$2051:$C$2550,$M365))</f>
        <v/>
      </c>
      <c r="D365" s="141" t="str">
        <f ca="1">IF($M365=0,"",INDEX(Data!$D$2051:$D$2550,$M365))</f>
        <v/>
      </c>
      <c r="E365" s="142" t="str">
        <f ca="1">IF($M365=0,"",INDEX(Data!$G$2051:$G$2550,$M365))</f>
        <v/>
      </c>
      <c r="F365" s="141" t="str">
        <f ca="1">IF($M365=0,"",INDEX(Data!$F$2051:$F$2550,$M365))</f>
        <v/>
      </c>
      <c r="G365" s="143" t="str">
        <f ca="1">IF($M365=0,"",INDEX(Data!$K$2051:$K$2550,$M365))</f>
        <v/>
      </c>
      <c r="H365" s="141" t="str">
        <f ca="1">IF($M365=0,"",INDEX(Data!$L$2051:$L$2550,$M365))</f>
        <v/>
      </c>
      <c r="I365" s="144" t="str">
        <f ca="1">IF($M365=0,"",INDEX(Data!$T$2051:$T$2550,$M365))</f>
        <v/>
      </c>
      <c r="J365" s="141" t="str">
        <f ca="1">IF($M365=0,"",INDEX(Data!$U$2051:$U$2550,$M365))</f>
        <v/>
      </c>
      <c r="K365" s="141" t="str">
        <f ca="1">IF($M365=0,"",INDEX(Data!$AA$2051:$AA$2550,$M365))</f>
        <v/>
      </c>
      <c r="L365" s="141" t="str">
        <f ca="1">IF($M365=0,"",IF(INDEX(Data!$AN$2051:$AN$2550,$M365)=0,"",IF(INDEX(Data!$U$41:$U$540,INDEX(Data!$AN$2051:$AN$2550,$M365))="","",INDEX(Data!$U$41:$U$540,INDEX(Data!$AN$2051:$AN$2550,$M365)))))</f>
        <v/>
      </c>
      <c r="M365" s="132">
        <f ca="1">IF(COUNTIFS(Data!$AV$2051:$AV$2550,353)=1,MATCH(353,Data!$AV$2051:$AV$2550,0),0)</f>
        <v>0</v>
      </c>
      <c r="N365" s="145" t="str">
        <f ca="1">IF($M365=0,"",IF(INDEX(Data!$I$2051:$I$2550,$M365)=0,"Add ID","Row "&amp;(INDEX(Data!$I$2051:$I$2550,$M365)+7)))</f>
        <v/>
      </c>
    </row>
    <row r="366" spans="1:14" ht="40" customHeight="1">
      <c r="A366" s="136" t="str">
        <f ca="1">IF($M366=0,"",INDEX(Data!$W$2051:$W$2550,$M366))</f>
        <v/>
      </c>
      <c r="B366" s="139" t="str">
        <f ca="1">IF($M366=0,"",INDEX(Data!$B$2051:$B$2550,$M366))</f>
        <v/>
      </c>
      <c r="C366" s="146" t="str">
        <f ca="1">IF($M366=0,"",INDEX(Data!$C$2051:$C$2550,$M366))</f>
        <v/>
      </c>
      <c r="D366" s="146" t="str">
        <f ca="1">IF($M366=0,"",INDEX(Data!$D$2051:$D$2550,$M366))</f>
        <v/>
      </c>
      <c r="E366" s="147" t="str">
        <f ca="1">IF($M366=0,"",INDEX(Data!$G$2051:$G$2550,$M366))</f>
        <v/>
      </c>
      <c r="F366" s="146" t="str">
        <f ca="1">IF($M366=0,"",INDEX(Data!$F$2051:$F$2550,$M366))</f>
        <v/>
      </c>
      <c r="G366" s="148" t="str">
        <f ca="1">IF($M366=0,"",INDEX(Data!$K$2051:$K$2550,$M366))</f>
        <v/>
      </c>
      <c r="H366" s="146" t="str">
        <f ca="1">IF($M366=0,"",INDEX(Data!$L$2051:$L$2550,$M366))</f>
        <v/>
      </c>
      <c r="I366" s="149" t="str">
        <f ca="1">IF($M366=0,"",INDEX(Data!$T$2051:$T$2550,$M366))</f>
        <v/>
      </c>
      <c r="J366" s="146" t="str">
        <f ca="1">IF($M366=0,"",INDEX(Data!$U$2051:$U$2550,$M366))</f>
        <v/>
      </c>
      <c r="K366" s="146" t="str">
        <f ca="1">IF($M366=0,"",INDEX(Data!$AA$2051:$AA$2550,$M366))</f>
        <v/>
      </c>
      <c r="L366" s="146" t="str">
        <f ca="1">IF($M366=0,"",IF(INDEX(Data!$AN$2051:$AN$2550,$M366)=0,"",IF(INDEX(Data!$U$41:$U$540,INDEX(Data!$AN$2051:$AN$2550,$M366))="","",INDEX(Data!$U$41:$U$540,INDEX(Data!$AN$2051:$AN$2550,$M366)))))</f>
        <v/>
      </c>
      <c r="M366" s="132">
        <f ca="1">IF(COUNTIFS(Data!$AV$2051:$AV$2550,354)=1,MATCH(354,Data!$AV$2051:$AV$2550,0),0)</f>
        <v>0</v>
      </c>
      <c r="N366" s="150" t="str">
        <f ca="1">IF($M366=0,"",IF(INDEX(Data!$I$2051:$I$2550,$M366)=0,"Add ID","Row "&amp;(INDEX(Data!$I$2051:$I$2550,$M366)+7)))</f>
        <v/>
      </c>
    </row>
    <row r="367" spans="1:14" ht="40" customHeight="1">
      <c r="A367" s="135" t="str">
        <f ca="1">IF($M367=0,"",INDEX(Data!$W$2051:$W$2550,$M367))</f>
        <v/>
      </c>
      <c r="B367" s="138" t="str">
        <f ca="1">IF($M367=0,"",INDEX(Data!$B$2051:$B$2550,$M367))</f>
        <v/>
      </c>
      <c r="C367" s="141" t="str">
        <f ca="1">IF($M367=0,"",INDEX(Data!$C$2051:$C$2550,$M367))</f>
        <v/>
      </c>
      <c r="D367" s="141" t="str">
        <f ca="1">IF($M367=0,"",INDEX(Data!$D$2051:$D$2550,$M367))</f>
        <v/>
      </c>
      <c r="E367" s="142" t="str">
        <f ca="1">IF($M367=0,"",INDEX(Data!$G$2051:$G$2550,$M367))</f>
        <v/>
      </c>
      <c r="F367" s="141" t="str">
        <f ca="1">IF($M367=0,"",INDEX(Data!$F$2051:$F$2550,$M367))</f>
        <v/>
      </c>
      <c r="G367" s="143" t="str">
        <f ca="1">IF($M367=0,"",INDEX(Data!$K$2051:$K$2550,$M367))</f>
        <v/>
      </c>
      <c r="H367" s="141" t="str">
        <f ca="1">IF($M367=0,"",INDEX(Data!$L$2051:$L$2550,$M367))</f>
        <v/>
      </c>
      <c r="I367" s="144" t="str">
        <f ca="1">IF($M367=0,"",INDEX(Data!$T$2051:$T$2550,$M367))</f>
        <v/>
      </c>
      <c r="J367" s="141" t="str">
        <f ca="1">IF($M367=0,"",INDEX(Data!$U$2051:$U$2550,$M367))</f>
        <v/>
      </c>
      <c r="K367" s="141" t="str">
        <f ca="1">IF($M367=0,"",INDEX(Data!$AA$2051:$AA$2550,$M367))</f>
        <v/>
      </c>
      <c r="L367" s="141" t="str">
        <f ca="1">IF($M367=0,"",IF(INDEX(Data!$AN$2051:$AN$2550,$M367)=0,"",IF(INDEX(Data!$U$41:$U$540,INDEX(Data!$AN$2051:$AN$2550,$M367))="","",INDEX(Data!$U$41:$U$540,INDEX(Data!$AN$2051:$AN$2550,$M367)))))</f>
        <v/>
      </c>
      <c r="M367" s="132">
        <f ca="1">IF(COUNTIFS(Data!$AV$2051:$AV$2550,355)=1,MATCH(355,Data!$AV$2051:$AV$2550,0),0)</f>
        <v>0</v>
      </c>
      <c r="N367" s="145" t="str">
        <f ca="1">IF($M367=0,"",IF(INDEX(Data!$I$2051:$I$2550,$M367)=0,"Add ID","Row "&amp;(INDEX(Data!$I$2051:$I$2550,$M367)+7)))</f>
        <v/>
      </c>
    </row>
    <row r="368" spans="1:14" ht="40" customHeight="1">
      <c r="A368" s="136" t="str">
        <f ca="1">IF($M368=0,"",INDEX(Data!$W$2051:$W$2550,$M368))</f>
        <v/>
      </c>
      <c r="B368" s="139" t="str">
        <f ca="1">IF($M368=0,"",INDEX(Data!$B$2051:$B$2550,$M368))</f>
        <v/>
      </c>
      <c r="C368" s="146" t="str">
        <f ca="1">IF($M368=0,"",INDEX(Data!$C$2051:$C$2550,$M368))</f>
        <v/>
      </c>
      <c r="D368" s="146" t="str">
        <f ca="1">IF($M368=0,"",INDEX(Data!$D$2051:$D$2550,$M368))</f>
        <v/>
      </c>
      <c r="E368" s="147" t="str">
        <f ca="1">IF($M368=0,"",INDEX(Data!$G$2051:$G$2550,$M368))</f>
        <v/>
      </c>
      <c r="F368" s="146" t="str">
        <f ca="1">IF($M368=0,"",INDEX(Data!$F$2051:$F$2550,$M368))</f>
        <v/>
      </c>
      <c r="G368" s="148" t="str">
        <f ca="1">IF($M368=0,"",INDEX(Data!$K$2051:$K$2550,$M368))</f>
        <v/>
      </c>
      <c r="H368" s="146" t="str">
        <f ca="1">IF($M368=0,"",INDEX(Data!$L$2051:$L$2550,$M368))</f>
        <v/>
      </c>
      <c r="I368" s="149" t="str">
        <f ca="1">IF($M368=0,"",INDEX(Data!$T$2051:$T$2550,$M368))</f>
        <v/>
      </c>
      <c r="J368" s="146" t="str">
        <f ca="1">IF($M368=0,"",INDEX(Data!$U$2051:$U$2550,$M368))</f>
        <v/>
      </c>
      <c r="K368" s="146" t="str">
        <f ca="1">IF($M368=0,"",INDEX(Data!$AA$2051:$AA$2550,$M368))</f>
        <v/>
      </c>
      <c r="L368" s="146" t="str">
        <f ca="1">IF($M368=0,"",IF(INDEX(Data!$AN$2051:$AN$2550,$M368)=0,"",IF(INDEX(Data!$U$41:$U$540,INDEX(Data!$AN$2051:$AN$2550,$M368))="","",INDEX(Data!$U$41:$U$540,INDEX(Data!$AN$2051:$AN$2550,$M368)))))</f>
        <v/>
      </c>
      <c r="M368" s="132">
        <f ca="1">IF(COUNTIFS(Data!$AV$2051:$AV$2550,356)=1,MATCH(356,Data!$AV$2051:$AV$2550,0),0)</f>
        <v>0</v>
      </c>
      <c r="N368" s="150" t="str">
        <f ca="1">IF($M368=0,"",IF(INDEX(Data!$I$2051:$I$2550,$M368)=0,"Add ID","Row "&amp;(INDEX(Data!$I$2051:$I$2550,$M368)+7)))</f>
        <v/>
      </c>
    </row>
    <row r="369" spans="1:14" ht="40" customHeight="1">
      <c r="A369" s="135" t="str">
        <f ca="1">IF($M369=0,"",INDEX(Data!$W$2051:$W$2550,$M369))</f>
        <v/>
      </c>
      <c r="B369" s="138" t="str">
        <f ca="1">IF($M369=0,"",INDEX(Data!$B$2051:$B$2550,$M369))</f>
        <v/>
      </c>
      <c r="C369" s="141" t="str">
        <f ca="1">IF($M369=0,"",INDEX(Data!$C$2051:$C$2550,$M369))</f>
        <v/>
      </c>
      <c r="D369" s="141" t="str">
        <f ca="1">IF($M369=0,"",INDEX(Data!$D$2051:$D$2550,$M369))</f>
        <v/>
      </c>
      <c r="E369" s="142" t="str">
        <f ca="1">IF($M369=0,"",INDEX(Data!$G$2051:$G$2550,$M369))</f>
        <v/>
      </c>
      <c r="F369" s="141" t="str">
        <f ca="1">IF($M369=0,"",INDEX(Data!$F$2051:$F$2550,$M369))</f>
        <v/>
      </c>
      <c r="G369" s="143" t="str">
        <f ca="1">IF($M369=0,"",INDEX(Data!$K$2051:$K$2550,$M369))</f>
        <v/>
      </c>
      <c r="H369" s="141" t="str">
        <f ca="1">IF($M369=0,"",INDEX(Data!$L$2051:$L$2550,$M369))</f>
        <v/>
      </c>
      <c r="I369" s="144" t="str">
        <f ca="1">IF($M369=0,"",INDEX(Data!$T$2051:$T$2550,$M369))</f>
        <v/>
      </c>
      <c r="J369" s="141" t="str">
        <f ca="1">IF($M369=0,"",INDEX(Data!$U$2051:$U$2550,$M369))</f>
        <v/>
      </c>
      <c r="K369" s="141" t="str">
        <f ca="1">IF($M369=0,"",INDEX(Data!$AA$2051:$AA$2550,$M369))</f>
        <v/>
      </c>
      <c r="L369" s="141" t="str">
        <f ca="1">IF($M369=0,"",IF(INDEX(Data!$AN$2051:$AN$2550,$M369)=0,"",IF(INDEX(Data!$U$41:$U$540,INDEX(Data!$AN$2051:$AN$2550,$M369))="","",INDEX(Data!$U$41:$U$540,INDEX(Data!$AN$2051:$AN$2550,$M369)))))</f>
        <v/>
      </c>
      <c r="M369" s="132">
        <f ca="1">IF(COUNTIFS(Data!$AV$2051:$AV$2550,357)=1,MATCH(357,Data!$AV$2051:$AV$2550,0),0)</f>
        <v>0</v>
      </c>
      <c r="N369" s="145" t="str">
        <f ca="1">IF($M369=0,"",IF(INDEX(Data!$I$2051:$I$2550,$M369)=0,"Add ID","Row "&amp;(INDEX(Data!$I$2051:$I$2550,$M369)+7)))</f>
        <v/>
      </c>
    </row>
    <row r="370" spans="1:14" ht="40" customHeight="1">
      <c r="A370" s="136" t="str">
        <f ca="1">IF($M370=0,"",INDEX(Data!$W$2051:$W$2550,$M370))</f>
        <v/>
      </c>
      <c r="B370" s="139" t="str">
        <f ca="1">IF($M370=0,"",INDEX(Data!$B$2051:$B$2550,$M370))</f>
        <v/>
      </c>
      <c r="C370" s="146" t="str">
        <f ca="1">IF($M370=0,"",INDEX(Data!$C$2051:$C$2550,$M370))</f>
        <v/>
      </c>
      <c r="D370" s="146" t="str">
        <f ca="1">IF($M370=0,"",INDEX(Data!$D$2051:$D$2550,$M370))</f>
        <v/>
      </c>
      <c r="E370" s="147" t="str">
        <f ca="1">IF($M370=0,"",INDEX(Data!$G$2051:$G$2550,$M370))</f>
        <v/>
      </c>
      <c r="F370" s="146" t="str">
        <f ca="1">IF($M370=0,"",INDEX(Data!$F$2051:$F$2550,$M370))</f>
        <v/>
      </c>
      <c r="G370" s="148" t="str">
        <f ca="1">IF($M370=0,"",INDEX(Data!$K$2051:$K$2550,$M370))</f>
        <v/>
      </c>
      <c r="H370" s="146" t="str">
        <f ca="1">IF($M370=0,"",INDEX(Data!$L$2051:$L$2550,$M370))</f>
        <v/>
      </c>
      <c r="I370" s="149" t="str">
        <f ca="1">IF($M370=0,"",INDEX(Data!$T$2051:$T$2550,$M370))</f>
        <v/>
      </c>
      <c r="J370" s="146" t="str">
        <f ca="1">IF($M370=0,"",INDEX(Data!$U$2051:$U$2550,$M370))</f>
        <v/>
      </c>
      <c r="K370" s="146" t="str">
        <f ca="1">IF($M370=0,"",INDEX(Data!$AA$2051:$AA$2550,$M370))</f>
        <v/>
      </c>
      <c r="L370" s="146" t="str">
        <f ca="1">IF($M370=0,"",IF(INDEX(Data!$AN$2051:$AN$2550,$M370)=0,"",IF(INDEX(Data!$U$41:$U$540,INDEX(Data!$AN$2051:$AN$2550,$M370))="","",INDEX(Data!$U$41:$U$540,INDEX(Data!$AN$2051:$AN$2550,$M370)))))</f>
        <v/>
      </c>
      <c r="M370" s="132">
        <f ca="1">IF(COUNTIFS(Data!$AV$2051:$AV$2550,358)=1,MATCH(358,Data!$AV$2051:$AV$2550,0),0)</f>
        <v>0</v>
      </c>
      <c r="N370" s="150" t="str">
        <f ca="1">IF($M370=0,"",IF(INDEX(Data!$I$2051:$I$2550,$M370)=0,"Add ID","Row "&amp;(INDEX(Data!$I$2051:$I$2550,$M370)+7)))</f>
        <v/>
      </c>
    </row>
    <row r="371" spans="1:14" ht="40" customHeight="1">
      <c r="A371" s="135" t="str">
        <f ca="1">IF($M371=0,"",INDEX(Data!$W$2051:$W$2550,$M371))</f>
        <v/>
      </c>
      <c r="B371" s="138" t="str">
        <f ca="1">IF($M371=0,"",INDEX(Data!$B$2051:$B$2550,$M371))</f>
        <v/>
      </c>
      <c r="C371" s="141" t="str">
        <f ca="1">IF($M371=0,"",INDEX(Data!$C$2051:$C$2550,$M371))</f>
        <v/>
      </c>
      <c r="D371" s="141" t="str">
        <f ca="1">IF($M371=0,"",INDEX(Data!$D$2051:$D$2550,$M371))</f>
        <v/>
      </c>
      <c r="E371" s="142" t="str">
        <f ca="1">IF($M371=0,"",INDEX(Data!$G$2051:$G$2550,$M371))</f>
        <v/>
      </c>
      <c r="F371" s="141" t="str">
        <f ca="1">IF($M371=0,"",INDEX(Data!$F$2051:$F$2550,$M371))</f>
        <v/>
      </c>
      <c r="G371" s="143" t="str">
        <f ca="1">IF($M371=0,"",INDEX(Data!$K$2051:$K$2550,$M371))</f>
        <v/>
      </c>
      <c r="H371" s="141" t="str">
        <f ca="1">IF($M371=0,"",INDEX(Data!$L$2051:$L$2550,$M371))</f>
        <v/>
      </c>
      <c r="I371" s="144" t="str">
        <f ca="1">IF($M371=0,"",INDEX(Data!$T$2051:$T$2550,$M371))</f>
        <v/>
      </c>
      <c r="J371" s="141" t="str">
        <f ca="1">IF($M371=0,"",INDEX(Data!$U$2051:$U$2550,$M371))</f>
        <v/>
      </c>
      <c r="K371" s="141" t="str">
        <f ca="1">IF($M371=0,"",INDEX(Data!$AA$2051:$AA$2550,$M371))</f>
        <v/>
      </c>
      <c r="L371" s="141" t="str">
        <f ca="1">IF($M371=0,"",IF(INDEX(Data!$AN$2051:$AN$2550,$M371)=0,"",IF(INDEX(Data!$U$41:$U$540,INDEX(Data!$AN$2051:$AN$2550,$M371))="","",INDEX(Data!$U$41:$U$540,INDEX(Data!$AN$2051:$AN$2550,$M371)))))</f>
        <v/>
      </c>
      <c r="M371" s="132">
        <f ca="1">IF(COUNTIFS(Data!$AV$2051:$AV$2550,359)=1,MATCH(359,Data!$AV$2051:$AV$2550,0),0)</f>
        <v>0</v>
      </c>
      <c r="N371" s="145" t="str">
        <f ca="1">IF($M371=0,"",IF(INDEX(Data!$I$2051:$I$2550,$M371)=0,"Add ID","Row "&amp;(INDEX(Data!$I$2051:$I$2550,$M371)+7)))</f>
        <v/>
      </c>
    </row>
    <row r="372" spans="1:14" ht="40" customHeight="1">
      <c r="A372" s="136" t="str">
        <f ca="1">IF($M372=0,"",INDEX(Data!$W$2051:$W$2550,$M372))</f>
        <v/>
      </c>
      <c r="B372" s="139" t="str">
        <f ca="1">IF($M372=0,"",INDEX(Data!$B$2051:$B$2550,$M372))</f>
        <v/>
      </c>
      <c r="C372" s="146" t="str">
        <f ca="1">IF($M372=0,"",INDEX(Data!$C$2051:$C$2550,$M372))</f>
        <v/>
      </c>
      <c r="D372" s="146" t="str">
        <f ca="1">IF($M372=0,"",INDEX(Data!$D$2051:$D$2550,$M372))</f>
        <v/>
      </c>
      <c r="E372" s="147" t="str">
        <f ca="1">IF($M372=0,"",INDEX(Data!$G$2051:$G$2550,$M372))</f>
        <v/>
      </c>
      <c r="F372" s="146" t="str">
        <f ca="1">IF($M372=0,"",INDEX(Data!$F$2051:$F$2550,$M372))</f>
        <v/>
      </c>
      <c r="G372" s="148" t="str">
        <f ca="1">IF($M372=0,"",INDEX(Data!$K$2051:$K$2550,$M372))</f>
        <v/>
      </c>
      <c r="H372" s="146" t="str">
        <f ca="1">IF($M372=0,"",INDEX(Data!$L$2051:$L$2550,$M372))</f>
        <v/>
      </c>
      <c r="I372" s="149" t="str">
        <f ca="1">IF($M372=0,"",INDEX(Data!$T$2051:$T$2550,$M372))</f>
        <v/>
      </c>
      <c r="J372" s="146" t="str">
        <f ca="1">IF($M372=0,"",INDEX(Data!$U$2051:$U$2550,$M372))</f>
        <v/>
      </c>
      <c r="K372" s="146" t="str">
        <f ca="1">IF($M372=0,"",INDEX(Data!$AA$2051:$AA$2550,$M372))</f>
        <v/>
      </c>
      <c r="L372" s="146" t="str">
        <f ca="1">IF($M372=0,"",IF(INDEX(Data!$AN$2051:$AN$2550,$M372)=0,"",IF(INDEX(Data!$U$41:$U$540,INDEX(Data!$AN$2051:$AN$2550,$M372))="","",INDEX(Data!$U$41:$U$540,INDEX(Data!$AN$2051:$AN$2550,$M372)))))</f>
        <v/>
      </c>
      <c r="M372" s="132">
        <f ca="1">IF(COUNTIFS(Data!$AV$2051:$AV$2550,360)=1,MATCH(360,Data!$AV$2051:$AV$2550,0),0)</f>
        <v>0</v>
      </c>
      <c r="N372" s="150" t="str">
        <f ca="1">IF($M372=0,"",IF(INDEX(Data!$I$2051:$I$2550,$M372)=0,"Add ID","Row "&amp;(INDEX(Data!$I$2051:$I$2550,$M372)+7)))</f>
        <v/>
      </c>
    </row>
    <row r="373" spans="1:14" ht="40" customHeight="1">
      <c r="A373" s="135" t="str">
        <f ca="1">IF($M373=0,"",INDEX(Data!$W$2051:$W$2550,$M373))</f>
        <v/>
      </c>
      <c r="B373" s="138" t="str">
        <f ca="1">IF($M373=0,"",INDEX(Data!$B$2051:$B$2550,$M373))</f>
        <v/>
      </c>
      <c r="C373" s="141" t="str">
        <f ca="1">IF($M373=0,"",INDEX(Data!$C$2051:$C$2550,$M373))</f>
        <v/>
      </c>
      <c r="D373" s="141" t="str">
        <f ca="1">IF($M373=0,"",INDEX(Data!$D$2051:$D$2550,$M373))</f>
        <v/>
      </c>
      <c r="E373" s="142" t="str">
        <f ca="1">IF($M373=0,"",INDEX(Data!$G$2051:$G$2550,$M373))</f>
        <v/>
      </c>
      <c r="F373" s="141" t="str">
        <f ca="1">IF($M373=0,"",INDEX(Data!$F$2051:$F$2550,$M373))</f>
        <v/>
      </c>
      <c r="G373" s="143" t="str">
        <f ca="1">IF($M373=0,"",INDEX(Data!$K$2051:$K$2550,$M373))</f>
        <v/>
      </c>
      <c r="H373" s="141" t="str">
        <f ca="1">IF($M373=0,"",INDEX(Data!$L$2051:$L$2550,$M373))</f>
        <v/>
      </c>
      <c r="I373" s="144" t="str">
        <f ca="1">IF($M373=0,"",INDEX(Data!$T$2051:$T$2550,$M373))</f>
        <v/>
      </c>
      <c r="J373" s="141" t="str">
        <f ca="1">IF($M373=0,"",INDEX(Data!$U$2051:$U$2550,$M373))</f>
        <v/>
      </c>
      <c r="K373" s="141" t="str">
        <f ca="1">IF($M373=0,"",INDEX(Data!$AA$2051:$AA$2550,$M373))</f>
        <v/>
      </c>
      <c r="L373" s="141" t="str">
        <f ca="1">IF($M373=0,"",IF(INDEX(Data!$AN$2051:$AN$2550,$M373)=0,"",IF(INDEX(Data!$U$41:$U$540,INDEX(Data!$AN$2051:$AN$2550,$M373))="","",INDEX(Data!$U$41:$U$540,INDEX(Data!$AN$2051:$AN$2550,$M373)))))</f>
        <v/>
      </c>
      <c r="M373" s="132">
        <f ca="1">IF(COUNTIFS(Data!$AV$2051:$AV$2550,361)=1,MATCH(361,Data!$AV$2051:$AV$2550,0),0)</f>
        <v>0</v>
      </c>
      <c r="N373" s="145" t="str">
        <f ca="1">IF($M373=0,"",IF(INDEX(Data!$I$2051:$I$2550,$M373)=0,"Add ID","Row "&amp;(INDEX(Data!$I$2051:$I$2550,$M373)+7)))</f>
        <v/>
      </c>
    </row>
    <row r="374" spans="1:14" ht="40" customHeight="1">
      <c r="A374" s="136" t="str">
        <f ca="1">IF($M374=0,"",INDEX(Data!$W$2051:$W$2550,$M374))</f>
        <v/>
      </c>
      <c r="B374" s="139" t="str">
        <f ca="1">IF($M374=0,"",INDEX(Data!$B$2051:$B$2550,$M374))</f>
        <v/>
      </c>
      <c r="C374" s="146" t="str">
        <f ca="1">IF($M374=0,"",INDEX(Data!$C$2051:$C$2550,$M374))</f>
        <v/>
      </c>
      <c r="D374" s="146" t="str">
        <f ca="1">IF($M374=0,"",INDEX(Data!$D$2051:$D$2550,$M374))</f>
        <v/>
      </c>
      <c r="E374" s="147" t="str">
        <f ca="1">IF($M374=0,"",INDEX(Data!$G$2051:$G$2550,$M374))</f>
        <v/>
      </c>
      <c r="F374" s="146" t="str">
        <f ca="1">IF($M374=0,"",INDEX(Data!$F$2051:$F$2550,$M374))</f>
        <v/>
      </c>
      <c r="G374" s="148" t="str">
        <f ca="1">IF($M374=0,"",INDEX(Data!$K$2051:$K$2550,$M374))</f>
        <v/>
      </c>
      <c r="H374" s="146" t="str">
        <f ca="1">IF($M374=0,"",INDEX(Data!$L$2051:$L$2550,$M374))</f>
        <v/>
      </c>
      <c r="I374" s="149" t="str">
        <f ca="1">IF($M374=0,"",INDEX(Data!$T$2051:$T$2550,$M374))</f>
        <v/>
      </c>
      <c r="J374" s="146" t="str">
        <f ca="1">IF($M374=0,"",INDEX(Data!$U$2051:$U$2550,$M374))</f>
        <v/>
      </c>
      <c r="K374" s="146" t="str">
        <f ca="1">IF($M374=0,"",INDEX(Data!$AA$2051:$AA$2550,$M374))</f>
        <v/>
      </c>
      <c r="L374" s="146" t="str">
        <f ca="1">IF($M374=0,"",IF(INDEX(Data!$AN$2051:$AN$2550,$M374)=0,"",IF(INDEX(Data!$U$41:$U$540,INDEX(Data!$AN$2051:$AN$2550,$M374))="","",INDEX(Data!$U$41:$U$540,INDEX(Data!$AN$2051:$AN$2550,$M374)))))</f>
        <v/>
      </c>
      <c r="M374" s="132">
        <f ca="1">IF(COUNTIFS(Data!$AV$2051:$AV$2550,362)=1,MATCH(362,Data!$AV$2051:$AV$2550,0),0)</f>
        <v>0</v>
      </c>
      <c r="N374" s="150" t="str">
        <f ca="1">IF($M374=0,"",IF(INDEX(Data!$I$2051:$I$2550,$M374)=0,"Add ID","Row "&amp;(INDEX(Data!$I$2051:$I$2550,$M374)+7)))</f>
        <v/>
      </c>
    </row>
    <row r="375" spans="1:14" ht="40" customHeight="1">
      <c r="A375" s="135" t="str">
        <f ca="1">IF($M375=0,"",INDEX(Data!$W$2051:$W$2550,$M375))</f>
        <v/>
      </c>
      <c r="B375" s="138" t="str">
        <f ca="1">IF($M375=0,"",INDEX(Data!$B$2051:$B$2550,$M375))</f>
        <v/>
      </c>
      <c r="C375" s="141" t="str">
        <f ca="1">IF($M375=0,"",INDEX(Data!$C$2051:$C$2550,$M375))</f>
        <v/>
      </c>
      <c r="D375" s="141" t="str">
        <f ca="1">IF($M375=0,"",INDEX(Data!$D$2051:$D$2550,$M375))</f>
        <v/>
      </c>
      <c r="E375" s="142" t="str">
        <f ca="1">IF($M375=0,"",INDEX(Data!$G$2051:$G$2550,$M375))</f>
        <v/>
      </c>
      <c r="F375" s="141" t="str">
        <f ca="1">IF($M375=0,"",INDEX(Data!$F$2051:$F$2550,$M375))</f>
        <v/>
      </c>
      <c r="G375" s="143" t="str">
        <f ca="1">IF($M375=0,"",INDEX(Data!$K$2051:$K$2550,$M375))</f>
        <v/>
      </c>
      <c r="H375" s="141" t="str">
        <f ca="1">IF($M375=0,"",INDEX(Data!$L$2051:$L$2550,$M375))</f>
        <v/>
      </c>
      <c r="I375" s="144" t="str">
        <f ca="1">IF($M375=0,"",INDEX(Data!$T$2051:$T$2550,$M375))</f>
        <v/>
      </c>
      <c r="J375" s="141" t="str">
        <f ca="1">IF($M375=0,"",INDEX(Data!$U$2051:$U$2550,$M375))</f>
        <v/>
      </c>
      <c r="K375" s="141" t="str">
        <f ca="1">IF($M375=0,"",INDEX(Data!$AA$2051:$AA$2550,$M375))</f>
        <v/>
      </c>
      <c r="L375" s="141" t="str">
        <f ca="1">IF($M375=0,"",IF(INDEX(Data!$AN$2051:$AN$2550,$M375)=0,"",IF(INDEX(Data!$U$41:$U$540,INDEX(Data!$AN$2051:$AN$2550,$M375))="","",INDEX(Data!$U$41:$U$540,INDEX(Data!$AN$2051:$AN$2550,$M375)))))</f>
        <v/>
      </c>
      <c r="M375" s="132">
        <f ca="1">IF(COUNTIFS(Data!$AV$2051:$AV$2550,363)=1,MATCH(363,Data!$AV$2051:$AV$2550,0),0)</f>
        <v>0</v>
      </c>
      <c r="N375" s="145" t="str">
        <f ca="1">IF($M375=0,"",IF(INDEX(Data!$I$2051:$I$2550,$M375)=0,"Add ID","Row "&amp;(INDEX(Data!$I$2051:$I$2550,$M375)+7)))</f>
        <v/>
      </c>
    </row>
    <row r="376" spans="1:14" ht="40" customHeight="1">
      <c r="A376" s="136" t="str">
        <f ca="1">IF($M376=0,"",INDEX(Data!$W$2051:$W$2550,$M376))</f>
        <v/>
      </c>
      <c r="B376" s="139" t="str">
        <f ca="1">IF($M376=0,"",INDEX(Data!$B$2051:$B$2550,$M376))</f>
        <v/>
      </c>
      <c r="C376" s="146" t="str">
        <f ca="1">IF($M376=0,"",INDEX(Data!$C$2051:$C$2550,$M376))</f>
        <v/>
      </c>
      <c r="D376" s="146" t="str">
        <f ca="1">IF($M376=0,"",INDEX(Data!$D$2051:$D$2550,$M376))</f>
        <v/>
      </c>
      <c r="E376" s="147" t="str">
        <f ca="1">IF($M376=0,"",INDEX(Data!$G$2051:$G$2550,$M376))</f>
        <v/>
      </c>
      <c r="F376" s="146" t="str">
        <f ca="1">IF($M376=0,"",INDEX(Data!$F$2051:$F$2550,$M376))</f>
        <v/>
      </c>
      <c r="G376" s="148" t="str">
        <f ca="1">IF($M376=0,"",INDEX(Data!$K$2051:$K$2550,$M376))</f>
        <v/>
      </c>
      <c r="H376" s="146" t="str">
        <f ca="1">IF($M376=0,"",INDEX(Data!$L$2051:$L$2550,$M376))</f>
        <v/>
      </c>
      <c r="I376" s="149" t="str">
        <f ca="1">IF($M376=0,"",INDEX(Data!$T$2051:$T$2550,$M376))</f>
        <v/>
      </c>
      <c r="J376" s="146" t="str">
        <f ca="1">IF($M376=0,"",INDEX(Data!$U$2051:$U$2550,$M376))</f>
        <v/>
      </c>
      <c r="K376" s="146" t="str">
        <f ca="1">IF($M376=0,"",INDEX(Data!$AA$2051:$AA$2550,$M376))</f>
        <v/>
      </c>
      <c r="L376" s="146" t="str">
        <f ca="1">IF($M376=0,"",IF(INDEX(Data!$AN$2051:$AN$2550,$M376)=0,"",IF(INDEX(Data!$U$41:$U$540,INDEX(Data!$AN$2051:$AN$2550,$M376))="","",INDEX(Data!$U$41:$U$540,INDEX(Data!$AN$2051:$AN$2550,$M376)))))</f>
        <v/>
      </c>
      <c r="M376" s="132">
        <f ca="1">IF(COUNTIFS(Data!$AV$2051:$AV$2550,364)=1,MATCH(364,Data!$AV$2051:$AV$2550,0),0)</f>
        <v>0</v>
      </c>
      <c r="N376" s="150" t="str">
        <f ca="1">IF($M376=0,"",IF(INDEX(Data!$I$2051:$I$2550,$M376)=0,"Add ID","Row "&amp;(INDEX(Data!$I$2051:$I$2550,$M376)+7)))</f>
        <v/>
      </c>
    </row>
    <row r="377" spans="1:14" ht="40" customHeight="1">
      <c r="A377" s="135" t="str">
        <f ca="1">IF($M377=0,"",INDEX(Data!$W$2051:$W$2550,$M377))</f>
        <v/>
      </c>
      <c r="B377" s="138" t="str">
        <f ca="1">IF($M377=0,"",INDEX(Data!$B$2051:$B$2550,$M377))</f>
        <v/>
      </c>
      <c r="C377" s="141" t="str">
        <f ca="1">IF($M377=0,"",INDEX(Data!$C$2051:$C$2550,$M377))</f>
        <v/>
      </c>
      <c r="D377" s="141" t="str">
        <f ca="1">IF($M377=0,"",INDEX(Data!$D$2051:$D$2550,$M377))</f>
        <v/>
      </c>
      <c r="E377" s="142" t="str">
        <f ca="1">IF($M377=0,"",INDEX(Data!$G$2051:$G$2550,$M377))</f>
        <v/>
      </c>
      <c r="F377" s="141" t="str">
        <f ca="1">IF($M377=0,"",INDEX(Data!$F$2051:$F$2550,$M377))</f>
        <v/>
      </c>
      <c r="G377" s="143" t="str">
        <f ca="1">IF($M377=0,"",INDEX(Data!$K$2051:$K$2550,$M377))</f>
        <v/>
      </c>
      <c r="H377" s="141" t="str">
        <f ca="1">IF($M377=0,"",INDEX(Data!$L$2051:$L$2550,$M377))</f>
        <v/>
      </c>
      <c r="I377" s="144" t="str">
        <f ca="1">IF($M377=0,"",INDEX(Data!$T$2051:$T$2550,$M377))</f>
        <v/>
      </c>
      <c r="J377" s="141" t="str">
        <f ca="1">IF($M377=0,"",INDEX(Data!$U$2051:$U$2550,$M377))</f>
        <v/>
      </c>
      <c r="K377" s="141" t="str">
        <f ca="1">IF($M377=0,"",INDEX(Data!$AA$2051:$AA$2550,$M377))</f>
        <v/>
      </c>
      <c r="L377" s="141" t="str">
        <f ca="1">IF($M377=0,"",IF(INDEX(Data!$AN$2051:$AN$2550,$M377)=0,"",IF(INDEX(Data!$U$41:$U$540,INDEX(Data!$AN$2051:$AN$2550,$M377))="","",INDEX(Data!$U$41:$U$540,INDEX(Data!$AN$2051:$AN$2550,$M377)))))</f>
        <v/>
      </c>
      <c r="M377" s="132">
        <f ca="1">IF(COUNTIFS(Data!$AV$2051:$AV$2550,365)=1,MATCH(365,Data!$AV$2051:$AV$2550,0),0)</f>
        <v>0</v>
      </c>
      <c r="N377" s="145" t="str">
        <f ca="1">IF($M377=0,"",IF(INDEX(Data!$I$2051:$I$2550,$M377)=0,"Add ID","Row "&amp;(INDEX(Data!$I$2051:$I$2550,$M377)+7)))</f>
        <v/>
      </c>
    </row>
    <row r="378" spans="1:14" ht="40" customHeight="1">
      <c r="A378" s="136" t="str">
        <f ca="1">IF($M378=0,"",INDEX(Data!$W$2051:$W$2550,$M378))</f>
        <v/>
      </c>
      <c r="B378" s="139" t="str">
        <f ca="1">IF($M378=0,"",INDEX(Data!$B$2051:$B$2550,$M378))</f>
        <v/>
      </c>
      <c r="C378" s="146" t="str">
        <f ca="1">IF($M378=0,"",INDEX(Data!$C$2051:$C$2550,$M378))</f>
        <v/>
      </c>
      <c r="D378" s="146" t="str">
        <f ca="1">IF($M378=0,"",INDEX(Data!$D$2051:$D$2550,$M378))</f>
        <v/>
      </c>
      <c r="E378" s="147" t="str">
        <f ca="1">IF($M378=0,"",INDEX(Data!$G$2051:$G$2550,$M378))</f>
        <v/>
      </c>
      <c r="F378" s="146" t="str">
        <f ca="1">IF($M378=0,"",INDEX(Data!$F$2051:$F$2550,$M378))</f>
        <v/>
      </c>
      <c r="G378" s="148" t="str">
        <f ca="1">IF($M378=0,"",INDEX(Data!$K$2051:$K$2550,$M378))</f>
        <v/>
      </c>
      <c r="H378" s="146" t="str">
        <f ca="1">IF($M378=0,"",INDEX(Data!$L$2051:$L$2550,$M378))</f>
        <v/>
      </c>
      <c r="I378" s="149" t="str">
        <f ca="1">IF($M378=0,"",INDEX(Data!$T$2051:$T$2550,$M378))</f>
        <v/>
      </c>
      <c r="J378" s="146" t="str">
        <f ca="1">IF($M378=0,"",INDEX(Data!$U$2051:$U$2550,$M378))</f>
        <v/>
      </c>
      <c r="K378" s="146" t="str">
        <f ca="1">IF($M378=0,"",INDEX(Data!$AA$2051:$AA$2550,$M378))</f>
        <v/>
      </c>
      <c r="L378" s="146" t="str">
        <f ca="1">IF($M378=0,"",IF(INDEX(Data!$AN$2051:$AN$2550,$M378)=0,"",IF(INDEX(Data!$U$41:$U$540,INDEX(Data!$AN$2051:$AN$2550,$M378))="","",INDEX(Data!$U$41:$U$540,INDEX(Data!$AN$2051:$AN$2550,$M378)))))</f>
        <v/>
      </c>
      <c r="M378" s="132">
        <f ca="1">IF(COUNTIFS(Data!$AV$2051:$AV$2550,366)=1,MATCH(366,Data!$AV$2051:$AV$2550,0),0)</f>
        <v>0</v>
      </c>
      <c r="N378" s="150" t="str">
        <f ca="1">IF($M378=0,"",IF(INDEX(Data!$I$2051:$I$2550,$M378)=0,"Add ID","Row "&amp;(INDEX(Data!$I$2051:$I$2550,$M378)+7)))</f>
        <v/>
      </c>
    </row>
    <row r="379" spans="1:14" ht="40" customHeight="1">
      <c r="A379" s="135" t="str">
        <f ca="1">IF($M379=0,"",INDEX(Data!$W$2051:$W$2550,$M379))</f>
        <v/>
      </c>
      <c r="B379" s="138" t="str">
        <f ca="1">IF($M379=0,"",INDEX(Data!$B$2051:$B$2550,$M379))</f>
        <v/>
      </c>
      <c r="C379" s="141" t="str">
        <f ca="1">IF($M379=0,"",INDEX(Data!$C$2051:$C$2550,$M379))</f>
        <v/>
      </c>
      <c r="D379" s="141" t="str">
        <f ca="1">IF($M379=0,"",INDEX(Data!$D$2051:$D$2550,$M379))</f>
        <v/>
      </c>
      <c r="E379" s="142" t="str">
        <f ca="1">IF($M379=0,"",INDEX(Data!$G$2051:$G$2550,$M379))</f>
        <v/>
      </c>
      <c r="F379" s="141" t="str">
        <f ca="1">IF($M379=0,"",INDEX(Data!$F$2051:$F$2550,$M379))</f>
        <v/>
      </c>
      <c r="G379" s="143" t="str">
        <f ca="1">IF($M379=0,"",INDEX(Data!$K$2051:$K$2550,$M379))</f>
        <v/>
      </c>
      <c r="H379" s="141" t="str">
        <f ca="1">IF($M379=0,"",INDEX(Data!$L$2051:$L$2550,$M379))</f>
        <v/>
      </c>
      <c r="I379" s="144" t="str">
        <f ca="1">IF($M379=0,"",INDEX(Data!$T$2051:$T$2550,$M379))</f>
        <v/>
      </c>
      <c r="J379" s="141" t="str">
        <f ca="1">IF($M379=0,"",INDEX(Data!$U$2051:$U$2550,$M379))</f>
        <v/>
      </c>
      <c r="K379" s="141" t="str">
        <f ca="1">IF($M379=0,"",INDEX(Data!$AA$2051:$AA$2550,$M379))</f>
        <v/>
      </c>
      <c r="L379" s="141" t="str">
        <f ca="1">IF($M379=0,"",IF(INDEX(Data!$AN$2051:$AN$2550,$M379)=0,"",IF(INDEX(Data!$U$41:$U$540,INDEX(Data!$AN$2051:$AN$2550,$M379))="","",INDEX(Data!$U$41:$U$540,INDEX(Data!$AN$2051:$AN$2550,$M379)))))</f>
        <v/>
      </c>
      <c r="M379" s="132">
        <f ca="1">IF(COUNTIFS(Data!$AV$2051:$AV$2550,367)=1,MATCH(367,Data!$AV$2051:$AV$2550,0),0)</f>
        <v>0</v>
      </c>
      <c r="N379" s="145" t="str">
        <f ca="1">IF($M379=0,"",IF(INDEX(Data!$I$2051:$I$2550,$M379)=0,"Add ID","Row "&amp;(INDEX(Data!$I$2051:$I$2550,$M379)+7)))</f>
        <v/>
      </c>
    </row>
    <row r="380" spans="1:14" ht="40" customHeight="1">
      <c r="A380" s="136" t="str">
        <f ca="1">IF($M380=0,"",INDEX(Data!$W$2051:$W$2550,$M380))</f>
        <v/>
      </c>
      <c r="B380" s="139" t="str">
        <f ca="1">IF($M380=0,"",INDEX(Data!$B$2051:$B$2550,$M380))</f>
        <v/>
      </c>
      <c r="C380" s="146" t="str">
        <f ca="1">IF($M380=0,"",INDEX(Data!$C$2051:$C$2550,$M380))</f>
        <v/>
      </c>
      <c r="D380" s="146" t="str">
        <f ca="1">IF($M380=0,"",INDEX(Data!$D$2051:$D$2550,$M380))</f>
        <v/>
      </c>
      <c r="E380" s="147" t="str">
        <f ca="1">IF($M380=0,"",INDEX(Data!$G$2051:$G$2550,$M380))</f>
        <v/>
      </c>
      <c r="F380" s="146" t="str">
        <f ca="1">IF($M380=0,"",INDEX(Data!$F$2051:$F$2550,$M380))</f>
        <v/>
      </c>
      <c r="G380" s="148" t="str">
        <f ca="1">IF($M380=0,"",INDEX(Data!$K$2051:$K$2550,$M380))</f>
        <v/>
      </c>
      <c r="H380" s="146" t="str">
        <f ca="1">IF($M380=0,"",INDEX(Data!$L$2051:$L$2550,$M380))</f>
        <v/>
      </c>
      <c r="I380" s="149" t="str">
        <f ca="1">IF($M380=0,"",INDEX(Data!$T$2051:$T$2550,$M380))</f>
        <v/>
      </c>
      <c r="J380" s="146" t="str">
        <f ca="1">IF($M380=0,"",INDEX(Data!$U$2051:$U$2550,$M380))</f>
        <v/>
      </c>
      <c r="K380" s="146" t="str">
        <f ca="1">IF($M380=0,"",INDEX(Data!$AA$2051:$AA$2550,$M380))</f>
        <v/>
      </c>
      <c r="L380" s="146" t="str">
        <f ca="1">IF($M380=0,"",IF(INDEX(Data!$AN$2051:$AN$2550,$M380)=0,"",IF(INDEX(Data!$U$41:$U$540,INDEX(Data!$AN$2051:$AN$2550,$M380))="","",INDEX(Data!$U$41:$U$540,INDEX(Data!$AN$2051:$AN$2550,$M380)))))</f>
        <v/>
      </c>
      <c r="M380" s="132">
        <f ca="1">IF(COUNTIFS(Data!$AV$2051:$AV$2550,368)=1,MATCH(368,Data!$AV$2051:$AV$2550,0),0)</f>
        <v>0</v>
      </c>
      <c r="N380" s="150" t="str">
        <f ca="1">IF($M380=0,"",IF(INDEX(Data!$I$2051:$I$2550,$M380)=0,"Add ID","Row "&amp;(INDEX(Data!$I$2051:$I$2550,$M380)+7)))</f>
        <v/>
      </c>
    </row>
    <row r="381" spans="1:14" ht="40" customHeight="1">
      <c r="A381" s="135" t="str">
        <f ca="1">IF($M381=0,"",INDEX(Data!$W$2051:$W$2550,$M381))</f>
        <v/>
      </c>
      <c r="B381" s="138" t="str">
        <f ca="1">IF($M381=0,"",INDEX(Data!$B$2051:$B$2550,$M381))</f>
        <v/>
      </c>
      <c r="C381" s="141" t="str">
        <f ca="1">IF($M381=0,"",INDEX(Data!$C$2051:$C$2550,$M381))</f>
        <v/>
      </c>
      <c r="D381" s="141" t="str">
        <f ca="1">IF($M381=0,"",INDEX(Data!$D$2051:$D$2550,$M381))</f>
        <v/>
      </c>
      <c r="E381" s="142" t="str">
        <f ca="1">IF($M381=0,"",INDEX(Data!$G$2051:$G$2550,$M381))</f>
        <v/>
      </c>
      <c r="F381" s="141" t="str">
        <f ca="1">IF($M381=0,"",INDEX(Data!$F$2051:$F$2550,$M381))</f>
        <v/>
      </c>
      <c r="G381" s="143" t="str">
        <f ca="1">IF($M381=0,"",INDEX(Data!$K$2051:$K$2550,$M381))</f>
        <v/>
      </c>
      <c r="H381" s="141" t="str">
        <f ca="1">IF($M381=0,"",INDEX(Data!$L$2051:$L$2550,$M381))</f>
        <v/>
      </c>
      <c r="I381" s="144" t="str">
        <f ca="1">IF($M381=0,"",INDEX(Data!$T$2051:$T$2550,$M381))</f>
        <v/>
      </c>
      <c r="J381" s="141" t="str">
        <f ca="1">IF($M381=0,"",INDEX(Data!$U$2051:$U$2550,$M381))</f>
        <v/>
      </c>
      <c r="K381" s="141" t="str">
        <f ca="1">IF($M381=0,"",INDEX(Data!$AA$2051:$AA$2550,$M381))</f>
        <v/>
      </c>
      <c r="L381" s="141" t="str">
        <f ca="1">IF($M381=0,"",IF(INDEX(Data!$AN$2051:$AN$2550,$M381)=0,"",IF(INDEX(Data!$U$41:$U$540,INDEX(Data!$AN$2051:$AN$2550,$M381))="","",INDEX(Data!$U$41:$U$540,INDEX(Data!$AN$2051:$AN$2550,$M381)))))</f>
        <v/>
      </c>
      <c r="M381" s="132">
        <f ca="1">IF(COUNTIFS(Data!$AV$2051:$AV$2550,369)=1,MATCH(369,Data!$AV$2051:$AV$2550,0),0)</f>
        <v>0</v>
      </c>
      <c r="N381" s="145" t="str">
        <f ca="1">IF($M381=0,"",IF(INDEX(Data!$I$2051:$I$2550,$M381)=0,"Add ID","Row "&amp;(INDEX(Data!$I$2051:$I$2550,$M381)+7)))</f>
        <v/>
      </c>
    </row>
    <row r="382" spans="1:14" ht="40" customHeight="1">
      <c r="A382" s="136" t="str">
        <f ca="1">IF($M382=0,"",INDEX(Data!$W$2051:$W$2550,$M382))</f>
        <v/>
      </c>
      <c r="B382" s="139" t="str">
        <f ca="1">IF($M382=0,"",INDEX(Data!$B$2051:$B$2550,$M382))</f>
        <v/>
      </c>
      <c r="C382" s="146" t="str">
        <f ca="1">IF($M382=0,"",INDEX(Data!$C$2051:$C$2550,$M382))</f>
        <v/>
      </c>
      <c r="D382" s="146" t="str">
        <f ca="1">IF($M382=0,"",INDEX(Data!$D$2051:$D$2550,$M382))</f>
        <v/>
      </c>
      <c r="E382" s="147" t="str">
        <f ca="1">IF($M382=0,"",INDEX(Data!$G$2051:$G$2550,$M382))</f>
        <v/>
      </c>
      <c r="F382" s="146" t="str">
        <f ca="1">IF($M382=0,"",INDEX(Data!$F$2051:$F$2550,$M382))</f>
        <v/>
      </c>
      <c r="G382" s="148" t="str">
        <f ca="1">IF($M382=0,"",INDEX(Data!$K$2051:$K$2550,$M382))</f>
        <v/>
      </c>
      <c r="H382" s="146" t="str">
        <f ca="1">IF($M382=0,"",INDEX(Data!$L$2051:$L$2550,$M382))</f>
        <v/>
      </c>
      <c r="I382" s="149" t="str">
        <f ca="1">IF($M382=0,"",INDEX(Data!$T$2051:$T$2550,$M382))</f>
        <v/>
      </c>
      <c r="J382" s="146" t="str">
        <f ca="1">IF($M382=0,"",INDEX(Data!$U$2051:$U$2550,$M382))</f>
        <v/>
      </c>
      <c r="K382" s="146" t="str">
        <f ca="1">IF($M382=0,"",INDEX(Data!$AA$2051:$AA$2550,$M382))</f>
        <v/>
      </c>
      <c r="L382" s="146" t="str">
        <f ca="1">IF($M382=0,"",IF(INDEX(Data!$AN$2051:$AN$2550,$M382)=0,"",IF(INDEX(Data!$U$41:$U$540,INDEX(Data!$AN$2051:$AN$2550,$M382))="","",INDEX(Data!$U$41:$U$540,INDEX(Data!$AN$2051:$AN$2550,$M382)))))</f>
        <v/>
      </c>
      <c r="M382" s="132">
        <f ca="1">IF(COUNTIFS(Data!$AV$2051:$AV$2550,370)=1,MATCH(370,Data!$AV$2051:$AV$2550,0),0)</f>
        <v>0</v>
      </c>
      <c r="N382" s="150" t="str">
        <f ca="1">IF($M382=0,"",IF(INDEX(Data!$I$2051:$I$2550,$M382)=0,"Add ID","Row "&amp;(INDEX(Data!$I$2051:$I$2550,$M382)+7)))</f>
        <v/>
      </c>
    </row>
    <row r="383" spans="1:14" ht="40" customHeight="1">
      <c r="A383" s="135" t="str">
        <f ca="1">IF($M383=0,"",INDEX(Data!$W$2051:$W$2550,$M383))</f>
        <v/>
      </c>
      <c r="B383" s="138" t="str">
        <f ca="1">IF($M383=0,"",INDEX(Data!$B$2051:$B$2550,$M383))</f>
        <v/>
      </c>
      <c r="C383" s="141" t="str">
        <f ca="1">IF($M383=0,"",INDEX(Data!$C$2051:$C$2550,$M383))</f>
        <v/>
      </c>
      <c r="D383" s="141" t="str">
        <f ca="1">IF($M383=0,"",INDEX(Data!$D$2051:$D$2550,$M383))</f>
        <v/>
      </c>
      <c r="E383" s="142" t="str">
        <f ca="1">IF($M383=0,"",INDEX(Data!$G$2051:$G$2550,$M383))</f>
        <v/>
      </c>
      <c r="F383" s="141" t="str">
        <f ca="1">IF($M383=0,"",INDEX(Data!$F$2051:$F$2550,$M383))</f>
        <v/>
      </c>
      <c r="G383" s="143" t="str">
        <f ca="1">IF($M383=0,"",INDEX(Data!$K$2051:$K$2550,$M383))</f>
        <v/>
      </c>
      <c r="H383" s="141" t="str">
        <f ca="1">IF($M383=0,"",INDEX(Data!$L$2051:$L$2550,$M383))</f>
        <v/>
      </c>
      <c r="I383" s="144" t="str">
        <f ca="1">IF($M383=0,"",INDEX(Data!$T$2051:$T$2550,$M383))</f>
        <v/>
      </c>
      <c r="J383" s="141" t="str">
        <f ca="1">IF($M383=0,"",INDEX(Data!$U$2051:$U$2550,$M383))</f>
        <v/>
      </c>
      <c r="K383" s="141" t="str">
        <f ca="1">IF($M383=0,"",INDEX(Data!$AA$2051:$AA$2550,$M383))</f>
        <v/>
      </c>
      <c r="L383" s="141" t="str">
        <f ca="1">IF($M383=0,"",IF(INDEX(Data!$AN$2051:$AN$2550,$M383)=0,"",IF(INDEX(Data!$U$41:$U$540,INDEX(Data!$AN$2051:$AN$2550,$M383))="","",INDEX(Data!$U$41:$U$540,INDEX(Data!$AN$2051:$AN$2550,$M383)))))</f>
        <v/>
      </c>
      <c r="M383" s="132">
        <f ca="1">IF(COUNTIFS(Data!$AV$2051:$AV$2550,371)=1,MATCH(371,Data!$AV$2051:$AV$2550,0),0)</f>
        <v>0</v>
      </c>
      <c r="N383" s="145" t="str">
        <f ca="1">IF($M383=0,"",IF(INDEX(Data!$I$2051:$I$2550,$M383)=0,"Add ID","Row "&amp;(INDEX(Data!$I$2051:$I$2550,$M383)+7)))</f>
        <v/>
      </c>
    </row>
    <row r="384" spans="1:14" ht="40" customHeight="1">
      <c r="A384" s="136" t="str">
        <f ca="1">IF($M384=0,"",INDEX(Data!$W$2051:$W$2550,$M384))</f>
        <v/>
      </c>
      <c r="B384" s="139" t="str">
        <f ca="1">IF($M384=0,"",INDEX(Data!$B$2051:$B$2550,$M384))</f>
        <v/>
      </c>
      <c r="C384" s="146" t="str">
        <f ca="1">IF($M384=0,"",INDEX(Data!$C$2051:$C$2550,$M384))</f>
        <v/>
      </c>
      <c r="D384" s="146" t="str">
        <f ca="1">IF($M384=0,"",INDEX(Data!$D$2051:$D$2550,$M384))</f>
        <v/>
      </c>
      <c r="E384" s="147" t="str">
        <f ca="1">IF($M384=0,"",INDEX(Data!$G$2051:$G$2550,$M384))</f>
        <v/>
      </c>
      <c r="F384" s="146" t="str">
        <f ca="1">IF($M384=0,"",INDEX(Data!$F$2051:$F$2550,$M384))</f>
        <v/>
      </c>
      <c r="G384" s="148" t="str">
        <f ca="1">IF($M384=0,"",INDEX(Data!$K$2051:$K$2550,$M384))</f>
        <v/>
      </c>
      <c r="H384" s="146" t="str">
        <f ca="1">IF($M384=0,"",INDEX(Data!$L$2051:$L$2550,$M384))</f>
        <v/>
      </c>
      <c r="I384" s="149" t="str">
        <f ca="1">IF($M384=0,"",INDEX(Data!$T$2051:$T$2550,$M384))</f>
        <v/>
      </c>
      <c r="J384" s="146" t="str">
        <f ca="1">IF($M384=0,"",INDEX(Data!$U$2051:$U$2550,$M384))</f>
        <v/>
      </c>
      <c r="K384" s="146" t="str">
        <f ca="1">IF($M384=0,"",INDEX(Data!$AA$2051:$AA$2550,$M384))</f>
        <v/>
      </c>
      <c r="L384" s="146" t="str">
        <f ca="1">IF($M384=0,"",IF(INDEX(Data!$AN$2051:$AN$2550,$M384)=0,"",IF(INDEX(Data!$U$41:$U$540,INDEX(Data!$AN$2051:$AN$2550,$M384))="","",INDEX(Data!$U$41:$U$540,INDEX(Data!$AN$2051:$AN$2550,$M384)))))</f>
        <v/>
      </c>
      <c r="M384" s="132">
        <f ca="1">IF(COUNTIFS(Data!$AV$2051:$AV$2550,372)=1,MATCH(372,Data!$AV$2051:$AV$2550,0),0)</f>
        <v>0</v>
      </c>
      <c r="N384" s="150" t="str">
        <f ca="1">IF($M384=0,"",IF(INDEX(Data!$I$2051:$I$2550,$M384)=0,"Add ID","Row "&amp;(INDEX(Data!$I$2051:$I$2550,$M384)+7)))</f>
        <v/>
      </c>
    </row>
    <row r="385" spans="1:14" ht="40" customHeight="1">
      <c r="A385" s="135" t="str">
        <f ca="1">IF($M385=0,"",INDEX(Data!$W$2051:$W$2550,$M385))</f>
        <v/>
      </c>
      <c r="B385" s="138" t="str">
        <f ca="1">IF($M385=0,"",INDEX(Data!$B$2051:$B$2550,$M385))</f>
        <v/>
      </c>
      <c r="C385" s="141" t="str">
        <f ca="1">IF($M385=0,"",INDEX(Data!$C$2051:$C$2550,$M385))</f>
        <v/>
      </c>
      <c r="D385" s="141" t="str">
        <f ca="1">IF($M385=0,"",INDEX(Data!$D$2051:$D$2550,$M385))</f>
        <v/>
      </c>
      <c r="E385" s="142" t="str">
        <f ca="1">IF($M385=0,"",INDEX(Data!$G$2051:$G$2550,$M385))</f>
        <v/>
      </c>
      <c r="F385" s="141" t="str">
        <f ca="1">IF($M385=0,"",INDEX(Data!$F$2051:$F$2550,$M385))</f>
        <v/>
      </c>
      <c r="G385" s="143" t="str">
        <f ca="1">IF($M385=0,"",INDEX(Data!$K$2051:$K$2550,$M385))</f>
        <v/>
      </c>
      <c r="H385" s="141" t="str">
        <f ca="1">IF($M385=0,"",INDEX(Data!$L$2051:$L$2550,$M385))</f>
        <v/>
      </c>
      <c r="I385" s="144" t="str">
        <f ca="1">IF($M385=0,"",INDEX(Data!$T$2051:$T$2550,$M385))</f>
        <v/>
      </c>
      <c r="J385" s="141" t="str">
        <f ca="1">IF($M385=0,"",INDEX(Data!$U$2051:$U$2550,$M385))</f>
        <v/>
      </c>
      <c r="K385" s="141" t="str">
        <f ca="1">IF($M385=0,"",INDEX(Data!$AA$2051:$AA$2550,$M385))</f>
        <v/>
      </c>
      <c r="L385" s="141" t="str">
        <f ca="1">IF($M385=0,"",IF(INDEX(Data!$AN$2051:$AN$2550,$M385)=0,"",IF(INDEX(Data!$U$41:$U$540,INDEX(Data!$AN$2051:$AN$2550,$M385))="","",INDEX(Data!$U$41:$U$540,INDEX(Data!$AN$2051:$AN$2550,$M385)))))</f>
        <v/>
      </c>
      <c r="M385" s="132">
        <f ca="1">IF(COUNTIFS(Data!$AV$2051:$AV$2550,373)=1,MATCH(373,Data!$AV$2051:$AV$2550,0),0)</f>
        <v>0</v>
      </c>
      <c r="N385" s="145" t="str">
        <f ca="1">IF($M385=0,"",IF(INDEX(Data!$I$2051:$I$2550,$M385)=0,"Add ID","Row "&amp;(INDEX(Data!$I$2051:$I$2550,$M385)+7)))</f>
        <v/>
      </c>
    </row>
    <row r="386" spans="1:14" ht="40" customHeight="1">
      <c r="A386" s="136" t="str">
        <f ca="1">IF($M386=0,"",INDEX(Data!$W$2051:$W$2550,$M386))</f>
        <v/>
      </c>
      <c r="B386" s="139" t="str">
        <f ca="1">IF($M386=0,"",INDEX(Data!$B$2051:$B$2550,$M386))</f>
        <v/>
      </c>
      <c r="C386" s="146" t="str">
        <f ca="1">IF($M386=0,"",INDEX(Data!$C$2051:$C$2550,$M386))</f>
        <v/>
      </c>
      <c r="D386" s="146" t="str">
        <f ca="1">IF($M386=0,"",INDEX(Data!$D$2051:$D$2550,$M386))</f>
        <v/>
      </c>
      <c r="E386" s="147" t="str">
        <f ca="1">IF($M386=0,"",INDEX(Data!$G$2051:$G$2550,$M386))</f>
        <v/>
      </c>
      <c r="F386" s="146" t="str">
        <f ca="1">IF($M386=0,"",INDEX(Data!$F$2051:$F$2550,$M386))</f>
        <v/>
      </c>
      <c r="G386" s="148" t="str">
        <f ca="1">IF($M386=0,"",INDEX(Data!$K$2051:$K$2550,$M386))</f>
        <v/>
      </c>
      <c r="H386" s="146" t="str">
        <f ca="1">IF($M386=0,"",INDEX(Data!$L$2051:$L$2550,$M386))</f>
        <v/>
      </c>
      <c r="I386" s="149" t="str">
        <f ca="1">IF($M386=0,"",INDEX(Data!$T$2051:$T$2550,$M386))</f>
        <v/>
      </c>
      <c r="J386" s="146" t="str">
        <f ca="1">IF($M386=0,"",INDEX(Data!$U$2051:$U$2550,$M386))</f>
        <v/>
      </c>
      <c r="K386" s="146" t="str">
        <f ca="1">IF($M386=0,"",INDEX(Data!$AA$2051:$AA$2550,$M386))</f>
        <v/>
      </c>
      <c r="L386" s="146" t="str">
        <f ca="1">IF($M386=0,"",IF(INDEX(Data!$AN$2051:$AN$2550,$M386)=0,"",IF(INDEX(Data!$U$41:$U$540,INDEX(Data!$AN$2051:$AN$2550,$M386))="","",INDEX(Data!$U$41:$U$540,INDEX(Data!$AN$2051:$AN$2550,$M386)))))</f>
        <v/>
      </c>
      <c r="M386" s="132">
        <f ca="1">IF(COUNTIFS(Data!$AV$2051:$AV$2550,374)=1,MATCH(374,Data!$AV$2051:$AV$2550,0),0)</f>
        <v>0</v>
      </c>
      <c r="N386" s="150" t="str">
        <f ca="1">IF($M386=0,"",IF(INDEX(Data!$I$2051:$I$2550,$M386)=0,"Add ID","Row "&amp;(INDEX(Data!$I$2051:$I$2550,$M386)+7)))</f>
        <v/>
      </c>
    </row>
    <row r="387" spans="1:14" ht="40" customHeight="1">
      <c r="A387" s="135" t="str">
        <f ca="1">IF($M387=0,"",INDEX(Data!$W$2051:$W$2550,$M387))</f>
        <v/>
      </c>
      <c r="B387" s="138" t="str">
        <f ca="1">IF($M387=0,"",INDEX(Data!$B$2051:$B$2550,$M387))</f>
        <v/>
      </c>
      <c r="C387" s="141" t="str">
        <f ca="1">IF($M387=0,"",INDEX(Data!$C$2051:$C$2550,$M387))</f>
        <v/>
      </c>
      <c r="D387" s="141" t="str">
        <f ca="1">IF($M387=0,"",INDEX(Data!$D$2051:$D$2550,$M387))</f>
        <v/>
      </c>
      <c r="E387" s="142" t="str">
        <f ca="1">IF($M387=0,"",INDEX(Data!$G$2051:$G$2550,$M387))</f>
        <v/>
      </c>
      <c r="F387" s="141" t="str">
        <f ca="1">IF($M387=0,"",INDEX(Data!$F$2051:$F$2550,$M387))</f>
        <v/>
      </c>
      <c r="G387" s="143" t="str">
        <f ca="1">IF($M387=0,"",INDEX(Data!$K$2051:$K$2550,$M387))</f>
        <v/>
      </c>
      <c r="H387" s="141" t="str">
        <f ca="1">IF($M387=0,"",INDEX(Data!$L$2051:$L$2550,$M387))</f>
        <v/>
      </c>
      <c r="I387" s="144" t="str">
        <f ca="1">IF($M387=0,"",INDEX(Data!$T$2051:$T$2550,$M387))</f>
        <v/>
      </c>
      <c r="J387" s="141" t="str">
        <f ca="1">IF($M387=0,"",INDEX(Data!$U$2051:$U$2550,$M387))</f>
        <v/>
      </c>
      <c r="K387" s="141" t="str">
        <f ca="1">IF($M387=0,"",INDEX(Data!$AA$2051:$AA$2550,$M387))</f>
        <v/>
      </c>
      <c r="L387" s="141" t="str">
        <f ca="1">IF($M387=0,"",IF(INDEX(Data!$AN$2051:$AN$2550,$M387)=0,"",IF(INDEX(Data!$U$41:$U$540,INDEX(Data!$AN$2051:$AN$2550,$M387))="","",INDEX(Data!$U$41:$U$540,INDEX(Data!$AN$2051:$AN$2550,$M387)))))</f>
        <v/>
      </c>
      <c r="M387" s="132">
        <f ca="1">IF(COUNTIFS(Data!$AV$2051:$AV$2550,375)=1,MATCH(375,Data!$AV$2051:$AV$2550,0),0)</f>
        <v>0</v>
      </c>
      <c r="N387" s="145" t="str">
        <f ca="1">IF($M387=0,"",IF(INDEX(Data!$I$2051:$I$2550,$M387)=0,"Add ID","Row "&amp;(INDEX(Data!$I$2051:$I$2550,$M387)+7)))</f>
        <v/>
      </c>
    </row>
    <row r="388" spans="1:14" ht="40" customHeight="1">
      <c r="A388" s="136" t="str">
        <f ca="1">IF($M388=0,"",INDEX(Data!$W$2051:$W$2550,$M388))</f>
        <v/>
      </c>
      <c r="B388" s="139" t="str">
        <f ca="1">IF($M388=0,"",INDEX(Data!$B$2051:$B$2550,$M388))</f>
        <v/>
      </c>
      <c r="C388" s="146" t="str">
        <f ca="1">IF($M388=0,"",INDEX(Data!$C$2051:$C$2550,$M388))</f>
        <v/>
      </c>
      <c r="D388" s="146" t="str">
        <f ca="1">IF($M388=0,"",INDEX(Data!$D$2051:$D$2550,$M388))</f>
        <v/>
      </c>
      <c r="E388" s="147" t="str">
        <f ca="1">IF($M388=0,"",INDEX(Data!$G$2051:$G$2550,$M388))</f>
        <v/>
      </c>
      <c r="F388" s="146" t="str">
        <f ca="1">IF($M388=0,"",INDEX(Data!$F$2051:$F$2550,$M388))</f>
        <v/>
      </c>
      <c r="G388" s="148" t="str">
        <f ca="1">IF($M388=0,"",INDEX(Data!$K$2051:$K$2550,$M388))</f>
        <v/>
      </c>
      <c r="H388" s="146" t="str">
        <f ca="1">IF($M388=0,"",INDEX(Data!$L$2051:$L$2550,$M388))</f>
        <v/>
      </c>
      <c r="I388" s="149" t="str">
        <f ca="1">IF($M388=0,"",INDEX(Data!$T$2051:$T$2550,$M388))</f>
        <v/>
      </c>
      <c r="J388" s="146" t="str">
        <f ca="1">IF($M388=0,"",INDEX(Data!$U$2051:$U$2550,$M388))</f>
        <v/>
      </c>
      <c r="K388" s="146" t="str">
        <f ca="1">IF($M388=0,"",INDEX(Data!$AA$2051:$AA$2550,$M388))</f>
        <v/>
      </c>
      <c r="L388" s="146" t="str">
        <f ca="1">IF($M388=0,"",IF(INDEX(Data!$AN$2051:$AN$2550,$M388)=0,"",IF(INDEX(Data!$U$41:$U$540,INDEX(Data!$AN$2051:$AN$2550,$M388))="","",INDEX(Data!$U$41:$U$540,INDEX(Data!$AN$2051:$AN$2550,$M388)))))</f>
        <v/>
      </c>
      <c r="M388" s="132">
        <f ca="1">IF(COUNTIFS(Data!$AV$2051:$AV$2550,376)=1,MATCH(376,Data!$AV$2051:$AV$2550,0),0)</f>
        <v>0</v>
      </c>
      <c r="N388" s="150" t="str">
        <f ca="1">IF($M388=0,"",IF(INDEX(Data!$I$2051:$I$2550,$M388)=0,"Add ID","Row "&amp;(INDEX(Data!$I$2051:$I$2550,$M388)+7)))</f>
        <v/>
      </c>
    </row>
    <row r="389" spans="1:14" ht="40" customHeight="1">
      <c r="A389" s="135" t="str">
        <f ca="1">IF($M389=0,"",INDEX(Data!$W$2051:$W$2550,$M389))</f>
        <v/>
      </c>
      <c r="B389" s="138" t="str">
        <f ca="1">IF($M389=0,"",INDEX(Data!$B$2051:$B$2550,$M389))</f>
        <v/>
      </c>
      <c r="C389" s="141" t="str">
        <f ca="1">IF($M389=0,"",INDEX(Data!$C$2051:$C$2550,$M389))</f>
        <v/>
      </c>
      <c r="D389" s="141" t="str">
        <f ca="1">IF($M389=0,"",INDEX(Data!$D$2051:$D$2550,$M389))</f>
        <v/>
      </c>
      <c r="E389" s="142" t="str">
        <f ca="1">IF($M389=0,"",INDEX(Data!$G$2051:$G$2550,$M389))</f>
        <v/>
      </c>
      <c r="F389" s="141" t="str">
        <f ca="1">IF($M389=0,"",INDEX(Data!$F$2051:$F$2550,$M389))</f>
        <v/>
      </c>
      <c r="G389" s="143" t="str">
        <f ca="1">IF($M389=0,"",INDEX(Data!$K$2051:$K$2550,$M389))</f>
        <v/>
      </c>
      <c r="H389" s="141" t="str">
        <f ca="1">IF($M389=0,"",INDEX(Data!$L$2051:$L$2550,$M389))</f>
        <v/>
      </c>
      <c r="I389" s="144" t="str">
        <f ca="1">IF($M389=0,"",INDEX(Data!$T$2051:$T$2550,$M389))</f>
        <v/>
      </c>
      <c r="J389" s="141" t="str">
        <f ca="1">IF($M389=0,"",INDEX(Data!$U$2051:$U$2550,$M389))</f>
        <v/>
      </c>
      <c r="K389" s="141" t="str">
        <f ca="1">IF($M389=0,"",INDEX(Data!$AA$2051:$AA$2550,$M389))</f>
        <v/>
      </c>
      <c r="L389" s="141" t="str">
        <f ca="1">IF($M389=0,"",IF(INDEX(Data!$AN$2051:$AN$2550,$M389)=0,"",IF(INDEX(Data!$U$41:$U$540,INDEX(Data!$AN$2051:$AN$2550,$M389))="","",INDEX(Data!$U$41:$U$540,INDEX(Data!$AN$2051:$AN$2550,$M389)))))</f>
        <v/>
      </c>
      <c r="M389" s="132">
        <f ca="1">IF(COUNTIFS(Data!$AV$2051:$AV$2550,377)=1,MATCH(377,Data!$AV$2051:$AV$2550,0),0)</f>
        <v>0</v>
      </c>
      <c r="N389" s="145" t="str">
        <f ca="1">IF($M389=0,"",IF(INDEX(Data!$I$2051:$I$2550,$M389)=0,"Add ID","Row "&amp;(INDEX(Data!$I$2051:$I$2550,$M389)+7)))</f>
        <v/>
      </c>
    </row>
    <row r="390" spans="1:14" ht="40" customHeight="1">
      <c r="A390" s="136" t="str">
        <f ca="1">IF($M390=0,"",INDEX(Data!$W$2051:$W$2550,$M390))</f>
        <v/>
      </c>
      <c r="B390" s="139" t="str">
        <f ca="1">IF($M390=0,"",INDEX(Data!$B$2051:$B$2550,$M390))</f>
        <v/>
      </c>
      <c r="C390" s="146" t="str">
        <f ca="1">IF($M390=0,"",INDEX(Data!$C$2051:$C$2550,$M390))</f>
        <v/>
      </c>
      <c r="D390" s="146" t="str">
        <f ca="1">IF($M390=0,"",INDEX(Data!$D$2051:$D$2550,$M390))</f>
        <v/>
      </c>
      <c r="E390" s="147" t="str">
        <f ca="1">IF($M390=0,"",INDEX(Data!$G$2051:$G$2550,$M390))</f>
        <v/>
      </c>
      <c r="F390" s="146" t="str">
        <f ca="1">IF($M390=0,"",INDEX(Data!$F$2051:$F$2550,$M390))</f>
        <v/>
      </c>
      <c r="G390" s="148" t="str">
        <f ca="1">IF($M390=0,"",INDEX(Data!$K$2051:$K$2550,$M390))</f>
        <v/>
      </c>
      <c r="H390" s="146" t="str">
        <f ca="1">IF($M390=0,"",INDEX(Data!$L$2051:$L$2550,$M390))</f>
        <v/>
      </c>
      <c r="I390" s="149" t="str">
        <f ca="1">IF($M390=0,"",INDEX(Data!$T$2051:$T$2550,$M390))</f>
        <v/>
      </c>
      <c r="J390" s="146" t="str">
        <f ca="1">IF($M390=0,"",INDEX(Data!$U$2051:$U$2550,$M390))</f>
        <v/>
      </c>
      <c r="K390" s="146" t="str">
        <f ca="1">IF($M390=0,"",INDEX(Data!$AA$2051:$AA$2550,$M390))</f>
        <v/>
      </c>
      <c r="L390" s="146" t="str">
        <f ca="1">IF($M390=0,"",IF(INDEX(Data!$AN$2051:$AN$2550,$M390)=0,"",IF(INDEX(Data!$U$41:$U$540,INDEX(Data!$AN$2051:$AN$2550,$M390))="","",INDEX(Data!$U$41:$U$540,INDEX(Data!$AN$2051:$AN$2550,$M390)))))</f>
        <v/>
      </c>
      <c r="M390" s="132">
        <f ca="1">IF(COUNTIFS(Data!$AV$2051:$AV$2550,378)=1,MATCH(378,Data!$AV$2051:$AV$2550,0),0)</f>
        <v>0</v>
      </c>
      <c r="N390" s="150" t="str">
        <f ca="1">IF($M390=0,"",IF(INDEX(Data!$I$2051:$I$2550,$M390)=0,"Add ID","Row "&amp;(INDEX(Data!$I$2051:$I$2550,$M390)+7)))</f>
        <v/>
      </c>
    </row>
    <row r="391" spans="1:14" ht="40" customHeight="1">
      <c r="A391" s="135" t="str">
        <f ca="1">IF($M391=0,"",INDEX(Data!$W$2051:$W$2550,$M391))</f>
        <v/>
      </c>
      <c r="B391" s="138" t="str">
        <f ca="1">IF($M391=0,"",INDEX(Data!$B$2051:$B$2550,$M391))</f>
        <v/>
      </c>
      <c r="C391" s="141" t="str">
        <f ca="1">IF($M391=0,"",INDEX(Data!$C$2051:$C$2550,$M391))</f>
        <v/>
      </c>
      <c r="D391" s="141" t="str">
        <f ca="1">IF($M391=0,"",INDEX(Data!$D$2051:$D$2550,$M391))</f>
        <v/>
      </c>
      <c r="E391" s="142" t="str">
        <f ca="1">IF($M391=0,"",INDEX(Data!$G$2051:$G$2550,$M391))</f>
        <v/>
      </c>
      <c r="F391" s="141" t="str">
        <f ca="1">IF($M391=0,"",INDEX(Data!$F$2051:$F$2550,$M391))</f>
        <v/>
      </c>
      <c r="G391" s="143" t="str">
        <f ca="1">IF($M391=0,"",INDEX(Data!$K$2051:$K$2550,$M391))</f>
        <v/>
      </c>
      <c r="H391" s="141" t="str">
        <f ca="1">IF($M391=0,"",INDEX(Data!$L$2051:$L$2550,$M391))</f>
        <v/>
      </c>
      <c r="I391" s="144" t="str">
        <f ca="1">IF($M391=0,"",INDEX(Data!$T$2051:$T$2550,$M391))</f>
        <v/>
      </c>
      <c r="J391" s="141" t="str">
        <f ca="1">IF($M391=0,"",INDEX(Data!$U$2051:$U$2550,$M391))</f>
        <v/>
      </c>
      <c r="K391" s="141" t="str">
        <f ca="1">IF($M391=0,"",INDEX(Data!$AA$2051:$AA$2550,$M391))</f>
        <v/>
      </c>
      <c r="L391" s="141" t="str">
        <f ca="1">IF($M391=0,"",IF(INDEX(Data!$AN$2051:$AN$2550,$M391)=0,"",IF(INDEX(Data!$U$41:$U$540,INDEX(Data!$AN$2051:$AN$2550,$M391))="","",INDEX(Data!$U$41:$U$540,INDEX(Data!$AN$2051:$AN$2550,$M391)))))</f>
        <v/>
      </c>
      <c r="M391" s="132">
        <f ca="1">IF(COUNTIFS(Data!$AV$2051:$AV$2550,379)=1,MATCH(379,Data!$AV$2051:$AV$2550,0),0)</f>
        <v>0</v>
      </c>
      <c r="N391" s="145" t="str">
        <f ca="1">IF($M391=0,"",IF(INDEX(Data!$I$2051:$I$2550,$M391)=0,"Add ID","Row "&amp;(INDEX(Data!$I$2051:$I$2550,$M391)+7)))</f>
        <v/>
      </c>
    </row>
    <row r="392" spans="1:14" ht="40" customHeight="1">
      <c r="A392" s="136" t="str">
        <f ca="1">IF($M392=0,"",INDEX(Data!$W$2051:$W$2550,$M392))</f>
        <v/>
      </c>
      <c r="B392" s="139" t="str">
        <f ca="1">IF($M392=0,"",INDEX(Data!$B$2051:$B$2550,$M392))</f>
        <v/>
      </c>
      <c r="C392" s="146" t="str">
        <f ca="1">IF($M392=0,"",INDEX(Data!$C$2051:$C$2550,$M392))</f>
        <v/>
      </c>
      <c r="D392" s="146" t="str">
        <f ca="1">IF($M392=0,"",INDEX(Data!$D$2051:$D$2550,$M392))</f>
        <v/>
      </c>
      <c r="E392" s="147" t="str">
        <f ca="1">IF($M392=0,"",INDEX(Data!$G$2051:$G$2550,$M392))</f>
        <v/>
      </c>
      <c r="F392" s="146" t="str">
        <f ca="1">IF($M392=0,"",INDEX(Data!$F$2051:$F$2550,$M392))</f>
        <v/>
      </c>
      <c r="G392" s="148" t="str">
        <f ca="1">IF($M392=0,"",INDEX(Data!$K$2051:$K$2550,$M392))</f>
        <v/>
      </c>
      <c r="H392" s="146" t="str">
        <f ca="1">IF($M392=0,"",INDEX(Data!$L$2051:$L$2550,$M392))</f>
        <v/>
      </c>
      <c r="I392" s="149" t="str">
        <f ca="1">IF($M392=0,"",INDEX(Data!$T$2051:$T$2550,$M392))</f>
        <v/>
      </c>
      <c r="J392" s="146" t="str">
        <f ca="1">IF($M392=0,"",INDEX(Data!$U$2051:$U$2550,$M392))</f>
        <v/>
      </c>
      <c r="K392" s="146" t="str">
        <f ca="1">IF($M392=0,"",INDEX(Data!$AA$2051:$AA$2550,$M392))</f>
        <v/>
      </c>
      <c r="L392" s="146" t="str">
        <f ca="1">IF($M392=0,"",IF(INDEX(Data!$AN$2051:$AN$2550,$M392)=0,"",IF(INDEX(Data!$U$41:$U$540,INDEX(Data!$AN$2051:$AN$2550,$M392))="","",INDEX(Data!$U$41:$U$540,INDEX(Data!$AN$2051:$AN$2550,$M392)))))</f>
        <v/>
      </c>
      <c r="M392" s="132">
        <f ca="1">IF(COUNTIFS(Data!$AV$2051:$AV$2550,380)=1,MATCH(380,Data!$AV$2051:$AV$2550,0),0)</f>
        <v>0</v>
      </c>
      <c r="N392" s="150" t="str">
        <f ca="1">IF($M392=0,"",IF(INDEX(Data!$I$2051:$I$2550,$M392)=0,"Add ID","Row "&amp;(INDEX(Data!$I$2051:$I$2550,$M392)+7)))</f>
        <v/>
      </c>
    </row>
    <row r="393" spans="1:14" ht="40" customHeight="1">
      <c r="A393" s="135" t="str">
        <f ca="1">IF($M393=0,"",INDEX(Data!$W$2051:$W$2550,$M393))</f>
        <v/>
      </c>
      <c r="B393" s="138" t="str">
        <f ca="1">IF($M393=0,"",INDEX(Data!$B$2051:$B$2550,$M393))</f>
        <v/>
      </c>
      <c r="C393" s="141" t="str">
        <f ca="1">IF($M393=0,"",INDEX(Data!$C$2051:$C$2550,$M393))</f>
        <v/>
      </c>
      <c r="D393" s="141" t="str">
        <f ca="1">IF($M393=0,"",INDEX(Data!$D$2051:$D$2550,$M393))</f>
        <v/>
      </c>
      <c r="E393" s="142" t="str">
        <f ca="1">IF($M393=0,"",INDEX(Data!$G$2051:$G$2550,$M393))</f>
        <v/>
      </c>
      <c r="F393" s="141" t="str">
        <f ca="1">IF($M393=0,"",INDEX(Data!$F$2051:$F$2550,$M393))</f>
        <v/>
      </c>
      <c r="G393" s="143" t="str">
        <f ca="1">IF($M393=0,"",INDEX(Data!$K$2051:$K$2550,$M393))</f>
        <v/>
      </c>
      <c r="H393" s="141" t="str">
        <f ca="1">IF($M393=0,"",INDEX(Data!$L$2051:$L$2550,$M393))</f>
        <v/>
      </c>
      <c r="I393" s="144" t="str">
        <f ca="1">IF($M393=0,"",INDEX(Data!$T$2051:$T$2550,$M393))</f>
        <v/>
      </c>
      <c r="J393" s="141" t="str">
        <f ca="1">IF($M393=0,"",INDEX(Data!$U$2051:$U$2550,$M393))</f>
        <v/>
      </c>
      <c r="K393" s="141" t="str">
        <f ca="1">IF($M393=0,"",INDEX(Data!$AA$2051:$AA$2550,$M393))</f>
        <v/>
      </c>
      <c r="L393" s="141" t="str">
        <f ca="1">IF($M393=0,"",IF(INDEX(Data!$AN$2051:$AN$2550,$M393)=0,"",IF(INDEX(Data!$U$41:$U$540,INDEX(Data!$AN$2051:$AN$2550,$M393))="","",INDEX(Data!$U$41:$U$540,INDEX(Data!$AN$2051:$AN$2550,$M393)))))</f>
        <v/>
      </c>
      <c r="M393" s="132">
        <f ca="1">IF(COUNTIFS(Data!$AV$2051:$AV$2550,381)=1,MATCH(381,Data!$AV$2051:$AV$2550,0),0)</f>
        <v>0</v>
      </c>
      <c r="N393" s="145" t="str">
        <f ca="1">IF($M393=0,"",IF(INDEX(Data!$I$2051:$I$2550,$M393)=0,"Add ID","Row "&amp;(INDEX(Data!$I$2051:$I$2550,$M393)+7)))</f>
        <v/>
      </c>
    </row>
    <row r="394" spans="1:14" ht="40" customHeight="1">
      <c r="A394" s="136" t="str">
        <f ca="1">IF($M394=0,"",INDEX(Data!$W$2051:$W$2550,$M394))</f>
        <v/>
      </c>
      <c r="B394" s="139" t="str">
        <f ca="1">IF($M394=0,"",INDEX(Data!$B$2051:$B$2550,$M394))</f>
        <v/>
      </c>
      <c r="C394" s="146" t="str">
        <f ca="1">IF($M394=0,"",INDEX(Data!$C$2051:$C$2550,$M394))</f>
        <v/>
      </c>
      <c r="D394" s="146" t="str">
        <f ca="1">IF($M394=0,"",INDEX(Data!$D$2051:$D$2550,$M394))</f>
        <v/>
      </c>
      <c r="E394" s="147" t="str">
        <f ca="1">IF($M394=0,"",INDEX(Data!$G$2051:$G$2550,$M394))</f>
        <v/>
      </c>
      <c r="F394" s="146" t="str">
        <f ca="1">IF($M394=0,"",INDEX(Data!$F$2051:$F$2550,$M394))</f>
        <v/>
      </c>
      <c r="G394" s="148" t="str">
        <f ca="1">IF($M394=0,"",INDEX(Data!$K$2051:$K$2550,$M394))</f>
        <v/>
      </c>
      <c r="H394" s="146" t="str">
        <f ca="1">IF($M394=0,"",INDEX(Data!$L$2051:$L$2550,$M394))</f>
        <v/>
      </c>
      <c r="I394" s="149" t="str">
        <f ca="1">IF($M394=0,"",INDEX(Data!$T$2051:$T$2550,$M394))</f>
        <v/>
      </c>
      <c r="J394" s="146" t="str">
        <f ca="1">IF($M394=0,"",INDEX(Data!$U$2051:$U$2550,$M394))</f>
        <v/>
      </c>
      <c r="K394" s="146" t="str">
        <f ca="1">IF($M394=0,"",INDEX(Data!$AA$2051:$AA$2550,$M394))</f>
        <v/>
      </c>
      <c r="L394" s="146" t="str">
        <f ca="1">IF($M394=0,"",IF(INDEX(Data!$AN$2051:$AN$2550,$M394)=0,"",IF(INDEX(Data!$U$41:$U$540,INDEX(Data!$AN$2051:$AN$2550,$M394))="","",INDEX(Data!$U$41:$U$540,INDEX(Data!$AN$2051:$AN$2550,$M394)))))</f>
        <v/>
      </c>
      <c r="M394" s="132">
        <f ca="1">IF(COUNTIFS(Data!$AV$2051:$AV$2550,382)=1,MATCH(382,Data!$AV$2051:$AV$2550,0),0)</f>
        <v>0</v>
      </c>
      <c r="N394" s="150" t="str">
        <f ca="1">IF($M394=0,"",IF(INDEX(Data!$I$2051:$I$2550,$M394)=0,"Add ID","Row "&amp;(INDEX(Data!$I$2051:$I$2550,$M394)+7)))</f>
        <v/>
      </c>
    </row>
    <row r="395" spans="1:14" ht="40" customHeight="1">
      <c r="A395" s="135" t="str">
        <f ca="1">IF($M395=0,"",INDEX(Data!$W$2051:$W$2550,$M395))</f>
        <v/>
      </c>
      <c r="B395" s="138" t="str">
        <f ca="1">IF($M395=0,"",INDEX(Data!$B$2051:$B$2550,$M395))</f>
        <v/>
      </c>
      <c r="C395" s="141" t="str">
        <f ca="1">IF($M395=0,"",INDEX(Data!$C$2051:$C$2550,$M395))</f>
        <v/>
      </c>
      <c r="D395" s="141" t="str">
        <f ca="1">IF($M395=0,"",INDEX(Data!$D$2051:$D$2550,$M395))</f>
        <v/>
      </c>
      <c r="E395" s="142" t="str">
        <f ca="1">IF($M395=0,"",INDEX(Data!$G$2051:$G$2550,$M395))</f>
        <v/>
      </c>
      <c r="F395" s="141" t="str">
        <f ca="1">IF($M395=0,"",INDEX(Data!$F$2051:$F$2550,$M395))</f>
        <v/>
      </c>
      <c r="G395" s="143" t="str">
        <f ca="1">IF($M395=0,"",INDEX(Data!$K$2051:$K$2550,$M395))</f>
        <v/>
      </c>
      <c r="H395" s="141" t="str">
        <f ca="1">IF($M395=0,"",INDEX(Data!$L$2051:$L$2550,$M395))</f>
        <v/>
      </c>
      <c r="I395" s="144" t="str">
        <f ca="1">IF($M395=0,"",INDEX(Data!$T$2051:$T$2550,$M395))</f>
        <v/>
      </c>
      <c r="J395" s="141" t="str">
        <f ca="1">IF($M395=0,"",INDEX(Data!$U$2051:$U$2550,$M395))</f>
        <v/>
      </c>
      <c r="K395" s="141" t="str">
        <f ca="1">IF($M395=0,"",INDEX(Data!$AA$2051:$AA$2550,$M395))</f>
        <v/>
      </c>
      <c r="L395" s="141" t="str">
        <f ca="1">IF($M395=0,"",IF(INDEX(Data!$AN$2051:$AN$2550,$M395)=0,"",IF(INDEX(Data!$U$41:$U$540,INDEX(Data!$AN$2051:$AN$2550,$M395))="","",INDEX(Data!$U$41:$U$540,INDEX(Data!$AN$2051:$AN$2550,$M395)))))</f>
        <v/>
      </c>
      <c r="M395" s="132">
        <f ca="1">IF(COUNTIFS(Data!$AV$2051:$AV$2550,383)=1,MATCH(383,Data!$AV$2051:$AV$2550,0),0)</f>
        <v>0</v>
      </c>
      <c r="N395" s="145" t="str">
        <f ca="1">IF($M395=0,"",IF(INDEX(Data!$I$2051:$I$2550,$M395)=0,"Add ID","Row "&amp;(INDEX(Data!$I$2051:$I$2550,$M395)+7)))</f>
        <v/>
      </c>
    </row>
    <row r="396" spans="1:14" ht="40" customHeight="1">
      <c r="A396" s="136" t="str">
        <f ca="1">IF($M396=0,"",INDEX(Data!$W$2051:$W$2550,$M396))</f>
        <v/>
      </c>
      <c r="B396" s="139" t="str">
        <f ca="1">IF($M396=0,"",INDEX(Data!$B$2051:$B$2550,$M396))</f>
        <v/>
      </c>
      <c r="C396" s="146" t="str">
        <f ca="1">IF($M396=0,"",INDEX(Data!$C$2051:$C$2550,$M396))</f>
        <v/>
      </c>
      <c r="D396" s="146" t="str">
        <f ca="1">IF($M396=0,"",INDEX(Data!$D$2051:$D$2550,$M396))</f>
        <v/>
      </c>
      <c r="E396" s="147" t="str">
        <f ca="1">IF($M396=0,"",INDEX(Data!$G$2051:$G$2550,$M396))</f>
        <v/>
      </c>
      <c r="F396" s="146" t="str">
        <f ca="1">IF($M396=0,"",INDEX(Data!$F$2051:$F$2550,$M396))</f>
        <v/>
      </c>
      <c r="G396" s="148" t="str">
        <f ca="1">IF($M396=0,"",INDEX(Data!$K$2051:$K$2550,$M396))</f>
        <v/>
      </c>
      <c r="H396" s="146" t="str">
        <f ca="1">IF($M396=0,"",INDEX(Data!$L$2051:$L$2550,$M396))</f>
        <v/>
      </c>
      <c r="I396" s="149" t="str">
        <f ca="1">IF($M396=0,"",INDEX(Data!$T$2051:$T$2550,$M396))</f>
        <v/>
      </c>
      <c r="J396" s="146" t="str">
        <f ca="1">IF($M396=0,"",INDEX(Data!$U$2051:$U$2550,$M396))</f>
        <v/>
      </c>
      <c r="K396" s="146" t="str">
        <f ca="1">IF($M396=0,"",INDEX(Data!$AA$2051:$AA$2550,$M396))</f>
        <v/>
      </c>
      <c r="L396" s="146" t="str">
        <f ca="1">IF($M396=0,"",IF(INDEX(Data!$AN$2051:$AN$2550,$M396)=0,"",IF(INDEX(Data!$U$41:$U$540,INDEX(Data!$AN$2051:$AN$2550,$M396))="","",INDEX(Data!$U$41:$U$540,INDEX(Data!$AN$2051:$AN$2550,$M396)))))</f>
        <v/>
      </c>
      <c r="M396" s="132">
        <f ca="1">IF(COUNTIFS(Data!$AV$2051:$AV$2550,384)=1,MATCH(384,Data!$AV$2051:$AV$2550,0),0)</f>
        <v>0</v>
      </c>
      <c r="N396" s="150" t="str">
        <f ca="1">IF($M396=0,"",IF(INDEX(Data!$I$2051:$I$2550,$M396)=0,"Add ID","Row "&amp;(INDEX(Data!$I$2051:$I$2550,$M396)+7)))</f>
        <v/>
      </c>
    </row>
    <row r="397" spans="1:14" ht="40" customHeight="1">
      <c r="A397" s="135" t="str">
        <f ca="1">IF($M397=0,"",INDEX(Data!$W$2051:$W$2550,$M397))</f>
        <v/>
      </c>
      <c r="B397" s="138" t="str">
        <f ca="1">IF($M397=0,"",INDEX(Data!$B$2051:$B$2550,$M397))</f>
        <v/>
      </c>
      <c r="C397" s="141" t="str">
        <f ca="1">IF($M397=0,"",INDEX(Data!$C$2051:$C$2550,$M397))</f>
        <v/>
      </c>
      <c r="D397" s="141" t="str">
        <f ca="1">IF($M397=0,"",INDEX(Data!$D$2051:$D$2550,$M397))</f>
        <v/>
      </c>
      <c r="E397" s="142" t="str">
        <f ca="1">IF($M397=0,"",INDEX(Data!$G$2051:$G$2550,$M397))</f>
        <v/>
      </c>
      <c r="F397" s="141" t="str">
        <f ca="1">IF($M397=0,"",INDEX(Data!$F$2051:$F$2550,$M397))</f>
        <v/>
      </c>
      <c r="G397" s="143" t="str">
        <f ca="1">IF($M397=0,"",INDEX(Data!$K$2051:$K$2550,$M397))</f>
        <v/>
      </c>
      <c r="H397" s="141" t="str">
        <f ca="1">IF($M397=0,"",INDEX(Data!$L$2051:$L$2550,$M397))</f>
        <v/>
      </c>
      <c r="I397" s="144" t="str">
        <f ca="1">IF($M397=0,"",INDEX(Data!$T$2051:$T$2550,$M397))</f>
        <v/>
      </c>
      <c r="J397" s="141" t="str">
        <f ca="1">IF($M397=0,"",INDEX(Data!$U$2051:$U$2550,$M397))</f>
        <v/>
      </c>
      <c r="K397" s="141" t="str">
        <f ca="1">IF($M397=0,"",INDEX(Data!$AA$2051:$AA$2550,$M397))</f>
        <v/>
      </c>
      <c r="L397" s="141" t="str">
        <f ca="1">IF($M397=0,"",IF(INDEX(Data!$AN$2051:$AN$2550,$M397)=0,"",IF(INDEX(Data!$U$41:$U$540,INDEX(Data!$AN$2051:$AN$2550,$M397))="","",INDEX(Data!$U$41:$U$540,INDEX(Data!$AN$2051:$AN$2550,$M397)))))</f>
        <v/>
      </c>
      <c r="M397" s="132">
        <f ca="1">IF(COUNTIFS(Data!$AV$2051:$AV$2550,385)=1,MATCH(385,Data!$AV$2051:$AV$2550,0),0)</f>
        <v>0</v>
      </c>
      <c r="N397" s="145" t="str">
        <f ca="1">IF($M397=0,"",IF(INDEX(Data!$I$2051:$I$2550,$M397)=0,"Add ID","Row "&amp;(INDEX(Data!$I$2051:$I$2550,$M397)+7)))</f>
        <v/>
      </c>
    </row>
    <row r="398" spans="1:14" ht="40" customHeight="1">
      <c r="A398" s="136" t="str">
        <f ca="1">IF($M398=0,"",INDEX(Data!$W$2051:$W$2550,$M398))</f>
        <v/>
      </c>
      <c r="B398" s="139" t="str">
        <f ca="1">IF($M398=0,"",INDEX(Data!$B$2051:$B$2550,$M398))</f>
        <v/>
      </c>
      <c r="C398" s="146" t="str">
        <f ca="1">IF($M398=0,"",INDEX(Data!$C$2051:$C$2550,$M398))</f>
        <v/>
      </c>
      <c r="D398" s="146" t="str">
        <f ca="1">IF($M398=0,"",INDEX(Data!$D$2051:$D$2550,$M398))</f>
        <v/>
      </c>
      <c r="E398" s="147" t="str">
        <f ca="1">IF($M398=0,"",INDEX(Data!$G$2051:$G$2550,$M398))</f>
        <v/>
      </c>
      <c r="F398" s="146" t="str">
        <f ca="1">IF($M398=0,"",INDEX(Data!$F$2051:$F$2550,$M398))</f>
        <v/>
      </c>
      <c r="G398" s="148" t="str">
        <f ca="1">IF($M398=0,"",INDEX(Data!$K$2051:$K$2550,$M398))</f>
        <v/>
      </c>
      <c r="H398" s="146" t="str">
        <f ca="1">IF($M398=0,"",INDEX(Data!$L$2051:$L$2550,$M398))</f>
        <v/>
      </c>
      <c r="I398" s="149" t="str">
        <f ca="1">IF($M398=0,"",INDEX(Data!$T$2051:$T$2550,$M398))</f>
        <v/>
      </c>
      <c r="J398" s="146" t="str">
        <f ca="1">IF($M398=0,"",INDEX(Data!$U$2051:$U$2550,$M398))</f>
        <v/>
      </c>
      <c r="K398" s="146" t="str">
        <f ca="1">IF($M398=0,"",INDEX(Data!$AA$2051:$AA$2550,$M398))</f>
        <v/>
      </c>
      <c r="L398" s="146" t="str">
        <f ca="1">IF($M398=0,"",IF(INDEX(Data!$AN$2051:$AN$2550,$M398)=0,"",IF(INDEX(Data!$U$41:$U$540,INDEX(Data!$AN$2051:$AN$2550,$M398))="","",INDEX(Data!$U$41:$U$540,INDEX(Data!$AN$2051:$AN$2550,$M398)))))</f>
        <v/>
      </c>
      <c r="M398" s="132">
        <f ca="1">IF(COUNTIFS(Data!$AV$2051:$AV$2550,386)=1,MATCH(386,Data!$AV$2051:$AV$2550,0),0)</f>
        <v>0</v>
      </c>
      <c r="N398" s="150" t="str">
        <f ca="1">IF($M398=0,"",IF(INDEX(Data!$I$2051:$I$2550,$M398)=0,"Add ID","Row "&amp;(INDEX(Data!$I$2051:$I$2550,$M398)+7)))</f>
        <v/>
      </c>
    </row>
    <row r="399" spans="1:14" ht="40" customHeight="1">
      <c r="A399" s="135" t="str">
        <f ca="1">IF($M399=0,"",INDEX(Data!$W$2051:$W$2550,$M399))</f>
        <v/>
      </c>
      <c r="B399" s="138" t="str">
        <f ca="1">IF($M399=0,"",INDEX(Data!$B$2051:$B$2550,$M399))</f>
        <v/>
      </c>
      <c r="C399" s="141" t="str">
        <f ca="1">IF($M399=0,"",INDEX(Data!$C$2051:$C$2550,$M399))</f>
        <v/>
      </c>
      <c r="D399" s="141" t="str">
        <f ca="1">IF($M399=0,"",INDEX(Data!$D$2051:$D$2550,$M399))</f>
        <v/>
      </c>
      <c r="E399" s="142" t="str">
        <f ca="1">IF($M399=0,"",INDEX(Data!$G$2051:$G$2550,$M399))</f>
        <v/>
      </c>
      <c r="F399" s="141" t="str">
        <f ca="1">IF($M399=0,"",INDEX(Data!$F$2051:$F$2550,$M399))</f>
        <v/>
      </c>
      <c r="G399" s="143" t="str">
        <f ca="1">IF($M399=0,"",INDEX(Data!$K$2051:$K$2550,$M399))</f>
        <v/>
      </c>
      <c r="H399" s="141" t="str">
        <f ca="1">IF($M399=0,"",INDEX(Data!$L$2051:$L$2550,$M399))</f>
        <v/>
      </c>
      <c r="I399" s="144" t="str">
        <f ca="1">IF($M399=0,"",INDEX(Data!$T$2051:$T$2550,$M399))</f>
        <v/>
      </c>
      <c r="J399" s="141" t="str">
        <f ca="1">IF($M399=0,"",INDEX(Data!$U$2051:$U$2550,$M399))</f>
        <v/>
      </c>
      <c r="K399" s="141" t="str">
        <f ca="1">IF($M399=0,"",INDEX(Data!$AA$2051:$AA$2550,$M399))</f>
        <v/>
      </c>
      <c r="L399" s="141" t="str">
        <f ca="1">IF($M399=0,"",IF(INDEX(Data!$AN$2051:$AN$2550,$M399)=0,"",IF(INDEX(Data!$U$41:$U$540,INDEX(Data!$AN$2051:$AN$2550,$M399))="","",INDEX(Data!$U$41:$U$540,INDEX(Data!$AN$2051:$AN$2550,$M399)))))</f>
        <v/>
      </c>
      <c r="M399" s="132">
        <f ca="1">IF(COUNTIFS(Data!$AV$2051:$AV$2550,387)=1,MATCH(387,Data!$AV$2051:$AV$2550,0),0)</f>
        <v>0</v>
      </c>
      <c r="N399" s="145" t="str">
        <f ca="1">IF($M399=0,"",IF(INDEX(Data!$I$2051:$I$2550,$M399)=0,"Add ID","Row "&amp;(INDEX(Data!$I$2051:$I$2550,$M399)+7)))</f>
        <v/>
      </c>
    </row>
    <row r="400" spans="1:14" ht="40" customHeight="1">
      <c r="A400" s="136" t="str">
        <f ca="1">IF($M400=0,"",INDEX(Data!$W$2051:$W$2550,$M400))</f>
        <v/>
      </c>
      <c r="B400" s="139" t="str">
        <f ca="1">IF($M400=0,"",INDEX(Data!$B$2051:$B$2550,$M400))</f>
        <v/>
      </c>
      <c r="C400" s="146" t="str">
        <f ca="1">IF($M400=0,"",INDEX(Data!$C$2051:$C$2550,$M400))</f>
        <v/>
      </c>
      <c r="D400" s="146" t="str">
        <f ca="1">IF($M400=0,"",INDEX(Data!$D$2051:$D$2550,$M400))</f>
        <v/>
      </c>
      <c r="E400" s="147" t="str">
        <f ca="1">IF($M400=0,"",INDEX(Data!$G$2051:$G$2550,$M400))</f>
        <v/>
      </c>
      <c r="F400" s="146" t="str">
        <f ca="1">IF($M400=0,"",INDEX(Data!$F$2051:$F$2550,$M400))</f>
        <v/>
      </c>
      <c r="G400" s="148" t="str">
        <f ca="1">IF($M400=0,"",INDEX(Data!$K$2051:$K$2550,$M400))</f>
        <v/>
      </c>
      <c r="H400" s="146" t="str">
        <f ca="1">IF($M400=0,"",INDEX(Data!$L$2051:$L$2550,$M400))</f>
        <v/>
      </c>
      <c r="I400" s="149" t="str">
        <f ca="1">IF($M400=0,"",INDEX(Data!$T$2051:$T$2550,$M400))</f>
        <v/>
      </c>
      <c r="J400" s="146" t="str">
        <f ca="1">IF($M400=0,"",INDEX(Data!$U$2051:$U$2550,$M400))</f>
        <v/>
      </c>
      <c r="K400" s="146" t="str">
        <f ca="1">IF($M400=0,"",INDEX(Data!$AA$2051:$AA$2550,$M400))</f>
        <v/>
      </c>
      <c r="L400" s="146" t="str">
        <f ca="1">IF($M400=0,"",IF(INDEX(Data!$AN$2051:$AN$2550,$M400)=0,"",IF(INDEX(Data!$U$41:$U$540,INDEX(Data!$AN$2051:$AN$2550,$M400))="","",INDEX(Data!$U$41:$U$540,INDEX(Data!$AN$2051:$AN$2550,$M400)))))</f>
        <v/>
      </c>
      <c r="M400" s="132">
        <f ca="1">IF(COUNTIFS(Data!$AV$2051:$AV$2550,388)=1,MATCH(388,Data!$AV$2051:$AV$2550,0),0)</f>
        <v>0</v>
      </c>
      <c r="N400" s="150" t="str">
        <f ca="1">IF($M400=0,"",IF(INDEX(Data!$I$2051:$I$2550,$M400)=0,"Add ID","Row "&amp;(INDEX(Data!$I$2051:$I$2550,$M400)+7)))</f>
        <v/>
      </c>
    </row>
    <row r="401" spans="1:14" ht="40" customHeight="1">
      <c r="A401" s="135" t="str">
        <f ca="1">IF($M401=0,"",INDEX(Data!$W$2051:$W$2550,$M401))</f>
        <v/>
      </c>
      <c r="B401" s="138" t="str">
        <f ca="1">IF($M401=0,"",INDEX(Data!$B$2051:$B$2550,$M401))</f>
        <v/>
      </c>
      <c r="C401" s="141" t="str">
        <f ca="1">IF($M401=0,"",INDEX(Data!$C$2051:$C$2550,$M401))</f>
        <v/>
      </c>
      <c r="D401" s="141" t="str">
        <f ca="1">IF($M401=0,"",INDEX(Data!$D$2051:$D$2550,$M401))</f>
        <v/>
      </c>
      <c r="E401" s="142" t="str">
        <f ca="1">IF($M401=0,"",INDEX(Data!$G$2051:$G$2550,$M401))</f>
        <v/>
      </c>
      <c r="F401" s="141" t="str">
        <f ca="1">IF($M401=0,"",INDEX(Data!$F$2051:$F$2550,$M401))</f>
        <v/>
      </c>
      <c r="G401" s="143" t="str">
        <f ca="1">IF($M401=0,"",INDEX(Data!$K$2051:$K$2550,$M401))</f>
        <v/>
      </c>
      <c r="H401" s="141" t="str">
        <f ca="1">IF($M401=0,"",INDEX(Data!$L$2051:$L$2550,$M401))</f>
        <v/>
      </c>
      <c r="I401" s="144" t="str">
        <f ca="1">IF($M401=0,"",INDEX(Data!$T$2051:$T$2550,$M401))</f>
        <v/>
      </c>
      <c r="J401" s="141" t="str">
        <f ca="1">IF($M401=0,"",INDEX(Data!$U$2051:$U$2550,$M401))</f>
        <v/>
      </c>
      <c r="K401" s="141" t="str">
        <f ca="1">IF($M401=0,"",INDEX(Data!$AA$2051:$AA$2550,$M401))</f>
        <v/>
      </c>
      <c r="L401" s="141" t="str">
        <f ca="1">IF($M401=0,"",IF(INDEX(Data!$AN$2051:$AN$2550,$M401)=0,"",IF(INDEX(Data!$U$41:$U$540,INDEX(Data!$AN$2051:$AN$2550,$M401))="","",INDEX(Data!$U$41:$U$540,INDEX(Data!$AN$2051:$AN$2550,$M401)))))</f>
        <v/>
      </c>
      <c r="M401" s="132">
        <f ca="1">IF(COUNTIFS(Data!$AV$2051:$AV$2550,389)=1,MATCH(389,Data!$AV$2051:$AV$2550,0),0)</f>
        <v>0</v>
      </c>
      <c r="N401" s="145" t="str">
        <f ca="1">IF($M401=0,"",IF(INDEX(Data!$I$2051:$I$2550,$M401)=0,"Add ID","Row "&amp;(INDEX(Data!$I$2051:$I$2550,$M401)+7)))</f>
        <v/>
      </c>
    </row>
    <row r="402" spans="1:14" ht="40" customHeight="1">
      <c r="A402" s="136" t="str">
        <f ca="1">IF($M402=0,"",INDEX(Data!$W$2051:$W$2550,$M402))</f>
        <v/>
      </c>
      <c r="B402" s="139" t="str">
        <f ca="1">IF($M402=0,"",INDEX(Data!$B$2051:$B$2550,$M402))</f>
        <v/>
      </c>
      <c r="C402" s="146" t="str">
        <f ca="1">IF($M402=0,"",INDEX(Data!$C$2051:$C$2550,$M402))</f>
        <v/>
      </c>
      <c r="D402" s="146" t="str">
        <f ca="1">IF($M402=0,"",INDEX(Data!$D$2051:$D$2550,$M402))</f>
        <v/>
      </c>
      <c r="E402" s="147" t="str">
        <f ca="1">IF($M402=0,"",INDEX(Data!$G$2051:$G$2550,$M402))</f>
        <v/>
      </c>
      <c r="F402" s="146" t="str">
        <f ca="1">IF($M402=0,"",INDEX(Data!$F$2051:$F$2550,$M402))</f>
        <v/>
      </c>
      <c r="G402" s="148" t="str">
        <f ca="1">IF($M402=0,"",INDEX(Data!$K$2051:$K$2550,$M402))</f>
        <v/>
      </c>
      <c r="H402" s="146" t="str">
        <f ca="1">IF($M402=0,"",INDEX(Data!$L$2051:$L$2550,$M402))</f>
        <v/>
      </c>
      <c r="I402" s="149" t="str">
        <f ca="1">IF($M402=0,"",INDEX(Data!$T$2051:$T$2550,$M402))</f>
        <v/>
      </c>
      <c r="J402" s="146" t="str">
        <f ca="1">IF($M402=0,"",INDEX(Data!$U$2051:$U$2550,$M402))</f>
        <v/>
      </c>
      <c r="K402" s="146" t="str">
        <f ca="1">IF($M402=0,"",INDEX(Data!$AA$2051:$AA$2550,$M402))</f>
        <v/>
      </c>
      <c r="L402" s="146" t="str">
        <f ca="1">IF($M402=0,"",IF(INDEX(Data!$AN$2051:$AN$2550,$M402)=0,"",IF(INDEX(Data!$U$41:$U$540,INDEX(Data!$AN$2051:$AN$2550,$M402))="","",INDEX(Data!$U$41:$U$540,INDEX(Data!$AN$2051:$AN$2550,$M402)))))</f>
        <v/>
      </c>
      <c r="M402" s="132">
        <f ca="1">IF(COUNTIFS(Data!$AV$2051:$AV$2550,390)=1,MATCH(390,Data!$AV$2051:$AV$2550,0),0)</f>
        <v>0</v>
      </c>
      <c r="N402" s="150" t="str">
        <f ca="1">IF($M402=0,"",IF(INDEX(Data!$I$2051:$I$2550,$M402)=0,"Add ID","Row "&amp;(INDEX(Data!$I$2051:$I$2550,$M402)+7)))</f>
        <v/>
      </c>
    </row>
    <row r="403" spans="1:14" ht="40" customHeight="1">
      <c r="A403" s="135" t="str">
        <f ca="1">IF($M403=0,"",INDEX(Data!$W$2051:$W$2550,$M403))</f>
        <v/>
      </c>
      <c r="B403" s="138" t="str">
        <f ca="1">IF($M403=0,"",INDEX(Data!$B$2051:$B$2550,$M403))</f>
        <v/>
      </c>
      <c r="C403" s="141" t="str">
        <f ca="1">IF($M403=0,"",INDEX(Data!$C$2051:$C$2550,$M403))</f>
        <v/>
      </c>
      <c r="D403" s="141" t="str">
        <f ca="1">IF($M403=0,"",INDEX(Data!$D$2051:$D$2550,$M403))</f>
        <v/>
      </c>
      <c r="E403" s="142" t="str">
        <f ca="1">IF($M403=0,"",INDEX(Data!$G$2051:$G$2550,$M403))</f>
        <v/>
      </c>
      <c r="F403" s="141" t="str">
        <f ca="1">IF($M403=0,"",INDEX(Data!$F$2051:$F$2550,$M403))</f>
        <v/>
      </c>
      <c r="G403" s="143" t="str">
        <f ca="1">IF($M403=0,"",INDEX(Data!$K$2051:$K$2550,$M403))</f>
        <v/>
      </c>
      <c r="H403" s="141" t="str">
        <f ca="1">IF($M403=0,"",INDEX(Data!$L$2051:$L$2550,$M403))</f>
        <v/>
      </c>
      <c r="I403" s="144" t="str">
        <f ca="1">IF($M403=0,"",INDEX(Data!$T$2051:$T$2550,$M403))</f>
        <v/>
      </c>
      <c r="J403" s="141" t="str">
        <f ca="1">IF($M403=0,"",INDEX(Data!$U$2051:$U$2550,$M403))</f>
        <v/>
      </c>
      <c r="K403" s="141" t="str">
        <f ca="1">IF($M403=0,"",INDEX(Data!$AA$2051:$AA$2550,$M403))</f>
        <v/>
      </c>
      <c r="L403" s="141" t="str">
        <f ca="1">IF($M403=0,"",IF(INDEX(Data!$AN$2051:$AN$2550,$M403)=0,"",IF(INDEX(Data!$U$41:$U$540,INDEX(Data!$AN$2051:$AN$2550,$M403))="","",INDEX(Data!$U$41:$U$540,INDEX(Data!$AN$2051:$AN$2550,$M403)))))</f>
        <v/>
      </c>
      <c r="M403" s="132">
        <f ca="1">IF(COUNTIFS(Data!$AV$2051:$AV$2550,391)=1,MATCH(391,Data!$AV$2051:$AV$2550,0),0)</f>
        <v>0</v>
      </c>
      <c r="N403" s="145" t="str">
        <f ca="1">IF($M403=0,"",IF(INDEX(Data!$I$2051:$I$2550,$M403)=0,"Add ID","Row "&amp;(INDEX(Data!$I$2051:$I$2550,$M403)+7)))</f>
        <v/>
      </c>
    </row>
    <row r="404" spans="1:14" ht="40" customHeight="1">
      <c r="A404" s="136" t="str">
        <f ca="1">IF($M404=0,"",INDEX(Data!$W$2051:$W$2550,$M404))</f>
        <v/>
      </c>
      <c r="B404" s="139" t="str">
        <f ca="1">IF($M404=0,"",INDEX(Data!$B$2051:$B$2550,$M404))</f>
        <v/>
      </c>
      <c r="C404" s="146" t="str">
        <f ca="1">IF($M404=0,"",INDEX(Data!$C$2051:$C$2550,$M404))</f>
        <v/>
      </c>
      <c r="D404" s="146" t="str">
        <f ca="1">IF($M404=0,"",INDEX(Data!$D$2051:$D$2550,$M404))</f>
        <v/>
      </c>
      <c r="E404" s="147" t="str">
        <f ca="1">IF($M404=0,"",INDEX(Data!$G$2051:$G$2550,$M404))</f>
        <v/>
      </c>
      <c r="F404" s="146" t="str">
        <f ca="1">IF($M404=0,"",INDEX(Data!$F$2051:$F$2550,$M404))</f>
        <v/>
      </c>
      <c r="G404" s="148" t="str">
        <f ca="1">IF($M404=0,"",INDEX(Data!$K$2051:$K$2550,$M404))</f>
        <v/>
      </c>
      <c r="H404" s="146" t="str">
        <f ca="1">IF($M404=0,"",INDEX(Data!$L$2051:$L$2550,$M404))</f>
        <v/>
      </c>
      <c r="I404" s="149" t="str">
        <f ca="1">IF($M404=0,"",INDEX(Data!$T$2051:$T$2550,$M404))</f>
        <v/>
      </c>
      <c r="J404" s="146" t="str">
        <f ca="1">IF($M404=0,"",INDEX(Data!$U$2051:$U$2550,$M404))</f>
        <v/>
      </c>
      <c r="K404" s="146" t="str">
        <f ca="1">IF($M404=0,"",INDEX(Data!$AA$2051:$AA$2550,$M404))</f>
        <v/>
      </c>
      <c r="L404" s="146" t="str">
        <f ca="1">IF($M404=0,"",IF(INDEX(Data!$AN$2051:$AN$2550,$M404)=0,"",IF(INDEX(Data!$U$41:$U$540,INDEX(Data!$AN$2051:$AN$2550,$M404))="","",INDEX(Data!$U$41:$U$540,INDEX(Data!$AN$2051:$AN$2550,$M404)))))</f>
        <v/>
      </c>
      <c r="M404" s="132">
        <f ca="1">IF(COUNTIFS(Data!$AV$2051:$AV$2550,392)=1,MATCH(392,Data!$AV$2051:$AV$2550,0),0)</f>
        <v>0</v>
      </c>
      <c r="N404" s="150" t="str">
        <f ca="1">IF($M404=0,"",IF(INDEX(Data!$I$2051:$I$2550,$M404)=0,"Add ID","Row "&amp;(INDEX(Data!$I$2051:$I$2550,$M404)+7)))</f>
        <v/>
      </c>
    </row>
    <row r="405" spans="1:14" ht="40" customHeight="1">
      <c r="A405" s="135" t="str">
        <f ca="1">IF($M405=0,"",INDEX(Data!$W$2051:$W$2550,$M405))</f>
        <v/>
      </c>
      <c r="B405" s="138" t="str">
        <f ca="1">IF($M405=0,"",INDEX(Data!$B$2051:$B$2550,$M405))</f>
        <v/>
      </c>
      <c r="C405" s="141" t="str">
        <f ca="1">IF($M405=0,"",INDEX(Data!$C$2051:$C$2550,$M405))</f>
        <v/>
      </c>
      <c r="D405" s="141" t="str">
        <f ca="1">IF($M405=0,"",INDEX(Data!$D$2051:$D$2550,$M405))</f>
        <v/>
      </c>
      <c r="E405" s="142" t="str">
        <f ca="1">IF($M405=0,"",INDEX(Data!$G$2051:$G$2550,$M405))</f>
        <v/>
      </c>
      <c r="F405" s="141" t="str">
        <f ca="1">IF($M405=0,"",INDEX(Data!$F$2051:$F$2550,$M405))</f>
        <v/>
      </c>
      <c r="G405" s="143" t="str">
        <f ca="1">IF($M405=0,"",INDEX(Data!$K$2051:$K$2550,$M405))</f>
        <v/>
      </c>
      <c r="H405" s="141" t="str">
        <f ca="1">IF($M405=0,"",INDEX(Data!$L$2051:$L$2550,$M405))</f>
        <v/>
      </c>
      <c r="I405" s="144" t="str">
        <f ca="1">IF($M405=0,"",INDEX(Data!$T$2051:$T$2550,$M405))</f>
        <v/>
      </c>
      <c r="J405" s="141" t="str">
        <f ca="1">IF($M405=0,"",INDEX(Data!$U$2051:$U$2550,$M405))</f>
        <v/>
      </c>
      <c r="K405" s="141" t="str">
        <f ca="1">IF($M405=0,"",INDEX(Data!$AA$2051:$AA$2550,$M405))</f>
        <v/>
      </c>
      <c r="L405" s="141" t="str">
        <f ca="1">IF($M405=0,"",IF(INDEX(Data!$AN$2051:$AN$2550,$M405)=0,"",IF(INDEX(Data!$U$41:$U$540,INDEX(Data!$AN$2051:$AN$2550,$M405))="","",INDEX(Data!$U$41:$U$540,INDEX(Data!$AN$2051:$AN$2550,$M405)))))</f>
        <v/>
      </c>
      <c r="M405" s="132">
        <f ca="1">IF(COUNTIFS(Data!$AV$2051:$AV$2550,393)=1,MATCH(393,Data!$AV$2051:$AV$2550,0),0)</f>
        <v>0</v>
      </c>
      <c r="N405" s="145" t="str">
        <f ca="1">IF($M405=0,"",IF(INDEX(Data!$I$2051:$I$2550,$M405)=0,"Add ID","Row "&amp;(INDEX(Data!$I$2051:$I$2550,$M405)+7)))</f>
        <v/>
      </c>
    </row>
    <row r="406" spans="1:14" ht="40" customHeight="1">
      <c r="A406" s="136" t="str">
        <f ca="1">IF($M406=0,"",INDEX(Data!$W$2051:$W$2550,$M406))</f>
        <v/>
      </c>
      <c r="B406" s="139" t="str">
        <f ca="1">IF($M406=0,"",INDEX(Data!$B$2051:$B$2550,$M406))</f>
        <v/>
      </c>
      <c r="C406" s="146" t="str">
        <f ca="1">IF($M406=0,"",INDEX(Data!$C$2051:$C$2550,$M406))</f>
        <v/>
      </c>
      <c r="D406" s="146" t="str">
        <f ca="1">IF($M406=0,"",INDEX(Data!$D$2051:$D$2550,$M406))</f>
        <v/>
      </c>
      <c r="E406" s="147" t="str">
        <f ca="1">IF($M406=0,"",INDEX(Data!$G$2051:$G$2550,$M406))</f>
        <v/>
      </c>
      <c r="F406" s="146" t="str">
        <f ca="1">IF($M406=0,"",INDEX(Data!$F$2051:$F$2550,$M406))</f>
        <v/>
      </c>
      <c r="G406" s="148" t="str">
        <f ca="1">IF($M406=0,"",INDEX(Data!$K$2051:$K$2550,$M406))</f>
        <v/>
      </c>
      <c r="H406" s="146" t="str">
        <f ca="1">IF($M406=0,"",INDEX(Data!$L$2051:$L$2550,$M406))</f>
        <v/>
      </c>
      <c r="I406" s="149" t="str">
        <f ca="1">IF($M406=0,"",INDEX(Data!$T$2051:$T$2550,$M406))</f>
        <v/>
      </c>
      <c r="J406" s="146" t="str">
        <f ca="1">IF($M406=0,"",INDEX(Data!$U$2051:$U$2550,$M406))</f>
        <v/>
      </c>
      <c r="K406" s="146" t="str">
        <f ca="1">IF($M406=0,"",INDEX(Data!$AA$2051:$AA$2550,$M406))</f>
        <v/>
      </c>
      <c r="L406" s="146" t="str">
        <f ca="1">IF($M406=0,"",IF(INDEX(Data!$AN$2051:$AN$2550,$M406)=0,"",IF(INDEX(Data!$U$41:$U$540,INDEX(Data!$AN$2051:$AN$2550,$M406))="","",INDEX(Data!$U$41:$U$540,INDEX(Data!$AN$2051:$AN$2550,$M406)))))</f>
        <v/>
      </c>
      <c r="M406" s="132">
        <f ca="1">IF(COUNTIFS(Data!$AV$2051:$AV$2550,394)=1,MATCH(394,Data!$AV$2051:$AV$2550,0),0)</f>
        <v>0</v>
      </c>
      <c r="N406" s="150" t="str">
        <f ca="1">IF($M406=0,"",IF(INDEX(Data!$I$2051:$I$2550,$M406)=0,"Add ID","Row "&amp;(INDEX(Data!$I$2051:$I$2550,$M406)+7)))</f>
        <v/>
      </c>
    </row>
    <row r="407" spans="1:14" ht="40" customHeight="1">
      <c r="A407" s="135" t="str">
        <f ca="1">IF($M407=0,"",INDEX(Data!$W$2051:$W$2550,$M407))</f>
        <v/>
      </c>
      <c r="B407" s="138" t="str">
        <f ca="1">IF($M407=0,"",INDEX(Data!$B$2051:$B$2550,$M407))</f>
        <v/>
      </c>
      <c r="C407" s="141" t="str">
        <f ca="1">IF($M407=0,"",INDEX(Data!$C$2051:$C$2550,$M407))</f>
        <v/>
      </c>
      <c r="D407" s="141" t="str">
        <f ca="1">IF($M407=0,"",INDEX(Data!$D$2051:$D$2550,$M407))</f>
        <v/>
      </c>
      <c r="E407" s="142" t="str">
        <f ca="1">IF($M407=0,"",INDEX(Data!$G$2051:$G$2550,$M407))</f>
        <v/>
      </c>
      <c r="F407" s="141" t="str">
        <f ca="1">IF($M407=0,"",INDEX(Data!$F$2051:$F$2550,$M407))</f>
        <v/>
      </c>
      <c r="G407" s="143" t="str">
        <f ca="1">IF($M407=0,"",INDEX(Data!$K$2051:$K$2550,$M407))</f>
        <v/>
      </c>
      <c r="H407" s="141" t="str">
        <f ca="1">IF($M407=0,"",INDEX(Data!$L$2051:$L$2550,$M407))</f>
        <v/>
      </c>
      <c r="I407" s="144" t="str">
        <f ca="1">IF($M407=0,"",INDEX(Data!$T$2051:$T$2550,$M407))</f>
        <v/>
      </c>
      <c r="J407" s="141" t="str">
        <f ca="1">IF($M407=0,"",INDEX(Data!$U$2051:$U$2550,$M407))</f>
        <v/>
      </c>
      <c r="K407" s="141" t="str">
        <f ca="1">IF($M407=0,"",INDEX(Data!$AA$2051:$AA$2550,$M407))</f>
        <v/>
      </c>
      <c r="L407" s="141" t="str">
        <f ca="1">IF($M407=0,"",IF(INDEX(Data!$AN$2051:$AN$2550,$M407)=0,"",IF(INDEX(Data!$U$41:$U$540,INDEX(Data!$AN$2051:$AN$2550,$M407))="","",INDEX(Data!$U$41:$U$540,INDEX(Data!$AN$2051:$AN$2550,$M407)))))</f>
        <v/>
      </c>
      <c r="M407" s="132">
        <f ca="1">IF(COUNTIFS(Data!$AV$2051:$AV$2550,395)=1,MATCH(395,Data!$AV$2051:$AV$2550,0),0)</f>
        <v>0</v>
      </c>
      <c r="N407" s="145" t="str">
        <f ca="1">IF($M407=0,"",IF(INDEX(Data!$I$2051:$I$2550,$M407)=0,"Add ID","Row "&amp;(INDEX(Data!$I$2051:$I$2550,$M407)+7)))</f>
        <v/>
      </c>
    </row>
    <row r="408" spans="1:14" ht="40" customHeight="1">
      <c r="A408" s="136" t="str">
        <f ca="1">IF($M408=0,"",INDEX(Data!$W$2051:$W$2550,$M408))</f>
        <v/>
      </c>
      <c r="B408" s="139" t="str">
        <f ca="1">IF($M408=0,"",INDEX(Data!$B$2051:$B$2550,$M408))</f>
        <v/>
      </c>
      <c r="C408" s="146" t="str">
        <f ca="1">IF($M408=0,"",INDEX(Data!$C$2051:$C$2550,$M408))</f>
        <v/>
      </c>
      <c r="D408" s="146" t="str">
        <f ca="1">IF($M408=0,"",INDEX(Data!$D$2051:$D$2550,$M408))</f>
        <v/>
      </c>
      <c r="E408" s="147" t="str">
        <f ca="1">IF($M408=0,"",INDEX(Data!$G$2051:$G$2550,$M408))</f>
        <v/>
      </c>
      <c r="F408" s="146" t="str">
        <f ca="1">IF($M408=0,"",INDEX(Data!$F$2051:$F$2550,$M408))</f>
        <v/>
      </c>
      <c r="G408" s="148" t="str">
        <f ca="1">IF($M408=0,"",INDEX(Data!$K$2051:$K$2550,$M408))</f>
        <v/>
      </c>
      <c r="H408" s="146" t="str">
        <f ca="1">IF($M408=0,"",INDEX(Data!$L$2051:$L$2550,$M408))</f>
        <v/>
      </c>
      <c r="I408" s="149" t="str">
        <f ca="1">IF($M408=0,"",INDEX(Data!$T$2051:$T$2550,$M408))</f>
        <v/>
      </c>
      <c r="J408" s="146" t="str">
        <f ca="1">IF($M408=0,"",INDEX(Data!$U$2051:$U$2550,$M408))</f>
        <v/>
      </c>
      <c r="K408" s="146" t="str">
        <f ca="1">IF($M408=0,"",INDEX(Data!$AA$2051:$AA$2550,$M408))</f>
        <v/>
      </c>
      <c r="L408" s="146" t="str">
        <f ca="1">IF($M408=0,"",IF(INDEX(Data!$AN$2051:$AN$2550,$M408)=0,"",IF(INDEX(Data!$U$41:$U$540,INDEX(Data!$AN$2051:$AN$2550,$M408))="","",INDEX(Data!$U$41:$U$540,INDEX(Data!$AN$2051:$AN$2550,$M408)))))</f>
        <v/>
      </c>
      <c r="M408" s="132">
        <f ca="1">IF(COUNTIFS(Data!$AV$2051:$AV$2550,396)=1,MATCH(396,Data!$AV$2051:$AV$2550,0),0)</f>
        <v>0</v>
      </c>
      <c r="N408" s="150" t="str">
        <f ca="1">IF($M408=0,"",IF(INDEX(Data!$I$2051:$I$2550,$M408)=0,"Add ID","Row "&amp;(INDEX(Data!$I$2051:$I$2550,$M408)+7)))</f>
        <v/>
      </c>
    </row>
    <row r="409" spans="1:14" ht="40" customHeight="1">
      <c r="A409" s="135" t="str">
        <f ca="1">IF($M409=0,"",INDEX(Data!$W$2051:$W$2550,$M409))</f>
        <v/>
      </c>
      <c r="B409" s="138" t="str">
        <f ca="1">IF($M409=0,"",INDEX(Data!$B$2051:$B$2550,$M409))</f>
        <v/>
      </c>
      <c r="C409" s="141" t="str">
        <f ca="1">IF($M409=0,"",INDEX(Data!$C$2051:$C$2550,$M409))</f>
        <v/>
      </c>
      <c r="D409" s="141" t="str">
        <f ca="1">IF($M409=0,"",INDEX(Data!$D$2051:$D$2550,$M409))</f>
        <v/>
      </c>
      <c r="E409" s="142" t="str">
        <f ca="1">IF($M409=0,"",INDEX(Data!$G$2051:$G$2550,$M409))</f>
        <v/>
      </c>
      <c r="F409" s="141" t="str">
        <f ca="1">IF($M409=0,"",INDEX(Data!$F$2051:$F$2550,$M409))</f>
        <v/>
      </c>
      <c r="G409" s="143" t="str">
        <f ca="1">IF($M409=0,"",INDEX(Data!$K$2051:$K$2550,$M409))</f>
        <v/>
      </c>
      <c r="H409" s="141" t="str">
        <f ca="1">IF($M409=0,"",INDEX(Data!$L$2051:$L$2550,$M409))</f>
        <v/>
      </c>
      <c r="I409" s="144" t="str">
        <f ca="1">IF($M409=0,"",INDEX(Data!$T$2051:$T$2550,$M409))</f>
        <v/>
      </c>
      <c r="J409" s="141" t="str">
        <f ca="1">IF($M409=0,"",INDEX(Data!$U$2051:$U$2550,$M409))</f>
        <v/>
      </c>
      <c r="K409" s="141" t="str">
        <f ca="1">IF($M409=0,"",INDEX(Data!$AA$2051:$AA$2550,$M409))</f>
        <v/>
      </c>
      <c r="L409" s="141" t="str">
        <f ca="1">IF($M409=0,"",IF(INDEX(Data!$AN$2051:$AN$2550,$M409)=0,"",IF(INDEX(Data!$U$41:$U$540,INDEX(Data!$AN$2051:$AN$2550,$M409))="","",INDEX(Data!$U$41:$U$540,INDEX(Data!$AN$2051:$AN$2550,$M409)))))</f>
        <v/>
      </c>
      <c r="M409" s="132">
        <f ca="1">IF(COUNTIFS(Data!$AV$2051:$AV$2550,397)=1,MATCH(397,Data!$AV$2051:$AV$2550,0),0)</f>
        <v>0</v>
      </c>
      <c r="N409" s="145" t="str">
        <f ca="1">IF($M409=0,"",IF(INDEX(Data!$I$2051:$I$2550,$M409)=0,"Add ID","Row "&amp;(INDEX(Data!$I$2051:$I$2550,$M409)+7)))</f>
        <v/>
      </c>
    </row>
    <row r="410" spans="1:14" ht="40" customHeight="1">
      <c r="A410" s="136" t="str">
        <f ca="1">IF($M410=0,"",INDEX(Data!$W$2051:$W$2550,$M410))</f>
        <v/>
      </c>
      <c r="B410" s="139" t="str">
        <f ca="1">IF($M410=0,"",INDEX(Data!$B$2051:$B$2550,$M410))</f>
        <v/>
      </c>
      <c r="C410" s="146" t="str">
        <f ca="1">IF($M410=0,"",INDEX(Data!$C$2051:$C$2550,$M410))</f>
        <v/>
      </c>
      <c r="D410" s="146" t="str">
        <f ca="1">IF($M410=0,"",INDEX(Data!$D$2051:$D$2550,$M410))</f>
        <v/>
      </c>
      <c r="E410" s="147" t="str">
        <f ca="1">IF($M410=0,"",INDEX(Data!$G$2051:$G$2550,$M410))</f>
        <v/>
      </c>
      <c r="F410" s="146" t="str">
        <f ca="1">IF($M410=0,"",INDEX(Data!$F$2051:$F$2550,$M410))</f>
        <v/>
      </c>
      <c r="G410" s="148" t="str">
        <f ca="1">IF($M410=0,"",INDEX(Data!$K$2051:$K$2550,$M410))</f>
        <v/>
      </c>
      <c r="H410" s="146" t="str">
        <f ca="1">IF($M410=0,"",INDEX(Data!$L$2051:$L$2550,$M410))</f>
        <v/>
      </c>
      <c r="I410" s="149" t="str">
        <f ca="1">IF($M410=0,"",INDEX(Data!$T$2051:$T$2550,$M410))</f>
        <v/>
      </c>
      <c r="J410" s="146" t="str">
        <f ca="1">IF($M410=0,"",INDEX(Data!$U$2051:$U$2550,$M410))</f>
        <v/>
      </c>
      <c r="K410" s="146" t="str">
        <f ca="1">IF($M410=0,"",INDEX(Data!$AA$2051:$AA$2550,$M410))</f>
        <v/>
      </c>
      <c r="L410" s="146" t="str">
        <f ca="1">IF($M410=0,"",IF(INDEX(Data!$AN$2051:$AN$2550,$M410)=0,"",IF(INDEX(Data!$U$41:$U$540,INDEX(Data!$AN$2051:$AN$2550,$M410))="","",INDEX(Data!$U$41:$U$540,INDEX(Data!$AN$2051:$AN$2550,$M410)))))</f>
        <v/>
      </c>
      <c r="M410" s="132">
        <f ca="1">IF(COUNTIFS(Data!$AV$2051:$AV$2550,398)=1,MATCH(398,Data!$AV$2051:$AV$2550,0),0)</f>
        <v>0</v>
      </c>
      <c r="N410" s="150" t="str">
        <f ca="1">IF($M410=0,"",IF(INDEX(Data!$I$2051:$I$2550,$M410)=0,"Add ID","Row "&amp;(INDEX(Data!$I$2051:$I$2550,$M410)+7)))</f>
        <v/>
      </c>
    </row>
    <row r="411" spans="1:14" ht="40" customHeight="1">
      <c r="A411" s="135" t="str">
        <f ca="1">IF($M411=0,"",INDEX(Data!$W$2051:$W$2550,$M411))</f>
        <v/>
      </c>
      <c r="B411" s="138" t="str">
        <f ca="1">IF($M411=0,"",INDEX(Data!$B$2051:$B$2550,$M411))</f>
        <v/>
      </c>
      <c r="C411" s="141" t="str">
        <f ca="1">IF($M411=0,"",INDEX(Data!$C$2051:$C$2550,$M411))</f>
        <v/>
      </c>
      <c r="D411" s="141" t="str">
        <f ca="1">IF($M411=0,"",INDEX(Data!$D$2051:$D$2550,$M411))</f>
        <v/>
      </c>
      <c r="E411" s="142" t="str">
        <f ca="1">IF($M411=0,"",INDEX(Data!$G$2051:$G$2550,$M411))</f>
        <v/>
      </c>
      <c r="F411" s="141" t="str">
        <f ca="1">IF($M411=0,"",INDEX(Data!$F$2051:$F$2550,$M411))</f>
        <v/>
      </c>
      <c r="G411" s="143" t="str">
        <f ca="1">IF($M411=0,"",INDEX(Data!$K$2051:$K$2550,$M411))</f>
        <v/>
      </c>
      <c r="H411" s="141" t="str">
        <f ca="1">IF($M411=0,"",INDEX(Data!$L$2051:$L$2550,$M411))</f>
        <v/>
      </c>
      <c r="I411" s="144" t="str">
        <f ca="1">IF($M411=0,"",INDEX(Data!$T$2051:$T$2550,$M411))</f>
        <v/>
      </c>
      <c r="J411" s="141" t="str">
        <f ca="1">IF($M411=0,"",INDEX(Data!$U$2051:$U$2550,$M411))</f>
        <v/>
      </c>
      <c r="K411" s="141" t="str">
        <f ca="1">IF($M411=0,"",INDEX(Data!$AA$2051:$AA$2550,$M411))</f>
        <v/>
      </c>
      <c r="L411" s="141" t="str">
        <f ca="1">IF($M411=0,"",IF(INDEX(Data!$AN$2051:$AN$2550,$M411)=0,"",IF(INDEX(Data!$U$41:$U$540,INDEX(Data!$AN$2051:$AN$2550,$M411))="","",INDEX(Data!$U$41:$U$540,INDEX(Data!$AN$2051:$AN$2550,$M411)))))</f>
        <v/>
      </c>
      <c r="M411" s="132">
        <f ca="1">IF(COUNTIFS(Data!$AV$2051:$AV$2550,399)=1,MATCH(399,Data!$AV$2051:$AV$2550,0),0)</f>
        <v>0</v>
      </c>
      <c r="N411" s="145" t="str">
        <f ca="1">IF($M411=0,"",IF(INDEX(Data!$I$2051:$I$2550,$M411)=0,"Add ID","Row "&amp;(INDEX(Data!$I$2051:$I$2550,$M411)+7)))</f>
        <v/>
      </c>
    </row>
    <row r="412" spans="1:14" ht="40" customHeight="1">
      <c r="A412" s="136" t="str">
        <f ca="1">IF($M412=0,"",INDEX(Data!$W$2051:$W$2550,$M412))</f>
        <v/>
      </c>
      <c r="B412" s="139" t="str">
        <f ca="1">IF($M412=0,"",INDEX(Data!$B$2051:$B$2550,$M412))</f>
        <v/>
      </c>
      <c r="C412" s="146" t="str">
        <f ca="1">IF($M412=0,"",INDEX(Data!$C$2051:$C$2550,$M412))</f>
        <v/>
      </c>
      <c r="D412" s="146" t="str">
        <f ca="1">IF($M412=0,"",INDEX(Data!$D$2051:$D$2550,$M412))</f>
        <v/>
      </c>
      <c r="E412" s="147" t="str">
        <f ca="1">IF($M412=0,"",INDEX(Data!$G$2051:$G$2550,$M412))</f>
        <v/>
      </c>
      <c r="F412" s="146" t="str">
        <f ca="1">IF($M412=0,"",INDEX(Data!$F$2051:$F$2550,$M412))</f>
        <v/>
      </c>
      <c r="G412" s="148" t="str">
        <f ca="1">IF($M412=0,"",INDEX(Data!$K$2051:$K$2550,$M412))</f>
        <v/>
      </c>
      <c r="H412" s="146" t="str">
        <f ca="1">IF($M412=0,"",INDEX(Data!$L$2051:$L$2550,$M412))</f>
        <v/>
      </c>
      <c r="I412" s="149" t="str">
        <f ca="1">IF($M412=0,"",INDEX(Data!$T$2051:$T$2550,$M412))</f>
        <v/>
      </c>
      <c r="J412" s="146" t="str">
        <f ca="1">IF($M412=0,"",INDEX(Data!$U$2051:$U$2550,$M412))</f>
        <v/>
      </c>
      <c r="K412" s="146" t="str">
        <f ca="1">IF($M412=0,"",INDEX(Data!$AA$2051:$AA$2550,$M412))</f>
        <v/>
      </c>
      <c r="L412" s="146" t="str">
        <f ca="1">IF($M412=0,"",IF(INDEX(Data!$AN$2051:$AN$2550,$M412)=0,"",IF(INDEX(Data!$U$41:$U$540,INDEX(Data!$AN$2051:$AN$2550,$M412))="","",INDEX(Data!$U$41:$U$540,INDEX(Data!$AN$2051:$AN$2550,$M412)))))</f>
        <v/>
      </c>
      <c r="M412" s="132">
        <f ca="1">IF(COUNTIFS(Data!$AV$2051:$AV$2550,400)=1,MATCH(400,Data!$AV$2051:$AV$2550,0),0)</f>
        <v>0</v>
      </c>
      <c r="N412" s="150" t="str">
        <f ca="1">IF($M412=0,"",IF(INDEX(Data!$I$2051:$I$2550,$M412)=0,"Add ID","Row "&amp;(INDEX(Data!$I$2051:$I$2550,$M412)+7)))</f>
        <v/>
      </c>
    </row>
    <row r="413" spans="1:14" ht="40" customHeight="1">
      <c r="A413" s="135" t="str">
        <f ca="1">IF($M413=0,"",INDEX(Data!$W$2051:$W$2550,$M413))</f>
        <v/>
      </c>
      <c r="B413" s="138" t="str">
        <f ca="1">IF($M413=0,"",INDEX(Data!$B$2051:$B$2550,$M413))</f>
        <v/>
      </c>
      <c r="C413" s="141" t="str">
        <f ca="1">IF($M413=0,"",INDEX(Data!$C$2051:$C$2550,$M413))</f>
        <v/>
      </c>
      <c r="D413" s="141" t="str">
        <f ca="1">IF($M413=0,"",INDEX(Data!$D$2051:$D$2550,$M413))</f>
        <v/>
      </c>
      <c r="E413" s="142" t="str">
        <f ca="1">IF($M413=0,"",INDEX(Data!$G$2051:$G$2550,$M413))</f>
        <v/>
      </c>
      <c r="F413" s="141" t="str">
        <f ca="1">IF($M413=0,"",INDEX(Data!$F$2051:$F$2550,$M413))</f>
        <v/>
      </c>
      <c r="G413" s="143" t="str">
        <f ca="1">IF($M413=0,"",INDEX(Data!$K$2051:$K$2550,$M413))</f>
        <v/>
      </c>
      <c r="H413" s="141" t="str">
        <f ca="1">IF($M413=0,"",INDEX(Data!$L$2051:$L$2550,$M413))</f>
        <v/>
      </c>
      <c r="I413" s="144" t="str">
        <f ca="1">IF($M413=0,"",INDEX(Data!$T$2051:$T$2550,$M413))</f>
        <v/>
      </c>
      <c r="J413" s="141" t="str">
        <f ca="1">IF($M413=0,"",INDEX(Data!$U$2051:$U$2550,$M413))</f>
        <v/>
      </c>
      <c r="K413" s="141" t="str">
        <f ca="1">IF($M413=0,"",INDEX(Data!$AA$2051:$AA$2550,$M413))</f>
        <v/>
      </c>
      <c r="L413" s="141" t="str">
        <f ca="1">IF($M413=0,"",IF(INDEX(Data!$AN$2051:$AN$2550,$M413)=0,"",IF(INDEX(Data!$U$41:$U$540,INDEX(Data!$AN$2051:$AN$2550,$M413))="","",INDEX(Data!$U$41:$U$540,INDEX(Data!$AN$2051:$AN$2550,$M413)))))</f>
        <v/>
      </c>
      <c r="M413" s="132">
        <f ca="1">IF(COUNTIFS(Data!$AV$2051:$AV$2550,401)=1,MATCH(401,Data!$AV$2051:$AV$2550,0),0)</f>
        <v>0</v>
      </c>
      <c r="N413" s="145" t="str">
        <f ca="1">IF($M413=0,"",IF(INDEX(Data!$I$2051:$I$2550,$M413)=0,"Add ID","Row "&amp;(INDEX(Data!$I$2051:$I$2550,$M413)+7)))</f>
        <v/>
      </c>
    </row>
    <row r="414" spans="1:14" ht="40" customHeight="1">
      <c r="A414" s="136" t="str">
        <f ca="1">IF($M414=0,"",INDEX(Data!$W$2051:$W$2550,$M414))</f>
        <v/>
      </c>
      <c r="B414" s="139" t="str">
        <f ca="1">IF($M414=0,"",INDEX(Data!$B$2051:$B$2550,$M414))</f>
        <v/>
      </c>
      <c r="C414" s="146" t="str">
        <f ca="1">IF($M414=0,"",INDEX(Data!$C$2051:$C$2550,$M414))</f>
        <v/>
      </c>
      <c r="D414" s="146" t="str">
        <f ca="1">IF($M414=0,"",INDEX(Data!$D$2051:$D$2550,$M414))</f>
        <v/>
      </c>
      <c r="E414" s="147" t="str">
        <f ca="1">IF($M414=0,"",INDEX(Data!$G$2051:$G$2550,$M414))</f>
        <v/>
      </c>
      <c r="F414" s="146" t="str">
        <f ca="1">IF($M414=0,"",INDEX(Data!$F$2051:$F$2550,$M414))</f>
        <v/>
      </c>
      <c r="G414" s="148" t="str">
        <f ca="1">IF($M414=0,"",INDEX(Data!$K$2051:$K$2550,$M414))</f>
        <v/>
      </c>
      <c r="H414" s="146" t="str">
        <f ca="1">IF($M414=0,"",INDEX(Data!$L$2051:$L$2550,$M414))</f>
        <v/>
      </c>
      <c r="I414" s="149" t="str">
        <f ca="1">IF($M414=0,"",INDEX(Data!$T$2051:$T$2550,$M414))</f>
        <v/>
      </c>
      <c r="J414" s="146" t="str">
        <f ca="1">IF($M414=0,"",INDEX(Data!$U$2051:$U$2550,$M414))</f>
        <v/>
      </c>
      <c r="K414" s="146" t="str">
        <f ca="1">IF($M414=0,"",INDEX(Data!$AA$2051:$AA$2550,$M414))</f>
        <v/>
      </c>
      <c r="L414" s="146" t="str">
        <f ca="1">IF($M414=0,"",IF(INDEX(Data!$AN$2051:$AN$2550,$M414)=0,"",IF(INDEX(Data!$U$41:$U$540,INDEX(Data!$AN$2051:$AN$2550,$M414))="","",INDEX(Data!$U$41:$U$540,INDEX(Data!$AN$2051:$AN$2550,$M414)))))</f>
        <v/>
      </c>
      <c r="M414" s="132">
        <f ca="1">IF(COUNTIFS(Data!$AV$2051:$AV$2550,402)=1,MATCH(402,Data!$AV$2051:$AV$2550,0),0)</f>
        <v>0</v>
      </c>
      <c r="N414" s="150" t="str">
        <f ca="1">IF($M414=0,"",IF(INDEX(Data!$I$2051:$I$2550,$M414)=0,"Add ID","Row "&amp;(INDEX(Data!$I$2051:$I$2550,$M414)+7)))</f>
        <v/>
      </c>
    </row>
    <row r="415" spans="1:14" ht="40" customHeight="1">
      <c r="A415" s="135" t="str">
        <f ca="1">IF($M415=0,"",INDEX(Data!$W$2051:$W$2550,$M415))</f>
        <v/>
      </c>
      <c r="B415" s="138" t="str">
        <f ca="1">IF($M415=0,"",INDEX(Data!$B$2051:$B$2550,$M415))</f>
        <v/>
      </c>
      <c r="C415" s="141" t="str">
        <f ca="1">IF($M415=0,"",INDEX(Data!$C$2051:$C$2550,$M415))</f>
        <v/>
      </c>
      <c r="D415" s="141" t="str">
        <f ca="1">IF($M415=0,"",INDEX(Data!$D$2051:$D$2550,$M415))</f>
        <v/>
      </c>
      <c r="E415" s="142" t="str">
        <f ca="1">IF($M415=0,"",INDEX(Data!$G$2051:$G$2550,$M415))</f>
        <v/>
      </c>
      <c r="F415" s="141" t="str">
        <f ca="1">IF($M415=0,"",INDEX(Data!$F$2051:$F$2550,$M415))</f>
        <v/>
      </c>
      <c r="G415" s="143" t="str">
        <f ca="1">IF($M415=0,"",INDEX(Data!$K$2051:$K$2550,$M415))</f>
        <v/>
      </c>
      <c r="H415" s="141" t="str">
        <f ca="1">IF($M415=0,"",INDEX(Data!$L$2051:$L$2550,$M415))</f>
        <v/>
      </c>
      <c r="I415" s="144" t="str">
        <f ca="1">IF($M415=0,"",INDEX(Data!$T$2051:$T$2550,$M415))</f>
        <v/>
      </c>
      <c r="J415" s="141" t="str">
        <f ca="1">IF($M415=0,"",INDEX(Data!$U$2051:$U$2550,$M415))</f>
        <v/>
      </c>
      <c r="K415" s="141" t="str">
        <f ca="1">IF($M415=0,"",INDEX(Data!$AA$2051:$AA$2550,$M415))</f>
        <v/>
      </c>
      <c r="L415" s="141" t="str">
        <f ca="1">IF($M415=0,"",IF(INDEX(Data!$AN$2051:$AN$2550,$M415)=0,"",IF(INDEX(Data!$U$41:$U$540,INDEX(Data!$AN$2051:$AN$2550,$M415))="","",INDEX(Data!$U$41:$U$540,INDEX(Data!$AN$2051:$AN$2550,$M415)))))</f>
        <v/>
      </c>
      <c r="M415" s="132">
        <f ca="1">IF(COUNTIFS(Data!$AV$2051:$AV$2550,403)=1,MATCH(403,Data!$AV$2051:$AV$2550,0),0)</f>
        <v>0</v>
      </c>
      <c r="N415" s="145" t="str">
        <f ca="1">IF($M415=0,"",IF(INDEX(Data!$I$2051:$I$2550,$M415)=0,"Add ID","Row "&amp;(INDEX(Data!$I$2051:$I$2550,$M415)+7)))</f>
        <v/>
      </c>
    </row>
    <row r="416" spans="1:14" ht="40" customHeight="1">
      <c r="A416" s="136" t="str">
        <f ca="1">IF($M416=0,"",INDEX(Data!$W$2051:$W$2550,$M416))</f>
        <v/>
      </c>
      <c r="B416" s="139" t="str">
        <f ca="1">IF($M416=0,"",INDEX(Data!$B$2051:$B$2550,$M416))</f>
        <v/>
      </c>
      <c r="C416" s="146" t="str">
        <f ca="1">IF($M416=0,"",INDEX(Data!$C$2051:$C$2550,$M416))</f>
        <v/>
      </c>
      <c r="D416" s="146" t="str">
        <f ca="1">IF($M416=0,"",INDEX(Data!$D$2051:$D$2550,$M416))</f>
        <v/>
      </c>
      <c r="E416" s="147" t="str">
        <f ca="1">IF($M416=0,"",INDEX(Data!$G$2051:$G$2550,$M416))</f>
        <v/>
      </c>
      <c r="F416" s="146" t="str">
        <f ca="1">IF($M416=0,"",INDEX(Data!$F$2051:$F$2550,$M416))</f>
        <v/>
      </c>
      <c r="G416" s="148" t="str">
        <f ca="1">IF($M416=0,"",INDEX(Data!$K$2051:$K$2550,$M416))</f>
        <v/>
      </c>
      <c r="H416" s="146" t="str">
        <f ca="1">IF($M416=0,"",INDEX(Data!$L$2051:$L$2550,$M416))</f>
        <v/>
      </c>
      <c r="I416" s="149" t="str">
        <f ca="1">IF($M416=0,"",INDEX(Data!$T$2051:$T$2550,$M416))</f>
        <v/>
      </c>
      <c r="J416" s="146" t="str">
        <f ca="1">IF($M416=0,"",INDEX(Data!$U$2051:$U$2550,$M416))</f>
        <v/>
      </c>
      <c r="K416" s="146" t="str">
        <f ca="1">IF($M416=0,"",INDEX(Data!$AA$2051:$AA$2550,$M416))</f>
        <v/>
      </c>
      <c r="L416" s="146" t="str">
        <f ca="1">IF($M416=0,"",IF(INDEX(Data!$AN$2051:$AN$2550,$M416)=0,"",IF(INDEX(Data!$U$41:$U$540,INDEX(Data!$AN$2051:$AN$2550,$M416))="","",INDEX(Data!$U$41:$U$540,INDEX(Data!$AN$2051:$AN$2550,$M416)))))</f>
        <v/>
      </c>
      <c r="M416" s="132">
        <f ca="1">IF(COUNTIFS(Data!$AV$2051:$AV$2550,404)=1,MATCH(404,Data!$AV$2051:$AV$2550,0),0)</f>
        <v>0</v>
      </c>
      <c r="N416" s="150" t="str">
        <f ca="1">IF($M416=0,"",IF(INDEX(Data!$I$2051:$I$2550,$M416)=0,"Add ID","Row "&amp;(INDEX(Data!$I$2051:$I$2550,$M416)+7)))</f>
        <v/>
      </c>
    </row>
    <row r="417" spans="1:14" ht="40" customHeight="1">
      <c r="A417" s="135" t="str">
        <f ca="1">IF($M417=0,"",INDEX(Data!$W$2051:$W$2550,$M417))</f>
        <v/>
      </c>
      <c r="B417" s="138" t="str">
        <f ca="1">IF($M417=0,"",INDEX(Data!$B$2051:$B$2550,$M417))</f>
        <v/>
      </c>
      <c r="C417" s="141" t="str">
        <f ca="1">IF($M417=0,"",INDEX(Data!$C$2051:$C$2550,$M417))</f>
        <v/>
      </c>
      <c r="D417" s="141" t="str">
        <f ca="1">IF($M417=0,"",INDEX(Data!$D$2051:$D$2550,$M417))</f>
        <v/>
      </c>
      <c r="E417" s="142" t="str">
        <f ca="1">IF($M417=0,"",INDEX(Data!$G$2051:$G$2550,$M417))</f>
        <v/>
      </c>
      <c r="F417" s="141" t="str">
        <f ca="1">IF($M417=0,"",INDEX(Data!$F$2051:$F$2550,$M417))</f>
        <v/>
      </c>
      <c r="G417" s="143" t="str">
        <f ca="1">IF($M417=0,"",INDEX(Data!$K$2051:$K$2550,$M417))</f>
        <v/>
      </c>
      <c r="H417" s="141" t="str">
        <f ca="1">IF($M417=0,"",INDEX(Data!$L$2051:$L$2550,$M417))</f>
        <v/>
      </c>
      <c r="I417" s="144" t="str">
        <f ca="1">IF($M417=0,"",INDEX(Data!$T$2051:$T$2550,$M417))</f>
        <v/>
      </c>
      <c r="J417" s="141" t="str">
        <f ca="1">IF($M417=0,"",INDEX(Data!$U$2051:$U$2550,$M417))</f>
        <v/>
      </c>
      <c r="K417" s="141" t="str">
        <f ca="1">IF($M417=0,"",INDEX(Data!$AA$2051:$AA$2550,$M417))</f>
        <v/>
      </c>
      <c r="L417" s="141" t="str">
        <f ca="1">IF($M417=0,"",IF(INDEX(Data!$AN$2051:$AN$2550,$M417)=0,"",IF(INDEX(Data!$U$41:$U$540,INDEX(Data!$AN$2051:$AN$2550,$M417))="","",INDEX(Data!$U$41:$U$540,INDEX(Data!$AN$2051:$AN$2550,$M417)))))</f>
        <v/>
      </c>
      <c r="M417" s="132">
        <f ca="1">IF(COUNTIFS(Data!$AV$2051:$AV$2550,405)=1,MATCH(405,Data!$AV$2051:$AV$2550,0),0)</f>
        <v>0</v>
      </c>
      <c r="N417" s="145" t="str">
        <f ca="1">IF($M417=0,"",IF(INDEX(Data!$I$2051:$I$2550,$M417)=0,"Add ID","Row "&amp;(INDEX(Data!$I$2051:$I$2550,$M417)+7)))</f>
        <v/>
      </c>
    </row>
    <row r="418" spans="1:14" ht="40" customHeight="1">
      <c r="A418" s="136" t="str">
        <f ca="1">IF($M418=0,"",INDEX(Data!$W$2051:$W$2550,$M418))</f>
        <v/>
      </c>
      <c r="B418" s="139" t="str">
        <f ca="1">IF($M418=0,"",INDEX(Data!$B$2051:$B$2550,$M418))</f>
        <v/>
      </c>
      <c r="C418" s="146" t="str">
        <f ca="1">IF($M418=0,"",INDEX(Data!$C$2051:$C$2550,$M418))</f>
        <v/>
      </c>
      <c r="D418" s="146" t="str">
        <f ca="1">IF($M418=0,"",INDEX(Data!$D$2051:$D$2550,$M418))</f>
        <v/>
      </c>
      <c r="E418" s="147" t="str">
        <f ca="1">IF($M418=0,"",INDEX(Data!$G$2051:$G$2550,$M418))</f>
        <v/>
      </c>
      <c r="F418" s="146" t="str">
        <f ca="1">IF($M418=0,"",INDEX(Data!$F$2051:$F$2550,$M418))</f>
        <v/>
      </c>
      <c r="G418" s="148" t="str">
        <f ca="1">IF($M418=0,"",INDEX(Data!$K$2051:$K$2550,$M418))</f>
        <v/>
      </c>
      <c r="H418" s="146" t="str">
        <f ca="1">IF($M418=0,"",INDEX(Data!$L$2051:$L$2550,$M418))</f>
        <v/>
      </c>
      <c r="I418" s="149" t="str">
        <f ca="1">IF($M418=0,"",INDEX(Data!$T$2051:$T$2550,$M418))</f>
        <v/>
      </c>
      <c r="J418" s="146" t="str">
        <f ca="1">IF($M418=0,"",INDEX(Data!$U$2051:$U$2550,$M418))</f>
        <v/>
      </c>
      <c r="K418" s="146" t="str">
        <f ca="1">IF($M418=0,"",INDEX(Data!$AA$2051:$AA$2550,$M418))</f>
        <v/>
      </c>
      <c r="L418" s="146" t="str">
        <f ca="1">IF($M418=0,"",IF(INDEX(Data!$AN$2051:$AN$2550,$M418)=0,"",IF(INDEX(Data!$U$41:$U$540,INDEX(Data!$AN$2051:$AN$2550,$M418))="","",INDEX(Data!$U$41:$U$540,INDEX(Data!$AN$2051:$AN$2550,$M418)))))</f>
        <v/>
      </c>
      <c r="M418" s="132">
        <f ca="1">IF(COUNTIFS(Data!$AV$2051:$AV$2550,406)=1,MATCH(406,Data!$AV$2051:$AV$2550,0),0)</f>
        <v>0</v>
      </c>
      <c r="N418" s="150" t="str">
        <f ca="1">IF($M418=0,"",IF(INDEX(Data!$I$2051:$I$2550,$M418)=0,"Add ID","Row "&amp;(INDEX(Data!$I$2051:$I$2550,$M418)+7)))</f>
        <v/>
      </c>
    </row>
    <row r="419" spans="1:14" ht="40" customHeight="1">
      <c r="A419" s="135" t="str">
        <f ca="1">IF($M419=0,"",INDEX(Data!$W$2051:$W$2550,$M419))</f>
        <v/>
      </c>
      <c r="B419" s="138" t="str">
        <f ca="1">IF($M419=0,"",INDEX(Data!$B$2051:$B$2550,$M419))</f>
        <v/>
      </c>
      <c r="C419" s="141" t="str">
        <f ca="1">IF($M419=0,"",INDEX(Data!$C$2051:$C$2550,$M419))</f>
        <v/>
      </c>
      <c r="D419" s="141" t="str">
        <f ca="1">IF($M419=0,"",INDEX(Data!$D$2051:$D$2550,$M419))</f>
        <v/>
      </c>
      <c r="E419" s="142" t="str">
        <f ca="1">IF($M419=0,"",INDEX(Data!$G$2051:$G$2550,$M419))</f>
        <v/>
      </c>
      <c r="F419" s="141" t="str">
        <f ca="1">IF($M419=0,"",INDEX(Data!$F$2051:$F$2550,$M419))</f>
        <v/>
      </c>
      <c r="G419" s="143" t="str">
        <f ca="1">IF($M419=0,"",INDEX(Data!$K$2051:$K$2550,$M419))</f>
        <v/>
      </c>
      <c r="H419" s="141" t="str">
        <f ca="1">IF($M419=0,"",INDEX(Data!$L$2051:$L$2550,$M419))</f>
        <v/>
      </c>
      <c r="I419" s="144" t="str">
        <f ca="1">IF($M419=0,"",INDEX(Data!$T$2051:$T$2550,$M419))</f>
        <v/>
      </c>
      <c r="J419" s="141" t="str">
        <f ca="1">IF($M419=0,"",INDEX(Data!$U$2051:$U$2550,$M419))</f>
        <v/>
      </c>
      <c r="K419" s="141" t="str">
        <f ca="1">IF($M419=0,"",INDEX(Data!$AA$2051:$AA$2550,$M419))</f>
        <v/>
      </c>
      <c r="L419" s="141" t="str">
        <f ca="1">IF($M419=0,"",IF(INDEX(Data!$AN$2051:$AN$2550,$M419)=0,"",IF(INDEX(Data!$U$41:$U$540,INDEX(Data!$AN$2051:$AN$2550,$M419))="","",INDEX(Data!$U$41:$U$540,INDEX(Data!$AN$2051:$AN$2550,$M419)))))</f>
        <v/>
      </c>
      <c r="M419" s="132">
        <f ca="1">IF(COUNTIFS(Data!$AV$2051:$AV$2550,407)=1,MATCH(407,Data!$AV$2051:$AV$2550,0),0)</f>
        <v>0</v>
      </c>
      <c r="N419" s="145" t="str">
        <f ca="1">IF($M419=0,"",IF(INDEX(Data!$I$2051:$I$2550,$M419)=0,"Add ID","Row "&amp;(INDEX(Data!$I$2051:$I$2550,$M419)+7)))</f>
        <v/>
      </c>
    </row>
    <row r="420" spans="1:14" ht="40" customHeight="1">
      <c r="A420" s="136" t="str">
        <f ca="1">IF($M420=0,"",INDEX(Data!$W$2051:$W$2550,$M420))</f>
        <v/>
      </c>
      <c r="B420" s="139" t="str">
        <f ca="1">IF($M420=0,"",INDEX(Data!$B$2051:$B$2550,$M420))</f>
        <v/>
      </c>
      <c r="C420" s="146" t="str">
        <f ca="1">IF($M420=0,"",INDEX(Data!$C$2051:$C$2550,$M420))</f>
        <v/>
      </c>
      <c r="D420" s="146" t="str">
        <f ca="1">IF($M420=0,"",INDEX(Data!$D$2051:$D$2550,$M420))</f>
        <v/>
      </c>
      <c r="E420" s="147" t="str">
        <f ca="1">IF($M420=0,"",INDEX(Data!$G$2051:$G$2550,$M420))</f>
        <v/>
      </c>
      <c r="F420" s="146" t="str">
        <f ca="1">IF($M420=0,"",INDEX(Data!$F$2051:$F$2550,$M420))</f>
        <v/>
      </c>
      <c r="G420" s="148" t="str">
        <f ca="1">IF($M420=0,"",INDEX(Data!$K$2051:$K$2550,$M420))</f>
        <v/>
      </c>
      <c r="H420" s="146" t="str">
        <f ca="1">IF($M420=0,"",INDEX(Data!$L$2051:$L$2550,$M420))</f>
        <v/>
      </c>
      <c r="I420" s="149" t="str">
        <f ca="1">IF($M420=0,"",INDEX(Data!$T$2051:$T$2550,$M420))</f>
        <v/>
      </c>
      <c r="J420" s="146" t="str">
        <f ca="1">IF($M420=0,"",INDEX(Data!$U$2051:$U$2550,$M420))</f>
        <v/>
      </c>
      <c r="K420" s="146" t="str">
        <f ca="1">IF($M420=0,"",INDEX(Data!$AA$2051:$AA$2550,$M420))</f>
        <v/>
      </c>
      <c r="L420" s="146" t="str">
        <f ca="1">IF($M420=0,"",IF(INDEX(Data!$AN$2051:$AN$2550,$M420)=0,"",IF(INDEX(Data!$U$41:$U$540,INDEX(Data!$AN$2051:$AN$2550,$M420))="","",INDEX(Data!$U$41:$U$540,INDEX(Data!$AN$2051:$AN$2550,$M420)))))</f>
        <v/>
      </c>
      <c r="M420" s="132">
        <f ca="1">IF(COUNTIFS(Data!$AV$2051:$AV$2550,408)=1,MATCH(408,Data!$AV$2051:$AV$2550,0),0)</f>
        <v>0</v>
      </c>
      <c r="N420" s="150" t="str">
        <f ca="1">IF($M420=0,"",IF(INDEX(Data!$I$2051:$I$2550,$M420)=0,"Add ID","Row "&amp;(INDEX(Data!$I$2051:$I$2550,$M420)+7)))</f>
        <v/>
      </c>
    </row>
    <row r="421" spans="1:14" ht="40" customHeight="1">
      <c r="A421" s="135" t="str">
        <f ca="1">IF($M421=0,"",INDEX(Data!$W$2051:$W$2550,$M421))</f>
        <v/>
      </c>
      <c r="B421" s="138" t="str">
        <f ca="1">IF($M421=0,"",INDEX(Data!$B$2051:$B$2550,$M421))</f>
        <v/>
      </c>
      <c r="C421" s="141" t="str">
        <f ca="1">IF($M421=0,"",INDEX(Data!$C$2051:$C$2550,$M421))</f>
        <v/>
      </c>
      <c r="D421" s="141" t="str">
        <f ca="1">IF($M421=0,"",INDEX(Data!$D$2051:$D$2550,$M421))</f>
        <v/>
      </c>
      <c r="E421" s="142" t="str">
        <f ca="1">IF($M421=0,"",INDEX(Data!$G$2051:$G$2550,$M421))</f>
        <v/>
      </c>
      <c r="F421" s="141" t="str">
        <f ca="1">IF($M421=0,"",INDEX(Data!$F$2051:$F$2550,$M421))</f>
        <v/>
      </c>
      <c r="G421" s="143" t="str">
        <f ca="1">IF($M421=0,"",INDEX(Data!$K$2051:$K$2550,$M421))</f>
        <v/>
      </c>
      <c r="H421" s="141" t="str">
        <f ca="1">IF($M421=0,"",INDEX(Data!$L$2051:$L$2550,$M421))</f>
        <v/>
      </c>
      <c r="I421" s="144" t="str">
        <f ca="1">IF($M421=0,"",INDEX(Data!$T$2051:$T$2550,$M421))</f>
        <v/>
      </c>
      <c r="J421" s="141" t="str">
        <f ca="1">IF($M421=0,"",INDEX(Data!$U$2051:$U$2550,$M421))</f>
        <v/>
      </c>
      <c r="K421" s="141" t="str">
        <f ca="1">IF($M421=0,"",INDEX(Data!$AA$2051:$AA$2550,$M421))</f>
        <v/>
      </c>
      <c r="L421" s="141" t="str">
        <f ca="1">IF($M421=0,"",IF(INDEX(Data!$AN$2051:$AN$2550,$M421)=0,"",IF(INDEX(Data!$U$41:$U$540,INDEX(Data!$AN$2051:$AN$2550,$M421))="","",INDEX(Data!$U$41:$U$540,INDEX(Data!$AN$2051:$AN$2550,$M421)))))</f>
        <v/>
      </c>
      <c r="M421" s="132">
        <f ca="1">IF(COUNTIFS(Data!$AV$2051:$AV$2550,409)=1,MATCH(409,Data!$AV$2051:$AV$2550,0),0)</f>
        <v>0</v>
      </c>
      <c r="N421" s="145" t="str">
        <f ca="1">IF($M421=0,"",IF(INDEX(Data!$I$2051:$I$2550,$M421)=0,"Add ID","Row "&amp;(INDEX(Data!$I$2051:$I$2550,$M421)+7)))</f>
        <v/>
      </c>
    </row>
    <row r="422" spans="1:14" ht="40" customHeight="1">
      <c r="A422" s="136" t="str">
        <f ca="1">IF($M422=0,"",INDEX(Data!$W$2051:$W$2550,$M422))</f>
        <v/>
      </c>
      <c r="B422" s="139" t="str">
        <f ca="1">IF($M422=0,"",INDEX(Data!$B$2051:$B$2550,$M422))</f>
        <v/>
      </c>
      <c r="C422" s="146" t="str">
        <f ca="1">IF($M422=0,"",INDEX(Data!$C$2051:$C$2550,$M422))</f>
        <v/>
      </c>
      <c r="D422" s="146" t="str">
        <f ca="1">IF($M422=0,"",INDEX(Data!$D$2051:$D$2550,$M422))</f>
        <v/>
      </c>
      <c r="E422" s="147" t="str">
        <f ca="1">IF($M422=0,"",INDEX(Data!$G$2051:$G$2550,$M422))</f>
        <v/>
      </c>
      <c r="F422" s="146" t="str">
        <f ca="1">IF($M422=0,"",INDEX(Data!$F$2051:$F$2550,$M422))</f>
        <v/>
      </c>
      <c r="G422" s="148" t="str">
        <f ca="1">IF($M422=0,"",INDEX(Data!$K$2051:$K$2550,$M422))</f>
        <v/>
      </c>
      <c r="H422" s="146" t="str">
        <f ca="1">IF($M422=0,"",INDEX(Data!$L$2051:$L$2550,$M422))</f>
        <v/>
      </c>
      <c r="I422" s="149" t="str">
        <f ca="1">IF($M422=0,"",INDEX(Data!$T$2051:$T$2550,$M422))</f>
        <v/>
      </c>
      <c r="J422" s="146" t="str">
        <f ca="1">IF($M422=0,"",INDEX(Data!$U$2051:$U$2550,$M422))</f>
        <v/>
      </c>
      <c r="K422" s="146" t="str">
        <f ca="1">IF($M422=0,"",INDEX(Data!$AA$2051:$AA$2550,$M422))</f>
        <v/>
      </c>
      <c r="L422" s="146" t="str">
        <f ca="1">IF($M422=0,"",IF(INDEX(Data!$AN$2051:$AN$2550,$M422)=0,"",IF(INDEX(Data!$U$41:$U$540,INDEX(Data!$AN$2051:$AN$2550,$M422))="","",INDEX(Data!$U$41:$U$540,INDEX(Data!$AN$2051:$AN$2550,$M422)))))</f>
        <v/>
      </c>
      <c r="M422" s="132">
        <f ca="1">IF(COUNTIFS(Data!$AV$2051:$AV$2550,410)=1,MATCH(410,Data!$AV$2051:$AV$2550,0),0)</f>
        <v>0</v>
      </c>
      <c r="N422" s="150" t="str">
        <f ca="1">IF($M422=0,"",IF(INDEX(Data!$I$2051:$I$2550,$M422)=0,"Add ID","Row "&amp;(INDEX(Data!$I$2051:$I$2550,$M422)+7)))</f>
        <v/>
      </c>
    </row>
    <row r="423" spans="1:14" ht="40" customHeight="1">
      <c r="A423" s="135" t="str">
        <f ca="1">IF($M423=0,"",INDEX(Data!$W$2051:$W$2550,$M423))</f>
        <v/>
      </c>
      <c r="B423" s="138" t="str">
        <f ca="1">IF($M423=0,"",INDEX(Data!$B$2051:$B$2550,$M423))</f>
        <v/>
      </c>
      <c r="C423" s="141" t="str">
        <f ca="1">IF($M423=0,"",INDEX(Data!$C$2051:$C$2550,$M423))</f>
        <v/>
      </c>
      <c r="D423" s="141" t="str">
        <f ca="1">IF($M423=0,"",INDEX(Data!$D$2051:$D$2550,$M423))</f>
        <v/>
      </c>
      <c r="E423" s="142" t="str">
        <f ca="1">IF($M423=0,"",INDEX(Data!$G$2051:$G$2550,$M423))</f>
        <v/>
      </c>
      <c r="F423" s="141" t="str">
        <f ca="1">IF($M423=0,"",INDEX(Data!$F$2051:$F$2550,$M423))</f>
        <v/>
      </c>
      <c r="G423" s="143" t="str">
        <f ca="1">IF($M423=0,"",INDEX(Data!$K$2051:$K$2550,$M423))</f>
        <v/>
      </c>
      <c r="H423" s="141" t="str">
        <f ca="1">IF($M423=0,"",INDEX(Data!$L$2051:$L$2550,$M423))</f>
        <v/>
      </c>
      <c r="I423" s="144" t="str">
        <f ca="1">IF($M423=0,"",INDEX(Data!$T$2051:$T$2550,$M423))</f>
        <v/>
      </c>
      <c r="J423" s="141" t="str">
        <f ca="1">IF($M423=0,"",INDEX(Data!$U$2051:$U$2550,$M423))</f>
        <v/>
      </c>
      <c r="K423" s="141" t="str">
        <f ca="1">IF($M423=0,"",INDEX(Data!$AA$2051:$AA$2550,$M423))</f>
        <v/>
      </c>
      <c r="L423" s="141" t="str">
        <f ca="1">IF($M423=0,"",IF(INDEX(Data!$AN$2051:$AN$2550,$M423)=0,"",IF(INDEX(Data!$U$41:$U$540,INDEX(Data!$AN$2051:$AN$2550,$M423))="","",INDEX(Data!$U$41:$U$540,INDEX(Data!$AN$2051:$AN$2550,$M423)))))</f>
        <v/>
      </c>
      <c r="M423" s="132">
        <f ca="1">IF(COUNTIFS(Data!$AV$2051:$AV$2550,411)=1,MATCH(411,Data!$AV$2051:$AV$2550,0),0)</f>
        <v>0</v>
      </c>
      <c r="N423" s="145" t="str">
        <f ca="1">IF($M423=0,"",IF(INDEX(Data!$I$2051:$I$2550,$M423)=0,"Add ID","Row "&amp;(INDEX(Data!$I$2051:$I$2550,$M423)+7)))</f>
        <v/>
      </c>
    </row>
    <row r="424" spans="1:14" ht="40" customHeight="1">
      <c r="A424" s="136" t="str">
        <f ca="1">IF($M424=0,"",INDEX(Data!$W$2051:$W$2550,$M424))</f>
        <v/>
      </c>
      <c r="B424" s="139" t="str">
        <f ca="1">IF($M424=0,"",INDEX(Data!$B$2051:$B$2550,$M424))</f>
        <v/>
      </c>
      <c r="C424" s="146" t="str">
        <f ca="1">IF($M424=0,"",INDEX(Data!$C$2051:$C$2550,$M424))</f>
        <v/>
      </c>
      <c r="D424" s="146" t="str">
        <f ca="1">IF($M424=0,"",INDEX(Data!$D$2051:$D$2550,$M424))</f>
        <v/>
      </c>
      <c r="E424" s="147" t="str">
        <f ca="1">IF($M424=0,"",INDEX(Data!$G$2051:$G$2550,$M424))</f>
        <v/>
      </c>
      <c r="F424" s="146" t="str">
        <f ca="1">IF($M424=0,"",INDEX(Data!$F$2051:$F$2550,$M424))</f>
        <v/>
      </c>
      <c r="G424" s="148" t="str">
        <f ca="1">IF($M424=0,"",INDEX(Data!$K$2051:$K$2550,$M424))</f>
        <v/>
      </c>
      <c r="H424" s="146" t="str">
        <f ca="1">IF($M424=0,"",INDEX(Data!$L$2051:$L$2550,$M424))</f>
        <v/>
      </c>
      <c r="I424" s="149" t="str">
        <f ca="1">IF($M424=0,"",INDEX(Data!$T$2051:$T$2550,$M424))</f>
        <v/>
      </c>
      <c r="J424" s="146" t="str">
        <f ca="1">IF($M424=0,"",INDEX(Data!$U$2051:$U$2550,$M424))</f>
        <v/>
      </c>
      <c r="K424" s="146" t="str">
        <f ca="1">IF($M424=0,"",INDEX(Data!$AA$2051:$AA$2550,$M424))</f>
        <v/>
      </c>
      <c r="L424" s="146" t="str">
        <f ca="1">IF($M424=0,"",IF(INDEX(Data!$AN$2051:$AN$2550,$M424)=0,"",IF(INDEX(Data!$U$41:$U$540,INDEX(Data!$AN$2051:$AN$2550,$M424))="","",INDEX(Data!$U$41:$U$540,INDEX(Data!$AN$2051:$AN$2550,$M424)))))</f>
        <v/>
      </c>
      <c r="M424" s="132">
        <f ca="1">IF(COUNTIFS(Data!$AV$2051:$AV$2550,412)=1,MATCH(412,Data!$AV$2051:$AV$2550,0),0)</f>
        <v>0</v>
      </c>
      <c r="N424" s="150" t="str">
        <f ca="1">IF($M424=0,"",IF(INDEX(Data!$I$2051:$I$2550,$M424)=0,"Add ID","Row "&amp;(INDEX(Data!$I$2051:$I$2550,$M424)+7)))</f>
        <v/>
      </c>
    </row>
    <row r="425" spans="1:14" ht="40" customHeight="1">
      <c r="A425" s="135" t="str">
        <f ca="1">IF($M425=0,"",INDEX(Data!$W$2051:$W$2550,$M425))</f>
        <v/>
      </c>
      <c r="B425" s="138" t="str">
        <f ca="1">IF($M425=0,"",INDEX(Data!$B$2051:$B$2550,$M425))</f>
        <v/>
      </c>
      <c r="C425" s="141" t="str">
        <f ca="1">IF($M425=0,"",INDEX(Data!$C$2051:$C$2550,$M425))</f>
        <v/>
      </c>
      <c r="D425" s="141" t="str">
        <f ca="1">IF($M425=0,"",INDEX(Data!$D$2051:$D$2550,$M425))</f>
        <v/>
      </c>
      <c r="E425" s="142" t="str">
        <f ca="1">IF($M425=0,"",INDEX(Data!$G$2051:$G$2550,$M425))</f>
        <v/>
      </c>
      <c r="F425" s="141" t="str">
        <f ca="1">IF($M425=0,"",INDEX(Data!$F$2051:$F$2550,$M425))</f>
        <v/>
      </c>
      <c r="G425" s="143" t="str">
        <f ca="1">IF($M425=0,"",INDEX(Data!$K$2051:$K$2550,$M425))</f>
        <v/>
      </c>
      <c r="H425" s="141" t="str">
        <f ca="1">IF($M425=0,"",INDEX(Data!$L$2051:$L$2550,$M425))</f>
        <v/>
      </c>
      <c r="I425" s="144" t="str">
        <f ca="1">IF($M425=0,"",INDEX(Data!$T$2051:$T$2550,$M425))</f>
        <v/>
      </c>
      <c r="J425" s="141" t="str">
        <f ca="1">IF($M425=0,"",INDEX(Data!$U$2051:$U$2550,$M425))</f>
        <v/>
      </c>
      <c r="K425" s="141" t="str">
        <f ca="1">IF($M425=0,"",INDEX(Data!$AA$2051:$AA$2550,$M425))</f>
        <v/>
      </c>
      <c r="L425" s="141" t="str">
        <f ca="1">IF($M425=0,"",IF(INDEX(Data!$AN$2051:$AN$2550,$M425)=0,"",IF(INDEX(Data!$U$41:$U$540,INDEX(Data!$AN$2051:$AN$2550,$M425))="","",INDEX(Data!$U$41:$U$540,INDEX(Data!$AN$2051:$AN$2550,$M425)))))</f>
        <v/>
      </c>
      <c r="M425" s="132">
        <f ca="1">IF(COUNTIFS(Data!$AV$2051:$AV$2550,413)=1,MATCH(413,Data!$AV$2051:$AV$2550,0),0)</f>
        <v>0</v>
      </c>
      <c r="N425" s="145" t="str">
        <f ca="1">IF($M425=0,"",IF(INDEX(Data!$I$2051:$I$2550,$M425)=0,"Add ID","Row "&amp;(INDEX(Data!$I$2051:$I$2550,$M425)+7)))</f>
        <v/>
      </c>
    </row>
    <row r="426" spans="1:14" ht="40" customHeight="1">
      <c r="A426" s="136" t="str">
        <f ca="1">IF($M426=0,"",INDEX(Data!$W$2051:$W$2550,$M426))</f>
        <v/>
      </c>
      <c r="B426" s="139" t="str">
        <f ca="1">IF($M426=0,"",INDEX(Data!$B$2051:$B$2550,$M426))</f>
        <v/>
      </c>
      <c r="C426" s="146" t="str">
        <f ca="1">IF($M426=0,"",INDEX(Data!$C$2051:$C$2550,$M426))</f>
        <v/>
      </c>
      <c r="D426" s="146" t="str">
        <f ca="1">IF($M426=0,"",INDEX(Data!$D$2051:$D$2550,$M426))</f>
        <v/>
      </c>
      <c r="E426" s="147" t="str">
        <f ca="1">IF($M426=0,"",INDEX(Data!$G$2051:$G$2550,$M426))</f>
        <v/>
      </c>
      <c r="F426" s="146" t="str">
        <f ca="1">IF($M426=0,"",INDEX(Data!$F$2051:$F$2550,$M426))</f>
        <v/>
      </c>
      <c r="G426" s="148" t="str">
        <f ca="1">IF($M426=0,"",INDEX(Data!$K$2051:$K$2550,$M426))</f>
        <v/>
      </c>
      <c r="H426" s="146" t="str">
        <f ca="1">IF($M426=0,"",INDEX(Data!$L$2051:$L$2550,$M426))</f>
        <v/>
      </c>
      <c r="I426" s="149" t="str">
        <f ca="1">IF($M426=0,"",INDEX(Data!$T$2051:$T$2550,$M426))</f>
        <v/>
      </c>
      <c r="J426" s="146" t="str">
        <f ca="1">IF($M426=0,"",INDEX(Data!$U$2051:$U$2550,$M426))</f>
        <v/>
      </c>
      <c r="K426" s="146" t="str">
        <f ca="1">IF($M426=0,"",INDEX(Data!$AA$2051:$AA$2550,$M426))</f>
        <v/>
      </c>
      <c r="L426" s="146" t="str">
        <f ca="1">IF($M426=0,"",IF(INDEX(Data!$AN$2051:$AN$2550,$M426)=0,"",IF(INDEX(Data!$U$41:$U$540,INDEX(Data!$AN$2051:$AN$2550,$M426))="","",INDEX(Data!$U$41:$U$540,INDEX(Data!$AN$2051:$AN$2550,$M426)))))</f>
        <v/>
      </c>
      <c r="M426" s="132">
        <f ca="1">IF(COUNTIFS(Data!$AV$2051:$AV$2550,414)=1,MATCH(414,Data!$AV$2051:$AV$2550,0),0)</f>
        <v>0</v>
      </c>
      <c r="N426" s="150" t="str">
        <f ca="1">IF($M426=0,"",IF(INDEX(Data!$I$2051:$I$2550,$M426)=0,"Add ID","Row "&amp;(INDEX(Data!$I$2051:$I$2550,$M426)+7)))</f>
        <v/>
      </c>
    </row>
    <row r="427" spans="1:14" ht="40" customHeight="1">
      <c r="A427" s="135" t="str">
        <f ca="1">IF($M427=0,"",INDEX(Data!$W$2051:$W$2550,$M427))</f>
        <v/>
      </c>
      <c r="B427" s="138" t="str">
        <f ca="1">IF($M427=0,"",INDEX(Data!$B$2051:$B$2550,$M427))</f>
        <v/>
      </c>
      <c r="C427" s="141" t="str">
        <f ca="1">IF($M427=0,"",INDEX(Data!$C$2051:$C$2550,$M427))</f>
        <v/>
      </c>
      <c r="D427" s="141" t="str">
        <f ca="1">IF($M427=0,"",INDEX(Data!$D$2051:$D$2550,$M427))</f>
        <v/>
      </c>
      <c r="E427" s="142" t="str">
        <f ca="1">IF($M427=0,"",INDEX(Data!$G$2051:$G$2550,$M427))</f>
        <v/>
      </c>
      <c r="F427" s="141" t="str">
        <f ca="1">IF($M427=0,"",INDEX(Data!$F$2051:$F$2550,$M427))</f>
        <v/>
      </c>
      <c r="G427" s="143" t="str">
        <f ca="1">IF($M427=0,"",INDEX(Data!$K$2051:$K$2550,$M427))</f>
        <v/>
      </c>
      <c r="H427" s="141" t="str">
        <f ca="1">IF($M427=0,"",INDEX(Data!$L$2051:$L$2550,$M427))</f>
        <v/>
      </c>
      <c r="I427" s="144" t="str">
        <f ca="1">IF($M427=0,"",INDEX(Data!$T$2051:$T$2550,$M427))</f>
        <v/>
      </c>
      <c r="J427" s="141" t="str">
        <f ca="1">IF($M427=0,"",INDEX(Data!$U$2051:$U$2550,$M427))</f>
        <v/>
      </c>
      <c r="K427" s="141" t="str">
        <f ca="1">IF($M427=0,"",INDEX(Data!$AA$2051:$AA$2550,$M427))</f>
        <v/>
      </c>
      <c r="L427" s="141" t="str">
        <f ca="1">IF($M427=0,"",IF(INDEX(Data!$AN$2051:$AN$2550,$M427)=0,"",IF(INDEX(Data!$U$41:$U$540,INDEX(Data!$AN$2051:$AN$2550,$M427))="","",INDEX(Data!$U$41:$U$540,INDEX(Data!$AN$2051:$AN$2550,$M427)))))</f>
        <v/>
      </c>
      <c r="M427" s="132">
        <f ca="1">IF(COUNTIFS(Data!$AV$2051:$AV$2550,415)=1,MATCH(415,Data!$AV$2051:$AV$2550,0),0)</f>
        <v>0</v>
      </c>
      <c r="N427" s="145" t="str">
        <f ca="1">IF($M427=0,"",IF(INDEX(Data!$I$2051:$I$2550,$M427)=0,"Add ID","Row "&amp;(INDEX(Data!$I$2051:$I$2550,$M427)+7)))</f>
        <v/>
      </c>
    </row>
    <row r="428" spans="1:14" ht="40" customHeight="1">
      <c r="A428" s="136" t="str">
        <f ca="1">IF($M428=0,"",INDEX(Data!$W$2051:$W$2550,$M428))</f>
        <v/>
      </c>
      <c r="B428" s="139" t="str">
        <f ca="1">IF($M428=0,"",INDEX(Data!$B$2051:$B$2550,$M428))</f>
        <v/>
      </c>
      <c r="C428" s="146" t="str">
        <f ca="1">IF($M428=0,"",INDEX(Data!$C$2051:$C$2550,$M428))</f>
        <v/>
      </c>
      <c r="D428" s="146" t="str">
        <f ca="1">IF($M428=0,"",INDEX(Data!$D$2051:$D$2550,$M428))</f>
        <v/>
      </c>
      <c r="E428" s="147" t="str">
        <f ca="1">IF($M428=0,"",INDEX(Data!$G$2051:$G$2550,$M428))</f>
        <v/>
      </c>
      <c r="F428" s="146" t="str">
        <f ca="1">IF($M428=0,"",INDEX(Data!$F$2051:$F$2550,$M428))</f>
        <v/>
      </c>
      <c r="G428" s="148" t="str">
        <f ca="1">IF($M428=0,"",INDEX(Data!$K$2051:$K$2550,$M428))</f>
        <v/>
      </c>
      <c r="H428" s="146" t="str">
        <f ca="1">IF($M428=0,"",INDEX(Data!$L$2051:$L$2550,$M428))</f>
        <v/>
      </c>
      <c r="I428" s="149" t="str">
        <f ca="1">IF($M428=0,"",INDEX(Data!$T$2051:$T$2550,$M428))</f>
        <v/>
      </c>
      <c r="J428" s="146" t="str">
        <f ca="1">IF($M428=0,"",INDEX(Data!$U$2051:$U$2550,$M428))</f>
        <v/>
      </c>
      <c r="K428" s="146" t="str">
        <f ca="1">IF($M428=0,"",INDEX(Data!$AA$2051:$AA$2550,$M428))</f>
        <v/>
      </c>
      <c r="L428" s="146" t="str">
        <f ca="1">IF($M428=0,"",IF(INDEX(Data!$AN$2051:$AN$2550,$M428)=0,"",IF(INDEX(Data!$U$41:$U$540,INDEX(Data!$AN$2051:$AN$2550,$M428))="","",INDEX(Data!$U$41:$U$540,INDEX(Data!$AN$2051:$AN$2550,$M428)))))</f>
        <v/>
      </c>
      <c r="M428" s="132">
        <f ca="1">IF(COUNTIFS(Data!$AV$2051:$AV$2550,416)=1,MATCH(416,Data!$AV$2051:$AV$2550,0),0)</f>
        <v>0</v>
      </c>
      <c r="N428" s="150" t="str">
        <f ca="1">IF($M428=0,"",IF(INDEX(Data!$I$2051:$I$2550,$M428)=0,"Add ID","Row "&amp;(INDEX(Data!$I$2051:$I$2550,$M428)+7)))</f>
        <v/>
      </c>
    </row>
    <row r="429" spans="1:14" ht="40" customHeight="1">
      <c r="A429" s="135" t="str">
        <f ca="1">IF($M429=0,"",INDEX(Data!$W$2051:$W$2550,$M429))</f>
        <v/>
      </c>
      <c r="B429" s="138" t="str">
        <f ca="1">IF($M429=0,"",INDEX(Data!$B$2051:$B$2550,$M429))</f>
        <v/>
      </c>
      <c r="C429" s="141" t="str">
        <f ca="1">IF($M429=0,"",INDEX(Data!$C$2051:$C$2550,$M429))</f>
        <v/>
      </c>
      <c r="D429" s="141" t="str">
        <f ca="1">IF($M429=0,"",INDEX(Data!$D$2051:$D$2550,$M429))</f>
        <v/>
      </c>
      <c r="E429" s="142" t="str">
        <f ca="1">IF($M429=0,"",INDEX(Data!$G$2051:$G$2550,$M429))</f>
        <v/>
      </c>
      <c r="F429" s="141" t="str">
        <f ca="1">IF($M429=0,"",INDEX(Data!$F$2051:$F$2550,$M429))</f>
        <v/>
      </c>
      <c r="G429" s="143" t="str">
        <f ca="1">IF($M429=0,"",INDEX(Data!$K$2051:$K$2550,$M429))</f>
        <v/>
      </c>
      <c r="H429" s="141" t="str">
        <f ca="1">IF($M429=0,"",INDEX(Data!$L$2051:$L$2550,$M429))</f>
        <v/>
      </c>
      <c r="I429" s="144" t="str">
        <f ca="1">IF($M429=0,"",INDEX(Data!$T$2051:$T$2550,$M429))</f>
        <v/>
      </c>
      <c r="J429" s="141" t="str">
        <f ca="1">IF($M429=0,"",INDEX(Data!$U$2051:$U$2550,$M429))</f>
        <v/>
      </c>
      <c r="K429" s="141" t="str">
        <f ca="1">IF($M429=0,"",INDEX(Data!$AA$2051:$AA$2550,$M429))</f>
        <v/>
      </c>
      <c r="L429" s="141" t="str">
        <f ca="1">IF($M429=0,"",IF(INDEX(Data!$AN$2051:$AN$2550,$M429)=0,"",IF(INDEX(Data!$U$41:$U$540,INDEX(Data!$AN$2051:$AN$2550,$M429))="","",INDEX(Data!$U$41:$U$540,INDEX(Data!$AN$2051:$AN$2550,$M429)))))</f>
        <v/>
      </c>
      <c r="M429" s="132">
        <f ca="1">IF(COUNTIFS(Data!$AV$2051:$AV$2550,417)=1,MATCH(417,Data!$AV$2051:$AV$2550,0),0)</f>
        <v>0</v>
      </c>
      <c r="N429" s="145" t="str">
        <f ca="1">IF($M429=0,"",IF(INDEX(Data!$I$2051:$I$2550,$M429)=0,"Add ID","Row "&amp;(INDEX(Data!$I$2051:$I$2550,$M429)+7)))</f>
        <v/>
      </c>
    </row>
    <row r="430" spans="1:14" ht="40" customHeight="1">
      <c r="A430" s="136" t="str">
        <f ca="1">IF($M430=0,"",INDEX(Data!$W$2051:$W$2550,$M430))</f>
        <v/>
      </c>
      <c r="B430" s="139" t="str">
        <f ca="1">IF($M430=0,"",INDEX(Data!$B$2051:$B$2550,$M430))</f>
        <v/>
      </c>
      <c r="C430" s="146" t="str">
        <f ca="1">IF($M430=0,"",INDEX(Data!$C$2051:$C$2550,$M430))</f>
        <v/>
      </c>
      <c r="D430" s="146" t="str">
        <f ca="1">IF($M430=0,"",INDEX(Data!$D$2051:$D$2550,$M430))</f>
        <v/>
      </c>
      <c r="E430" s="147" t="str">
        <f ca="1">IF($M430=0,"",INDEX(Data!$G$2051:$G$2550,$M430))</f>
        <v/>
      </c>
      <c r="F430" s="146" t="str">
        <f ca="1">IF($M430=0,"",INDEX(Data!$F$2051:$F$2550,$M430))</f>
        <v/>
      </c>
      <c r="G430" s="148" t="str">
        <f ca="1">IF($M430=0,"",INDEX(Data!$K$2051:$K$2550,$M430))</f>
        <v/>
      </c>
      <c r="H430" s="146" t="str">
        <f ca="1">IF($M430=0,"",INDEX(Data!$L$2051:$L$2550,$M430))</f>
        <v/>
      </c>
      <c r="I430" s="149" t="str">
        <f ca="1">IF($M430=0,"",INDEX(Data!$T$2051:$T$2550,$M430))</f>
        <v/>
      </c>
      <c r="J430" s="146" t="str">
        <f ca="1">IF($M430=0,"",INDEX(Data!$U$2051:$U$2550,$M430))</f>
        <v/>
      </c>
      <c r="K430" s="146" t="str">
        <f ca="1">IF($M430=0,"",INDEX(Data!$AA$2051:$AA$2550,$M430))</f>
        <v/>
      </c>
      <c r="L430" s="146" t="str">
        <f ca="1">IF($M430=0,"",IF(INDEX(Data!$AN$2051:$AN$2550,$M430)=0,"",IF(INDEX(Data!$U$41:$U$540,INDEX(Data!$AN$2051:$AN$2550,$M430))="","",INDEX(Data!$U$41:$U$540,INDEX(Data!$AN$2051:$AN$2550,$M430)))))</f>
        <v/>
      </c>
      <c r="M430" s="132">
        <f ca="1">IF(COUNTIFS(Data!$AV$2051:$AV$2550,418)=1,MATCH(418,Data!$AV$2051:$AV$2550,0),0)</f>
        <v>0</v>
      </c>
      <c r="N430" s="150" t="str">
        <f ca="1">IF($M430=0,"",IF(INDEX(Data!$I$2051:$I$2550,$M430)=0,"Add ID","Row "&amp;(INDEX(Data!$I$2051:$I$2550,$M430)+7)))</f>
        <v/>
      </c>
    </row>
    <row r="431" spans="1:14" ht="40" customHeight="1">
      <c r="A431" s="135" t="str">
        <f ca="1">IF($M431=0,"",INDEX(Data!$W$2051:$W$2550,$M431))</f>
        <v/>
      </c>
      <c r="B431" s="138" t="str">
        <f ca="1">IF($M431=0,"",INDEX(Data!$B$2051:$B$2550,$M431))</f>
        <v/>
      </c>
      <c r="C431" s="141" t="str">
        <f ca="1">IF($M431=0,"",INDEX(Data!$C$2051:$C$2550,$M431))</f>
        <v/>
      </c>
      <c r="D431" s="141" t="str">
        <f ca="1">IF($M431=0,"",INDEX(Data!$D$2051:$D$2550,$M431))</f>
        <v/>
      </c>
      <c r="E431" s="142" t="str">
        <f ca="1">IF($M431=0,"",INDEX(Data!$G$2051:$G$2550,$M431))</f>
        <v/>
      </c>
      <c r="F431" s="141" t="str">
        <f ca="1">IF($M431=0,"",INDEX(Data!$F$2051:$F$2550,$M431))</f>
        <v/>
      </c>
      <c r="G431" s="143" t="str">
        <f ca="1">IF($M431=0,"",INDEX(Data!$K$2051:$K$2550,$M431))</f>
        <v/>
      </c>
      <c r="H431" s="141" t="str">
        <f ca="1">IF($M431=0,"",INDEX(Data!$L$2051:$L$2550,$M431))</f>
        <v/>
      </c>
      <c r="I431" s="144" t="str">
        <f ca="1">IF($M431=0,"",INDEX(Data!$T$2051:$T$2550,$M431))</f>
        <v/>
      </c>
      <c r="J431" s="141" t="str">
        <f ca="1">IF($M431=0,"",INDEX(Data!$U$2051:$U$2550,$M431))</f>
        <v/>
      </c>
      <c r="K431" s="141" t="str">
        <f ca="1">IF($M431=0,"",INDEX(Data!$AA$2051:$AA$2550,$M431))</f>
        <v/>
      </c>
      <c r="L431" s="141" t="str">
        <f ca="1">IF($M431=0,"",IF(INDEX(Data!$AN$2051:$AN$2550,$M431)=0,"",IF(INDEX(Data!$U$41:$U$540,INDEX(Data!$AN$2051:$AN$2550,$M431))="","",INDEX(Data!$U$41:$U$540,INDEX(Data!$AN$2051:$AN$2550,$M431)))))</f>
        <v/>
      </c>
      <c r="M431" s="132">
        <f ca="1">IF(COUNTIFS(Data!$AV$2051:$AV$2550,419)=1,MATCH(419,Data!$AV$2051:$AV$2550,0),0)</f>
        <v>0</v>
      </c>
      <c r="N431" s="145" t="str">
        <f ca="1">IF($M431=0,"",IF(INDEX(Data!$I$2051:$I$2550,$M431)=0,"Add ID","Row "&amp;(INDEX(Data!$I$2051:$I$2550,$M431)+7)))</f>
        <v/>
      </c>
    </row>
    <row r="432" spans="1:14" ht="40" customHeight="1">
      <c r="A432" s="136" t="str">
        <f ca="1">IF($M432=0,"",INDEX(Data!$W$2051:$W$2550,$M432))</f>
        <v/>
      </c>
      <c r="B432" s="139" t="str">
        <f ca="1">IF($M432=0,"",INDEX(Data!$B$2051:$B$2550,$M432))</f>
        <v/>
      </c>
      <c r="C432" s="146" t="str">
        <f ca="1">IF($M432=0,"",INDEX(Data!$C$2051:$C$2550,$M432))</f>
        <v/>
      </c>
      <c r="D432" s="146" t="str">
        <f ca="1">IF($M432=0,"",INDEX(Data!$D$2051:$D$2550,$M432))</f>
        <v/>
      </c>
      <c r="E432" s="147" t="str">
        <f ca="1">IF($M432=0,"",INDEX(Data!$G$2051:$G$2550,$M432))</f>
        <v/>
      </c>
      <c r="F432" s="146" t="str">
        <f ca="1">IF($M432=0,"",INDEX(Data!$F$2051:$F$2550,$M432))</f>
        <v/>
      </c>
      <c r="G432" s="148" t="str">
        <f ca="1">IF($M432=0,"",INDEX(Data!$K$2051:$K$2550,$M432))</f>
        <v/>
      </c>
      <c r="H432" s="146" t="str">
        <f ca="1">IF($M432=0,"",INDEX(Data!$L$2051:$L$2550,$M432))</f>
        <v/>
      </c>
      <c r="I432" s="149" t="str">
        <f ca="1">IF($M432=0,"",INDEX(Data!$T$2051:$T$2550,$M432))</f>
        <v/>
      </c>
      <c r="J432" s="146" t="str">
        <f ca="1">IF($M432=0,"",INDEX(Data!$U$2051:$U$2550,$M432))</f>
        <v/>
      </c>
      <c r="K432" s="146" t="str">
        <f ca="1">IF($M432=0,"",INDEX(Data!$AA$2051:$AA$2550,$M432))</f>
        <v/>
      </c>
      <c r="L432" s="146" t="str">
        <f ca="1">IF($M432=0,"",IF(INDEX(Data!$AN$2051:$AN$2550,$M432)=0,"",IF(INDEX(Data!$U$41:$U$540,INDEX(Data!$AN$2051:$AN$2550,$M432))="","",INDEX(Data!$U$41:$U$540,INDEX(Data!$AN$2051:$AN$2550,$M432)))))</f>
        <v/>
      </c>
      <c r="M432" s="132">
        <f ca="1">IF(COUNTIFS(Data!$AV$2051:$AV$2550,420)=1,MATCH(420,Data!$AV$2051:$AV$2550,0),0)</f>
        <v>0</v>
      </c>
      <c r="N432" s="150" t="str">
        <f ca="1">IF($M432=0,"",IF(INDEX(Data!$I$2051:$I$2550,$M432)=0,"Add ID","Row "&amp;(INDEX(Data!$I$2051:$I$2550,$M432)+7)))</f>
        <v/>
      </c>
    </row>
    <row r="433" spans="1:14" ht="40" customHeight="1">
      <c r="A433" s="135" t="str">
        <f ca="1">IF($M433=0,"",INDEX(Data!$W$2051:$W$2550,$M433))</f>
        <v/>
      </c>
      <c r="B433" s="138" t="str">
        <f ca="1">IF($M433=0,"",INDEX(Data!$B$2051:$B$2550,$M433))</f>
        <v/>
      </c>
      <c r="C433" s="141" t="str">
        <f ca="1">IF($M433=0,"",INDEX(Data!$C$2051:$C$2550,$M433))</f>
        <v/>
      </c>
      <c r="D433" s="141" t="str">
        <f ca="1">IF($M433=0,"",INDEX(Data!$D$2051:$D$2550,$M433))</f>
        <v/>
      </c>
      <c r="E433" s="142" t="str">
        <f ca="1">IF($M433=0,"",INDEX(Data!$G$2051:$G$2550,$M433))</f>
        <v/>
      </c>
      <c r="F433" s="141" t="str">
        <f ca="1">IF($M433=0,"",INDEX(Data!$F$2051:$F$2550,$M433))</f>
        <v/>
      </c>
      <c r="G433" s="143" t="str">
        <f ca="1">IF($M433=0,"",INDEX(Data!$K$2051:$K$2550,$M433))</f>
        <v/>
      </c>
      <c r="H433" s="141" t="str">
        <f ca="1">IF($M433=0,"",INDEX(Data!$L$2051:$L$2550,$M433))</f>
        <v/>
      </c>
      <c r="I433" s="144" t="str">
        <f ca="1">IF($M433=0,"",INDEX(Data!$T$2051:$T$2550,$M433))</f>
        <v/>
      </c>
      <c r="J433" s="141" t="str">
        <f ca="1">IF($M433=0,"",INDEX(Data!$U$2051:$U$2550,$M433))</f>
        <v/>
      </c>
      <c r="K433" s="141" t="str">
        <f ca="1">IF($M433=0,"",INDEX(Data!$AA$2051:$AA$2550,$M433))</f>
        <v/>
      </c>
      <c r="L433" s="141" t="str">
        <f ca="1">IF($M433=0,"",IF(INDEX(Data!$AN$2051:$AN$2550,$M433)=0,"",IF(INDEX(Data!$U$41:$U$540,INDEX(Data!$AN$2051:$AN$2550,$M433))="","",INDEX(Data!$U$41:$U$540,INDEX(Data!$AN$2051:$AN$2550,$M433)))))</f>
        <v/>
      </c>
      <c r="M433" s="132">
        <f ca="1">IF(COUNTIFS(Data!$AV$2051:$AV$2550,421)=1,MATCH(421,Data!$AV$2051:$AV$2550,0),0)</f>
        <v>0</v>
      </c>
      <c r="N433" s="145" t="str">
        <f ca="1">IF($M433=0,"",IF(INDEX(Data!$I$2051:$I$2550,$M433)=0,"Add ID","Row "&amp;(INDEX(Data!$I$2051:$I$2550,$M433)+7)))</f>
        <v/>
      </c>
    </row>
    <row r="434" spans="1:14" ht="40" customHeight="1">
      <c r="A434" s="136" t="str">
        <f ca="1">IF($M434=0,"",INDEX(Data!$W$2051:$W$2550,$M434))</f>
        <v/>
      </c>
      <c r="B434" s="139" t="str">
        <f ca="1">IF($M434=0,"",INDEX(Data!$B$2051:$B$2550,$M434))</f>
        <v/>
      </c>
      <c r="C434" s="146" t="str">
        <f ca="1">IF($M434=0,"",INDEX(Data!$C$2051:$C$2550,$M434))</f>
        <v/>
      </c>
      <c r="D434" s="146" t="str">
        <f ca="1">IF($M434=0,"",INDEX(Data!$D$2051:$D$2550,$M434))</f>
        <v/>
      </c>
      <c r="E434" s="147" t="str">
        <f ca="1">IF($M434=0,"",INDEX(Data!$G$2051:$G$2550,$M434))</f>
        <v/>
      </c>
      <c r="F434" s="146" t="str">
        <f ca="1">IF($M434=0,"",INDEX(Data!$F$2051:$F$2550,$M434))</f>
        <v/>
      </c>
      <c r="G434" s="148" t="str">
        <f ca="1">IF($M434=0,"",INDEX(Data!$K$2051:$K$2550,$M434))</f>
        <v/>
      </c>
      <c r="H434" s="146" t="str">
        <f ca="1">IF($M434=0,"",INDEX(Data!$L$2051:$L$2550,$M434))</f>
        <v/>
      </c>
      <c r="I434" s="149" t="str">
        <f ca="1">IF($M434=0,"",INDEX(Data!$T$2051:$T$2550,$M434))</f>
        <v/>
      </c>
      <c r="J434" s="146" t="str">
        <f ca="1">IF($M434=0,"",INDEX(Data!$U$2051:$U$2550,$M434))</f>
        <v/>
      </c>
      <c r="K434" s="146" t="str">
        <f ca="1">IF($M434=0,"",INDEX(Data!$AA$2051:$AA$2550,$M434))</f>
        <v/>
      </c>
      <c r="L434" s="146" t="str">
        <f ca="1">IF($M434=0,"",IF(INDEX(Data!$AN$2051:$AN$2550,$M434)=0,"",IF(INDEX(Data!$U$41:$U$540,INDEX(Data!$AN$2051:$AN$2550,$M434))="","",INDEX(Data!$U$41:$U$540,INDEX(Data!$AN$2051:$AN$2550,$M434)))))</f>
        <v/>
      </c>
      <c r="M434" s="132">
        <f ca="1">IF(COUNTIFS(Data!$AV$2051:$AV$2550,422)=1,MATCH(422,Data!$AV$2051:$AV$2550,0),0)</f>
        <v>0</v>
      </c>
      <c r="N434" s="150" t="str">
        <f ca="1">IF($M434=0,"",IF(INDEX(Data!$I$2051:$I$2550,$M434)=0,"Add ID","Row "&amp;(INDEX(Data!$I$2051:$I$2550,$M434)+7)))</f>
        <v/>
      </c>
    </row>
    <row r="435" spans="1:14" ht="40" customHeight="1">
      <c r="A435" s="135" t="str">
        <f ca="1">IF($M435=0,"",INDEX(Data!$W$2051:$W$2550,$M435))</f>
        <v/>
      </c>
      <c r="B435" s="138" t="str">
        <f ca="1">IF($M435=0,"",INDEX(Data!$B$2051:$B$2550,$M435))</f>
        <v/>
      </c>
      <c r="C435" s="141" t="str">
        <f ca="1">IF($M435=0,"",INDEX(Data!$C$2051:$C$2550,$M435))</f>
        <v/>
      </c>
      <c r="D435" s="141" t="str">
        <f ca="1">IF($M435=0,"",INDEX(Data!$D$2051:$D$2550,$M435))</f>
        <v/>
      </c>
      <c r="E435" s="142" t="str">
        <f ca="1">IF($M435=0,"",INDEX(Data!$G$2051:$G$2550,$M435))</f>
        <v/>
      </c>
      <c r="F435" s="141" t="str">
        <f ca="1">IF($M435=0,"",INDEX(Data!$F$2051:$F$2550,$M435))</f>
        <v/>
      </c>
      <c r="G435" s="143" t="str">
        <f ca="1">IF($M435=0,"",INDEX(Data!$K$2051:$K$2550,$M435))</f>
        <v/>
      </c>
      <c r="H435" s="141" t="str">
        <f ca="1">IF($M435=0,"",INDEX(Data!$L$2051:$L$2550,$M435))</f>
        <v/>
      </c>
      <c r="I435" s="144" t="str">
        <f ca="1">IF($M435=0,"",INDEX(Data!$T$2051:$T$2550,$M435))</f>
        <v/>
      </c>
      <c r="J435" s="141" t="str">
        <f ca="1">IF($M435=0,"",INDEX(Data!$U$2051:$U$2550,$M435))</f>
        <v/>
      </c>
      <c r="K435" s="141" t="str">
        <f ca="1">IF($M435=0,"",INDEX(Data!$AA$2051:$AA$2550,$M435))</f>
        <v/>
      </c>
      <c r="L435" s="141" t="str">
        <f ca="1">IF($M435=0,"",IF(INDEX(Data!$AN$2051:$AN$2550,$M435)=0,"",IF(INDEX(Data!$U$41:$U$540,INDEX(Data!$AN$2051:$AN$2550,$M435))="","",INDEX(Data!$U$41:$U$540,INDEX(Data!$AN$2051:$AN$2550,$M435)))))</f>
        <v/>
      </c>
      <c r="M435" s="132">
        <f ca="1">IF(COUNTIFS(Data!$AV$2051:$AV$2550,423)=1,MATCH(423,Data!$AV$2051:$AV$2550,0),0)</f>
        <v>0</v>
      </c>
      <c r="N435" s="145" t="str">
        <f ca="1">IF($M435=0,"",IF(INDEX(Data!$I$2051:$I$2550,$M435)=0,"Add ID","Row "&amp;(INDEX(Data!$I$2051:$I$2550,$M435)+7)))</f>
        <v/>
      </c>
    </row>
    <row r="436" spans="1:14" ht="40" customHeight="1">
      <c r="A436" s="136" t="str">
        <f ca="1">IF($M436=0,"",INDEX(Data!$W$2051:$W$2550,$M436))</f>
        <v/>
      </c>
      <c r="B436" s="139" t="str">
        <f ca="1">IF($M436=0,"",INDEX(Data!$B$2051:$B$2550,$M436))</f>
        <v/>
      </c>
      <c r="C436" s="146" t="str">
        <f ca="1">IF($M436=0,"",INDEX(Data!$C$2051:$C$2550,$M436))</f>
        <v/>
      </c>
      <c r="D436" s="146" t="str">
        <f ca="1">IF($M436=0,"",INDEX(Data!$D$2051:$D$2550,$M436))</f>
        <v/>
      </c>
      <c r="E436" s="147" t="str">
        <f ca="1">IF($M436=0,"",INDEX(Data!$G$2051:$G$2550,$M436))</f>
        <v/>
      </c>
      <c r="F436" s="146" t="str">
        <f ca="1">IF($M436=0,"",INDEX(Data!$F$2051:$F$2550,$M436))</f>
        <v/>
      </c>
      <c r="G436" s="148" t="str">
        <f ca="1">IF($M436=0,"",INDEX(Data!$K$2051:$K$2550,$M436))</f>
        <v/>
      </c>
      <c r="H436" s="146" t="str">
        <f ca="1">IF($M436=0,"",INDEX(Data!$L$2051:$L$2550,$M436))</f>
        <v/>
      </c>
      <c r="I436" s="149" t="str">
        <f ca="1">IF($M436=0,"",INDEX(Data!$T$2051:$T$2550,$M436))</f>
        <v/>
      </c>
      <c r="J436" s="146" t="str">
        <f ca="1">IF($M436=0,"",INDEX(Data!$U$2051:$U$2550,$M436))</f>
        <v/>
      </c>
      <c r="K436" s="146" t="str">
        <f ca="1">IF($M436=0,"",INDEX(Data!$AA$2051:$AA$2550,$M436))</f>
        <v/>
      </c>
      <c r="L436" s="146" t="str">
        <f ca="1">IF($M436=0,"",IF(INDEX(Data!$AN$2051:$AN$2550,$M436)=0,"",IF(INDEX(Data!$U$41:$U$540,INDEX(Data!$AN$2051:$AN$2550,$M436))="","",INDEX(Data!$U$41:$U$540,INDEX(Data!$AN$2051:$AN$2550,$M436)))))</f>
        <v/>
      </c>
      <c r="M436" s="132">
        <f ca="1">IF(COUNTIFS(Data!$AV$2051:$AV$2550,424)=1,MATCH(424,Data!$AV$2051:$AV$2550,0),0)</f>
        <v>0</v>
      </c>
      <c r="N436" s="150" t="str">
        <f ca="1">IF($M436=0,"",IF(INDEX(Data!$I$2051:$I$2550,$M436)=0,"Add ID","Row "&amp;(INDEX(Data!$I$2051:$I$2550,$M436)+7)))</f>
        <v/>
      </c>
    </row>
    <row r="437" spans="1:14" ht="40" customHeight="1">
      <c r="A437" s="135" t="str">
        <f ca="1">IF($M437=0,"",INDEX(Data!$W$2051:$W$2550,$M437))</f>
        <v/>
      </c>
      <c r="B437" s="138" t="str">
        <f ca="1">IF($M437=0,"",INDEX(Data!$B$2051:$B$2550,$M437))</f>
        <v/>
      </c>
      <c r="C437" s="141" t="str">
        <f ca="1">IF($M437=0,"",INDEX(Data!$C$2051:$C$2550,$M437))</f>
        <v/>
      </c>
      <c r="D437" s="141" t="str">
        <f ca="1">IF($M437=0,"",INDEX(Data!$D$2051:$D$2550,$M437))</f>
        <v/>
      </c>
      <c r="E437" s="142" t="str">
        <f ca="1">IF($M437=0,"",INDEX(Data!$G$2051:$G$2550,$M437))</f>
        <v/>
      </c>
      <c r="F437" s="141" t="str">
        <f ca="1">IF($M437=0,"",INDEX(Data!$F$2051:$F$2550,$M437))</f>
        <v/>
      </c>
      <c r="G437" s="143" t="str">
        <f ca="1">IF($M437=0,"",INDEX(Data!$K$2051:$K$2550,$M437))</f>
        <v/>
      </c>
      <c r="H437" s="141" t="str">
        <f ca="1">IF($M437=0,"",INDEX(Data!$L$2051:$L$2550,$M437))</f>
        <v/>
      </c>
      <c r="I437" s="144" t="str">
        <f ca="1">IF($M437=0,"",INDEX(Data!$T$2051:$T$2550,$M437))</f>
        <v/>
      </c>
      <c r="J437" s="141" t="str">
        <f ca="1">IF($M437=0,"",INDEX(Data!$U$2051:$U$2550,$M437))</f>
        <v/>
      </c>
      <c r="K437" s="141" t="str">
        <f ca="1">IF($M437=0,"",INDEX(Data!$AA$2051:$AA$2550,$M437))</f>
        <v/>
      </c>
      <c r="L437" s="141" t="str">
        <f ca="1">IF($M437=0,"",IF(INDEX(Data!$AN$2051:$AN$2550,$M437)=0,"",IF(INDEX(Data!$U$41:$U$540,INDEX(Data!$AN$2051:$AN$2550,$M437))="","",INDEX(Data!$U$41:$U$540,INDEX(Data!$AN$2051:$AN$2550,$M437)))))</f>
        <v/>
      </c>
      <c r="M437" s="132">
        <f ca="1">IF(COUNTIFS(Data!$AV$2051:$AV$2550,425)=1,MATCH(425,Data!$AV$2051:$AV$2550,0),0)</f>
        <v>0</v>
      </c>
      <c r="N437" s="145" t="str">
        <f ca="1">IF($M437=0,"",IF(INDEX(Data!$I$2051:$I$2550,$M437)=0,"Add ID","Row "&amp;(INDEX(Data!$I$2051:$I$2550,$M437)+7)))</f>
        <v/>
      </c>
    </row>
    <row r="438" spans="1:14" ht="40" customHeight="1">
      <c r="A438" s="136" t="str">
        <f ca="1">IF($M438=0,"",INDEX(Data!$W$2051:$W$2550,$M438))</f>
        <v/>
      </c>
      <c r="B438" s="139" t="str">
        <f ca="1">IF($M438=0,"",INDEX(Data!$B$2051:$B$2550,$M438))</f>
        <v/>
      </c>
      <c r="C438" s="146" t="str">
        <f ca="1">IF($M438=0,"",INDEX(Data!$C$2051:$C$2550,$M438))</f>
        <v/>
      </c>
      <c r="D438" s="146" t="str">
        <f ca="1">IF($M438=0,"",INDEX(Data!$D$2051:$D$2550,$M438))</f>
        <v/>
      </c>
      <c r="E438" s="147" t="str">
        <f ca="1">IF($M438=0,"",INDEX(Data!$G$2051:$G$2550,$M438))</f>
        <v/>
      </c>
      <c r="F438" s="146" t="str">
        <f ca="1">IF($M438=0,"",INDEX(Data!$F$2051:$F$2550,$M438))</f>
        <v/>
      </c>
      <c r="G438" s="148" t="str">
        <f ca="1">IF($M438=0,"",INDEX(Data!$K$2051:$K$2550,$M438))</f>
        <v/>
      </c>
      <c r="H438" s="146" t="str">
        <f ca="1">IF($M438=0,"",INDEX(Data!$L$2051:$L$2550,$M438))</f>
        <v/>
      </c>
      <c r="I438" s="149" t="str">
        <f ca="1">IF($M438=0,"",INDEX(Data!$T$2051:$T$2550,$M438))</f>
        <v/>
      </c>
      <c r="J438" s="146" t="str">
        <f ca="1">IF($M438=0,"",INDEX(Data!$U$2051:$U$2550,$M438))</f>
        <v/>
      </c>
      <c r="K438" s="146" t="str">
        <f ca="1">IF($M438=0,"",INDEX(Data!$AA$2051:$AA$2550,$M438))</f>
        <v/>
      </c>
      <c r="L438" s="146" t="str">
        <f ca="1">IF($M438=0,"",IF(INDEX(Data!$AN$2051:$AN$2550,$M438)=0,"",IF(INDEX(Data!$U$41:$U$540,INDEX(Data!$AN$2051:$AN$2550,$M438))="","",INDEX(Data!$U$41:$U$540,INDEX(Data!$AN$2051:$AN$2550,$M438)))))</f>
        <v/>
      </c>
      <c r="M438" s="132">
        <f ca="1">IF(COUNTIFS(Data!$AV$2051:$AV$2550,426)=1,MATCH(426,Data!$AV$2051:$AV$2550,0),0)</f>
        <v>0</v>
      </c>
      <c r="N438" s="150" t="str">
        <f ca="1">IF($M438=0,"",IF(INDEX(Data!$I$2051:$I$2550,$M438)=0,"Add ID","Row "&amp;(INDEX(Data!$I$2051:$I$2550,$M438)+7)))</f>
        <v/>
      </c>
    </row>
    <row r="439" spans="1:14" ht="40" customHeight="1">
      <c r="A439" s="135" t="str">
        <f ca="1">IF($M439=0,"",INDEX(Data!$W$2051:$W$2550,$M439))</f>
        <v/>
      </c>
      <c r="B439" s="138" t="str">
        <f ca="1">IF($M439=0,"",INDEX(Data!$B$2051:$B$2550,$M439))</f>
        <v/>
      </c>
      <c r="C439" s="141" t="str">
        <f ca="1">IF($M439=0,"",INDEX(Data!$C$2051:$C$2550,$M439))</f>
        <v/>
      </c>
      <c r="D439" s="141" t="str">
        <f ca="1">IF($M439=0,"",INDEX(Data!$D$2051:$D$2550,$M439))</f>
        <v/>
      </c>
      <c r="E439" s="142" t="str">
        <f ca="1">IF($M439=0,"",INDEX(Data!$G$2051:$G$2550,$M439))</f>
        <v/>
      </c>
      <c r="F439" s="141" t="str">
        <f ca="1">IF($M439=0,"",INDEX(Data!$F$2051:$F$2550,$M439))</f>
        <v/>
      </c>
      <c r="G439" s="143" t="str">
        <f ca="1">IF($M439=0,"",INDEX(Data!$K$2051:$K$2550,$M439))</f>
        <v/>
      </c>
      <c r="H439" s="141" t="str">
        <f ca="1">IF($M439=0,"",INDEX(Data!$L$2051:$L$2550,$M439))</f>
        <v/>
      </c>
      <c r="I439" s="144" t="str">
        <f ca="1">IF($M439=0,"",INDEX(Data!$T$2051:$T$2550,$M439))</f>
        <v/>
      </c>
      <c r="J439" s="141" t="str">
        <f ca="1">IF($M439=0,"",INDEX(Data!$U$2051:$U$2550,$M439))</f>
        <v/>
      </c>
      <c r="K439" s="141" t="str">
        <f ca="1">IF($M439=0,"",INDEX(Data!$AA$2051:$AA$2550,$M439))</f>
        <v/>
      </c>
      <c r="L439" s="141" t="str">
        <f ca="1">IF($M439=0,"",IF(INDEX(Data!$AN$2051:$AN$2550,$M439)=0,"",IF(INDEX(Data!$U$41:$U$540,INDEX(Data!$AN$2051:$AN$2550,$M439))="","",INDEX(Data!$U$41:$U$540,INDEX(Data!$AN$2051:$AN$2550,$M439)))))</f>
        <v/>
      </c>
      <c r="M439" s="132">
        <f ca="1">IF(COUNTIFS(Data!$AV$2051:$AV$2550,427)=1,MATCH(427,Data!$AV$2051:$AV$2550,0),0)</f>
        <v>0</v>
      </c>
      <c r="N439" s="145" t="str">
        <f ca="1">IF($M439=0,"",IF(INDEX(Data!$I$2051:$I$2550,$M439)=0,"Add ID","Row "&amp;(INDEX(Data!$I$2051:$I$2550,$M439)+7)))</f>
        <v/>
      </c>
    </row>
    <row r="440" spans="1:14" ht="40" customHeight="1">
      <c r="A440" s="136" t="str">
        <f ca="1">IF($M440=0,"",INDEX(Data!$W$2051:$W$2550,$M440))</f>
        <v/>
      </c>
      <c r="B440" s="139" t="str">
        <f ca="1">IF($M440=0,"",INDEX(Data!$B$2051:$B$2550,$M440))</f>
        <v/>
      </c>
      <c r="C440" s="146" t="str">
        <f ca="1">IF($M440=0,"",INDEX(Data!$C$2051:$C$2550,$M440))</f>
        <v/>
      </c>
      <c r="D440" s="146" t="str">
        <f ca="1">IF($M440=0,"",INDEX(Data!$D$2051:$D$2550,$M440))</f>
        <v/>
      </c>
      <c r="E440" s="147" t="str">
        <f ca="1">IF($M440=0,"",INDEX(Data!$G$2051:$G$2550,$M440))</f>
        <v/>
      </c>
      <c r="F440" s="146" t="str">
        <f ca="1">IF($M440=0,"",INDEX(Data!$F$2051:$F$2550,$M440))</f>
        <v/>
      </c>
      <c r="G440" s="148" t="str">
        <f ca="1">IF($M440=0,"",INDEX(Data!$K$2051:$K$2550,$M440))</f>
        <v/>
      </c>
      <c r="H440" s="146" t="str">
        <f ca="1">IF($M440=0,"",INDEX(Data!$L$2051:$L$2550,$M440))</f>
        <v/>
      </c>
      <c r="I440" s="149" t="str">
        <f ca="1">IF($M440=0,"",INDEX(Data!$T$2051:$T$2550,$M440))</f>
        <v/>
      </c>
      <c r="J440" s="146" t="str">
        <f ca="1">IF($M440=0,"",INDEX(Data!$U$2051:$U$2550,$M440))</f>
        <v/>
      </c>
      <c r="K440" s="146" t="str">
        <f ca="1">IF($M440=0,"",INDEX(Data!$AA$2051:$AA$2550,$M440))</f>
        <v/>
      </c>
      <c r="L440" s="146" t="str">
        <f ca="1">IF($M440=0,"",IF(INDEX(Data!$AN$2051:$AN$2550,$M440)=0,"",IF(INDEX(Data!$U$41:$U$540,INDEX(Data!$AN$2051:$AN$2550,$M440))="","",INDEX(Data!$U$41:$U$540,INDEX(Data!$AN$2051:$AN$2550,$M440)))))</f>
        <v/>
      </c>
      <c r="M440" s="132">
        <f ca="1">IF(COUNTIFS(Data!$AV$2051:$AV$2550,428)=1,MATCH(428,Data!$AV$2051:$AV$2550,0),0)</f>
        <v>0</v>
      </c>
      <c r="N440" s="150" t="str">
        <f ca="1">IF($M440=0,"",IF(INDEX(Data!$I$2051:$I$2550,$M440)=0,"Add ID","Row "&amp;(INDEX(Data!$I$2051:$I$2550,$M440)+7)))</f>
        <v/>
      </c>
    </row>
    <row r="441" spans="1:14" ht="40" customHeight="1">
      <c r="A441" s="135" t="str">
        <f ca="1">IF($M441=0,"",INDEX(Data!$W$2051:$W$2550,$M441))</f>
        <v/>
      </c>
      <c r="B441" s="138" t="str">
        <f ca="1">IF($M441=0,"",INDEX(Data!$B$2051:$B$2550,$M441))</f>
        <v/>
      </c>
      <c r="C441" s="141" t="str">
        <f ca="1">IF($M441=0,"",INDEX(Data!$C$2051:$C$2550,$M441))</f>
        <v/>
      </c>
      <c r="D441" s="141" t="str">
        <f ca="1">IF($M441=0,"",INDEX(Data!$D$2051:$D$2550,$M441))</f>
        <v/>
      </c>
      <c r="E441" s="142" t="str">
        <f ca="1">IF($M441=0,"",INDEX(Data!$G$2051:$G$2550,$M441))</f>
        <v/>
      </c>
      <c r="F441" s="141" t="str">
        <f ca="1">IF($M441=0,"",INDEX(Data!$F$2051:$F$2550,$M441))</f>
        <v/>
      </c>
      <c r="G441" s="143" t="str">
        <f ca="1">IF($M441=0,"",INDEX(Data!$K$2051:$K$2550,$M441))</f>
        <v/>
      </c>
      <c r="H441" s="141" t="str">
        <f ca="1">IF($M441=0,"",INDEX(Data!$L$2051:$L$2550,$M441))</f>
        <v/>
      </c>
      <c r="I441" s="144" t="str">
        <f ca="1">IF($M441=0,"",INDEX(Data!$T$2051:$T$2550,$M441))</f>
        <v/>
      </c>
      <c r="J441" s="141" t="str">
        <f ca="1">IF($M441=0,"",INDEX(Data!$U$2051:$U$2550,$M441))</f>
        <v/>
      </c>
      <c r="K441" s="141" t="str">
        <f ca="1">IF($M441=0,"",INDEX(Data!$AA$2051:$AA$2550,$M441))</f>
        <v/>
      </c>
      <c r="L441" s="141" t="str">
        <f ca="1">IF($M441=0,"",IF(INDEX(Data!$AN$2051:$AN$2550,$M441)=0,"",IF(INDEX(Data!$U$41:$U$540,INDEX(Data!$AN$2051:$AN$2550,$M441))="","",INDEX(Data!$U$41:$U$540,INDEX(Data!$AN$2051:$AN$2550,$M441)))))</f>
        <v/>
      </c>
      <c r="M441" s="132">
        <f ca="1">IF(COUNTIFS(Data!$AV$2051:$AV$2550,429)=1,MATCH(429,Data!$AV$2051:$AV$2550,0),0)</f>
        <v>0</v>
      </c>
      <c r="N441" s="145" t="str">
        <f ca="1">IF($M441=0,"",IF(INDEX(Data!$I$2051:$I$2550,$M441)=0,"Add ID","Row "&amp;(INDEX(Data!$I$2051:$I$2550,$M441)+7)))</f>
        <v/>
      </c>
    </row>
    <row r="442" spans="1:14" ht="40" customHeight="1">
      <c r="A442" s="136" t="str">
        <f ca="1">IF($M442=0,"",INDEX(Data!$W$2051:$W$2550,$M442))</f>
        <v/>
      </c>
      <c r="B442" s="139" t="str">
        <f ca="1">IF($M442=0,"",INDEX(Data!$B$2051:$B$2550,$M442))</f>
        <v/>
      </c>
      <c r="C442" s="146" t="str">
        <f ca="1">IF($M442=0,"",INDEX(Data!$C$2051:$C$2550,$M442))</f>
        <v/>
      </c>
      <c r="D442" s="146" t="str">
        <f ca="1">IF($M442=0,"",INDEX(Data!$D$2051:$D$2550,$M442))</f>
        <v/>
      </c>
      <c r="E442" s="147" t="str">
        <f ca="1">IF($M442=0,"",INDEX(Data!$G$2051:$G$2550,$M442))</f>
        <v/>
      </c>
      <c r="F442" s="146" t="str">
        <f ca="1">IF($M442=0,"",INDEX(Data!$F$2051:$F$2550,$M442))</f>
        <v/>
      </c>
      <c r="G442" s="148" t="str">
        <f ca="1">IF($M442=0,"",INDEX(Data!$K$2051:$K$2550,$M442))</f>
        <v/>
      </c>
      <c r="H442" s="146" t="str">
        <f ca="1">IF($M442=0,"",INDEX(Data!$L$2051:$L$2550,$M442))</f>
        <v/>
      </c>
      <c r="I442" s="149" t="str">
        <f ca="1">IF($M442=0,"",INDEX(Data!$T$2051:$T$2550,$M442))</f>
        <v/>
      </c>
      <c r="J442" s="146" t="str">
        <f ca="1">IF($M442=0,"",INDEX(Data!$U$2051:$U$2550,$M442))</f>
        <v/>
      </c>
      <c r="K442" s="146" t="str">
        <f ca="1">IF($M442=0,"",INDEX(Data!$AA$2051:$AA$2550,$M442))</f>
        <v/>
      </c>
      <c r="L442" s="146" t="str">
        <f ca="1">IF($M442=0,"",IF(INDEX(Data!$AN$2051:$AN$2550,$M442)=0,"",IF(INDEX(Data!$U$41:$U$540,INDEX(Data!$AN$2051:$AN$2550,$M442))="","",INDEX(Data!$U$41:$U$540,INDEX(Data!$AN$2051:$AN$2550,$M442)))))</f>
        <v/>
      </c>
      <c r="M442" s="132">
        <f ca="1">IF(COUNTIFS(Data!$AV$2051:$AV$2550,430)=1,MATCH(430,Data!$AV$2051:$AV$2550,0),0)</f>
        <v>0</v>
      </c>
      <c r="N442" s="150" t="str">
        <f ca="1">IF($M442=0,"",IF(INDEX(Data!$I$2051:$I$2550,$M442)=0,"Add ID","Row "&amp;(INDEX(Data!$I$2051:$I$2550,$M442)+7)))</f>
        <v/>
      </c>
    </row>
    <row r="443" spans="1:14" ht="40" customHeight="1">
      <c r="A443" s="135" t="str">
        <f ca="1">IF($M443=0,"",INDEX(Data!$W$2051:$W$2550,$M443))</f>
        <v/>
      </c>
      <c r="B443" s="138" t="str">
        <f ca="1">IF($M443=0,"",INDEX(Data!$B$2051:$B$2550,$M443))</f>
        <v/>
      </c>
      <c r="C443" s="141" t="str">
        <f ca="1">IF($M443=0,"",INDEX(Data!$C$2051:$C$2550,$M443))</f>
        <v/>
      </c>
      <c r="D443" s="141" t="str">
        <f ca="1">IF($M443=0,"",INDEX(Data!$D$2051:$D$2550,$M443))</f>
        <v/>
      </c>
      <c r="E443" s="142" t="str">
        <f ca="1">IF($M443=0,"",INDEX(Data!$G$2051:$G$2550,$M443))</f>
        <v/>
      </c>
      <c r="F443" s="141" t="str">
        <f ca="1">IF($M443=0,"",INDEX(Data!$F$2051:$F$2550,$M443))</f>
        <v/>
      </c>
      <c r="G443" s="143" t="str">
        <f ca="1">IF($M443=0,"",INDEX(Data!$K$2051:$K$2550,$M443))</f>
        <v/>
      </c>
      <c r="H443" s="141" t="str">
        <f ca="1">IF($M443=0,"",INDEX(Data!$L$2051:$L$2550,$M443))</f>
        <v/>
      </c>
      <c r="I443" s="144" t="str">
        <f ca="1">IF($M443=0,"",INDEX(Data!$T$2051:$T$2550,$M443))</f>
        <v/>
      </c>
      <c r="J443" s="141" t="str">
        <f ca="1">IF($M443=0,"",INDEX(Data!$U$2051:$U$2550,$M443))</f>
        <v/>
      </c>
      <c r="K443" s="141" t="str">
        <f ca="1">IF($M443=0,"",INDEX(Data!$AA$2051:$AA$2550,$M443))</f>
        <v/>
      </c>
      <c r="L443" s="141" t="str">
        <f ca="1">IF($M443=0,"",IF(INDEX(Data!$AN$2051:$AN$2550,$M443)=0,"",IF(INDEX(Data!$U$41:$U$540,INDEX(Data!$AN$2051:$AN$2550,$M443))="","",INDEX(Data!$U$41:$U$540,INDEX(Data!$AN$2051:$AN$2550,$M443)))))</f>
        <v/>
      </c>
      <c r="M443" s="132">
        <f ca="1">IF(COUNTIFS(Data!$AV$2051:$AV$2550,431)=1,MATCH(431,Data!$AV$2051:$AV$2550,0),0)</f>
        <v>0</v>
      </c>
      <c r="N443" s="145" t="str">
        <f ca="1">IF($M443=0,"",IF(INDEX(Data!$I$2051:$I$2550,$M443)=0,"Add ID","Row "&amp;(INDEX(Data!$I$2051:$I$2550,$M443)+7)))</f>
        <v/>
      </c>
    </row>
    <row r="444" spans="1:14" ht="40" customHeight="1">
      <c r="A444" s="136" t="str">
        <f ca="1">IF($M444=0,"",INDEX(Data!$W$2051:$W$2550,$M444))</f>
        <v/>
      </c>
      <c r="B444" s="139" t="str">
        <f ca="1">IF($M444=0,"",INDEX(Data!$B$2051:$B$2550,$M444))</f>
        <v/>
      </c>
      <c r="C444" s="146" t="str">
        <f ca="1">IF($M444=0,"",INDEX(Data!$C$2051:$C$2550,$M444))</f>
        <v/>
      </c>
      <c r="D444" s="146" t="str">
        <f ca="1">IF($M444=0,"",INDEX(Data!$D$2051:$D$2550,$M444))</f>
        <v/>
      </c>
      <c r="E444" s="147" t="str">
        <f ca="1">IF($M444=0,"",INDEX(Data!$G$2051:$G$2550,$M444))</f>
        <v/>
      </c>
      <c r="F444" s="146" t="str">
        <f ca="1">IF($M444=0,"",INDEX(Data!$F$2051:$F$2550,$M444))</f>
        <v/>
      </c>
      <c r="G444" s="148" t="str">
        <f ca="1">IF($M444=0,"",INDEX(Data!$K$2051:$K$2550,$M444))</f>
        <v/>
      </c>
      <c r="H444" s="146" t="str">
        <f ca="1">IF($M444=0,"",INDEX(Data!$L$2051:$L$2550,$M444))</f>
        <v/>
      </c>
      <c r="I444" s="149" t="str">
        <f ca="1">IF($M444=0,"",INDEX(Data!$T$2051:$T$2550,$M444))</f>
        <v/>
      </c>
      <c r="J444" s="146" t="str">
        <f ca="1">IF($M444=0,"",INDEX(Data!$U$2051:$U$2550,$M444))</f>
        <v/>
      </c>
      <c r="K444" s="146" t="str">
        <f ca="1">IF($M444=0,"",INDEX(Data!$AA$2051:$AA$2550,$M444))</f>
        <v/>
      </c>
      <c r="L444" s="146" t="str">
        <f ca="1">IF($M444=0,"",IF(INDEX(Data!$AN$2051:$AN$2550,$M444)=0,"",IF(INDEX(Data!$U$41:$U$540,INDEX(Data!$AN$2051:$AN$2550,$M444))="","",INDEX(Data!$U$41:$U$540,INDEX(Data!$AN$2051:$AN$2550,$M444)))))</f>
        <v/>
      </c>
      <c r="M444" s="132">
        <f ca="1">IF(COUNTIFS(Data!$AV$2051:$AV$2550,432)=1,MATCH(432,Data!$AV$2051:$AV$2550,0),0)</f>
        <v>0</v>
      </c>
      <c r="N444" s="150" t="str">
        <f ca="1">IF($M444=0,"",IF(INDEX(Data!$I$2051:$I$2550,$M444)=0,"Add ID","Row "&amp;(INDEX(Data!$I$2051:$I$2550,$M444)+7)))</f>
        <v/>
      </c>
    </row>
    <row r="445" spans="1:14" ht="40" customHeight="1">
      <c r="A445" s="135" t="str">
        <f ca="1">IF($M445=0,"",INDEX(Data!$W$2051:$W$2550,$M445))</f>
        <v/>
      </c>
      <c r="B445" s="138" t="str">
        <f ca="1">IF($M445=0,"",INDEX(Data!$B$2051:$B$2550,$M445))</f>
        <v/>
      </c>
      <c r="C445" s="141" t="str">
        <f ca="1">IF($M445=0,"",INDEX(Data!$C$2051:$C$2550,$M445))</f>
        <v/>
      </c>
      <c r="D445" s="141" t="str">
        <f ca="1">IF($M445=0,"",INDEX(Data!$D$2051:$D$2550,$M445))</f>
        <v/>
      </c>
      <c r="E445" s="142" t="str">
        <f ca="1">IF($M445=0,"",INDEX(Data!$G$2051:$G$2550,$M445))</f>
        <v/>
      </c>
      <c r="F445" s="141" t="str">
        <f ca="1">IF($M445=0,"",INDEX(Data!$F$2051:$F$2550,$M445))</f>
        <v/>
      </c>
      <c r="G445" s="143" t="str">
        <f ca="1">IF($M445=0,"",INDEX(Data!$K$2051:$K$2550,$M445))</f>
        <v/>
      </c>
      <c r="H445" s="141" t="str">
        <f ca="1">IF($M445=0,"",INDEX(Data!$L$2051:$L$2550,$M445))</f>
        <v/>
      </c>
      <c r="I445" s="144" t="str">
        <f ca="1">IF($M445=0,"",INDEX(Data!$T$2051:$T$2550,$M445))</f>
        <v/>
      </c>
      <c r="J445" s="141" t="str">
        <f ca="1">IF($M445=0,"",INDEX(Data!$U$2051:$U$2550,$M445))</f>
        <v/>
      </c>
      <c r="K445" s="141" t="str">
        <f ca="1">IF($M445=0,"",INDEX(Data!$AA$2051:$AA$2550,$M445))</f>
        <v/>
      </c>
      <c r="L445" s="141" t="str">
        <f ca="1">IF($M445=0,"",IF(INDEX(Data!$AN$2051:$AN$2550,$M445)=0,"",IF(INDEX(Data!$U$41:$U$540,INDEX(Data!$AN$2051:$AN$2550,$M445))="","",INDEX(Data!$U$41:$U$540,INDEX(Data!$AN$2051:$AN$2550,$M445)))))</f>
        <v/>
      </c>
      <c r="M445" s="132">
        <f ca="1">IF(COUNTIFS(Data!$AV$2051:$AV$2550,433)=1,MATCH(433,Data!$AV$2051:$AV$2550,0),0)</f>
        <v>0</v>
      </c>
      <c r="N445" s="145" t="str">
        <f ca="1">IF($M445=0,"",IF(INDEX(Data!$I$2051:$I$2550,$M445)=0,"Add ID","Row "&amp;(INDEX(Data!$I$2051:$I$2550,$M445)+7)))</f>
        <v/>
      </c>
    </row>
    <row r="446" spans="1:14" ht="40" customHeight="1">
      <c r="A446" s="136" t="str">
        <f ca="1">IF($M446=0,"",INDEX(Data!$W$2051:$W$2550,$M446))</f>
        <v/>
      </c>
      <c r="B446" s="139" t="str">
        <f ca="1">IF($M446=0,"",INDEX(Data!$B$2051:$B$2550,$M446))</f>
        <v/>
      </c>
      <c r="C446" s="146" t="str">
        <f ca="1">IF($M446=0,"",INDEX(Data!$C$2051:$C$2550,$M446))</f>
        <v/>
      </c>
      <c r="D446" s="146" t="str">
        <f ca="1">IF($M446=0,"",INDEX(Data!$D$2051:$D$2550,$M446))</f>
        <v/>
      </c>
      <c r="E446" s="147" t="str">
        <f ca="1">IF($M446=0,"",INDEX(Data!$G$2051:$G$2550,$M446))</f>
        <v/>
      </c>
      <c r="F446" s="146" t="str">
        <f ca="1">IF($M446=0,"",INDEX(Data!$F$2051:$F$2550,$M446))</f>
        <v/>
      </c>
      <c r="G446" s="148" t="str">
        <f ca="1">IF($M446=0,"",INDEX(Data!$K$2051:$K$2550,$M446))</f>
        <v/>
      </c>
      <c r="H446" s="146" t="str">
        <f ca="1">IF($M446=0,"",INDEX(Data!$L$2051:$L$2550,$M446))</f>
        <v/>
      </c>
      <c r="I446" s="149" t="str">
        <f ca="1">IF($M446=0,"",INDEX(Data!$T$2051:$T$2550,$M446))</f>
        <v/>
      </c>
      <c r="J446" s="146" t="str">
        <f ca="1">IF($M446=0,"",INDEX(Data!$U$2051:$U$2550,$M446))</f>
        <v/>
      </c>
      <c r="K446" s="146" t="str">
        <f ca="1">IF($M446=0,"",INDEX(Data!$AA$2051:$AA$2550,$M446))</f>
        <v/>
      </c>
      <c r="L446" s="146" t="str">
        <f ca="1">IF($M446=0,"",IF(INDEX(Data!$AN$2051:$AN$2550,$M446)=0,"",IF(INDEX(Data!$U$41:$U$540,INDEX(Data!$AN$2051:$AN$2550,$M446))="","",INDEX(Data!$U$41:$U$540,INDEX(Data!$AN$2051:$AN$2550,$M446)))))</f>
        <v/>
      </c>
      <c r="M446" s="132">
        <f ca="1">IF(COUNTIFS(Data!$AV$2051:$AV$2550,434)=1,MATCH(434,Data!$AV$2051:$AV$2550,0),0)</f>
        <v>0</v>
      </c>
      <c r="N446" s="150" t="str">
        <f ca="1">IF($M446=0,"",IF(INDEX(Data!$I$2051:$I$2550,$M446)=0,"Add ID","Row "&amp;(INDEX(Data!$I$2051:$I$2550,$M446)+7)))</f>
        <v/>
      </c>
    </row>
    <row r="447" spans="1:14" ht="40" customHeight="1">
      <c r="A447" s="135" t="str">
        <f ca="1">IF($M447=0,"",INDEX(Data!$W$2051:$W$2550,$M447))</f>
        <v/>
      </c>
      <c r="B447" s="138" t="str">
        <f ca="1">IF($M447=0,"",INDEX(Data!$B$2051:$B$2550,$M447))</f>
        <v/>
      </c>
      <c r="C447" s="141" t="str">
        <f ca="1">IF($M447=0,"",INDEX(Data!$C$2051:$C$2550,$M447))</f>
        <v/>
      </c>
      <c r="D447" s="141" t="str">
        <f ca="1">IF($M447=0,"",INDEX(Data!$D$2051:$D$2550,$M447))</f>
        <v/>
      </c>
      <c r="E447" s="142" t="str">
        <f ca="1">IF($M447=0,"",INDEX(Data!$G$2051:$G$2550,$M447))</f>
        <v/>
      </c>
      <c r="F447" s="141" t="str">
        <f ca="1">IF($M447=0,"",INDEX(Data!$F$2051:$F$2550,$M447))</f>
        <v/>
      </c>
      <c r="G447" s="143" t="str">
        <f ca="1">IF($M447=0,"",INDEX(Data!$K$2051:$K$2550,$M447))</f>
        <v/>
      </c>
      <c r="H447" s="141" t="str">
        <f ca="1">IF($M447=0,"",INDEX(Data!$L$2051:$L$2550,$M447))</f>
        <v/>
      </c>
      <c r="I447" s="144" t="str">
        <f ca="1">IF($M447=0,"",INDEX(Data!$T$2051:$T$2550,$M447))</f>
        <v/>
      </c>
      <c r="J447" s="141" t="str">
        <f ca="1">IF($M447=0,"",INDEX(Data!$U$2051:$U$2550,$M447))</f>
        <v/>
      </c>
      <c r="K447" s="141" t="str">
        <f ca="1">IF($M447=0,"",INDEX(Data!$AA$2051:$AA$2550,$M447))</f>
        <v/>
      </c>
      <c r="L447" s="141" t="str">
        <f ca="1">IF($M447=0,"",IF(INDEX(Data!$AN$2051:$AN$2550,$M447)=0,"",IF(INDEX(Data!$U$41:$U$540,INDEX(Data!$AN$2051:$AN$2550,$M447))="","",INDEX(Data!$U$41:$U$540,INDEX(Data!$AN$2051:$AN$2550,$M447)))))</f>
        <v/>
      </c>
      <c r="M447" s="132">
        <f ca="1">IF(COUNTIFS(Data!$AV$2051:$AV$2550,435)=1,MATCH(435,Data!$AV$2051:$AV$2550,0),0)</f>
        <v>0</v>
      </c>
      <c r="N447" s="145" t="str">
        <f ca="1">IF($M447=0,"",IF(INDEX(Data!$I$2051:$I$2550,$M447)=0,"Add ID","Row "&amp;(INDEX(Data!$I$2051:$I$2550,$M447)+7)))</f>
        <v/>
      </c>
    </row>
    <row r="448" spans="1:14" ht="40" customHeight="1">
      <c r="A448" s="136" t="str">
        <f ca="1">IF($M448=0,"",INDEX(Data!$W$2051:$W$2550,$M448))</f>
        <v/>
      </c>
      <c r="B448" s="139" t="str">
        <f ca="1">IF($M448=0,"",INDEX(Data!$B$2051:$B$2550,$M448))</f>
        <v/>
      </c>
      <c r="C448" s="146" t="str">
        <f ca="1">IF($M448=0,"",INDEX(Data!$C$2051:$C$2550,$M448))</f>
        <v/>
      </c>
      <c r="D448" s="146" t="str">
        <f ca="1">IF($M448=0,"",INDEX(Data!$D$2051:$D$2550,$M448))</f>
        <v/>
      </c>
      <c r="E448" s="147" t="str">
        <f ca="1">IF($M448=0,"",INDEX(Data!$G$2051:$G$2550,$M448))</f>
        <v/>
      </c>
      <c r="F448" s="146" t="str">
        <f ca="1">IF($M448=0,"",INDEX(Data!$F$2051:$F$2550,$M448))</f>
        <v/>
      </c>
      <c r="G448" s="148" t="str">
        <f ca="1">IF($M448=0,"",INDEX(Data!$K$2051:$K$2550,$M448))</f>
        <v/>
      </c>
      <c r="H448" s="146" t="str">
        <f ca="1">IF($M448=0,"",INDEX(Data!$L$2051:$L$2550,$M448))</f>
        <v/>
      </c>
      <c r="I448" s="149" t="str">
        <f ca="1">IF($M448=0,"",INDEX(Data!$T$2051:$T$2550,$M448))</f>
        <v/>
      </c>
      <c r="J448" s="146" t="str">
        <f ca="1">IF($M448=0,"",INDEX(Data!$U$2051:$U$2550,$M448))</f>
        <v/>
      </c>
      <c r="K448" s="146" t="str">
        <f ca="1">IF($M448=0,"",INDEX(Data!$AA$2051:$AA$2550,$M448))</f>
        <v/>
      </c>
      <c r="L448" s="146" t="str">
        <f ca="1">IF($M448=0,"",IF(INDEX(Data!$AN$2051:$AN$2550,$M448)=0,"",IF(INDEX(Data!$U$41:$U$540,INDEX(Data!$AN$2051:$AN$2550,$M448))="","",INDEX(Data!$U$41:$U$540,INDEX(Data!$AN$2051:$AN$2550,$M448)))))</f>
        <v/>
      </c>
      <c r="M448" s="132">
        <f ca="1">IF(COUNTIFS(Data!$AV$2051:$AV$2550,436)=1,MATCH(436,Data!$AV$2051:$AV$2550,0),0)</f>
        <v>0</v>
      </c>
      <c r="N448" s="150" t="str">
        <f ca="1">IF($M448=0,"",IF(INDEX(Data!$I$2051:$I$2550,$M448)=0,"Add ID","Row "&amp;(INDEX(Data!$I$2051:$I$2550,$M448)+7)))</f>
        <v/>
      </c>
    </row>
    <row r="449" spans="1:14" ht="40" customHeight="1">
      <c r="A449" s="135" t="str">
        <f ca="1">IF($M449=0,"",INDEX(Data!$W$2051:$W$2550,$M449))</f>
        <v/>
      </c>
      <c r="B449" s="138" t="str">
        <f ca="1">IF($M449=0,"",INDEX(Data!$B$2051:$B$2550,$M449))</f>
        <v/>
      </c>
      <c r="C449" s="141" t="str">
        <f ca="1">IF($M449=0,"",INDEX(Data!$C$2051:$C$2550,$M449))</f>
        <v/>
      </c>
      <c r="D449" s="141" t="str">
        <f ca="1">IF($M449=0,"",INDEX(Data!$D$2051:$D$2550,$M449))</f>
        <v/>
      </c>
      <c r="E449" s="142" t="str">
        <f ca="1">IF($M449=0,"",INDEX(Data!$G$2051:$G$2550,$M449))</f>
        <v/>
      </c>
      <c r="F449" s="141" t="str">
        <f ca="1">IF($M449=0,"",INDEX(Data!$F$2051:$F$2550,$M449))</f>
        <v/>
      </c>
      <c r="G449" s="143" t="str">
        <f ca="1">IF($M449=0,"",INDEX(Data!$K$2051:$K$2550,$M449))</f>
        <v/>
      </c>
      <c r="H449" s="141" t="str">
        <f ca="1">IF($M449=0,"",INDEX(Data!$L$2051:$L$2550,$M449))</f>
        <v/>
      </c>
      <c r="I449" s="144" t="str">
        <f ca="1">IF($M449=0,"",INDEX(Data!$T$2051:$T$2550,$M449))</f>
        <v/>
      </c>
      <c r="J449" s="141" t="str">
        <f ca="1">IF($M449=0,"",INDEX(Data!$U$2051:$U$2550,$M449))</f>
        <v/>
      </c>
      <c r="K449" s="141" t="str">
        <f ca="1">IF($M449=0,"",INDEX(Data!$AA$2051:$AA$2550,$M449))</f>
        <v/>
      </c>
      <c r="L449" s="141" t="str">
        <f ca="1">IF($M449=0,"",IF(INDEX(Data!$AN$2051:$AN$2550,$M449)=0,"",IF(INDEX(Data!$U$41:$U$540,INDEX(Data!$AN$2051:$AN$2550,$M449))="","",INDEX(Data!$U$41:$U$540,INDEX(Data!$AN$2051:$AN$2550,$M449)))))</f>
        <v/>
      </c>
      <c r="M449" s="132">
        <f ca="1">IF(COUNTIFS(Data!$AV$2051:$AV$2550,437)=1,MATCH(437,Data!$AV$2051:$AV$2550,0),0)</f>
        <v>0</v>
      </c>
      <c r="N449" s="145" t="str">
        <f ca="1">IF($M449=0,"",IF(INDEX(Data!$I$2051:$I$2550,$M449)=0,"Add ID","Row "&amp;(INDEX(Data!$I$2051:$I$2550,$M449)+7)))</f>
        <v/>
      </c>
    </row>
    <row r="450" spans="1:14" ht="40" customHeight="1">
      <c r="A450" s="136" t="str">
        <f ca="1">IF($M450=0,"",INDEX(Data!$W$2051:$W$2550,$M450))</f>
        <v/>
      </c>
      <c r="B450" s="139" t="str">
        <f ca="1">IF($M450=0,"",INDEX(Data!$B$2051:$B$2550,$M450))</f>
        <v/>
      </c>
      <c r="C450" s="146" t="str">
        <f ca="1">IF($M450=0,"",INDEX(Data!$C$2051:$C$2550,$M450))</f>
        <v/>
      </c>
      <c r="D450" s="146" t="str">
        <f ca="1">IF($M450=0,"",INDEX(Data!$D$2051:$D$2550,$M450))</f>
        <v/>
      </c>
      <c r="E450" s="147" t="str">
        <f ca="1">IF($M450=0,"",INDEX(Data!$G$2051:$G$2550,$M450))</f>
        <v/>
      </c>
      <c r="F450" s="146" t="str">
        <f ca="1">IF($M450=0,"",INDEX(Data!$F$2051:$F$2550,$M450))</f>
        <v/>
      </c>
      <c r="G450" s="148" t="str">
        <f ca="1">IF($M450=0,"",INDEX(Data!$K$2051:$K$2550,$M450))</f>
        <v/>
      </c>
      <c r="H450" s="146" t="str">
        <f ca="1">IF($M450=0,"",INDEX(Data!$L$2051:$L$2550,$M450))</f>
        <v/>
      </c>
      <c r="I450" s="149" t="str">
        <f ca="1">IF($M450=0,"",INDEX(Data!$T$2051:$T$2550,$M450))</f>
        <v/>
      </c>
      <c r="J450" s="146" t="str">
        <f ca="1">IF($M450=0,"",INDEX(Data!$U$2051:$U$2550,$M450))</f>
        <v/>
      </c>
      <c r="K450" s="146" t="str">
        <f ca="1">IF($M450=0,"",INDEX(Data!$AA$2051:$AA$2550,$M450))</f>
        <v/>
      </c>
      <c r="L450" s="146" t="str">
        <f ca="1">IF($M450=0,"",IF(INDEX(Data!$AN$2051:$AN$2550,$M450)=0,"",IF(INDEX(Data!$U$41:$U$540,INDEX(Data!$AN$2051:$AN$2550,$M450))="","",INDEX(Data!$U$41:$U$540,INDEX(Data!$AN$2051:$AN$2550,$M450)))))</f>
        <v/>
      </c>
      <c r="M450" s="132">
        <f ca="1">IF(COUNTIFS(Data!$AV$2051:$AV$2550,438)=1,MATCH(438,Data!$AV$2051:$AV$2550,0),0)</f>
        <v>0</v>
      </c>
      <c r="N450" s="150" t="str">
        <f ca="1">IF($M450=0,"",IF(INDEX(Data!$I$2051:$I$2550,$M450)=0,"Add ID","Row "&amp;(INDEX(Data!$I$2051:$I$2550,$M450)+7)))</f>
        <v/>
      </c>
    </row>
    <row r="451" spans="1:14" ht="40" customHeight="1">
      <c r="A451" s="135" t="str">
        <f ca="1">IF($M451=0,"",INDEX(Data!$W$2051:$W$2550,$M451))</f>
        <v/>
      </c>
      <c r="B451" s="138" t="str">
        <f ca="1">IF($M451=0,"",INDEX(Data!$B$2051:$B$2550,$M451))</f>
        <v/>
      </c>
      <c r="C451" s="141" t="str">
        <f ca="1">IF($M451=0,"",INDEX(Data!$C$2051:$C$2550,$M451))</f>
        <v/>
      </c>
      <c r="D451" s="141" t="str">
        <f ca="1">IF($M451=0,"",INDEX(Data!$D$2051:$D$2550,$M451))</f>
        <v/>
      </c>
      <c r="E451" s="142" t="str">
        <f ca="1">IF($M451=0,"",INDEX(Data!$G$2051:$G$2550,$M451))</f>
        <v/>
      </c>
      <c r="F451" s="141" t="str">
        <f ca="1">IF($M451=0,"",INDEX(Data!$F$2051:$F$2550,$M451))</f>
        <v/>
      </c>
      <c r="G451" s="143" t="str">
        <f ca="1">IF($M451=0,"",INDEX(Data!$K$2051:$K$2550,$M451))</f>
        <v/>
      </c>
      <c r="H451" s="141" t="str">
        <f ca="1">IF($M451=0,"",INDEX(Data!$L$2051:$L$2550,$M451))</f>
        <v/>
      </c>
      <c r="I451" s="144" t="str">
        <f ca="1">IF($M451=0,"",INDEX(Data!$T$2051:$T$2550,$M451))</f>
        <v/>
      </c>
      <c r="J451" s="141" t="str">
        <f ca="1">IF($M451=0,"",INDEX(Data!$U$2051:$U$2550,$M451))</f>
        <v/>
      </c>
      <c r="K451" s="141" t="str">
        <f ca="1">IF($M451=0,"",INDEX(Data!$AA$2051:$AA$2550,$M451))</f>
        <v/>
      </c>
      <c r="L451" s="141" t="str">
        <f ca="1">IF($M451=0,"",IF(INDEX(Data!$AN$2051:$AN$2550,$M451)=0,"",IF(INDEX(Data!$U$41:$U$540,INDEX(Data!$AN$2051:$AN$2550,$M451))="","",INDEX(Data!$U$41:$U$540,INDEX(Data!$AN$2051:$AN$2550,$M451)))))</f>
        <v/>
      </c>
      <c r="M451" s="132">
        <f ca="1">IF(COUNTIFS(Data!$AV$2051:$AV$2550,439)=1,MATCH(439,Data!$AV$2051:$AV$2550,0),0)</f>
        <v>0</v>
      </c>
      <c r="N451" s="145" t="str">
        <f ca="1">IF($M451=0,"",IF(INDEX(Data!$I$2051:$I$2550,$M451)=0,"Add ID","Row "&amp;(INDEX(Data!$I$2051:$I$2550,$M451)+7)))</f>
        <v/>
      </c>
    </row>
    <row r="452" spans="1:14" ht="40" customHeight="1">
      <c r="A452" s="136" t="str">
        <f ca="1">IF($M452=0,"",INDEX(Data!$W$2051:$W$2550,$M452))</f>
        <v/>
      </c>
      <c r="B452" s="139" t="str">
        <f ca="1">IF($M452=0,"",INDEX(Data!$B$2051:$B$2550,$M452))</f>
        <v/>
      </c>
      <c r="C452" s="146" t="str">
        <f ca="1">IF($M452=0,"",INDEX(Data!$C$2051:$C$2550,$M452))</f>
        <v/>
      </c>
      <c r="D452" s="146" t="str">
        <f ca="1">IF($M452=0,"",INDEX(Data!$D$2051:$D$2550,$M452))</f>
        <v/>
      </c>
      <c r="E452" s="147" t="str">
        <f ca="1">IF($M452=0,"",INDEX(Data!$G$2051:$G$2550,$M452))</f>
        <v/>
      </c>
      <c r="F452" s="146" t="str">
        <f ca="1">IF($M452=0,"",INDEX(Data!$F$2051:$F$2550,$M452))</f>
        <v/>
      </c>
      <c r="G452" s="148" t="str">
        <f ca="1">IF($M452=0,"",INDEX(Data!$K$2051:$K$2550,$M452))</f>
        <v/>
      </c>
      <c r="H452" s="146" t="str">
        <f ca="1">IF($M452=0,"",INDEX(Data!$L$2051:$L$2550,$M452))</f>
        <v/>
      </c>
      <c r="I452" s="149" t="str">
        <f ca="1">IF($M452=0,"",INDEX(Data!$T$2051:$T$2550,$M452))</f>
        <v/>
      </c>
      <c r="J452" s="146" t="str">
        <f ca="1">IF($M452=0,"",INDEX(Data!$U$2051:$U$2550,$M452))</f>
        <v/>
      </c>
      <c r="K452" s="146" t="str">
        <f ca="1">IF($M452=0,"",INDEX(Data!$AA$2051:$AA$2550,$M452))</f>
        <v/>
      </c>
      <c r="L452" s="146" t="str">
        <f ca="1">IF($M452=0,"",IF(INDEX(Data!$AN$2051:$AN$2550,$M452)=0,"",IF(INDEX(Data!$U$41:$U$540,INDEX(Data!$AN$2051:$AN$2550,$M452))="","",INDEX(Data!$U$41:$U$540,INDEX(Data!$AN$2051:$AN$2550,$M452)))))</f>
        <v/>
      </c>
      <c r="M452" s="132">
        <f ca="1">IF(COUNTIFS(Data!$AV$2051:$AV$2550,440)=1,MATCH(440,Data!$AV$2051:$AV$2550,0),0)</f>
        <v>0</v>
      </c>
      <c r="N452" s="150" t="str">
        <f ca="1">IF($M452=0,"",IF(INDEX(Data!$I$2051:$I$2550,$M452)=0,"Add ID","Row "&amp;(INDEX(Data!$I$2051:$I$2550,$M452)+7)))</f>
        <v/>
      </c>
    </row>
    <row r="453" spans="1:14" ht="40" customHeight="1">
      <c r="A453" s="135" t="str">
        <f ca="1">IF($M453=0,"",INDEX(Data!$W$2051:$W$2550,$M453))</f>
        <v/>
      </c>
      <c r="B453" s="138" t="str">
        <f ca="1">IF($M453=0,"",INDEX(Data!$B$2051:$B$2550,$M453))</f>
        <v/>
      </c>
      <c r="C453" s="141" t="str">
        <f ca="1">IF($M453=0,"",INDEX(Data!$C$2051:$C$2550,$M453))</f>
        <v/>
      </c>
      <c r="D453" s="141" t="str">
        <f ca="1">IF($M453=0,"",INDEX(Data!$D$2051:$D$2550,$M453))</f>
        <v/>
      </c>
      <c r="E453" s="142" t="str">
        <f ca="1">IF($M453=0,"",INDEX(Data!$G$2051:$G$2550,$M453))</f>
        <v/>
      </c>
      <c r="F453" s="141" t="str">
        <f ca="1">IF($M453=0,"",INDEX(Data!$F$2051:$F$2550,$M453))</f>
        <v/>
      </c>
      <c r="G453" s="143" t="str">
        <f ca="1">IF($M453=0,"",INDEX(Data!$K$2051:$K$2550,$M453))</f>
        <v/>
      </c>
      <c r="H453" s="141" t="str">
        <f ca="1">IF($M453=0,"",INDEX(Data!$L$2051:$L$2550,$M453))</f>
        <v/>
      </c>
      <c r="I453" s="144" t="str">
        <f ca="1">IF($M453=0,"",INDEX(Data!$T$2051:$T$2550,$M453))</f>
        <v/>
      </c>
      <c r="J453" s="141" t="str">
        <f ca="1">IF($M453=0,"",INDEX(Data!$U$2051:$U$2550,$M453))</f>
        <v/>
      </c>
      <c r="K453" s="141" t="str">
        <f ca="1">IF($M453=0,"",INDEX(Data!$AA$2051:$AA$2550,$M453))</f>
        <v/>
      </c>
      <c r="L453" s="141" t="str">
        <f ca="1">IF($M453=0,"",IF(INDEX(Data!$AN$2051:$AN$2550,$M453)=0,"",IF(INDEX(Data!$U$41:$U$540,INDEX(Data!$AN$2051:$AN$2550,$M453))="","",INDEX(Data!$U$41:$U$540,INDEX(Data!$AN$2051:$AN$2550,$M453)))))</f>
        <v/>
      </c>
      <c r="M453" s="132">
        <f ca="1">IF(COUNTIFS(Data!$AV$2051:$AV$2550,441)=1,MATCH(441,Data!$AV$2051:$AV$2550,0),0)</f>
        <v>0</v>
      </c>
      <c r="N453" s="145" t="str">
        <f ca="1">IF($M453=0,"",IF(INDEX(Data!$I$2051:$I$2550,$M453)=0,"Add ID","Row "&amp;(INDEX(Data!$I$2051:$I$2550,$M453)+7)))</f>
        <v/>
      </c>
    </row>
    <row r="454" spans="1:14" ht="40" customHeight="1">
      <c r="A454" s="136" t="str">
        <f ca="1">IF($M454=0,"",INDEX(Data!$W$2051:$W$2550,$M454))</f>
        <v/>
      </c>
      <c r="B454" s="139" t="str">
        <f ca="1">IF($M454=0,"",INDEX(Data!$B$2051:$B$2550,$M454))</f>
        <v/>
      </c>
      <c r="C454" s="146" t="str">
        <f ca="1">IF($M454=0,"",INDEX(Data!$C$2051:$C$2550,$M454))</f>
        <v/>
      </c>
      <c r="D454" s="146" t="str">
        <f ca="1">IF($M454=0,"",INDEX(Data!$D$2051:$D$2550,$M454))</f>
        <v/>
      </c>
      <c r="E454" s="147" t="str">
        <f ca="1">IF($M454=0,"",INDEX(Data!$G$2051:$G$2550,$M454))</f>
        <v/>
      </c>
      <c r="F454" s="146" t="str">
        <f ca="1">IF($M454=0,"",INDEX(Data!$F$2051:$F$2550,$M454))</f>
        <v/>
      </c>
      <c r="G454" s="148" t="str">
        <f ca="1">IF($M454=0,"",INDEX(Data!$K$2051:$K$2550,$M454))</f>
        <v/>
      </c>
      <c r="H454" s="146" t="str">
        <f ca="1">IF($M454=0,"",INDEX(Data!$L$2051:$L$2550,$M454))</f>
        <v/>
      </c>
      <c r="I454" s="149" t="str">
        <f ca="1">IF($M454=0,"",INDEX(Data!$T$2051:$T$2550,$M454))</f>
        <v/>
      </c>
      <c r="J454" s="146" t="str">
        <f ca="1">IF($M454=0,"",INDEX(Data!$U$2051:$U$2550,$M454))</f>
        <v/>
      </c>
      <c r="K454" s="146" t="str">
        <f ca="1">IF($M454=0,"",INDEX(Data!$AA$2051:$AA$2550,$M454))</f>
        <v/>
      </c>
      <c r="L454" s="146" t="str">
        <f ca="1">IF($M454=0,"",IF(INDEX(Data!$AN$2051:$AN$2550,$M454)=0,"",IF(INDEX(Data!$U$41:$U$540,INDEX(Data!$AN$2051:$AN$2550,$M454))="","",INDEX(Data!$U$41:$U$540,INDEX(Data!$AN$2051:$AN$2550,$M454)))))</f>
        <v/>
      </c>
      <c r="M454" s="132">
        <f ca="1">IF(COUNTIFS(Data!$AV$2051:$AV$2550,442)=1,MATCH(442,Data!$AV$2051:$AV$2550,0),0)</f>
        <v>0</v>
      </c>
      <c r="N454" s="150" t="str">
        <f ca="1">IF($M454=0,"",IF(INDEX(Data!$I$2051:$I$2550,$M454)=0,"Add ID","Row "&amp;(INDEX(Data!$I$2051:$I$2550,$M454)+7)))</f>
        <v/>
      </c>
    </row>
    <row r="455" spans="1:14" ht="40" customHeight="1">
      <c r="A455" s="135" t="str">
        <f ca="1">IF($M455=0,"",INDEX(Data!$W$2051:$W$2550,$M455))</f>
        <v/>
      </c>
      <c r="B455" s="138" t="str">
        <f ca="1">IF($M455=0,"",INDEX(Data!$B$2051:$B$2550,$M455))</f>
        <v/>
      </c>
      <c r="C455" s="141" t="str">
        <f ca="1">IF($M455=0,"",INDEX(Data!$C$2051:$C$2550,$M455))</f>
        <v/>
      </c>
      <c r="D455" s="141" t="str">
        <f ca="1">IF($M455=0,"",INDEX(Data!$D$2051:$D$2550,$M455))</f>
        <v/>
      </c>
      <c r="E455" s="142" t="str">
        <f ca="1">IF($M455=0,"",INDEX(Data!$G$2051:$G$2550,$M455))</f>
        <v/>
      </c>
      <c r="F455" s="141" t="str">
        <f ca="1">IF($M455=0,"",INDEX(Data!$F$2051:$F$2550,$M455))</f>
        <v/>
      </c>
      <c r="G455" s="143" t="str">
        <f ca="1">IF($M455=0,"",INDEX(Data!$K$2051:$K$2550,$M455))</f>
        <v/>
      </c>
      <c r="H455" s="141" t="str">
        <f ca="1">IF($M455=0,"",INDEX(Data!$L$2051:$L$2550,$M455))</f>
        <v/>
      </c>
      <c r="I455" s="144" t="str">
        <f ca="1">IF($M455=0,"",INDEX(Data!$T$2051:$T$2550,$M455))</f>
        <v/>
      </c>
      <c r="J455" s="141" t="str">
        <f ca="1">IF($M455=0,"",INDEX(Data!$U$2051:$U$2550,$M455))</f>
        <v/>
      </c>
      <c r="K455" s="141" t="str">
        <f ca="1">IF($M455=0,"",INDEX(Data!$AA$2051:$AA$2550,$M455))</f>
        <v/>
      </c>
      <c r="L455" s="141" t="str">
        <f ca="1">IF($M455=0,"",IF(INDEX(Data!$AN$2051:$AN$2550,$M455)=0,"",IF(INDEX(Data!$U$41:$U$540,INDEX(Data!$AN$2051:$AN$2550,$M455))="","",INDEX(Data!$U$41:$U$540,INDEX(Data!$AN$2051:$AN$2550,$M455)))))</f>
        <v/>
      </c>
      <c r="M455" s="132">
        <f ca="1">IF(COUNTIFS(Data!$AV$2051:$AV$2550,443)=1,MATCH(443,Data!$AV$2051:$AV$2550,0),0)</f>
        <v>0</v>
      </c>
      <c r="N455" s="145" t="str">
        <f ca="1">IF($M455=0,"",IF(INDEX(Data!$I$2051:$I$2550,$M455)=0,"Add ID","Row "&amp;(INDEX(Data!$I$2051:$I$2550,$M455)+7)))</f>
        <v/>
      </c>
    </row>
    <row r="456" spans="1:14" ht="40" customHeight="1">
      <c r="A456" s="136" t="str">
        <f ca="1">IF($M456=0,"",INDEX(Data!$W$2051:$W$2550,$M456))</f>
        <v/>
      </c>
      <c r="B456" s="139" t="str">
        <f ca="1">IF($M456=0,"",INDEX(Data!$B$2051:$B$2550,$M456))</f>
        <v/>
      </c>
      <c r="C456" s="146" t="str">
        <f ca="1">IF($M456=0,"",INDEX(Data!$C$2051:$C$2550,$M456))</f>
        <v/>
      </c>
      <c r="D456" s="146" t="str">
        <f ca="1">IF($M456=0,"",INDEX(Data!$D$2051:$D$2550,$M456))</f>
        <v/>
      </c>
      <c r="E456" s="147" t="str">
        <f ca="1">IF($M456=0,"",INDEX(Data!$G$2051:$G$2550,$M456))</f>
        <v/>
      </c>
      <c r="F456" s="146" t="str">
        <f ca="1">IF($M456=0,"",INDEX(Data!$F$2051:$F$2550,$M456))</f>
        <v/>
      </c>
      <c r="G456" s="148" t="str">
        <f ca="1">IF($M456=0,"",INDEX(Data!$K$2051:$K$2550,$M456))</f>
        <v/>
      </c>
      <c r="H456" s="146" t="str">
        <f ca="1">IF($M456=0,"",INDEX(Data!$L$2051:$L$2550,$M456))</f>
        <v/>
      </c>
      <c r="I456" s="149" t="str">
        <f ca="1">IF($M456=0,"",INDEX(Data!$T$2051:$T$2550,$M456))</f>
        <v/>
      </c>
      <c r="J456" s="146" t="str">
        <f ca="1">IF($M456=0,"",INDEX(Data!$U$2051:$U$2550,$M456))</f>
        <v/>
      </c>
      <c r="K456" s="146" t="str">
        <f ca="1">IF($M456=0,"",INDEX(Data!$AA$2051:$AA$2550,$M456))</f>
        <v/>
      </c>
      <c r="L456" s="146" t="str">
        <f ca="1">IF($M456=0,"",IF(INDEX(Data!$AN$2051:$AN$2550,$M456)=0,"",IF(INDEX(Data!$U$41:$U$540,INDEX(Data!$AN$2051:$AN$2550,$M456))="","",INDEX(Data!$U$41:$U$540,INDEX(Data!$AN$2051:$AN$2550,$M456)))))</f>
        <v/>
      </c>
      <c r="M456" s="132">
        <f ca="1">IF(COUNTIFS(Data!$AV$2051:$AV$2550,444)=1,MATCH(444,Data!$AV$2051:$AV$2550,0),0)</f>
        <v>0</v>
      </c>
      <c r="N456" s="150" t="str">
        <f ca="1">IF($M456=0,"",IF(INDEX(Data!$I$2051:$I$2550,$M456)=0,"Add ID","Row "&amp;(INDEX(Data!$I$2051:$I$2550,$M456)+7)))</f>
        <v/>
      </c>
    </row>
    <row r="457" spans="1:14" ht="40" customHeight="1">
      <c r="A457" s="135" t="str">
        <f ca="1">IF($M457=0,"",INDEX(Data!$W$2051:$W$2550,$M457))</f>
        <v/>
      </c>
      <c r="B457" s="138" t="str">
        <f ca="1">IF($M457=0,"",INDEX(Data!$B$2051:$B$2550,$M457))</f>
        <v/>
      </c>
      <c r="C457" s="141" t="str">
        <f ca="1">IF($M457=0,"",INDEX(Data!$C$2051:$C$2550,$M457))</f>
        <v/>
      </c>
      <c r="D457" s="141" t="str">
        <f ca="1">IF($M457=0,"",INDEX(Data!$D$2051:$D$2550,$M457))</f>
        <v/>
      </c>
      <c r="E457" s="142" t="str">
        <f ca="1">IF($M457=0,"",INDEX(Data!$G$2051:$G$2550,$M457))</f>
        <v/>
      </c>
      <c r="F457" s="141" t="str">
        <f ca="1">IF($M457=0,"",INDEX(Data!$F$2051:$F$2550,$M457))</f>
        <v/>
      </c>
      <c r="G457" s="143" t="str">
        <f ca="1">IF($M457=0,"",INDEX(Data!$K$2051:$K$2550,$M457))</f>
        <v/>
      </c>
      <c r="H457" s="141" t="str">
        <f ca="1">IF($M457=0,"",INDEX(Data!$L$2051:$L$2550,$M457))</f>
        <v/>
      </c>
      <c r="I457" s="144" t="str">
        <f ca="1">IF($M457=0,"",INDEX(Data!$T$2051:$T$2550,$M457))</f>
        <v/>
      </c>
      <c r="J457" s="141" t="str">
        <f ca="1">IF($M457=0,"",INDEX(Data!$U$2051:$U$2550,$M457))</f>
        <v/>
      </c>
      <c r="K457" s="141" t="str">
        <f ca="1">IF($M457=0,"",INDEX(Data!$AA$2051:$AA$2550,$M457))</f>
        <v/>
      </c>
      <c r="L457" s="141" t="str">
        <f ca="1">IF($M457=0,"",IF(INDEX(Data!$AN$2051:$AN$2550,$M457)=0,"",IF(INDEX(Data!$U$41:$U$540,INDEX(Data!$AN$2051:$AN$2550,$M457))="","",INDEX(Data!$U$41:$U$540,INDEX(Data!$AN$2051:$AN$2550,$M457)))))</f>
        <v/>
      </c>
      <c r="M457" s="132">
        <f ca="1">IF(COUNTIFS(Data!$AV$2051:$AV$2550,445)=1,MATCH(445,Data!$AV$2051:$AV$2550,0),0)</f>
        <v>0</v>
      </c>
      <c r="N457" s="145" t="str">
        <f ca="1">IF($M457=0,"",IF(INDEX(Data!$I$2051:$I$2550,$M457)=0,"Add ID","Row "&amp;(INDEX(Data!$I$2051:$I$2550,$M457)+7)))</f>
        <v/>
      </c>
    </row>
    <row r="458" spans="1:14" ht="40" customHeight="1">
      <c r="A458" s="136" t="str">
        <f ca="1">IF($M458=0,"",INDEX(Data!$W$2051:$W$2550,$M458))</f>
        <v/>
      </c>
      <c r="B458" s="139" t="str">
        <f ca="1">IF($M458=0,"",INDEX(Data!$B$2051:$B$2550,$M458))</f>
        <v/>
      </c>
      <c r="C458" s="146" t="str">
        <f ca="1">IF($M458=0,"",INDEX(Data!$C$2051:$C$2550,$M458))</f>
        <v/>
      </c>
      <c r="D458" s="146" t="str">
        <f ca="1">IF($M458=0,"",INDEX(Data!$D$2051:$D$2550,$M458))</f>
        <v/>
      </c>
      <c r="E458" s="147" t="str">
        <f ca="1">IF($M458=0,"",INDEX(Data!$G$2051:$G$2550,$M458))</f>
        <v/>
      </c>
      <c r="F458" s="146" t="str">
        <f ca="1">IF($M458=0,"",INDEX(Data!$F$2051:$F$2550,$M458))</f>
        <v/>
      </c>
      <c r="G458" s="148" t="str">
        <f ca="1">IF($M458=0,"",INDEX(Data!$K$2051:$K$2550,$M458))</f>
        <v/>
      </c>
      <c r="H458" s="146" t="str">
        <f ca="1">IF($M458=0,"",INDEX(Data!$L$2051:$L$2550,$M458))</f>
        <v/>
      </c>
      <c r="I458" s="149" t="str">
        <f ca="1">IF($M458=0,"",INDEX(Data!$T$2051:$T$2550,$M458))</f>
        <v/>
      </c>
      <c r="J458" s="146" t="str">
        <f ca="1">IF($M458=0,"",INDEX(Data!$U$2051:$U$2550,$M458))</f>
        <v/>
      </c>
      <c r="K458" s="146" t="str">
        <f ca="1">IF($M458=0,"",INDEX(Data!$AA$2051:$AA$2550,$M458))</f>
        <v/>
      </c>
      <c r="L458" s="146" t="str">
        <f ca="1">IF($M458=0,"",IF(INDEX(Data!$AN$2051:$AN$2550,$M458)=0,"",IF(INDEX(Data!$U$41:$U$540,INDEX(Data!$AN$2051:$AN$2550,$M458))="","",INDEX(Data!$U$41:$U$540,INDEX(Data!$AN$2051:$AN$2550,$M458)))))</f>
        <v/>
      </c>
      <c r="M458" s="132">
        <f ca="1">IF(COUNTIFS(Data!$AV$2051:$AV$2550,446)=1,MATCH(446,Data!$AV$2051:$AV$2550,0),0)</f>
        <v>0</v>
      </c>
      <c r="N458" s="150" t="str">
        <f ca="1">IF($M458=0,"",IF(INDEX(Data!$I$2051:$I$2550,$M458)=0,"Add ID","Row "&amp;(INDEX(Data!$I$2051:$I$2550,$M458)+7)))</f>
        <v/>
      </c>
    </row>
    <row r="459" spans="1:14" ht="40" customHeight="1">
      <c r="A459" s="135" t="str">
        <f ca="1">IF($M459=0,"",INDEX(Data!$W$2051:$W$2550,$M459))</f>
        <v/>
      </c>
      <c r="B459" s="138" t="str">
        <f ca="1">IF($M459=0,"",INDEX(Data!$B$2051:$B$2550,$M459))</f>
        <v/>
      </c>
      <c r="C459" s="141" t="str">
        <f ca="1">IF($M459=0,"",INDEX(Data!$C$2051:$C$2550,$M459))</f>
        <v/>
      </c>
      <c r="D459" s="141" t="str">
        <f ca="1">IF($M459=0,"",INDEX(Data!$D$2051:$D$2550,$M459))</f>
        <v/>
      </c>
      <c r="E459" s="142" t="str">
        <f ca="1">IF($M459=0,"",INDEX(Data!$G$2051:$G$2550,$M459))</f>
        <v/>
      </c>
      <c r="F459" s="141" t="str">
        <f ca="1">IF($M459=0,"",INDEX(Data!$F$2051:$F$2550,$M459))</f>
        <v/>
      </c>
      <c r="G459" s="143" t="str">
        <f ca="1">IF($M459=0,"",INDEX(Data!$K$2051:$K$2550,$M459))</f>
        <v/>
      </c>
      <c r="H459" s="141" t="str">
        <f ca="1">IF($M459=0,"",INDEX(Data!$L$2051:$L$2550,$M459))</f>
        <v/>
      </c>
      <c r="I459" s="144" t="str">
        <f ca="1">IF($M459=0,"",INDEX(Data!$T$2051:$T$2550,$M459))</f>
        <v/>
      </c>
      <c r="J459" s="141" t="str">
        <f ca="1">IF($M459=0,"",INDEX(Data!$U$2051:$U$2550,$M459))</f>
        <v/>
      </c>
      <c r="K459" s="141" t="str">
        <f ca="1">IF($M459=0,"",INDEX(Data!$AA$2051:$AA$2550,$M459))</f>
        <v/>
      </c>
      <c r="L459" s="141" t="str">
        <f ca="1">IF($M459=0,"",IF(INDEX(Data!$AN$2051:$AN$2550,$M459)=0,"",IF(INDEX(Data!$U$41:$U$540,INDEX(Data!$AN$2051:$AN$2550,$M459))="","",INDEX(Data!$U$41:$U$540,INDEX(Data!$AN$2051:$AN$2550,$M459)))))</f>
        <v/>
      </c>
      <c r="M459" s="132">
        <f ca="1">IF(COUNTIFS(Data!$AV$2051:$AV$2550,447)=1,MATCH(447,Data!$AV$2051:$AV$2550,0),0)</f>
        <v>0</v>
      </c>
      <c r="N459" s="145" t="str">
        <f ca="1">IF($M459=0,"",IF(INDEX(Data!$I$2051:$I$2550,$M459)=0,"Add ID","Row "&amp;(INDEX(Data!$I$2051:$I$2550,$M459)+7)))</f>
        <v/>
      </c>
    </row>
    <row r="460" spans="1:14" ht="40" customHeight="1">
      <c r="A460" s="136" t="str">
        <f ca="1">IF($M460=0,"",INDEX(Data!$W$2051:$W$2550,$M460))</f>
        <v/>
      </c>
      <c r="B460" s="139" t="str">
        <f ca="1">IF($M460=0,"",INDEX(Data!$B$2051:$B$2550,$M460))</f>
        <v/>
      </c>
      <c r="C460" s="146" t="str">
        <f ca="1">IF($M460=0,"",INDEX(Data!$C$2051:$C$2550,$M460))</f>
        <v/>
      </c>
      <c r="D460" s="146" t="str">
        <f ca="1">IF($M460=0,"",INDEX(Data!$D$2051:$D$2550,$M460))</f>
        <v/>
      </c>
      <c r="E460" s="147" t="str">
        <f ca="1">IF($M460=0,"",INDEX(Data!$G$2051:$G$2550,$M460))</f>
        <v/>
      </c>
      <c r="F460" s="146" t="str">
        <f ca="1">IF($M460=0,"",INDEX(Data!$F$2051:$F$2550,$M460))</f>
        <v/>
      </c>
      <c r="G460" s="148" t="str">
        <f ca="1">IF($M460=0,"",INDEX(Data!$K$2051:$K$2550,$M460))</f>
        <v/>
      </c>
      <c r="H460" s="146" t="str">
        <f ca="1">IF($M460=0,"",INDEX(Data!$L$2051:$L$2550,$M460))</f>
        <v/>
      </c>
      <c r="I460" s="149" t="str">
        <f ca="1">IF($M460=0,"",INDEX(Data!$T$2051:$T$2550,$M460))</f>
        <v/>
      </c>
      <c r="J460" s="146" t="str">
        <f ca="1">IF($M460=0,"",INDEX(Data!$U$2051:$U$2550,$M460))</f>
        <v/>
      </c>
      <c r="K460" s="146" t="str">
        <f ca="1">IF($M460=0,"",INDEX(Data!$AA$2051:$AA$2550,$M460))</f>
        <v/>
      </c>
      <c r="L460" s="146" t="str">
        <f ca="1">IF($M460=0,"",IF(INDEX(Data!$AN$2051:$AN$2550,$M460)=0,"",IF(INDEX(Data!$U$41:$U$540,INDEX(Data!$AN$2051:$AN$2550,$M460))="","",INDEX(Data!$U$41:$U$540,INDEX(Data!$AN$2051:$AN$2550,$M460)))))</f>
        <v/>
      </c>
      <c r="M460" s="132">
        <f ca="1">IF(COUNTIFS(Data!$AV$2051:$AV$2550,448)=1,MATCH(448,Data!$AV$2051:$AV$2550,0),0)</f>
        <v>0</v>
      </c>
      <c r="N460" s="150" t="str">
        <f ca="1">IF($M460=0,"",IF(INDEX(Data!$I$2051:$I$2550,$M460)=0,"Add ID","Row "&amp;(INDEX(Data!$I$2051:$I$2550,$M460)+7)))</f>
        <v/>
      </c>
    </row>
    <row r="461" spans="1:14" ht="40" customHeight="1">
      <c r="A461" s="135" t="str">
        <f ca="1">IF($M461=0,"",INDEX(Data!$W$2051:$W$2550,$M461))</f>
        <v/>
      </c>
      <c r="B461" s="138" t="str">
        <f ca="1">IF($M461=0,"",INDEX(Data!$B$2051:$B$2550,$M461))</f>
        <v/>
      </c>
      <c r="C461" s="141" t="str">
        <f ca="1">IF($M461=0,"",INDEX(Data!$C$2051:$C$2550,$M461))</f>
        <v/>
      </c>
      <c r="D461" s="141" t="str">
        <f ca="1">IF($M461=0,"",INDEX(Data!$D$2051:$D$2550,$M461))</f>
        <v/>
      </c>
      <c r="E461" s="142" t="str">
        <f ca="1">IF($M461=0,"",INDEX(Data!$G$2051:$G$2550,$M461))</f>
        <v/>
      </c>
      <c r="F461" s="141" t="str">
        <f ca="1">IF($M461=0,"",INDEX(Data!$F$2051:$F$2550,$M461))</f>
        <v/>
      </c>
      <c r="G461" s="143" t="str">
        <f ca="1">IF($M461=0,"",INDEX(Data!$K$2051:$K$2550,$M461))</f>
        <v/>
      </c>
      <c r="H461" s="141" t="str">
        <f ca="1">IF($M461=0,"",INDEX(Data!$L$2051:$L$2550,$M461))</f>
        <v/>
      </c>
      <c r="I461" s="144" t="str">
        <f ca="1">IF($M461=0,"",INDEX(Data!$T$2051:$T$2550,$M461))</f>
        <v/>
      </c>
      <c r="J461" s="141" t="str">
        <f ca="1">IF($M461=0,"",INDEX(Data!$U$2051:$U$2550,$M461))</f>
        <v/>
      </c>
      <c r="K461" s="141" t="str">
        <f ca="1">IF($M461=0,"",INDEX(Data!$AA$2051:$AA$2550,$M461))</f>
        <v/>
      </c>
      <c r="L461" s="141" t="str">
        <f ca="1">IF($M461=0,"",IF(INDEX(Data!$AN$2051:$AN$2550,$M461)=0,"",IF(INDEX(Data!$U$41:$U$540,INDEX(Data!$AN$2051:$AN$2550,$M461))="","",INDEX(Data!$U$41:$U$540,INDEX(Data!$AN$2051:$AN$2550,$M461)))))</f>
        <v/>
      </c>
      <c r="M461" s="132">
        <f ca="1">IF(COUNTIFS(Data!$AV$2051:$AV$2550,449)=1,MATCH(449,Data!$AV$2051:$AV$2550,0),0)</f>
        <v>0</v>
      </c>
      <c r="N461" s="145" t="str">
        <f ca="1">IF($M461=0,"",IF(INDEX(Data!$I$2051:$I$2550,$M461)=0,"Add ID","Row "&amp;(INDEX(Data!$I$2051:$I$2550,$M461)+7)))</f>
        <v/>
      </c>
    </row>
    <row r="462" spans="1:14" ht="40" customHeight="1">
      <c r="A462" s="136" t="str">
        <f ca="1">IF($M462=0,"",INDEX(Data!$W$2051:$W$2550,$M462))</f>
        <v/>
      </c>
      <c r="B462" s="139" t="str">
        <f ca="1">IF($M462=0,"",INDEX(Data!$B$2051:$B$2550,$M462))</f>
        <v/>
      </c>
      <c r="C462" s="146" t="str">
        <f ca="1">IF($M462=0,"",INDEX(Data!$C$2051:$C$2550,$M462))</f>
        <v/>
      </c>
      <c r="D462" s="146" t="str">
        <f ca="1">IF($M462=0,"",INDEX(Data!$D$2051:$D$2550,$M462))</f>
        <v/>
      </c>
      <c r="E462" s="147" t="str">
        <f ca="1">IF($M462=0,"",INDEX(Data!$G$2051:$G$2550,$M462))</f>
        <v/>
      </c>
      <c r="F462" s="146" t="str">
        <f ca="1">IF($M462=0,"",INDEX(Data!$F$2051:$F$2550,$M462))</f>
        <v/>
      </c>
      <c r="G462" s="148" t="str">
        <f ca="1">IF($M462=0,"",INDEX(Data!$K$2051:$K$2550,$M462))</f>
        <v/>
      </c>
      <c r="H462" s="146" t="str">
        <f ca="1">IF($M462=0,"",INDEX(Data!$L$2051:$L$2550,$M462))</f>
        <v/>
      </c>
      <c r="I462" s="149" t="str">
        <f ca="1">IF($M462=0,"",INDEX(Data!$T$2051:$T$2550,$M462))</f>
        <v/>
      </c>
      <c r="J462" s="146" t="str">
        <f ca="1">IF($M462=0,"",INDEX(Data!$U$2051:$U$2550,$M462))</f>
        <v/>
      </c>
      <c r="K462" s="146" t="str">
        <f ca="1">IF($M462=0,"",INDEX(Data!$AA$2051:$AA$2550,$M462))</f>
        <v/>
      </c>
      <c r="L462" s="146" t="str">
        <f ca="1">IF($M462=0,"",IF(INDEX(Data!$AN$2051:$AN$2550,$M462)=0,"",IF(INDEX(Data!$U$41:$U$540,INDEX(Data!$AN$2051:$AN$2550,$M462))="","",INDEX(Data!$U$41:$U$540,INDEX(Data!$AN$2051:$AN$2550,$M462)))))</f>
        <v/>
      </c>
      <c r="M462" s="132">
        <f ca="1">IF(COUNTIFS(Data!$AV$2051:$AV$2550,450)=1,MATCH(450,Data!$AV$2051:$AV$2550,0),0)</f>
        <v>0</v>
      </c>
      <c r="N462" s="150" t="str">
        <f ca="1">IF($M462=0,"",IF(INDEX(Data!$I$2051:$I$2550,$M462)=0,"Add ID","Row "&amp;(INDEX(Data!$I$2051:$I$2550,$M462)+7)))</f>
        <v/>
      </c>
    </row>
    <row r="463" spans="1:14" ht="40" customHeight="1">
      <c r="A463" s="135" t="str">
        <f ca="1">IF($M463=0,"",INDEX(Data!$W$2051:$W$2550,$M463))</f>
        <v/>
      </c>
      <c r="B463" s="138" t="str">
        <f ca="1">IF($M463=0,"",INDEX(Data!$B$2051:$B$2550,$M463))</f>
        <v/>
      </c>
      <c r="C463" s="141" t="str">
        <f ca="1">IF($M463=0,"",INDEX(Data!$C$2051:$C$2550,$M463))</f>
        <v/>
      </c>
      <c r="D463" s="141" t="str">
        <f ca="1">IF($M463=0,"",INDEX(Data!$D$2051:$D$2550,$M463))</f>
        <v/>
      </c>
      <c r="E463" s="142" t="str">
        <f ca="1">IF($M463=0,"",INDEX(Data!$G$2051:$G$2550,$M463))</f>
        <v/>
      </c>
      <c r="F463" s="141" t="str">
        <f ca="1">IF($M463=0,"",INDEX(Data!$F$2051:$F$2550,$M463))</f>
        <v/>
      </c>
      <c r="G463" s="143" t="str">
        <f ca="1">IF($M463=0,"",INDEX(Data!$K$2051:$K$2550,$M463))</f>
        <v/>
      </c>
      <c r="H463" s="141" t="str">
        <f ca="1">IF($M463=0,"",INDEX(Data!$L$2051:$L$2550,$M463))</f>
        <v/>
      </c>
      <c r="I463" s="144" t="str">
        <f ca="1">IF($M463=0,"",INDEX(Data!$T$2051:$T$2550,$M463))</f>
        <v/>
      </c>
      <c r="J463" s="141" t="str">
        <f ca="1">IF($M463=0,"",INDEX(Data!$U$2051:$U$2550,$M463))</f>
        <v/>
      </c>
      <c r="K463" s="141" t="str">
        <f ca="1">IF($M463=0,"",INDEX(Data!$AA$2051:$AA$2550,$M463))</f>
        <v/>
      </c>
      <c r="L463" s="141" t="str">
        <f ca="1">IF($M463=0,"",IF(INDEX(Data!$AN$2051:$AN$2550,$M463)=0,"",IF(INDEX(Data!$U$41:$U$540,INDEX(Data!$AN$2051:$AN$2550,$M463))="","",INDEX(Data!$U$41:$U$540,INDEX(Data!$AN$2051:$AN$2550,$M463)))))</f>
        <v/>
      </c>
      <c r="M463" s="132">
        <f ca="1">IF(COUNTIFS(Data!$AV$2051:$AV$2550,451)=1,MATCH(451,Data!$AV$2051:$AV$2550,0),0)</f>
        <v>0</v>
      </c>
      <c r="N463" s="145" t="str">
        <f ca="1">IF($M463=0,"",IF(INDEX(Data!$I$2051:$I$2550,$M463)=0,"Add ID","Row "&amp;(INDEX(Data!$I$2051:$I$2550,$M463)+7)))</f>
        <v/>
      </c>
    </row>
    <row r="464" spans="1:14" ht="40" customHeight="1">
      <c r="A464" s="136" t="str">
        <f ca="1">IF($M464=0,"",INDEX(Data!$W$2051:$W$2550,$M464))</f>
        <v/>
      </c>
      <c r="B464" s="139" t="str">
        <f ca="1">IF($M464=0,"",INDEX(Data!$B$2051:$B$2550,$M464))</f>
        <v/>
      </c>
      <c r="C464" s="146" t="str">
        <f ca="1">IF($M464=0,"",INDEX(Data!$C$2051:$C$2550,$M464))</f>
        <v/>
      </c>
      <c r="D464" s="146" t="str">
        <f ca="1">IF($M464=0,"",INDEX(Data!$D$2051:$D$2550,$M464))</f>
        <v/>
      </c>
      <c r="E464" s="147" t="str">
        <f ca="1">IF($M464=0,"",INDEX(Data!$G$2051:$G$2550,$M464))</f>
        <v/>
      </c>
      <c r="F464" s="146" t="str">
        <f ca="1">IF($M464=0,"",INDEX(Data!$F$2051:$F$2550,$M464))</f>
        <v/>
      </c>
      <c r="G464" s="148" t="str">
        <f ca="1">IF($M464=0,"",INDEX(Data!$K$2051:$K$2550,$M464))</f>
        <v/>
      </c>
      <c r="H464" s="146" t="str">
        <f ca="1">IF($M464=0,"",INDEX(Data!$L$2051:$L$2550,$M464))</f>
        <v/>
      </c>
      <c r="I464" s="149" t="str">
        <f ca="1">IF($M464=0,"",INDEX(Data!$T$2051:$T$2550,$M464))</f>
        <v/>
      </c>
      <c r="J464" s="146" t="str">
        <f ca="1">IF($M464=0,"",INDEX(Data!$U$2051:$U$2550,$M464))</f>
        <v/>
      </c>
      <c r="K464" s="146" t="str">
        <f ca="1">IF($M464=0,"",INDEX(Data!$AA$2051:$AA$2550,$M464))</f>
        <v/>
      </c>
      <c r="L464" s="146" t="str">
        <f ca="1">IF($M464=0,"",IF(INDEX(Data!$AN$2051:$AN$2550,$M464)=0,"",IF(INDEX(Data!$U$41:$U$540,INDEX(Data!$AN$2051:$AN$2550,$M464))="","",INDEX(Data!$U$41:$U$540,INDEX(Data!$AN$2051:$AN$2550,$M464)))))</f>
        <v/>
      </c>
      <c r="M464" s="132">
        <f ca="1">IF(COUNTIFS(Data!$AV$2051:$AV$2550,452)=1,MATCH(452,Data!$AV$2051:$AV$2550,0),0)</f>
        <v>0</v>
      </c>
      <c r="N464" s="150" t="str">
        <f ca="1">IF($M464=0,"",IF(INDEX(Data!$I$2051:$I$2550,$M464)=0,"Add ID","Row "&amp;(INDEX(Data!$I$2051:$I$2550,$M464)+7)))</f>
        <v/>
      </c>
    </row>
    <row r="465" spans="1:14" ht="40" customHeight="1">
      <c r="A465" s="135" t="str">
        <f ca="1">IF($M465=0,"",INDEX(Data!$W$2051:$W$2550,$M465))</f>
        <v/>
      </c>
      <c r="B465" s="138" t="str">
        <f ca="1">IF($M465=0,"",INDEX(Data!$B$2051:$B$2550,$M465))</f>
        <v/>
      </c>
      <c r="C465" s="141" t="str">
        <f ca="1">IF($M465=0,"",INDEX(Data!$C$2051:$C$2550,$M465))</f>
        <v/>
      </c>
      <c r="D465" s="141" t="str">
        <f ca="1">IF($M465=0,"",INDEX(Data!$D$2051:$D$2550,$M465))</f>
        <v/>
      </c>
      <c r="E465" s="142" t="str">
        <f ca="1">IF($M465=0,"",INDEX(Data!$G$2051:$G$2550,$M465))</f>
        <v/>
      </c>
      <c r="F465" s="141" t="str">
        <f ca="1">IF($M465=0,"",INDEX(Data!$F$2051:$F$2550,$M465))</f>
        <v/>
      </c>
      <c r="G465" s="143" t="str">
        <f ca="1">IF($M465=0,"",INDEX(Data!$K$2051:$K$2550,$M465))</f>
        <v/>
      </c>
      <c r="H465" s="141" t="str">
        <f ca="1">IF($M465=0,"",INDEX(Data!$L$2051:$L$2550,$M465))</f>
        <v/>
      </c>
      <c r="I465" s="144" t="str">
        <f ca="1">IF($M465=0,"",INDEX(Data!$T$2051:$T$2550,$M465))</f>
        <v/>
      </c>
      <c r="J465" s="141" t="str">
        <f ca="1">IF($M465=0,"",INDEX(Data!$U$2051:$U$2550,$M465))</f>
        <v/>
      </c>
      <c r="K465" s="141" t="str">
        <f ca="1">IF($M465=0,"",INDEX(Data!$AA$2051:$AA$2550,$M465))</f>
        <v/>
      </c>
      <c r="L465" s="141" t="str">
        <f ca="1">IF($M465=0,"",IF(INDEX(Data!$AN$2051:$AN$2550,$M465)=0,"",IF(INDEX(Data!$U$41:$U$540,INDEX(Data!$AN$2051:$AN$2550,$M465))="","",INDEX(Data!$U$41:$U$540,INDEX(Data!$AN$2051:$AN$2550,$M465)))))</f>
        <v/>
      </c>
      <c r="M465" s="132">
        <f ca="1">IF(COUNTIFS(Data!$AV$2051:$AV$2550,453)=1,MATCH(453,Data!$AV$2051:$AV$2550,0),0)</f>
        <v>0</v>
      </c>
      <c r="N465" s="145" t="str">
        <f ca="1">IF($M465=0,"",IF(INDEX(Data!$I$2051:$I$2550,$M465)=0,"Add ID","Row "&amp;(INDEX(Data!$I$2051:$I$2550,$M465)+7)))</f>
        <v/>
      </c>
    </row>
    <row r="466" spans="1:14" ht="40" customHeight="1">
      <c r="A466" s="136" t="str">
        <f ca="1">IF($M466=0,"",INDEX(Data!$W$2051:$W$2550,$M466))</f>
        <v/>
      </c>
      <c r="B466" s="139" t="str">
        <f ca="1">IF($M466=0,"",INDEX(Data!$B$2051:$B$2550,$M466))</f>
        <v/>
      </c>
      <c r="C466" s="146" t="str">
        <f ca="1">IF($M466=0,"",INDEX(Data!$C$2051:$C$2550,$M466))</f>
        <v/>
      </c>
      <c r="D466" s="146" t="str">
        <f ca="1">IF($M466=0,"",INDEX(Data!$D$2051:$D$2550,$M466))</f>
        <v/>
      </c>
      <c r="E466" s="147" t="str">
        <f ca="1">IF($M466=0,"",INDEX(Data!$G$2051:$G$2550,$M466))</f>
        <v/>
      </c>
      <c r="F466" s="146" t="str">
        <f ca="1">IF($M466=0,"",INDEX(Data!$F$2051:$F$2550,$M466))</f>
        <v/>
      </c>
      <c r="G466" s="148" t="str">
        <f ca="1">IF($M466=0,"",INDEX(Data!$K$2051:$K$2550,$M466))</f>
        <v/>
      </c>
      <c r="H466" s="146" t="str">
        <f ca="1">IF($M466=0,"",INDEX(Data!$L$2051:$L$2550,$M466))</f>
        <v/>
      </c>
      <c r="I466" s="149" t="str">
        <f ca="1">IF($M466=0,"",INDEX(Data!$T$2051:$T$2550,$M466))</f>
        <v/>
      </c>
      <c r="J466" s="146" t="str">
        <f ca="1">IF($M466=0,"",INDEX(Data!$U$2051:$U$2550,$M466))</f>
        <v/>
      </c>
      <c r="K466" s="146" t="str">
        <f ca="1">IF($M466=0,"",INDEX(Data!$AA$2051:$AA$2550,$M466))</f>
        <v/>
      </c>
      <c r="L466" s="146" t="str">
        <f ca="1">IF($M466=0,"",IF(INDEX(Data!$AN$2051:$AN$2550,$M466)=0,"",IF(INDEX(Data!$U$41:$U$540,INDEX(Data!$AN$2051:$AN$2550,$M466))="","",INDEX(Data!$U$41:$U$540,INDEX(Data!$AN$2051:$AN$2550,$M466)))))</f>
        <v/>
      </c>
      <c r="M466" s="132">
        <f ca="1">IF(COUNTIFS(Data!$AV$2051:$AV$2550,454)=1,MATCH(454,Data!$AV$2051:$AV$2550,0),0)</f>
        <v>0</v>
      </c>
      <c r="N466" s="150" t="str">
        <f ca="1">IF($M466=0,"",IF(INDEX(Data!$I$2051:$I$2550,$M466)=0,"Add ID","Row "&amp;(INDEX(Data!$I$2051:$I$2550,$M466)+7)))</f>
        <v/>
      </c>
    </row>
    <row r="467" spans="1:14" ht="40" customHeight="1">
      <c r="A467" s="135" t="str">
        <f ca="1">IF($M467=0,"",INDEX(Data!$W$2051:$W$2550,$M467))</f>
        <v/>
      </c>
      <c r="B467" s="138" t="str">
        <f ca="1">IF($M467=0,"",INDEX(Data!$B$2051:$B$2550,$M467))</f>
        <v/>
      </c>
      <c r="C467" s="141" t="str">
        <f ca="1">IF($M467=0,"",INDEX(Data!$C$2051:$C$2550,$M467))</f>
        <v/>
      </c>
      <c r="D467" s="141" t="str">
        <f ca="1">IF($M467=0,"",INDEX(Data!$D$2051:$D$2550,$M467))</f>
        <v/>
      </c>
      <c r="E467" s="142" t="str">
        <f ca="1">IF($M467=0,"",INDEX(Data!$G$2051:$G$2550,$M467))</f>
        <v/>
      </c>
      <c r="F467" s="141" t="str">
        <f ca="1">IF($M467=0,"",INDEX(Data!$F$2051:$F$2550,$M467))</f>
        <v/>
      </c>
      <c r="G467" s="143" t="str">
        <f ca="1">IF($M467=0,"",INDEX(Data!$K$2051:$K$2550,$M467))</f>
        <v/>
      </c>
      <c r="H467" s="141" t="str">
        <f ca="1">IF($M467=0,"",INDEX(Data!$L$2051:$L$2550,$M467))</f>
        <v/>
      </c>
      <c r="I467" s="144" t="str">
        <f ca="1">IF($M467=0,"",INDEX(Data!$T$2051:$T$2550,$M467))</f>
        <v/>
      </c>
      <c r="J467" s="141" t="str">
        <f ca="1">IF($M467=0,"",INDEX(Data!$U$2051:$U$2550,$M467))</f>
        <v/>
      </c>
      <c r="K467" s="141" t="str">
        <f ca="1">IF($M467=0,"",INDEX(Data!$AA$2051:$AA$2550,$M467))</f>
        <v/>
      </c>
      <c r="L467" s="141" t="str">
        <f ca="1">IF($M467=0,"",IF(INDEX(Data!$AN$2051:$AN$2550,$M467)=0,"",IF(INDEX(Data!$U$41:$U$540,INDEX(Data!$AN$2051:$AN$2550,$M467))="","",INDEX(Data!$U$41:$U$540,INDEX(Data!$AN$2051:$AN$2550,$M467)))))</f>
        <v/>
      </c>
      <c r="M467" s="132">
        <f ca="1">IF(COUNTIFS(Data!$AV$2051:$AV$2550,455)=1,MATCH(455,Data!$AV$2051:$AV$2550,0),0)</f>
        <v>0</v>
      </c>
      <c r="N467" s="145" t="str">
        <f ca="1">IF($M467=0,"",IF(INDEX(Data!$I$2051:$I$2550,$M467)=0,"Add ID","Row "&amp;(INDEX(Data!$I$2051:$I$2550,$M467)+7)))</f>
        <v/>
      </c>
    </row>
    <row r="468" spans="1:14" ht="40" customHeight="1">
      <c r="A468" s="136" t="str">
        <f ca="1">IF($M468=0,"",INDEX(Data!$W$2051:$W$2550,$M468))</f>
        <v/>
      </c>
      <c r="B468" s="139" t="str">
        <f ca="1">IF($M468=0,"",INDEX(Data!$B$2051:$B$2550,$M468))</f>
        <v/>
      </c>
      <c r="C468" s="146" t="str">
        <f ca="1">IF($M468=0,"",INDEX(Data!$C$2051:$C$2550,$M468))</f>
        <v/>
      </c>
      <c r="D468" s="146" t="str">
        <f ca="1">IF($M468=0,"",INDEX(Data!$D$2051:$D$2550,$M468))</f>
        <v/>
      </c>
      <c r="E468" s="147" t="str">
        <f ca="1">IF($M468=0,"",INDEX(Data!$G$2051:$G$2550,$M468))</f>
        <v/>
      </c>
      <c r="F468" s="146" t="str">
        <f ca="1">IF($M468=0,"",INDEX(Data!$F$2051:$F$2550,$M468))</f>
        <v/>
      </c>
      <c r="G468" s="148" t="str">
        <f ca="1">IF($M468=0,"",INDEX(Data!$K$2051:$K$2550,$M468))</f>
        <v/>
      </c>
      <c r="H468" s="146" t="str">
        <f ca="1">IF($M468=0,"",INDEX(Data!$L$2051:$L$2550,$M468))</f>
        <v/>
      </c>
      <c r="I468" s="149" t="str">
        <f ca="1">IF($M468=0,"",INDEX(Data!$T$2051:$T$2550,$M468))</f>
        <v/>
      </c>
      <c r="J468" s="146" t="str">
        <f ca="1">IF($M468=0,"",INDEX(Data!$U$2051:$U$2550,$M468))</f>
        <v/>
      </c>
      <c r="K468" s="146" t="str">
        <f ca="1">IF($M468=0,"",INDEX(Data!$AA$2051:$AA$2550,$M468))</f>
        <v/>
      </c>
      <c r="L468" s="146" t="str">
        <f ca="1">IF($M468=0,"",IF(INDEX(Data!$AN$2051:$AN$2550,$M468)=0,"",IF(INDEX(Data!$U$41:$U$540,INDEX(Data!$AN$2051:$AN$2550,$M468))="","",INDEX(Data!$U$41:$U$540,INDEX(Data!$AN$2051:$AN$2550,$M468)))))</f>
        <v/>
      </c>
      <c r="M468" s="132">
        <f ca="1">IF(COUNTIFS(Data!$AV$2051:$AV$2550,456)=1,MATCH(456,Data!$AV$2051:$AV$2550,0),0)</f>
        <v>0</v>
      </c>
      <c r="N468" s="150" t="str">
        <f ca="1">IF($M468=0,"",IF(INDEX(Data!$I$2051:$I$2550,$M468)=0,"Add ID","Row "&amp;(INDEX(Data!$I$2051:$I$2550,$M468)+7)))</f>
        <v/>
      </c>
    </row>
    <row r="469" spans="1:14" ht="40" customHeight="1">
      <c r="A469" s="135" t="str">
        <f ca="1">IF($M469=0,"",INDEX(Data!$W$2051:$W$2550,$M469))</f>
        <v/>
      </c>
      <c r="B469" s="138" t="str">
        <f ca="1">IF($M469=0,"",INDEX(Data!$B$2051:$B$2550,$M469))</f>
        <v/>
      </c>
      <c r="C469" s="141" t="str">
        <f ca="1">IF($M469=0,"",INDEX(Data!$C$2051:$C$2550,$M469))</f>
        <v/>
      </c>
      <c r="D469" s="141" t="str">
        <f ca="1">IF($M469=0,"",INDEX(Data!$D$2051:$D$2550,$M469))</f>
        <v/>
      </c>
      <c r="E469" s="142" t="str">
        <f ca="1">IF($M469=0,"",INDEX(Data!$G$2051:$G$2550,$M469))</f>
        <v/>
      </c>
      <c r="F469" s="141" t="str">
        <f ca="1">IF($M469=0,"",INDEX(Data!$F$2051:$F$2550,$M469))</f>
        <v/>
      </c>
      <c r="G469" s="143" t="str">
        <f ca="1">IF($M469=0,"",INDEX(Data!$K$2051:$K$2550,$M469))</f>
        <v/>
      </c>
      <c r="H469" s="141" t="str">
        <f ca="1">IF($M469=0,"",INDEX(Data!$L$2051:$L$2550,$M469))</f>
        <v/>
      </c>
      <c r="I469" s="144" t="str">
        <f ca="1">IF($M469=0,"",INDEX(Data!$T$2051:$T$2550,$M469))</f>
        <v/>
      </c>
      <c r="J469" s="141" t="str">
        <f ca="1">IF($M469=0,"",INDEX(Data!$U$2051:$U$2550,$M469))</f>
        <v/>
      </c>
      <c r="K469" s="141" t="str">
        <f ca="1">IF($M469=0,"",INDEX(Data!$AA$2051:$AA$2550,$M469))</f>
        <v/>
      </c>
      <c r="L469" s="141" t="str">
        <f ca="1">IF($M469=0,"",IF(INDEX(Data!$AN$2051:$AN$2550,$M469)=0,"",IF(INDEX(Data!$U$41:$U$540,INDEX(Data!$AN$2051:$AN$2550,$M469))="","",INDEX(Data!$U$41:$U$540,INDEX(Data!$AN$2051:$AN$2550,$M469)))))</f>
        <v/>
      </c>
      <c r="M469" s="132">
        <f ca="1">IF(COUNTIFS(Data!$AV$2051:$AV$2550,457)=1,MATCH(457,Data!$AV$2051:$AV$2550,0),0)</f>
        <v>0</v>
      </c>
      <c r="N469" s="145" t="str">
        <f ca="1">IF($M469=0,"",IF(INDEX(Data!$I$2051:$I$2550,$M469)=0,"Add ID","Row "&amp;(INDEX(Data!$I$2051:$I$2550,$M469)+7)))</f>
        <v/>
      </c>
    </row>
    <row r="470" spans="1:14" ht="40" customHeight="1">
      <c r="A470" s="136" t="str">
        <f ca="1">IF($M470=0,"",INDEX(Data!$W$2051:$W$2550,$M470))</f>
        <v/>
      </c>
      <c r="B470" s="139" t="str">
        <f ca="1">IF($M470=0,"",INDEX(Data!$B$2051:$B$2550,$M470))</f>
        <v/>
      </c>
      <c r="C470" s="146" t="str">
        <f ca="1">IF($M470=0,"",INDEX(Data!$C$2051:$C$2550,$M470))</f>
        <v/>
      </c>
      <c r="D470" s="146" t="str">
        <f ca="1">IF($M470=0,"",INDEX(Data!$D$2051:$D$2550,$M470))</f>
        <v/>
      </c>
      <c r="E470" s="147" t="str">
        <f ca="1">IF($M470=0,"",INDEX(Data!$G$2051:$G$2550,$M470))</f>
        <v/>
      </c>
      <c r="F470" s="146" t="str">
        <f ca="1">IF($M470=0,"",INDEX(Data!$F$2051:$F$2550,$M470))</f>
        <v/>
      </c>
      <c r="G470" s="148" t="str">
        <f ca="1">IF($M470=0,"",INDEX(Data!$K$2051:$K$2550,$M470))</f>
        <v/>
      </c>
      <c r="H470" s="146" t="str">
        <f ca="1">IF($M470=0,"",INDEX(Data!$L$2051:$L$2550,$M470))</f>
        <v/>
      </c>
      <c r="I470" s="149" t="str">
        <f ca="1">IF($M470=0,"",INDEX(Data!$T$2051:$T$2550,$M470))</f>
        <v/>
      </c>
      <c r="J470" s="146" t="str">
        <f ca="1">IF($M470=0,"",INDEX(Data!$U$2051:$U$2550,$M470))</f>
        <v/>
      </c>
      <c r="K470" s="146" t="str">
        <f ca="1">IF($M470=0,"",INDEX(Data!$AA$2051:$AA$2550,$M470))</f>
        <v/>
      </c>
      <c r="L470" s="146" t="str">
        <f ca="1">IF($M470=0,"",IF(INDEX(Data!$AN$2051:$AN$2550,$M470)=0,"",IF(INDEX(Data!$U$41:$U$540,INDEX(Data!$AN$2051:$AN$2550,$M470))="","",INDEX(Data!$U$41:$U$540,INDEX(Data!$AN$2051:$AN$2550,$M470)))))</f>
        <v/>
      </c>
      <c r="M470" s="132">
        <f ca="1">IF(COUNTIFS(Data!$AV$2051:$AV$2550,458)=1,MATCH(458,Data!$AV$2051:$AV$2550,0),0)</f>
        <v>0</v>
      </c>
      <c r="N470" s="150" t="str">
        <f ca="1">IF($M470=0,"",IF(INDEX(Data!$I$2051:$I$2550,$M470)=0,"Add ID","Row "&amp;(INDEX(Data!$I$2051:$I$2550,$M470)+7)))</f>
        <v/>
      </c>
    </row>
    <row r="471" spans="1:14" ht="40" customHeight="1">
      <c r="A471" s="135" t="str">
        <f ca="1">IF($M471=0,"",INDEX(Data!$W$2051:$W$2550,$M471))</f>
        <v/>
      </c>
      <c r="B471" s="138" t="str">
        <f ca="1">IF($M471=0,"",INDEX(Data!$B$2051:$B$2550,$M471))</f>
        <v/>
      </c>
      <c r="C471" s="141" t="str">
        <f ca="1">IF($M471=0,"",INDEX(Data!$C$2051:$C$2550,$M471))</f>
        <v/>
      </c>
      <c r="D471" s="141" t="str">
        <f ca="1">IF($M471=0,"",INDEX(Data!$D$2051:$D$2550,$M471))</f>
        <v/>
      </c>
      <c r="E471" s="142" t="str">
        <f ca="1">IF($M471=0,"",INDEX(Data!$G$2051:$G$2550,$M471))</f>
        <v/>
      </c>
      <c r="F471" s="141" t="str">
        <f ca="1">IF($M471=0,"",INDEX(Data!$F$2051:$F$2550,$M471))</f>
        <v/>
      </c>
      <c r="G471" s="143" t="str">
        <f ca="1">IF($M471=0,"",INDEX(Data!$K$2051:$K$2550,$M471))</f>
        <v/>
      </c>
      <c r="H471" s="141" t="str">
        <f ca="1">IF($M471=0,"",INDEX(Data!$L$2051:$L$2550,$M471))</f>
        <v/>
      </c>
      <c r="I471" s="144" t="str">
        <f ca="1">IF($M471=0,"",INDEX(Data!$T$2051:$T$2550,$M471))</f>
        <v/>
      </c>
      <c r="J471" s="141" t="str">
        <f ca="1">IF($M471=0,"",INDEX(Data!$U$2051:$U$2550,$M471))</f>
        <v/>
      </c>
      <c r="K471" s="141" t="str">
        <f ca="1">IF($M471=0,"",INDEX(Data!$AA$2051:$AA$2550,$M471))</f>
        <v/>
      </c>
      <c r="L471" s="141" t="str">
        <f ca="1">IF($M471=0,"",IF(INDEX(Data!$AN$2051:$AN$2550,$M471)=0,"",IF(INDEX(Data!$U$41:$U$540,INDEX(Data!$AN$2051:$AN$2550,$M471))="","",INDEX(Data!$U$41:$U$540,INDEX(Data!$AN$2051:$AN$2550,$M471)))))</f>
        <v/>
      </c>
      <c r="M471" s="132">
        <f ca="1">IF(COUNTIFS(Data!$AV$2051:$AV$2550,459)=1,MATCH(459,Data!$AV$2051:$AV$2550,0),0)</f>
        <v>0</v>
      </c>
      <c r="N471" s="145" t="str">
        <f ca="1">IF($M471=0,"",IF(INDEX(Data!$I$2051:$I$2550,$M471)=0,"Add ID","Row "&amp;(INDEX(Data!$I$2051:$I$2550,$M471)+7)))</f>
        <v/>
      </c>
    </row>
    <row r="472" spans="1:14" ht="40" customHeight="1">
      <c r="A472" s="136" t="str">
        <f ca="1">IF($M472=0,"",INDEX(Data!$W$2051:$W$2550,$M472))</f>
        <v/>
      </c>
      <c r="B472" s="139" t="str">
        <f ca="1">IF($M472=0,"",INDEX(Data!$B$2051:$B$2550,$M472))</f>
        <v/>
      </c>
      <c r="C472" s="146" t="str">
        <f ca="1">IF($M472=0,"",INDEX(Data!$C$2051:$C$2550,$M472))</f>
        <v/>
      </c>
      <c r="D472" s="146" t="str">
        <f ca="1">IF($M472=0,"",INDEX(Data!$D$2051:$D$2550,$M472))</f>
        <v/>
      </c>
      <c r="E472" s="147" t="str">
        <f ca="1">IF($M472=0,"",INDEX(Data!$G$2051:$G$2550,$M472))</f>
        <v/>
      </c>
      <c r="F472" s="146" t="str">
        <f ca="1">IF($M472=0,"",INDEX(Data!$F$2051:$F$2550,$M472))</f>
        <v/>
      </c>
      <c r="G472" s="148" t="str">
        <f ca="1">IF($M472=0,"",INDEX(Data!$K$2051:$K$2550,$M472))</f>
        <v/>
      </c>
      <c r="H472" s="146" t="str">
        <f ca="1">IF($M472=0,"",INDEX(Data!$L$2051:$L$2550,$M472))</f>
        <v/>
      </c>
      <c r="I472" s="149" t="str">
        <f ca="1">IF($M472=0,"",INDEX(Data!$T$2051:$T$2550,$M472))</f>
        <v/>
      </c>
      <c r="J472" s="146" t="str">
        <f ca="1">IF($M472=0,"",INDEX(Data!$U$2051:$U$2550,$M472))</f>
        <v/>
      </c>
      <c r="K472" s="146" t="str">
        <f ca="1">IF($M472=0,"",INDEX(Data!$AA$2051:$AA$2550,$M472))</f>
        <v/>
      </c>
      <c r="L472" s="146" t="str">
        <f ca="1">IF($M472=0,"",IF(INDEX(Data!$AN$2051:$AN$2550,$M472)=0,"",IF(INDEX(Data!$U$41:$U$540,INDEX(Data!$AN$2051:$AN$2550,$M472))="","",INDEX(Data!$U$41:$U$540,INDEX(Data!$AN$2051:$AN$2550,$M472)))))</f>
        <v/>
      </c>
      <c r="M472" s="132">
        <f ca="1">IF(COUNTIFS(Data!$AV$2051:$AV$2550,460)=1,MATCH(460,Data!$AV$2051:$AV$2550,0),0)</f>
        <v>0</v>
      </c>
      <c r="N472" s="150" t="str">
        <f ca="1">IF($M472=0,"",IF(INDEX(Data!$I$2051:$I$2550,$M472)=0,"Add ID","Row "&amp;(INDEX(Data!$I$2051:$I$2550,$M472)+7)))</f>
        <v/>
      </c>
    </row>
    <row r="473" spans="1:14" ht="40" customHeight="1">
      <c r="A473" s="135" t="str">
        <f ca="1">IF($M473=0,"",INDEX(Data!$W$2051:$W$2550,$M473))</f>
        <v/>
      </c>
      <c r="B473" s="138" t="str">
        <f ca="1">IF($M473=0,"",INDEX(Data!$B$2051:$B$2550,$M473))</f>
        <v/>
      </c>
      <c r="C473" s="141" t="str">
        <f ca="1">IF($M473=0,"",INDEX(Data!$C$2051:$C$2550,$M473))</f>
        <v/>
      </c>
      <c r="D473" s="141" t="str">
        <f ca="1">IF($M473=0,"",INDEX(Data!$D$2051:$D$2550,$M473))</f>
        <v/>
      </c>
      <c r="E473" s="142" t="str">
        <f ca="1">IF($M473=0,"",INDEX(Data!$G$2051:$G$2550,$M473))</f>
        <v/>
      </c>
      <c r="F473" s="141" t="str">
        <f ca="1">IF($M473=0,"",INDEX(Data!$F$2051:$F$2550,$M473))</f>
        <v/>
      </c>
      <c r="G473" s="143" t="str">
        <f ca="1">IF($M473=0,"",INDEX(Data!$K$2051:$K$2550,$M473))</f>
        <v/>
      </c>
      <c r="H473" s="141" t="str">
        <f ca="1">IF($M473=0,"",INDEX(Data!$L$2051:$L$2550,$M473))</f>
        <v/>
      </c>
      <c r="I473" s="144" t="str">
        <f ca="1">IF($M473=0,"",INDEX(Data!$T$2051:$T$2550,$M473))</f>
        <v/>
      </c>
      <c r="J473" s="141" t="str">
        <f ca="1">IF($M473=0,"",INDEX(Data!$U$2051:$U$2550,$M473))</f>
        <v/>
      </c>
      <c r="K473" s="141" t="str">
        <f ca="1">IF($M473=0,"",INDEX(Data!$AA$2051:$AA$2550,$M473))</f>
        <v/>
      </c>
      <c r="L473" s="141" t="str">
        <f ca="1">IF($M473=0,"",IF(INDEX(Data!$AN$2051:$AN$2550,$M473)=0,"",IF(INDEX(Data!$U$41:$U$540,INDEX(Data!$AN$2051:$AN$2550,$M473))="","",INDEX(Data!$U$41:$U$540,INDEX(Data!$AN$2051:$AN$2550,$M473)))))</f>
        <v/>
      </c>
      <c r="M473" s="132">
        <f ca="1">IF(COUNTIFS(Data!$AV$2051:$AV$2550,461)=1,MATCH(461,Data!$AV$2051:$AV$2550,0),0)</f>
        <v>0</v>
      </c>
      <c r="N473" s="145" t="str">
        <f ca="1">IF($M473=0,"",IF(INDEX(Data!$I$2051:$I$2550,$M473)=0,"Add ID","Row "&amp;(INDEX(Data!$I$2051:$I$2550,$M473)+7)))</f>
        <v/>
      </c>
    </row>
    <row r="474" spans="1:14" ht="40" customHeight="1">
      <c r="A474" s="136" t="str">
        <f ca="1">IF($M474=0,"",INDEX(Data!$W$2051:$W$2550,$M474))</f>
        <v/>
      </c>
      <c r="B474" s="139" t="str">
        <f ca="1">IF($M474=0,"",INDEX(Data!$B$2051:$B$2550,$M474))</f>
        <v/>
      </c>
      <c r="C474" s="146" t="str">
        <f ca="1">IF($M474=0,"",INDEX(Data!$C$2051:$C$2550,$M474))</f>
        <v/>
      </c>
      <c r="D474" s="146" t="str">
        <f ca="1">IF($M474=0,"",INDEX(Data!$D$2051:$D$2550,$M474))</f>
        <v/>
      </c>
      <c r="E474" s="147" t="str">
        <f ca="1">IF($M474=0,"",INDEX(Data!$G$2051:$G$2550,$M474))</f>
        <v/>
      </c>
      <c r="F474" s="146" t="str">
        <f ca="1">IF($M474=0,"",INDEX(Data!$F$2051:$F$2550,$M474))</f>
        <v/>
      </c>
      <c r="G474" s="148" t="str">
        <f ca="1">IF($M474=0,"",INDEX(Data!$K$2051:$K$2550,$M474))</f>
        <v/>
      </c>
      <c r="H474" s="146" t="str">
        <f ca="1">IF($M474=0,"",INDEX(Data!$L$2051:$L$2550,$M474))</f>
        <v/>
      </c>
      <c r="I474" s="149" t="str">
        <f ca="1">IF($M474=0,"",INDEX(Data!$T$2051:$T$2550,$M474))</f>
        <v/>
      </c>
      <c r="J474" s="146" t="str">
        <f ca="1">IF($M474=0,"",INDEX(Data!$U$2051:$U$2550,$M474))</f>
        <v/>
      </c>
      <c r="K474" s="146" t="str">
        <f ca="1">IF($M474=0,"",INDEX(Data!$AA$2051:$AA$2550,$M474))</f>
        <v/>
      </c>
      <c r="L474" s="146" t="str">
        <f ca="1">IF($M474=0,"",IF(INDEX(Data!$AN$2051:$AN$2550,$M474)=0,"",IF(INDEX(Data!$U$41:$U$540,INDEX(Data!$AN$2051:$AN$2550,$M474))="","",INDEX(Data!$U$41:$U$540,INDEX(Data!$AN$2051:$AN$2550,$M474)))))</f>
        <v/>
      </c>
      <c r="M474" s="132">
        <f ca="1">IF(COUNTIFS(Data!$AV$2051:$AV$2550,462)=1,MATCH(462,Data!$AV$2051:$AV$2550,0),0)</f>
        <v>0</v>
      </c>
      <c r="N474" s="150" t="str">
        <f ca="1">IF($M474=0,"",IF(INDEX(Data!$I$2051:$I$2550,$M474)=0,"Add ID","Row "&amp;(INDEX(Data!$I$2051:$I$2550,$M474)+7)))</f>
        <v/>
      </c>
    </row>
    <row r="475" spans="1:14" ht="40" customHeight="1">
      <c r="A475" s="135" t="str">
        <f ca="1">IF($M475=0,"",INDEX(Data!$W$2051:$W$2550,$M475))</f>
        <v/>
      </c>
      <c r="B475" s="138" t="str">
        <f ca="1">IF($M475=0,"",INDEX(Data!$B$2051:$B$2550,$M475))</f>
        <v/>
      </c>
      <c r="C475" s="141" t="str">
        <f ca="1">IF($M475=0,"",INDEX(Data!$C$2051:$C$2550,$M475))</f>
        <v/>
      </c>
      <c r="D475" s="141" t="str">
        <f ca="1">IF($M475=0,"",INDEX(Data!$D$2051:$D$2550,$M475))</f>
        <v/>
      </c>
      <c r="E475" s="142" t="str">
        <f ca="1">IF($M475=0,"",INDEX(Data!$G$2051:$G$2550,$M475))</f>
        <v/>
      </c>
      <c r="F475" s="141" t="str">
        <f ca="1">IF($M475=0,"",INDEX(Data!$F$2051:$F$2550,$M475))</f>
        <v/>
      </c>
      <c r="G475" s="143" t="str">
        <f ca="1">IF($M475=0,"",INDEX(Data!$K$2051:$K$2550,$M475))</f>
        <v/>
      </c>
      <c r="H475" s="141" t="str">
        <f ca="1">IF($M475=0,"",INDEX(Data!$L$2051:$L$2550,$M475))</f>
        <v/>
      </c>
      <c r="I475" s="144" t="str">
        <f ca="1">IF($M475=0,"",INDEX(Data!$T$2051:$T$2550,$M475))</f>
        <v/>
      </c>
      <c r="J475" s="141" t="str">
        <f ca="1">IF($M475=0,"",INDEX(Data!$U$2051:$U$2550,$M475))</f>
        <v/>
      </c>
      <c r="K475" s="141" t="str">
        <f ca="1">IF($M475=0,"",INDEX(Data!$AA$2051:$AA$2550,$M475))</f>
        <v/>
      </c>
      <c r="L475" s="141" t="str">
        <f ca="1">IF($M475=0,"",IF(INDEX(Data!$AN$2051:$AN$2550,$M475)=0,"",IF(INDEX(Data!$U$41:$U$540,INDEX(Data!$AN$2051:$AN$2550,$M475))="","",INDEX(Data!$U$41:$U$540,INDEX(Data!$AN$2051:$AN$2550,$M475)))))</f>
        <v/>
      </c>
      <c r="M475" s="132">
        <f ca="1">IF(COUNTIFS(Data!$AV$2051:$AV$2550,463)=1,MATCH(463,Data!$AV$2051:$AV$2550,0),0)</f>
        <v>0</v>
      </c>
      <c r="N475" s="145" t="str">
        <f ca="1">IF($M475=0,"",IF(INDEX(Data!$I$2051:$I$2550,$M475)=0,"Add ID","Row "&amp;(INDEX(Data!$I$2051:$I$2550,$M475)+7)))</f>
        <v/>
      </c>
    </row>
    <row r="476" spans="1:14" ht="40" customHeight="1">
      <c r="A476" s="136" t="str">
        <f ca="1">IF($M476=0,"",INDEX(Data!$W$2051:$W$2550,$M476))</f>
        <v/>
      </c>
      <c r="B476" s="139" t="str">
        <f ca="1">IF($M476=0,"",INDEX(Data!$B$2051:$B$2550,$M476))</f>
        <v/>
      </c>
      <c r="C476" s="146" t="str">
        <f ca="1">IF($M476=0,"",INDEX(Data!$C$2051:$C$2550,$M476))</f>
        <v/>
      </c>
      <c r="D476" s="146" t="str">
        <f ca="1">IF($M476=0,"",INDEX(Data!$D$2051:$D$2550,$M476))</f>
        <v/>
      </c>
      <c r="E476" s="147" t="str">
        <f ca="1">IF($M476=0,"",INDEX(Data!$G$2051:$G$2550,$M476))</f>
        <v/>
      </c>
      <c r="F476" s="146" t="str">
        <f ca="1">IF($M476=0,"",INDEX(Data!$F$2051:$F$2550,$M476))</f>
        <v/>
      </c>
      <c r="G476" s="148" t="str">
        <f ca="1">IF($M476=0,"",INDEX(Data!$K$2051:$K$2550,$M476))</f>
        <v/>
      </c>
      <c r="H476" s="146" t="str">
        <f ca="1">IF($M476=0,"",INDEX(Data!$L$2051:$L$2550,$M476))</f>
        <v/>
      </c>
      <c r="I476" s="149" t="str">
        <f ca="1">IF($M476=0,"",INDEX(Data!$T$2051:$T$2550,$M476))</f>
        <v/>
      </c>
      <c r="J476" s="146" t="str">
        <f ca="1">IF($M476=0,"",INDEX(Data!$U$2051:$U$2550,$M476))</f>
        <v/>
      </c>
      <c r="K476" s="146" t="str">
        <f ca="1">IF($M476=0,"",INDEX(Data!$AA$2051:$AA$2550,$M476))</f>
        <v/>
      </c>
      <c r="L476" s="146" t="str">
        <f ca="1">IF($M476=0,"",IF(INDEX(Data!$AN$2051:$AN$2550,$M476)=0,"",IF(INDEX(Data!$U$41:$U$540,INDEX(Data!$AN$2051:$AN$2550,$M476))="","",INDEX(Data!$U$41:$U$540,INDEX(Data!$AN$2051:$AN$2550,$M476)))))</f>
        <v/>
      </c>
      <c r="M476" s="132">
        <f ca="1">IF(COUNTIFS(Data!$AV$2051:$AV$2550,464)=1,MATCH(464,Data!$AV$2051:$AV$2550,0),0)</f>
        <v>0</v>
      </c>
      <c r="N476" s="150" t="str">
        <f ca="1">IF($M476=0,"",IF(INDEX(Data!$I$2051:$I$2550,$M476)=0,"Add ID","Row "&amp;(INDEX(Data!$I$2051:$I$2550,$M476)+7)))</f>
        <v/>
      </c>
    </row>
    <row r="477" spans="1:14" ht="40" customHeight="1">
      <c r="A477" s="135" t="str">
        <f ca="1">IF($M477=0,"",INDEX(Data!$W$2051:$W$2550,$M477))</f>
        <v/>
      </c>
      <c r="B477" s="138" t="str">
        <f ca="1">IF($M477=0,"",INDEX(Data!$B$2051:$B$2550,$M477))</f>
        <v/>
      </c>
      <c r="C477" s="141" t="str">
        <f ca="1">IF($M477=0,"",INDEX(Data!$C$2051:$C$2550,$M477))</f>
        <v/>
      </c>
      <c r="D477" s="141" t="str">
        <f ca="1">IF($M477=0,"",INDEX(Data!$D$2051:$D$2550,$M477))</f>
        <v/>
      </c>
      <c r="E477" s="142" t="str">
        <f ca="1">IF($M477=0,"",INDEX(Data!$G$2051:$G$2550,$M477))</f>
        <v/>
      </c>
      <c r="F477" s="141" t="str">
        <f ca="1">IF($M477=0,"",INDEX(Data!$F$2051:$F$2550,$M477))</f>
        <v/>
      </c>
      <c r="G477" s="143" t="str">
        <f ca="1">IF($M477=0,"",INDEX(Data!$K$2051:$K$2550,$M477))</f>
        <v/>
      </c>
      <c r="H477" s="141" t="str">
        <f ca="1">IF($M477=0,"",INDEX(Data!$L$2051:$L$2550,$M477))</f>
        <v/>
      </c>
      <c r="I477" s="144" t="str">
        <f ca="1">IF($M477=0,"",INDEX(Data!$T$2051:$T$2550,$M477))</f>
        <v/>
      </c>
      <c r="J477" s="141" t="str">
        <f ca="1">IF($M477=0,"",INDEX(Data!$U$2051:$U$2550,$M477))</f>
        <v/>
      </c>
      <c r="K477" s="141" t="str">
        <f ca="1">IF($M477=0,"",INDEX(Data!$AA$2051:$AA$2550,$M477))</f>
        <v/>
      </c>
      <c r="L477" s="141" t="str">
        <f ca="1">IF($M477=0,"",IF(INDEX(Data!$AN$2051:$AN$2550,$M477)=0,"",IF(INDEX(Data!$U$41:$U$540,INDEX(Data!$AN$2051:$AN$2550,$M477))="","",INDEX(Data!$U$41:$U$540,INDEX(Data!$AN$2051:$AN$2550,$M477)))))</f>
        <v/>
      </c>
      <c r="M477" s="132">
        <f ca="1">IF(COUNTIFS(Data!$AV$2051:$AV$2550,465)=1,MATCH(465,Data!$AV$2051:$AV$2550,0),0)</f>
        <v>0</v>
      </c>
      <c r="N477" s="145" t="str">
        <f ca="1">IF($M477=0,"",IF(INDEX(Data!$I$2051:$I$2550,$M477)=0,"Add ID","Row "&amp;(INDEX(Data!$I$2051:$I$2550,$M477)+7)))</f>
        <v/>
      </c>
    </row>
    <row r="478" spans="1:14" ht="40" customHeight="1">
      <c r="A478" s="136" t="str">
        <f ca="1">IF($M478=0,"",INDEX(Data!$W$2051:$W$2550,$M478))</f>
        <v/>
      </c>
      <c r="B478" s="139" t="str">
        <f ca="1">IF($M478=0,"",INDEX(Data!$B$2051:$B$2550,$M478))</f>
        <v/>
      </c>
      <c r="C478" s="146" t="str">
        <f ca="1">IF($M478=0,"",INDEX(Data!$C$2051:$C$2550,$M478))</f>
        <v/>
      </c>
      <c r="D478" s="146" t="str">
        <f ca="1">IF($M478=0,"",INDEX(Data!$D$2051:$D$2550,$M478))</f>
        <v/>
      </c>
      <c r="E478" s="147" t="str">
        <f ca="1">IF($M478=0,"",INDEX(Data!$G$2051:$G$2550,$M478))</f>
        <v/>
      </c>
      <c r="F478" s="146" t="str">
        <f ca="1">IF($M478=0,"",INDEX(Data!$F$2051:$F$2550,$M478))</f>
        <v/>
      </c>
      <c r="G478" s="148" t="str">
        <f ca="1">IF($M478=0,"",INDEX(Data!$K$2051:$K$2550,$M478))</f>
        <v/>
      </c>
      <c r="H478" s="146" t="str">
        <f ca="1">IF($M478=0,"",INDEX(Data!$L$2051:$L$2550,$M478))</f>
        <v/>
      </c>
      <c r="I478" s="149" t="str">
        <f ca="1">IF($M478=0,"",INDEX(Data!$T$2051:$T$2550,$M478))</f>
        <v/>
      </c>
      <c r="J478" s="146" t="str">
        <f ca="1">IF($M478=0,"",INDEX(Data!$U$2051:$U$2550,$M478))</f>
        <v/>
      </c>
      <c r="K478" s="146" t="str">
        <f ca="1">IF($M478=0,"",INDEX(Data!$AA$2051:$AA$2550,$M478))</f>
        <v/>
      </c>
      <c r="L478" s="146" t="str">
        <f ca="1">IF($M478=0,"",IF(INDEX(Data!$AN$2051:$AN$2550,$M478)=0,"",IF(INDEX(Data!$U$41:$U$540,INDEX(Data!$AN$2051:$AN$2550,$M478))="","",INDEX(Data!$U$41:$U$540,INDEX(Data!$AN$2051:$AN$2550,$M478)))))</f>
        <v/>
      </c>
      <c r="M478" s="132">
        <f ca="1">IF(COUNTIFS(Data!$AV$2051:$AV$2550,466)=1,MATCH(466,Data!$AV$2051:$AV$2550,0),0)</f>
        <v>0</v>
      </c>
      <c r="N478" s="150" t="str">
        <f ca="1">IF($M478=0,"",IF(INDEX(Data!$I$2051:$I$2550,$M478)=0,"Add ID","Row "&amp;(INDEX(Data!$I$2051:$I$2550,$M478)+7)))</f>
        <v/>
      </c>
    </row>
    <row r="479" spans="1:14" ht="40" customHeight="1">
      <c r="A479" s="135" t="str">
        <f ca="1">IF($M479=0,"",INDEX(Data!$W$2051:$W$2550,$M479))</f>
        <v/>
      </c>
      <c r="B479" s="138" t="str">
        <f ca="1">IF($M479=0,"",INDEX(Data!$B$2051:$B$2550,$M479))</f>
        <v/>
      </c>
      <c r="C479" s="141" t="str">
        <f ca="1">IF($M479=0,"",INDEX(Data!$C$2051:$C$2550,$M479))</f>
        <v/>
      </c>
      <c r="D479" s="141" t="str">
        <f ca="1">IF($M479=0,"",INDEX(Data!$D$2051:$D$2550,$M479))</f>
        <v/>
      </c>
      <c r="E479" s="142" t="str">
        <f ca="1">IF($M479=0,"",INDEX(Data!$G$2051:$G$2550,$M479))</f>
        <v/>
      </c>
      <c r="F479" s="141" t="str">
        <f ca="1">IF($M479=0,"",INDEX(Data!$F$2051:$F$2550,$M479))</f>
        <v/>
      </c>
      <c r="G479" s="143" t="str">
        <f ca="1">IF($M479=0,"",INDEX(Data!$K$2051:$K$2550,$M479))</f>
        <v/>
      </c>
      <c r="H479" s="141" t="str">
        <f ca="1">IF($M479=0,"",INDEX(Data!$L$2051:$L$2550,$M479))</f>
        <v/>
      </c>
      <c r="I479" s="144" t="str">
        <f ca="1">IF($M479=0,"",INDEX(Data!$T$2051:$T$2550,$M479))</f>
        <v/>
      </c>
      <c r="J479" s="141" t="str">
        <f ca="1">IF($M479=0,"",INDEX(Data!$U$2051:$U$2550,$M479))</f>
        <v/>
      </c>
      <c r="K479" s="141" t="str">
        <f ca="1">IF($M479=0,"",INDEX(Data!$AA$2051:$AA$2550,$M479))</f>
        <v/>
      </c>
      <c r="L479" s="141" t="str">
        <f ca="1">IF($M479=0,"",IF(INDEX(Data!$AN$2051:$AN$2550,$M479)=0,"",IF(INDEX(Data!$U$41:$U$540,INDEX(Data!$AN$2051:$AN$2550,$M479))="","",INDEX(Data!$U$41:$U$540,INDEX(Data!$AN$2051:$AN$2550,$M479)))))</f>
        <v/>
      </c>
      <c r="M479" s="132">
        <f ca="1">IF(COUNTIFS(Data!$AV$2051:$AV$2550,467)=1,MATCH(467,Data!$AV$2051:$AV$2550,0),0)</f>
        <v>0</v>
      </c>
      <c r="N479" s="145" t="str">
        <f ca="1">IF($M479=0,"",IF(INDEX(Data!$I$2051:$I$2550,$M479)=0,"Add ID","Row "&amp;(INDEX(Data!$I$2051:$I$2550,$M479)+7)))</f>
        <v/>
      </c>
    </row>
    <row r="480" spans="1:14" ht="40" customHeight="1">
      <c r="A480" s="136" t="str">
        <f ca="1">IF($M480=0,"",INDEX(Data!$W$2051:$W$2550,$M480))</f>
        <v/>
      </c>
      <c r="B480" s="139" t="str">
        <f ca="1">IF($M480=0,"",INDEX(Data!$B$2051:$B$2550,$M480))</f>
        <v/>
      </c>
      <c r="C480" s="146" t="str">
        <f ca="1">IF($M480=0,"",INDEX(Data!$C$2051:$C$2550,$M480))</f>
        <v/>
      </c>
      <c r="D480" s="146" t="str">
        <f ca="1">IF($M480=0,"",INDEX(Data!$D$2051:$D$2550,$M480))</f>
        <v/>
      </c>
      <c r="E480" s="147" t="str">
        <f ca="1">IF($M480=0,"",INDEX(Data!$G$2051:$G$2550,$M480))</f>
        <v/>
      </c>
      <c r="F480" s="146" t="str">
        <f ca="1">IF($M480=0,"",INDEX(Data!$F$2051:$F$2550,$M480))</f>
        <v/>
      </c>
      <c r="G480" s="148" t="str">
        <f ca="1">IF($M480=0,"",INDEX(Data!$K$2051:$K$2550,$M480))</f>
        <v/>
      </c>
      <c r="H480" s="146" t="str">
        <f ca="1">IF($M480=0,"",INDEX(Data!$L$2051:$L$2550,$M480))</f>
        <v/>
      </c>
      <c r="I480" s="149" t="str">
        <f ca="1">IF($M480=0,"",INDEX(Data!$T$2051:$T$2550,$M480))</f>
        <v/>
      </c>
      <c r="J480" s="146" t="str">
        <f ca="1">IF($M480=0,"",INDEX(Data!$U$2051:$U$2550,$M480))</f>
        <v/>
      </c>
      <c r="K480" s="146" t="str">
        <f ca="1">IF($M480=0,"",INDEX(Data!$AA$2051:$AA$2550,$M480))</f>
        <v/>
      </c>
      <c r="L480" s="146" t="str">
        <f ca="1">IF($M480=0,"",IF(INDEX(Data!$AN$2051:$AN$2550,$M480)=0,"",IF(INDEX(Data!$U$41:$U$540,INDEX(Data!$AN$2051:$AN$2550,$M480))="","",INDEX(Data!$U$41:$U$540,INDEX(Data!$AN$2051:$AN$2550,$M480)))))</f>
        <v/>
      </c>
      <c r="M480" s="132">
        <f ca="1">IF(COUNTIFS(Data!$AV$2051:$AV$2550,468)=1,MATCH(468,Data!$AV$2051:$AV$2550,0),0)</f>
        <v>0</v>
      </c>
      <c r="N480" s="150" t="str">
        <f ca="1">IF($M480=0,"",IF(INDEX(Data!$I$2051:$I$2550,$M480)=0,"Add ID","Row "&amp;(INDEX(Data!$I$2051:$I$2550,$M480)+7)))</f>
        <v/>
      </c>
    </row>
    <row r="481" spans="1:14" ht="40" customHeight="1">
      <c r="A481" s="135" t="str">
        <f ca="1">IF($M481=0,"",INDEX(Data!$W$2051:$W$2550,$M481))</f>
        <v/>
      </c>
      <c r="B481" s="138" t="str">
        <f ca="1">IF($M481=0,"",INDEX(Data!$B$2051:$B$2550,$M481))</f>
        <v/>
      </c>
      <c r="C481" s="141" t="str">
        <f ca="1">IF($M481=0,"",INDEX(Data!$C$2051:$C$2550,$M481))</f>
        <v/>
      </c>
      <c r="D481" s="141" t="str">
        <f ca="1">IF($M481=0,"",INDEX(Data!$D$2051:$D$2550,$M481))</f>
        <v/>
      </c>
      <c r="E481" s="142" t="str">
        <f ca="1">IF($M481=0,"",INDEX(Data!$G$2051:$G$2550,$M481))</f>
        <v/>
      </c>
      <c r="F481" s="141" t="str">
        <f ca="1">IF($M481=0,"",INDEX(Data!$F$2051:$F$2550,$M481))</f>
        <v/>
      </c>
      <c r="G481" s="143" t="str">
        <f ca="1">IF($M481=0,"",INDEX(Data!$K$2051:$K$2550,$M481))</f>
        <v/>
      </c>
      <c r="H481" s="141" t="str">
        <f ca="1">IF($M481=0,"",INDEX(Data!$L$2051:$L$2550,$M481))</f>
        <v/>
      </c>
      <c r="I481" s="144" t="str">
        <f ca="1">IF($M481=0,"",INDEX(Data!$T$2051:$T$2550,$M481))</f>
        <v/>
      </c>
      <c r="J481" s="141" t="str">
        <f ca="1">IF($M481=0,"",INDEX(Data!$U$2051:$U$2550,$M481))</f>
        <v/>
      </c>
      <c r="K481" s="141" t="str">
        <f ca="1">IF($M481=0,"",INDEX(Data!$AA$2051:$AA$2550,$M481))</f>
        <v/>
      </c>
      <c r="L481" s="141" t="str">
        <f ca="1">IF($M481=0,"",IF(INDEX(Data!$AN$2051:$AN$2550,$M481)=0,"",IF(INDEX(Data!$U$41:$U$540,INDEX(Data!$AN$2051:$AN$2550,$M481))="","",INDEX(Data!$U$41:$U$540,INDEX(Data!$AN$2051:$AN$2550,$M481)))))</f>
        <v/>
      </c>
      <c r="M481" s="132">
        <f ca="1">IF(COUNTIFS(Data!$AV$2051:$AV$2550,469)=1,MATCH(469,Data!$AV$2051:$AV$2550,0),0)</f>
        <v>0</v>
      </c>
      <c r="N481" s="145" t="str">
        <f ca="1">IF($M481=0,"",IF(INDEX(Data!$I$2051:$I$2550,$M481)=0,"Add ID","Row "&amp;(INDEX(Data!$I$2051:$I$2550,$M481)+7)))</f>
        <v/>
      </c>
    </row>
    <row r="482" spans="1:14" ht="40" customHeight="1">
      <c r="A482" s="136" t="str">
        <f ca="1">IF($M482=0,"",INDEX(Data!$W$2051:$W$2550,$M482))</f>
        <v/>
      </c>
      <c r="B482" s="139" t="str">
        <f ca="1">IF($M482=0,"",INDEX(Data!$B$2051:$B$2550,$M482))</f>
        <v/>
      </c>
      <c r="C482" s="146" t="str">
        <f ca="1">IF($M482=0,"",INDEX(Data!$C$2051:$C$2550,$M482))</f>
        <v/>
      </c>
      <c r="D482" s="146" t="str">
        <f ca="1">IF($M482=0,"",INDEX(Data!$D$2051:$D$2550,$M482))</f>
        <v/>
      </c>
      <c r="E482" s="147" t="str">
        <f ca="1">IF($M482=0,"",INDEX(Data!$G$2051:$G$2550,$M482))</f>
        <v/>
      </c>
      <c r="F482" s="146" t="str">
        <f ca="1">IF($M482=0,"",INDEX(Data!$F$2051:$F$2550,$M482))</f>
        <v/>
      </c>
      <c r="G482" s="148" t="str">
        <f ca="1">IF($M482=0,"",INDEX(Data!$K$2051:$K$2550,$M482))</f>
        <v/>
      </c>
      <c r="H482" s="146" t="str">
        <f ca="1">IF($M482=0,"",INDEX(Data!$L$2051:$L$2550,$M482))</f>
        <v/>
      </c>
      <c r="I482" s="149" t="str">
        <f ca="1">IF($M482=0,"",INDEX(Data!$T$2051:$T$2550,$M482))</f>
        <v/>
      </c>
      <c r="J482" s="146" t="str">
        <f ca="1">IF($M482=0,"",INDEX(Data!$U$2051:$U$2550,$M482))</f>
        <v/>
      </c>
      <c r="K482" s="146" t="str">
        <f ca="1">IF($M482=0,"",INDEX(Data!$AA$2051:$AA$2550,$M482))</f>
        <v/>
      </c>
      <c r="L482" s="146" t="str">
        <f ca="1">IF($M482=0,"",IF(INDEX(Data!$AN$2051:$AN$2550,$M482)=0,"",IF(INDEX(Data!$U$41:$U$540,INDEX(Data!$AN$2051:$AN$2550,$M482))="","",INDEX(Data!$U$41:$U$540,INDEX(Data!$AN$2051:$AN$2550,$M482)))))</f>
        <v/>
      </c>
      <c r="M482" s="132">
        <f ca="1">IF(COUNTIFS(Data!$AV$2051:$AV$2550,470)=1,MATCH(470,Data!$AV$2051:$AV$2550,0),0)</f>
        <v>0</v>
      </c>
      <c r="N482" s="150" t="str">
        <f ca="1">IF($M482=0,"",IF(INDEX(Data!$I$2051:$I$2550,$M482)=0,"Add ID","Row "&amp;(INDEX(Data!$I$2051:$I$2550,$M482)+7)))</f>
        <v/>
      </c>
    </row>
    <row r="483" spans="1:14" ht="40" customHeight="1">
      <c r="A483" s="135" t="str">
        <f ca="1">IF($M483=0,"",INDEX(Data!$W$2051:$W$2550,$M483))</f>
        <v/>
      </c>
      <c r="B483" s="138" t="str">
        <f ca="1">IF($M483=0,"",INDEX(Data!$B$2051:$B$2550,$M483))</f>
        <v/>
      </c>
      <c r="C483" s="141" t="str">
        <f ca="1">IF($M483=0,"",INDEX(Data!$C$2051:$C$2550,$M483))</f>
        <v/>
      </c>
      <c r="D483" s="141" t="str">
        <f ca="1">IF($M483=0,"",INDEX(Data!$D$2051:$D$2550,$M483))</f>
        <v/>
      </c>
      <c r="E483" s="142" t="str">
        <f ca="1">IF($M483=0,"",INDEX(Data!$G$2051:$G$2550,$M483))</f>
        <v/>
      </c>
      <c r="F483" s="141" t="str">
        <f ca="1">IF($M483=0,"",INDEX(Data!$F$2051:$F$2550,$M483))</f>
        <v/>
      </c>
      <c r="G483" s="143" t="str">
        <f ca="1">IF($M483=0,"",INDEX(Data!$K$2051:$K$2550,$M483))</f>
        <v/>
      </c>
      <c r="H483" s="141" t="str">
        <f ca="1">IF($M483=0,"",INDEX(Data!$L$2051:$L$2550,$M483))</f>
        <v/>
      </c>
      <c r="I483" s="144" t="str">
        <f ca="1">IF($M483=0,"",INDEX(Data!$T$2051:$T$2550,$M483))</f>
        <v/>
      </c>
      <c r="J483" s="141" t="str">
        <f ca="1">IF($M483=0,"",INDEX(Data!$U$2051:$U$2550,$M483))</f>
        <v/>
      </c>
      <c r="K483" s="141" t="str">
        <f ca="1">IF($M483=0,"",INDEX(Data!$AA$2051:$AA$2550,$M483))</f>
        <v/>
      </c>
      <c r="L483" s="141" t="str">
        <f ca="1">IF($M483=0,"",IF(INDEX(Data!$AN$2051:$AN$2550,$M483)=0,"",IF(INDEX(Data!$U$41:$U$540,INDEX(Data!$AN$2051:$AN$2550,$M483))="","",INDEX(Data!$U$41:$U$540,INDEX(Data!$AN$2051:$AN$2550,$M483)))))</f>
        <v/>
      </c>
      <c r="M483" s="132">
        <f ca="1">IF(COUNTIFS(Data!$AV$2051:$AV$2550,471)=1,MATCH(471,Data!$AV$2051:$AV$2550,0),0)</f>
        <v>0</v>
      </c>
      <c r="N483" s="145" t="str">
        <f ca="1">IF($M483=0,"",IF(INDEX(Data!$I$2051:$I$2550,$M483)=0,"Add ID","Row "&amp;(INDEX(Data!$I$2051:$I$2550,$M483)+7)))</f>
        <v/>
      </c>
    </row>
    <row r="484" spans="1:14" ht="40" customHeight="1">
      <c r="A484" s="136" t="str">
        <f ca="1">IF($M484=0,"",INDEX(Data!$W$2051:$W$2550,$M484))</f>
        <v/>
      </c>
      <c r="B484" s="139" t="str">
        <f ca="1">IF($M484=0,"",INDEX(Data!$B$2051:$B$2550,$M484))</f>
        <v/>
      </c>
      <c r="C484" s="146" t="str">
        <f ca="1">IF($M484=0,"",INDEX(Data!$C$2051:$C$2550,$M484))</f>
        <v/>
      </c>
      <c r="D484" s="146" t="str">
        <f ca="1">IF($M484=0,"",INDEX(Data!$D$2051:$D$2550,$M484))</f>
        <v/>
      </c>
      <c r="E484" s="147" t="str">
        <f ca="1">IF($M484=0,"",INDEX(Data!$G$2051:$G$2550,$M484))</f>
        <v/>
      </c>
      <c r="F484" s="146" t="str">
        <f ca="1">IF($M484=0,"",INDEX(Data!$F$2051:$F$2550,$M484))</f>
        <v/>
      </c>
      <c r="G484" s="148" t="str">
        <f ca="1">IF($M484=0,"",INDEX(Data!$K$2051:$K$2550,$M484))</f>
        <v/>
      </c>
      <c r="H484" s="146" t="str">
        <f ca="1">IF($M484=0,"",INDEX(Data!$L$2051:$L$2550,$M484))</f>
        <v/>
      </c>
      <c r="I484" s="149" t="str">
        <f ca="1">IF($M484=0,"",INDEX(Data!$T$2051:$T$2550,$M484))</f>
        <v/>
      </c>
      <c r="J484" s="146" t="str">
        <f ca="1">IF($M484=0,"",INDEX(Data!$U$2051:$U$2550,$M484))</f>
        <v/>
      </c>
      <c r="K484" s="146" t="str">
        <f ca="1">IF($M484=0,"",INDEX(Data!$AA$2051:$AA$2550,$M484))</f>
        <v/>
      </c>
      <c r="L484" s="146" t="str">
        <f ca="1">IF($M484=0,"",IF(INDEX(Data!$AN$2051:$AN$2550,$M484)=0,"",IF(INDEX(Data!$U$41:$U$540,INDEX(Data!$AN$2051:$AN$2550,$M484))="","",INDEX(Data!$U$41:$U$540,INDEX(Data!$AN$2051:$AN$2550,$M484)))))</f>
        <v/>
      </c>
      <c r="M484" s="132">
        <f ca="1">IF(COUNTIFS(Data!$AV$2051:$AV$2550,472)=1,MATCH(472,Data!$AV$2051:$AV$2550,0),0)</f>
        <v>0</v>
      </c>
      <c r="N484" s="150" t="str">
        <f ca="1">IF($M484=0,"",IF(INDEX(Data!$I$2051:$I$2550,$M484)=0,"Add ID","Row "&amp;(INDEX(Data!$I$2051:$I$2550,$M484)+7)))</f>
        <v/>
      </c>
    </row>
    <row r="485" spans="1:14" ht="40" customHeight="1">
      <c r="A485" s="135" t="str">
        <f ca="1">IF($M485=0,"",INDEX(Data!$W$2051:$W$2550,$M485))</f>
        <v/>
      </c>
      <c r="B485" s="138" t="str">
        <f ca="1">IF($M485=0,"",INDEX(Data!$B$2051:$B$2550,$M485))</f>
        <v/>
      </c>
      <c r="C485" s="141" t="str">
        <f ca="1">IF($M485=0,"",INDEX(Data!$C$2051:$C$2550,$M485))</f>
        <v/>
      </c>
      <c r="D485" s="141" t="str">
        <f ca="1">IF($M485=0,"",INDEX(Data!$D$2051:$D$2550,$M485))</f>
        <v/>
      </c>
      <c r="E485" s="142" t="str">
        <f ca="1">IF($M485=0,"",INDEX(Data!$G$2051:$G$2550,$M485))</f>
        <v/>
      </c>
      <c r="F485" s="141" t="str">
        <f ca="1">IF($M485=0,"",INDEX(Data!$F$2051:$F$2550,$M485))</f>
        <v/>
      </c>
      <c r="G485" s="143" t="str">
        <f ca="1">IF($M485=0,"",INDEX(Data!$K$2051:$K$2550,$M485))</f>
        <v/>
      </c>
      <c r="H485" s="141" t="str">
        <f ca="1">IF($M485=0,"",INDEX(Data!$L$2051:$L$2550,$M485))</f>
        <v/>
      </c>
      <c r="I485" s="144" t="str">
        <f ca="1">IF($M485=0,"",INDEX(Data!$T$2051:$T$2550,$M485))</f>
        <v/>
      </c>
      <c r="J485" s="141" t="str">
        <f ca="1">IF($M485=0,"",INDEX(Data!$U$2051:$U$2550,$M485))</f>
        <v/>
      </c>
      <c r="K485" s="141" t="str">
        <f ca="1">IF($M485=0,"",INDEX(Data!$AA$2051:$AA$2550,$M485))</f>
        <v/>
      </c>
      <c r="L485" s="141" t="str">
        <f ca="1">IF($M485=0,"",IF(INDEX(Data!$AN$2051:$AN$2550,$M485)=0,"",IF(INDEX(Data!$U$41:$U$540,INDEX(Data!$AN$2051:$AN$2550,$M485))="","",INDEX(Data!$U$41:$U$540,INDEX(Data!$AN$2051:$AN$2550,$M485)))))</f>
        <v/>
      </c>
      <c r="M485" s="132">
        <f ca="1">IF(COUNTIFS(Data!$AV$2051:$AV$2550,473)=1,MATCH(473,Data!$AV$2051:$AV$2550,0),0)</f>
        <v>0</v>
      </c>
      <c r="N485" s="145" t="str">
        <f ca="1">IF($M485=0,"",IF(INDEX(Data!$I$2051:$I$2550,$M485)=0,"Add ID","Row "&amp;(INDEX(Data!$I$2051:$I$2550,$M485)+7)))</f>
        <v/>
      </c>
    </row>
    <row r="486" spans="1:14" ht="40" customHeight="1">
      <c r="A486" s="136" t="str">
        <f ca="1">IF($M486=0,"",INDEX(Data!$W$2051:$W$2550,$M486))</f>
        <v/>
      </c>
      <c r="B486" s="139" t="str">
        <f ca="1">IF($M486=0,"",INDEX(Data!$B$2051:$B$2550,$M486))</f>
        <v/>
      </c>
      <c r="C486" s="146" t="str">
        <f ca="1">IF($M486=0,"",INDEX(Data!$C$2051:$C$2550,$M486))</f>
        <v/>
      </c>
      <c r="D486" s="146" t="str">
        <f ca="1">IF($M486=0,"",INDEX(Data!$D$2051:$D$2550,$M486))</f>
        <v/>
      </c>
      <c r="E486" s="147" t="str">
        <f ca="1">IF($M486=0,"",INDEX(Data!$G$2051:$G$2550,$M486))</f>
        <v/>
      </c>
      <c r="F486" s="146" t="str">
        <f ca="1">IF($M486=0,"",INDEX(Data!$F$2051:$F$2550,$M486))</f>
        <v/>
      </c>
      <c r="G486" s="148" t="str">
        <f ca="1">IF($M486=0,"",INDEX(Data!$K$2051:$K$2550,$M486))</f>
        <v/>
      </c>
      <c r="H486" s="146" t="str">
        <f ca="1">IF($M486=0,"",INDEX(Data!$L$2051:$L$2550,$M486))</f>
        <v/>
      </c>
      <c r="I486" s="149" t="str">
        <f ca="1">IF($M486=0,"",INDEX(Data!$T$2051:$T$2550,$M486))</f>
        <v/>
      </c>
      <c r="J486" s="146" t="str">
        <f ca="1">IF($M486=0,"",INDEX(Data!$U$2051:$U$2550,$M486))</f>
        <v/>
      </c>
      <c r="K486" s="146" t="str">
        <f ca="1">IF($M486=0,"",INDEX(Data!$AA$2051:$AA$2550,$M486))</f>
        <v/>
      </c>
      <c r="L486" s="146" t="str">
        <f ca="1">IF($M486=0,"",IF(INDEX(Data!$AN$2051:$AN$2550,$M486)=0,"",IF(INDEX(Data!$U$41:$U$540,INDEX(Data!$AN$2051:$AN$2550,$M486))="","",INDEX(Data!$U$41:$U$540,INDEX(Data!$AN$2051:$AN$2550,$M486)))))</f>
        <v/>
      </c>
      <c r="M486" s="132">
        <f ca="1">IF(COUNTIFS(Data!$AV$2051:$AV$2550,474)=1,MATCH(474,Data!$AV$2051:$AV$2550,0),0)</f>
        <v>0</v>
      </c>
      <c r="N486" s="150" t="str">
        <f ca="1">IF($M486=0,"",IF(INDEX(Data!$I$2051:$I$2550,$M486)=0,"Add ID","Row "&amp;(INDEX(Data!$I$2051:$I$2550,$M486)+7)))</f>
        <v/>
      </c>
    </row>
    <row r="487" spans="1:14" ht="40" customHeight="1">
      <c r="A487" s="135" t="str">
        <f ca="1">IF($M487=0,"",INDEX(Data!$W$2051:$W$2550,$M487))</f>
        <v/>
      </c>
      <c r="B487" s="138" t="str">
        <f ca="1">IF($M487=0,"",INDEX(Data!$B$2051:$B$2550,$M487))</f>
        <v/>
      </c>
      <c r="C487" s="141" t="str">
        <f ca="1">IF($M487=0,"",INDEX(Data!$C$2051:$C$2550,$M487))</f>
        <v/>
      </c>
      <c r="D487" s="141" t="str">
        <f ca="1">IF($M487=0,"",INDEX(Data!$D$2051:$D$2550,$M487))</f>
        <v/>
      </c>
      <c r="E487" s="142" t="str">
        <f ca="1">IF($M487=0,"",INDEX(Data!$G$2051:$G$2550,$M487))</f>
        <v/>
      </c>
      <c r="F487" s="141" t="str">
        <f ca="1">IF($M487=0,"",INDEX(Data!$F$2051:$F$2550,$M487))</f>
        <v/>
      </c>
      <c r="G487" s="143" t="str">
        <f ca="1">IF($M487=0,"",INDEX(Data!$K$2051:$K$2550,$M487))</f>
        <v/>
      </c>
      <c r="H487" s="141" t="str">
        <f ca="1">IF($M487=0,"",INDEX(Data!$L$2051:$L$2550,$M487))</f>
        <v/>
      </c>
      <c r="I487" s="144" t="str">
        <f ca="1">IF($M487=0,"",INDEX(Data!$T$2051:$T$2550,$M487))</f>
        <v/>
      </c>
      <c r="J487" s="141" t="str">
        <f ca="1">IF($M487=0,"",INDEX(Data!$U$2051:$U$2550,$M487))</f>
        <v/>
      </c>
      <c r="K487" s="141" t="str">
        <f ca="1">IF($M487=0,"",INDEX(Data!$AA$2051:$AA$2550,$M487))</f>
        <v/>
      </c>
      <c r="L487" s="141" t="str">
        <f ca="1">IF($M487=0,"",IF(INDEX(Data!$AN$2051:$AN$2550,$M487)=0,"",IF(INDEX(Data!$U$41:$U$540,INDEX(Data!$AN$2051:$AN$2550,$M487))="","",INDEX(Data!$U$41:$U$540,INDEX(Data!$AN$2051:$AN$2550,$M487)))))</f>
        <v/>
      </c>
      <c r="M487" s="132">
        <f ca="1">IF(COUNTIFS(Data!$AV$2051:$AV$2550,475)=1,MATCH(475,Data!$AV$2051:$AV$2550,0),0)</f>
        <v>0</v>
      </c>
      <c r="N487" s="145" t="str">
        <f ca="1">IF($M487=0,"",IF(INDEX(Data!$I$2051:$I$2550,$M487)=0,"Add ID","Row "&amp;(INDEX(Data!$I$2051:$I$2550,$M487)+7)))</f>
        <v/>
      </c>
    </row>
    <row r="488" spans="1:14" ht="40" customHeight="1">
      <c r="A488" s="136" t="str">
        <f ca="1">IF($M488=0,"",INDEX(Data!$W$2051:$W$2550,$M488))</f>
        <v/>
      </c>
      <c r="B488" s="139" t="str">
        <f ca="1">IF($M488=0,"",INDEX(Data!$B$2051:$B$2550,$M488))</f>
        <v/>
      </c>
      <c r="C488" s="146" t="str">
        <f ca="1">IF($M488=0,"",INDEX(Data!$C$2051:$C$2550,$M488))</f>
        <v/>
      </c>
      <c r="D488" s="146" t="str">
        <f ca="1">IF($M488=0,"",INDEX(Data!$D$2051:$D$2550,$M488))</f>
        <v/>
      </c>
      <c r="E488" s="147" t="str">
        <f ca="1">IF($M488=0,"",INDEX(Data!$G$2051:$G$2550,$M488))</f>
        <v/>
      </c>
      <c r="F488" s="146" t="str">
        <f ca="1">IF($M488=0,"",INDEX(Data!$F$2051:$F$2550,$M488))</f>
        <v/>
      </c>
      <c r="G488" s="148" t="str">
        <f ca="1">IF($M488=0,"",INDEX(Data!$K$2051:$K$2550,$M488))</f>
        <v/>
      </c>
      <c r="H488" s="146" t="str">
        <f ca="1">IF($M488=0,"",INDEX(Data!$L$2051:$L$2550,$M488))</f>
        <v/>
      </c>
      <c r="I488" s="149" t="str">
        <f ca="1">IF($M488=0,"",INDEX(Data!$T$2051:$T$2550,$M488))</f>
        <v/>
      </c>
      <c r="J488" s="146" t="str">
        <f ca="1">IF($M488=0,"",INDEX(Data!$U$2051:$U$2550,$M488))</f>
        <v/>
      </c>
      <c r="K488" s="146" t="str">
        <f ca="1">IF($M488=0,"",INDEX(Data!$AA$2051:$AA$2550,$M488))</f>
        <v/>
      </c>
      <c r="L488" s="146" t="str">
        <f ca="1">IF($M488=0,"",IF(INDEX(Data!$AN$2051:$AN$2550,$M488)=0,"",IF(INDEX(Data!$U$41:$U$540,INDEX(Data!$AN$2051:$AN$2550,$M488))="","",INDEX(Data!$U$41:$U$540,INDEX(Data!$AN$2051:$AN$2550,$M488)))))</f>
        <v/>
      </c>
      <c r="M488" s="132">
        <f ca="1">IF(COUNTIFS(Data!$AV$2051:$AV$2550,476)=1,MATCH(476,Data!$AV$2051:$AV$2550,0),0)</f>
        <v>0</v>
      </c>
      <c r="N488" s="150" t="str">
        <f ca="1">IF($M488=0,"",IF(INDEX(Data!$I$2051:$I$2550,$M488)=0,"Add ID","Row "&amp;(INDEX(Data!$I$2051:$I$2550,$M488)+7)))</f>
        <v/>
      </c>
    </row>
    <row r="489" spans="1:14" ht="40" customHeight="1">
      <c r="A489" s="135" t="str">
        <f ca="1">IF($M489=0,"",INDEX(Data!$W$2051:$W$2550,$M489))</f>
        <v/>
      </c>
      <c r="B489" s="138" t="str">
        <f ca="1">IF($M489=0,"",INDEX(Data!$B$2051:$B$2550,$M489))</f>
        <v/>
      </c>
      <c r="C489" s="141" t="str">
        <f ca="1">IF($M489=0,"",INDEX(Data!$C$2051:$C$2550,$M489))</f>
        <v/>
      </c>
      <c r="D489" s="141" t="str">
        <f ca="1">IF($M489=0,"",INDEX(Data!$D$2051:$D$2550,$M489))</f>
        <v/>
      </c>
      <c r="E489" s="142" t="str">
        <f ca="1">IF($M489=0,"",INDEX(Data!$G$2051:$G$2550,$M489))</f>
        <v/>
      </c>
      <c r="F489" s="141" t="str">
        <f ca="1">IF($M489=0,"",INDEX(Data!$F$2051:$F$2550,$M489))</f>
        <v/>
      </c>
      <c r="G489" s="143" t="str">
        <f ca="1">IF($M489=0,"",INDEX(Data!$K$2051:$K$2550,$M489))</f>
        <v/>
      </c>
      <c r="H489" s="141" t="str">
        <f ca="1">IF($M489=0,"",INDEX(Data!$L$2051:$L$2550,$M489))</f>
        <v/>
      </c>
      <c r="I489" s="144" t="str">
        <f ca="1">IF($M489=0,"",INDEX(Data!$T$2051:$T$2550,$M489))</f>
        <v/>
      </c>
      <c r="J489" s="141" t="str">
        <f ca="1">IF($M489=0,"",INDEX(Data!$U$2051:$U$2550,$M489))</f>
        <v/>
      </c>
      <c r="K489" s="141" t="str">
        <f ca="1">IF($M489=0,"",INDEX(Data!$AA$2051:$AA$2550,$M489))</f>
        <v/>
      </c>
      <c r="L489" s="141" t="str">
        <f ca="1">IF($M489=0,"",IF(INDEX(Data!$AN$2051:$AN$2550,$M489)=0,"",IF(INDEX(Data!$U$41:$U$540,INDEX(Data!$AN$2051:$AN$2550,$M489))="","",INDEX(Data!$U$41:$U$540,INDEX(Data!$AN$2051:$AN$2550,$M489)))))</f>
        <v/>
      </c>
      <c r="M489" s="132">
        <f ca="1">IF(COUNTIFS(Data!$AV$2051:$AV$2550,477)=1,MATCH(477,Data!$AV$2051:$AV$2550,0),0)</f>
        <v>0</v>
      </c>
      <c r="N489" s="145" t="str">
        <f ca="1">IF($M489=0,"",IF(INDEX(Data!$I$2051:$I$2550,$M489)=0,"Add ID","Row "&amp;(INDEX(Data!$I$2051:$I$2550,$M489)+7)))</f>
        <v/>
      </c>
    </row>
    <row r="490" spans="1:14" ht="40" customHeight="1">
      <c r="A490" s="136" t="str">
        <f ca="1">IF($M490=0,"",INDEX(Data!$W$2051:$W$2550,$M490))</f>
        <v/>
      </c>
      <c r="B490" s="139" t="str">
        <f ca="1">IF($M490=0,"",INDEX(Data!$B$2051:$B$2550,$M490))</f>
        <v/>
      </c>
      <c r="C490" s="146" t="str">
        <f ca="1">IF($M490=0,"",INDEX(Data!$C$2051:$C$2550,$M490))</f>
        <v/>
      </c>
      <c r="D490" s="146" t="str">
        <f ca="1">IF($M490=0,"",INDEX(Data!$D$2051:$D$2550,$M490))</f>
        <v/>
      </c>
      <c r="E490" s="147" t="str">
        <f ca="1">IF($M490=0,"",INDEX(Data!$G$2051:$G$2550,$M490))</f>
        <v/>
      </c>
      <c r="F490" s="146" t="str">
        <f ca="1">IF($M490=0,"",INDEX(Data!$F$2051:$F$2550,$M490))</f>
        <v/>
      </c>
      <c r="G490" s="148" t="str">
        <f ca="1">IF($M490=0,"",INDEX(Data!$K$2051:$K$2550,$M490))</f>
        <v/>
      </c>
      <c r="H490" s="146" t="str">
        <f ca="1">IF($M490=0,"",INDEX(Data!$L$2051:$L$2550,$M490))</f>
        <v/>
      </c>
      <c r="I490" s="149" t="str">
        <f ca="1">IF($M490=0,"",INDEX(Data!$T$2051:$T$2550,$M490))</f>
        <v/>
      </c>
      <c r="J490" s="146" t="str">
        <f ca="1">IF($M490=0,"",INDEX(Data!$U$2051:$U$2550,$M490))</f>
        <v/>
      </c>
      <c r="K490" s="146" t="str">
        <f ca="1">IF($M490=0,"",INDEX(Data!$AA$2051:$AA$2550,$M490))</f>
        <v/>
      </c>
      <c r="L490" s="146" t="str">
        <f ca="1">IF($M490=0,"",IF(INDEX(Data!$AN$2051:$AN$2550,$M490)=0,"",IF(INDEX(Data!$U$41:$U$540,INDEX(Data!$AN$2051:$AN$2550,$M490))="","",INDEX(Data!$U$41:$U$540,INDEX(Data!$AN$2051:$AN$2550,$M490)))))</f>
        <v/>
      </c>
      <c r="M490" s="132">
        <f ca="1">IF(COUNTIFS(Data!$AV$2051:$AV$2550,478)=1,MATCH(478,Data!$AV$2051:$AV$2550,0),0)</f>
        <v>0</v>
      </c>
      <c r="N490" s="150" t="str">
        <f ca="1">IF($M490=0,"",IF(INDEX(Data!$I$2051:$I$2550,$M490)=0,"Add ID","Row "&amp;(INDEX(Data!$I$2051:$I$2550,$M490)+7)))</f>
        <v/>
      </c>
    </row>
    <row r="491" spans="1:14" ht="40" customHeight="1">
      <c r="A491" s="135" t="str">
        <f ca="1">IF($M491=0,"",INDEX(Data!$W$2051:$W$2550,$M491))</f>
        <v/>
      </c>
      <c r="B491" s="138" t="str">
        <f ca="1">IF($M491=0,"",INDEX(Data!$B$2051:$B$2550,$M491))</f>
        <v/>
      </c>
      <c r="C491" s="141" t="str">
        <f ca="1">IF($M491=0,"",INDEX(Data!$C$2051:$C$2550,$M491))</f>
        <v/>
      </c>
      <c r="D491" s="141" t="str">
        <f ca="1">IF($M491=0,"",INDEX(Data!$D$2051:$D$2550,$M491))</f>
        <v/>
      </c>
      <c r="E491" s="142" t="str">
        <f ca="1">IF($M491=0,"",INDEX(Data!$G$2051:$G$2550,$M491))</f>
        <v/>
      </c>
      <c r="F491" s="141" t="str">
        <f ca="1">IF($M491=0,"",INDEX(Data!$F$2051:$F$2550,$M491))</f>
        <v/>
      </c>
      <c r="G491" s="143" t="str">
        <f ca="1">IF($M491=0,"",INDEX(Data!$K$2051:$K$2550,$M491))</f>
        <v/>
      </c>
      <c r="H491" s="141" t="str">
        <f ca="1">IF($M491=0,"",INDEX(Data!$L$2051:$L$2550,$M491))</f>
        <v/>
      </c>
      <c r="I491" s="144" t="str">
        <f ca="1">IF($M491=0,"",INDEX(Data!$T$2051:$T$2550,$M491))</f>
        <v/>
      </c>
      <c r="J491" s="141" t="str">
        <f ca="1">IF($M491=0,"",INDEX(Data!$U$2051:$U$2550,$M491))</f>
        <v/>
      </c>
      <c r="K491" s="141" t="str">
        <f ca="1">IF($M491=0,"",INDEX(Data!$AA$2051:$AA$2550,$M491))</f>
        <v/>
      </c>
      <c r="L491" s="141" t="str">
        <f ca="1">IF($M491=0,"",IF(INDEX(Data!$AN$2051:$AN$2550,$M491)=0,"",IF(INDEX(Data!$U$41:$U$540,INDEX(Data!$AN$2051:$AN$2550,$M491))="","",INDEX(Data!$U$41:$U$540,INDEX(Data!$AN$2051:$AN$2550,$M491)))))</f>
        <v/>
      </c>
      <c r="M491" s="132">
        <f ca="1">IF(COUNTIFS(Data!$AV$2051:$AV$2550,479)=1,MATCH(479,Data!$AV$2051:$AV$2550,0),0)</f>
        <v>0</v>
      </c>
      <c r="N491" s="145" t="str">
        <f ca="1">IF($M491=0,"",IF(INDEX(Data!$I$2051:$I$2550,$M491)=0,"Add ID","Row "&amp;(INDEX(Data!$I$2051:$I$2550,$M491)+7)))</f>
        <v/>
      </c>
    </row>
    <row r="492" spans="1:14" ht="40" customHeight="1">
      <c r="A492" s="136" t="str">
        <f ca="1">IF($M492=0,"",INDEX(Data!$W$2051:$W$2550,$M492))</f>
        <v/>
      </c>
      <c r="B492" s="139" t="str">
        <f ca="1">IF($M492=0,"",INDEX(Data!$B$2051:$B$2550,$M492))</f>
        <v/>
      </c>
      <c r="C492" s="146" t="str">
        <f ca="1">IF($M492=0,"",INDEX(Data!$C$2051:$C$2550,$M492))</f>
        <v/>
      </c>
      <c r="D492" s="146" t="str">
        <f ca="1">IF($M492=0,"",INDEX(Data!$D$2051:$D$2550,$M492))</f>
        <v/>
      </c>
      <c r="E492" s="147" t="str">
        <f ca="1">IF($M492=0,"",INDEX(Data!$G$2051:$G$2550,$M492))</f>
        <v/>
      </c>
      <c r="F492" s="146" t="str">
        <f ca="1">IF($M492=0,"",INDEX(Data!$F$2051:$F$2550,$M492))</f>
        <v/>
      </c>
      <c r="G492" s="148" t="str">
        <f ca="1">IF($M492=0,"",INDEX(Data!$K$2051:$K$2550,$M492))</f>
        <v/>
      </c>
      <c r="H492" s="146" t="str">
        <f ca="1">IF($M492=0,"",INDEX(Data!$L$2051:$L$2550,$M492))</f>
        <v/>
      </c>
      <c r="I492" s="149" t="str">
        <f ca="1">IF($M492=0,"",INDEX(Data!$T$2051:$T$2550,$M492))</f>
        <v/>
      </c>
      <c r="J492" s="146" t="str">
        <f ca="1">IF($M492=0,"",INDEX(Data!$U$2051:$U$2550,$M492))</f>
        <v/>
      </c>
      <c r="K492" s="146" t="str">
        <f ca="1">IF($M492=0,"",INDEX(Data!$AA$2051:$AA$2550,$M492))</f>
        <v/>
      </c>
      <c r="L492" s="146" t="str">
        <f ca="1">IF($M492=0,"",IF(INDEX(Data!$AN$2051:$AN$2550,$M492)=0,"",IF(INDEX(Data!$U$41:$U$540,INDEX(Data!$AN$2051:$AN$2550,$M492))="","",INDEX(Data!$U$41:$U$540,INDEX(Data!$AN$2051:$AN$2550,$M492)))))</f>
        <v/>
      </c>
      <c r="M492" s="132">
        <f ca="1">IF(COUNTIFS(Data!$AV$2051:$AV$2550,480)=1,MATCH(480,Data!$AV$2051:$AV$2550,0),0)</f>
        <v>0</v>
      </c>
      <c r="N492" s="150" t="str">
        <f ca="1">IF($M492=0,"",IF(INDEX(Data!$I$2051:$I$2550,$M492)=0,"Add ID","Row "&amp;(INDEX(Data!$I$2051:$I$2550,$M492)+7)))</f>
        <v/>
      </c>
    </row>
    <row r="493" spans="1:14" ht="40" customHeight="1">
      <c r="A493" s="135" t="str">
        <f ca="1">IF($M493=0,"",INDEX(Data!$W$2051:$W$2550,$M493))</f>
        <v/>
      </c>
      <c r="B493" s="138" t="str">
        <f ca="1">IF($M493=0,"",INDEX(Data!$B$2051:$B$2550,$M493))</f>
        <v/>
      </c>
      <c r="C493" s="141" t="str">
        <f ca="1">IF($M493=0,"",INDEX(Data!$C$2051:$C$2550,$M493))</f>
        <v/>
      </c>
      <c r="D493" s="141" t="str">
        <f ca="1">IF($M493=0,"",INDEX(Data!$D$2051:$D$2550,$M493))</f>
        <v/>
      </c>
      <c r="E493" s="142" t="str">
        <f ca="1">IF($M493=0,"",INDEX(Data!$G$2051:$G$2550,$M493))</f>
        <v/>
      </c>
      <c r="F493" s="141" t="str">
        <f ca="1">IF($M493=0,"",INDEX(Data!$F$2051:$F$2550,$M493))</f>
        <v/>
      </c>
      <c r="G493" s="143" t="str">
        <f ca="1">IF($M493=0,"",INDEX(Data!$K$2051:$K$2550,$M493))</f>
        <v/>
      </c>
      <c r="H493" s="141" t="str">
        <f ca="1">IF($M493=0,"",INDEX(Data!$L$2051:$L$2550,$M493))</f>
        <v/>
      </c>
      <c r="I493" s="144" t="str">
        <f ca="1">IF($M493=0,"",INDEX(Data!$T$2051:$T$2550,$M493))</f>
        <v/>
      </c>
      <c r="J493" s="141" t="str">
        <f ca="1">IF($M493=0,"",INDEX(Data!$U$2051:$U$2550,$M493))</f>
        <v/>
      </c>
      <c r="K493" s="141" t="str">
        <f ca="1">IF($M493=0,"",INDEX(Data!$AA$2051:$AA$2550,$M493))</f>
        <v/>
      </c>
      <c r="L493" s="141" t="str">
        <f ca="1">IF($M493=0,"",IF(INDEX(Data!$AN$2051:$AN$2550,$M493)=0,"",IF(INDEX(Data!$U$41:$U$540,INDEX(Data!$AN$2051:$AN$2550,$M493))="","",INDEX(Data!$U$41:$U$540,INDEX(Data!$AN$2051:$AN$2550,$M493)))))</f>
        <v/>
      </c>
      <c r="M493" s="132">
        <f ca="1">IF(COUNTIFS(Data!$AV$2051:$AV$2550,481)=1,MATCH(481,Data!$AV$2051:$AV$2550,0),0)</f>
        <v>0</v>
      </c>
      <c r="N493" s="145" t="str">
        <f ca="1">IF($M493=0,"",IF(INDEX(Data!$I$2051:$I$2550,$M493)=0,"Add ID","Row "&amp;(INDEX(Data!$I$2051:$I$2550,$M493)+7)))</f>
        <v/>
      </c>
    </row>
    <row r="494" spans="1:14" ht="40" customHeight="1">
      <c r="A494" s="136" t="str">
        <f ca="1">IF($M494=0,"",INDEX(Data!$W$2051:$W$2550,$M494))</f>
        <v/>
      </c>
      <c r="B494" s="139" t="str">
        <f ca="1">IF($M494=0,"",INDEX(Data!$B$2051:$B$2550,$M494))</f>
        <v/>
      </c>
      <c r="C494" s="146" t="str">
        <f ca="1">IF($M494=0,"",INDEX(Data!$C$2051:$C$2550,$M494))</f>
        <v/>
      </c>
      <c r="D494" s="146" t="str">
        <f ca="1">IF($M494=0,"",INDEX(Data!$D$2051:$D$2550,$M494))</f>
        <v/>
      </c>
      <c r="E494" s="147" t="str">
        <f ca="1">IF($M494=0,"",INDEX(Data!$G$2051:$G$2550,$M494))</f>
        <v/>
      </c>
      <c r="F494" s="146" t="str">
        <f ca="1">IF($M494=0,"",INDEX(Data!$F$2051:$F$2550,$M494))</f>
        <v/>
      </c>
      <c r="G494" s="148" t="str">
        <f ca="1">IF($M494=0,"",INDEX(Data!$K$2051:$K$2550,$M494))</f>
        <v/>
      </c>
      <c r="H494" s="146" t="str">
        <f ca="1">IF($M494=0,"",INDEX(Data!$L$2051:$L$2550,$M494))</f>
        <v/>
      </c>
      <c r="I494" s="149" t="str">
        <f ca="1">IF($M494=0,"",INDEX(Data!$T$2051:$T$2550,$M494))</f>
        <v/>
      </c>
      <c r="J494" s="146" t="str">
        <f ca="1">IF($M494=0,"",INDEX(Data!$U$2051:$U$2550,$M494))</f>
        <v/>
      </c>
      <c r="K494" s="146" t="str">
        <f ca="1">IF($M494=0,"",INDEX(Data!$AA$2051:$AA$2550,$M494))</f>
        <v/>
      </c>
      <c r="L494" s="146" t="str">
        <f ca="1">IF($M494=0,"",IF(INDEX(Data!$AN$2051:$AN$2550,$M494)=0,"",IF(INDEX(Data!$U$41:$U$540,INDEX(Data!$AN$2051:$AN$2550,$M494))="","",INDEX(Data!$U$41:$U$540,INDEX(Data!$AN$2051:$AN$2550,$M494)))))</f>
        <v/>
      </c>
      <c r="M494" s="132">
        <f ca="1">IF(COUNTIFS(Data!$AV$2051:$AV$2550,482)=1,MATCH(482,Data!$AV$2051:$AV$2550,0),0)</f>
        <v>0</v>
      </c>
      <c r="N494" s="150" t="str">
        <f ca="1">IF($M494=0,"",IF(INDEX(Data!$I$2051:$I$2550,$M494)=0,"Add ID","Row "&amp;(INDEX(Data!$I$2051:$I$2550,$M494)+7)))</f>
        <v/>
      </c>
    </row>
    <row r="495" spans="1:14" ht="40" customHeight="1">
      <c r="A495" s="135" t="str">
        <f ca="1">IF($M495=0,"",INDEX(Data!$W$2051:$W$2550,$M495))</f>
        <v/>
      </c>
      <c r="B495" s="138" t="str">
        <f ca="1">IF($M495=0,"",INDEX(Data!$B$2051:$B$2550,$M495))</f>
        <v/>
      </c>
      <c r="C495" s="141" t="str">
        <f ca="1">IF($M495=0,"",INDEX(Data!$C$2051:$C$2550,$M495))</f>
        <v/>
      </c>
      <c r="D495" s="141" t="str">
        <f ca="1">IF($M495=0,"",INDEX(Data!$D$2051:$D$2550,$M495))</f>
        <v/>
      </c>
      <c r="E495" s="142" t="str">
        <f ca="1">IF($M495=0,"",INDEX(Data!$G$2051:$G$2550,$M495))</f>
        <v/>
      </c>
      <c r="F495" s="141" t="str">
        <f ca="1">IF($M495=0,"",INDEX(Data!$F$2051:$F$2550,$M495))</f>
        <v/>
      </c>
      <c r="G495" s="143" t="str">
        <f ca="1">IF($M495=0,"",INDEX(Data!$K$2051:$K$2550,$M495))</f>
        <v/>
      </c>
      <c r="H495" s="141" t="str">
        <f ca="1">IF($M495=0,"",INDEX(Data!$L$2051:$L$2550,$M495))</f>
        <v/>
      </c>
      <c r="I495" s="144" t="str">
        <f ca="1">IF($M495=0,"",INDEX(Data!$T$2051:$T$2550,$M495))</f>
        <v/>
      </c>
      <c r="J495" s="141" t="str">
        <f ca="1">IF($M495=0,"",INDEX(Data!$U$2051:$U$2550,$M495))</f>
        <v/>
      </c>
      <c r="K495" s="141" t="str">
        <f ca="1">IF($M495=0,"",INDEX(Data!$AA$2051:$AA$2550,$M495))</f>
        <v/>
      </c>
      <c r="L495" s="141" t="str">
        <f ca="1">IF($M495=0,"",IF(INDEX(Data!$AN$2051:$AN$2550,$M495)=0,"",IF(INDEX(Data!$U$41:$U$540,INDEX(Data!$AN$2051:$AN$2550,$M495))="","",INDEX(Data!$U$41:$U$540,INDEX(Data!$AN$2051:$AN$2550,$M495)))))</f>
        <v/>
      </c>
      <c r="M495" s="132">
        <f ca="1">IF(COUNTIFS(Data!$AV$2051:$AV$2550,483)=1,MATCH(483,Data!$AV$2051:$AV$2550,0),0)</f>
        <v>0</v>
      </c>
      <c r="N495" s="145" t="str">
        <f ca="1">IF($M495=0,"",IF(INDEX(Data!$I$2051:$I$2550,$M495)=0,"Add ID","Row "&amp;(INDEX(Data!$I$2051:$I$2550,$M495)+7)))</f>
        <v/>
      </c>
    </row>
    <row r="496" spans="1:14" ht="40" customHeight="1">
      <c r="A496" s="136" t="str">
        <f ca="1">IF($M496=0,"",INDEX(Data!$W$2051:$W$2550,$M496))</f>
        <v/>
      </c>
      <c r="B496" s="139" t="str">
        <f ca="1">IF($M496=0,"",INDEX(Data!$B$2051:$B$2550,$M496))</f>
        <v/>
      </c>
      <c r="C496" s="146" t="str">
        <f ca="1">IF($M496=0,"",INDEX(Data!$C$2051:$C$2550,$M496))</f>
        <v/>
      </c>
      <c r="D496" s="146" t="str">
        <f ca="1">IF($M496=0,"",INDEX(Data!$D$2051:$D$2550,$M496))</f>
        <v/>
      </c>
      <c r="E496" s="147" t="str">
        <f ca="1">IF($M496=0,"",INDEX(Data!$G$2051:$G$2550,$M496))</f>
        <v/>
      </c>
      <c r="F496" s="146" t="str">
        <f ca="1">IF($M496=0,"",INDEX(Data!$F$2051:$F$2550,$M496))</f>
        <v/>
      </c>
      <c r="G496" s="148" t="str">
        <f ca="1">IF($M496=0,"",INDEX(Data!$K$2051:$K$2550,$M496))</f>
        <v/>
      </c>
      <c r="H496" s="146" t="str">
        <f ca="1">IF($M496=0,"",INDEX(Data!$L$2051:$L$2550,$M496))</f>
        <v/>
      </c>
      <c r="I496" s="149" t="str">
        <f ca="1">IF($M496=0,"",INDEX(Data!$T$2051:$T$2550,$M496))</f>
        <v/>
      </c>
      <c r="J496" s="146" t="str">
        <f ca="1">IF($M496=0,"",INDEX(Data!$U$2051:$U$2550,$M496))</f>
        <v/>
      </c>
      <c r="K496" s="146" t="str">
        <f ca="1">IF($M496=0,"",INDEX(Data!$AA$2051:$AA$2550,$M496))</f>
        <v/>
      </c>
      <c r="L496" s="146" t="str">
        <f ca="1">IF($M496=0,"",IF(INDEX(Data!$AN$2051:$AN$2550,$M496)=0,"",IF(INDEX(Data!$U$41:$U$540,INDEX(Data!$AN$2051:$AN$2550,$M496))="","",INDEX(Data!$U$41:$U$540,INDEX(Data!$AN$2051:$AN$2550,$M496)))))</f>
        <v/>
      </c>
      <c r="M496" s="132">
        <f ca="1">IF(COUNTIFS(Data!$AV$2051:$AV$2550,484)=1,MATCH(484,Data!$AV$2051:$AV$2550,0),0)</f>
        <v>0</v>
      </c>
      <c r="N496" s="150" t="str">
        <f ca="1">IF($M496=0,"",IF(INDEX(Data!$I$2051:$I$2550,$M496)=0,"Add ID","Row "&amp;(INDEX(Data!$I$2051:$I$2550,$M496)+7)))</f>
        <v/>
      </c>
    </row>
    <row r="497" spans="1:14" ht="40" customHeight="1">
      <c r="A497" s="135" t="str">
        <f ca="1">IF($M497=0,"",INDEX(Data!$W$2051:$W$2550,$M497))</f>
        <v/>
      </c>
      <c r="B497" s="138" t="str">
        <f ca="1">IF($M497=0,"",INDEX(Data!$B$2051:$B$2550,$M497))</f>
        <v/>
      </c>
      <c r="C497" s="141" t="str">
        <f ca="1">IF($M497=0,"",INDEX(Data!$C$2051:$C$2550,$M497))</f>
        <v/>
      </c>
      <c r="D497" s="141" t="str">
        <f ca="1">IF($M497=0,"",INDEX(Data!$D$2051:$D$2550,$M497))</f>
        <v/>
      </c>
      <c r="E497" s="142" t="str">
        <f ca="1">IF($M497=0,"",INDEX(Data!$G$2051:$G$2550,$M497))</f>
        <v/>
      </c>
      <c r="F497" s="141" t="str">
        <f ca="1">IF($M497=0,"",INDEX(Data!$F$2051:$F$2550,$M497))</f>
        <v/>
      </c>
      <c r="G497" s="143" t="str">
        <f ca="1">IF($M497=0,"",INDEX(Data!$K$2051:$K$2550,$M497))</f>
        <v/>
      </c>
      <c r="H497" s="141" t="str">
        <f ca="1">IF($M497=0,"",INDEX(Data!$L$2051:$L$2550,$M497))</f>
        <v/>
      </c>
      <c r="I497" s="144" t="str">
        <f ca="1">IF($M497=0,"",INDEX(Data!$T$2051:$T$2550,$M497))</f>
        <v/>
      </c>
      <c r="J497" s="141" t="str">
        <f ca="1">IF($M497=0,"",INDEX(Data!$U$2051:$U$2550,$M497))</f>
        <v/>
      </c>
      <c r="K497" s="141" t="str">
        <f ca="1">IF($M497=0,"",INDEX(Data!$AA$2051:$AA$2550,$M497))</f>
        <v/>
      </c>
      <c r="L497" s="141" t="str">
        <f ca="1">IF($M497=0,"",IF(INDEX(Data!$AN$2051:$AN$2550,$M497)=0,"",IF(INDEX(Data!$U$41:$U$540,INDEX(Data!$AN$2051:$AN$2550,$M497))="","",INDEX(Data!$U$41:$U$540,INDEX(Data!$AN$2051:$AN$2550,$M497)))))</f>
        <v/>
      </c>
      <c r="M497" s="132">
        <f ca="1">IF(COUNTIFS(Data!$AV$2051:$AV$2550,485)=1,MATCH(485,Data!$AV$2051:$AV$2550,0),0)</f>
        <v>0</v>
      </c>
      <c r="N497" s="145" t="str">
        <f ca="1">IF($M497=0,"",IF(INDEX(Data!$I$2051:$I$2550,$M497)=0,"Add ID","Row "&amp;(INDEX(Data!$I$2051:$I$2550,$M497)+7)))</f>
        <v/>
      </c>
    </row>
    <row r="498" spans="1:14" ht="40" customHeight="1">
      <c r="A498" s="136" t="str">
        <f ca="1">IF($M498=0,"",INDEX(Data!$W$2051:$W$2550,$M498))</f>
        <v/>
      </c>
      <c r="B498" s="139" t="str">
        <f ca="1">IF($M498=0,"",INDEX(Data!$B$2051:$B$2550,$M498))</f>
        <v/>
      </c>
      <c r="C498" s="146" t="str">
        <f ca="1">IF($M498=0,"",INDEX(Data!$C$2051:$C$2550,$M498))</f>
        <v/>
      </c>
      <c r="D498" s="146" t="str">
        <f ca="1">IF($M498=0,"",INDEX(Data!$D$2051:$D$2550,$M498))</f>
        <v/>
      </c>
      <c r="E498" s="147" t="str">
        <f ca="1">IF($M498=0,"",INDEX(Data!$G$2051:$G$2550,$M498))</f>
        <v/>
      </c>
      <c r="F498" s="146" t="str">
        <f ca="1">IF($M498=0,"",INDEX(Data!$F$2051:$F$2550,$M498))</f>
        <v/>
      </c>
      <c r="G498" s="148" t="str">
        <f ca="1">IF($M498=0,"",INDEX(Data!$K$2051:$K$2550,$M498))</f>
        <v/>
      </c>
      <c r="H498" s="146" t="str">
        <f ca="1">IF($M498=0,"",INDEX(Data!$L$2051:$L$2550,$M498))</f>
        <v/>
      </c>
      <c r="I498" s="149" t="str">
        <f ca="1">IF($M498=0,"",INDEX(Data!$T$2051:$T$2550,$M498))</f>
        <v/>
      </c>
      <c r="J498" s="146" t="str">
        <f ca="1">IF($M498=0,"",INDEX(Data!$U$2051:$U$2550,$M498))</f>
        <v/>
      </c>
      <c r="K498" s="146" t="str">
        <f ca="1">IF($M498=0,"",INDEX(Data!$AA$2051:$AA$2550,$M498))</f>
        <v/>
      </c>
      <c r="L498" s="146" t="str">
        <f ca="1">IF($M498=0,"",IF(INDEX(Data!$AN$2051:$AN$2550,$M498)=0,"",IF(INDEX(Data!$U$41:$U$540,INDEX(Data!$AN$2051:$AN$2550,$M498))="","",INDEX(Data!$U$41:$U$540,INDEX(Data!$AN$2051:$AN$2550,$M498)))))</f>
        <v/>
      </c>
      <c r="M498" s="132">
        <f ca="1">IF(COUNTIFS(Data!$AV$2051:$AV$2550,486)=1,MATCH(486,Data!$AV$2051:$AV$2550,0),0)</f>
        <v>0</v>
      </c>
      <c r="N498" s="150" t="str">
        <f ca="1">IF($M498=0,"",IF(INDEX(Data!$I$2051:$I$2550,$M498)=0,"Add ID","Row "&amp;(INDEX(Data!$I$2051:$I$2550,$M498)+7)))</f>
        <v/>
      </c>
    </row>
    <row r="499" spans="1:14" ht="40" customHeight="1">
      <c r="A499" s="135" t="str">
        <f ca="1">IF($M499=0,"",INDEX(Data!$W$2051:$W$2550,$M499))</f>
        <v/>
      </c>
      <c r="B499" s="138" t="str">
        <f ca="1">IF($M499=0,"",INDEX(Data!$B$2051:$B$2550,$M499))</f>
        <v/>
      </c>
      <c r="C499" s="141" t="str">
        <f ca="1">IF($M499=0,"",INDEX(Data!$C$2051:$C$2550,$M499))</f>
        <v/>
      </c>
      <c r="D499" s="141" t="str">
        <f ca="1">IF($M499=0,"",INDEX(Data!$D$2051:$D$2550,$M499))</f>
        <v/>
      </c>
      <c r="E499" s="142" t="str">
        <f ca="1">IF($M499=0,"",INDEX(Data!$G$2051:$G$2550,$M499))</f>
        <v/>
      </c>
      <c r="F499" s="141" t="str">
        <f ca="1">IF($M499=0,"",INDEX(Data!$F$2051:$F$2550,$M499))</f>
        <v/>
      </c>
      <c r="G499" s="143" t="str">
        <f ca="1">IF($M499=0,"",INDEX(Data!$K$2051:$K$2550,$M499))</f>
        <v/>
      </c>
      <c r="H499" s="141" t="str">
        <f ca="1">IF($M499=0,"",INDEX(Data!$L$2051:$L$2550,$M499))</f>
        <v/>
      </c>
      <c r="I499" s="144" t="str">
        <f ca="1">IF($M499=0,"",INDEX(Data!$T$2051:$T$2550,$M499))</f>
        <v/>
      </c>
      <c r="J499" s="141" t="str">
        <f ca="1">IF($M499=0,"",INDEX(Data!$U$2051:$U$2550,$M499))</f>
        <v/>
      </c>
      <c r="K499" s="141" t="str">
        <f ca="1">IF($M499=0,"",INDEX(Data!$AA$2051:$AA$2550,$M499))</f>
        <v/>
      </c>
      <c r="L499" s="141" t="str">
        <f ca="1">IF($M499=0,"",IF(INDEX(Data!$AN$2051:$AN$2550,$M499)=0,"",IF(INDEX(Data!$U$41:$U$540,INDEX(Data!$AN$2051:$AN$2550,$M499))="","",INDEX(Data!$U$41:$U$540,INDEX(Data!$AN$2051:$AN$2550,$M499)))))</f>
        <v/>
      </c>
      <c r="M499" s="132">
        <f ca="1">IF(COUNTIFS(Data!$AV$2051:$AV$2550,487)=1,MATCH(487,Data!$AV$2051:$AV$2550,0),0)</f>
        <v>0</v>
      </c>
      <c r="N499" s="145" t="str">
        <f ca="1">IF($M499=0,"",IF(INDEX(Data!$I$2051:$I$2550,$M499)=0,"Add ID","Row "&amp;(INDEX(Data!$I$2051:$I$2550,$M499)+7)))</f>
        <v/>
      </c>
    </row>
    <row r="500" spans="1:14" ht="40" customHeight="1">
      <c r="A500" s="136" t="str">
        <f ca="1">IF($M500=0,"",INDEX(Data!$W$2051:$W$2550,$M500))</f>
        <v/>
      </c>
      <c r="B500" s="139" t="str">
        <f ca="1">IF($M500=0,"",INDEX(Data!$B$2051:$B$2550,$M500))</f>
        <v/>
      </c>
      <c r="C500" s="146" t="str">
        <f ca="1">IF($M500=0,"",INDEX(Data!$C$2051:$C$2550,$M500))</f>
        <v/>
      </c>
      <c r="D500" s="146" t="str">
        <f ca="1">IF($M500=0,"",INDEX(Data!$D$2051:$D$2550,$M500))</f>
        <v/>
      </c>
      <c r="E500" s="147" t="str">
        <f ca="1">IF($M500=0,"",INDEX(Data!$G$2051:$G$2550,$M500))</f>
        <v/>
      </c>
      <c r="F500" s="146" t="str">
        <f ca="1">IF($M500=0,"",INDEX(Data!$F$2051:$F$2550,$M500))</f>
        <v/>
      </c>
      <c r="G500" s="148" t="str">
        <f ca="1">IF($M500=0,"",INDEX(Data!$K$2051:$K$2550,$M500))</f>
        <v/>
      </c>
      <c r="H500" s="146" t="str">
        <f ca="1">IF($M500=0,"",INDEX(Data!$L$2051:$L$2550,$M500))</f>
        <v/>
      </c>
      <c r="I500" s="149" t="str">
        <f ca="1">IF($M500=0,"",INDEX(Data!$T$2051:$T$2550,$M500))</f>
        <v/>
      </c>
      <c r="J500" s="146" t="str">
        <f ca="1">IF($M500=0,"",INDEX(Data!$U$2051:$U$2550,$M500))</f>
        <v/>
      </c>
      <c r="K500" s="146" t="str">
        <f ca="1">IF($M500=0,"",INDEX(Data!$AA$2051:$AA$2550,$M500))</f>
        <v/>
      </c>
      <c r="L500" s="146" t="str">
        <f ca="1">IF($M500=0,"",IF(INDEX(Data!$AN$2051:$AN$2550,$M500)=0,"",IF(INDEX(Data!$U$41:$U$540,INDEX(Data!$AN$2051:$AN$2550,$M500))="","",INDEX(Data!$U$41:$U$540,INDEX(Data!$AN$2051:$AN$2550,$M500)))))</f>
        <v/>
      </c>
      <c r="M500" s="132">
        <f ca="1">IF(COUNTIFS(Data!$AV$2051:$AV$2550,488)=1,MATCH(488,Data!$AV$2051:$AV$2550,0),0)</f>
        <v>0</v>
      </c>
      <c r="N500" s="150" t="str">
        <f ca="1">IF($M500=0,"",IF(INDEX(Data!$I$2051:$I$2550,$M500)=0,"Add ID","Row "&amp;(INDEX(Data!$I$2051:$I$2550,$M500)+7)))</f>
        <v/>
      </c>
    </row>
    <row r="501" spans="1:14" ht="40" customHeight="1">
      <c r="A501" s="135" t="str">
        <f ca="1">IF($M501=0,"",INDEX(Data!$W$2051:$W$2550,$M501))</f>
        <v/>
      </c>
      <c r="B501" s="138" t="str">
        <f ca="1">IF($M501=0,"",INDEX(Data!$B$2051:$B$2550,$M501))</f>
        <v/>
      </c>
      <c r="C501" s="141" t="str">
        <f ca="1">IF($M501=0,"",INDEX(Data!$C$2051:$C$2550,$M501))</f>
        <v/>
      </c>
      <c r="D501" s="141" t="str">
        <f ca="1">IF($M501=0,"",INDEX(Data!$D$2051:$D$2550,$M501))</f>
        <v/>
      </c>
      <c r="E501" s="142" t="str">
        <f ca="1">IF($M501=0,"",INDEX(Data!$G$2051:$G$2550,$M501))</f>
        <v/>
      </c>
      <c r="F501" s="141" t="str">
        <f ca="1">IF($M501=0,"",INDEX(Data!$F$2051:$F$2550,$M501))</f>
        <v/>
      </c>
      <c r="G501" s="143" t="str">
        <f ca="1">IF($M501=0,"",INDEX(Data!$K$2051:$K$2550,$M501))</f>
        <v/>
      </c>
      <c r="H501" s="141" t="str">
        <f ca="1">IF($M501=0,"",INDEX(Data!$L$2051:$L$2550,$M501))</f>
        <v/>
      </c>
      <c r="I501" s="144" t="str">
        <f ca="1">IF($M501=0,"",INDEX(Data!$T$2051:$T$2550,$M501))</f>
        <v/>
      </c>
      <c r="J501" s="141" t="str">
        <f ca="1">IF($M501=0,"",INDEX(Data!$U$2051:$U$2550,$M501))</f>
        <v/>
      </c>
      <c r="K501" s="141" t="str">
        <f ca="1">IF($M501=0,"",INDEX(Data!$AA$2051:$AA$2550,$M501))</f>
        <v/>
      </c>
      <c r="L501" s="141" t="str">
        <f ca="1">IF($M501=0,"",IF(INDEX(Data!$AN$2051:$AN$2550,$M501)=0,"",IF(INDEX(Data!$U$41:$U$540,INDEX(Data!$AN$2051:$AN$2550,$M501))="","",INDEX(Data!$U$41:$U$540,INDEX(Data!$AN$2051:$AN$2550,$M501)))))</f>
        <v/>
      </c>
      <c r="M501" s="132">
        <f ca="1">IF(COUNTIFS(Data!$AV$2051:$AV$2550,489)=1,MATCH(489,Data!$AV$2051:$AV$2550,0),0)</f>
        <v>0</v>
      </c>
      <c r="N501" s="145" t="str">
        <f ca="1">IF($M501=0,"",IF(INDEX(Data!$I$2051:$I$2550,$M501)=0,"Add ID","Row "&amp;(INDEX(Data!$I$2051:$I$2550,$M501)+7)))</f>
        <v/>
      </c>
    </row>
    <row r="502" spans="1:14" ht="40" customHeight="1">
      <c r="A502" s="136" t="str">
        <f ca="1">IF($M502=0,"",INDEX(Data!$W$2051:$W$2550,$M502))</f>
        <v/>
      </c>
      <c r="B502" s="139" t="str">
        <f ca="1">IF($M502=0,"",INDEX(Data!$B$2051:$B$2550,$M502))</f>
        <v/>
      </c>
      <c r="C502" s="146" t="str">
        <f ca="1">IF($M502=0,"",INDEX(Data!$C$2051:$C$2550,$M502))</f>
        <v/>
      </c>
      <c r="D502" s="146" t="str">
        <f ca="1">IF($M502=0,"",INDEX(Data!$D$2051:$D$2550,$M502))</f>
        <v/>
      </c>
      <c r="E502" s="147" t="str">
        <f ca="1">IF($M502=0,"",INDEX(Data!$G$2051:$G$2550,$M502))</f>
        <v/>
      </c>
      <c r="F502" s="146" t="str">
        <f ca="1">IF($M502=0,"",INDEX(Data!$F$2051:$F$2550,$M502))</f>
        <v/>
      </c>
      <c r="G502" s="148" t="str">
        <f ca="1">IF($M502=0,"",INDEX(Data!$K$2051:$K$2550,$M502))</f>
        <v/>
      </c>
      <c r="H502" s="146" t="str">
        <f ca="1">IF($M502=0,"",INDEX(Data!$L$2051:$L$2550,$M502))</f>
        <v/>
      </c>
      <c r="I502" s="149" t="str">
        <f ca="1">IF($M502=0,"",INDEX(Data!$T$2051:$T$2550,$M502))</f>
        <v/>
      </c>
      <c r="J502" s="146" t="str">
        <f ca="1">IF($M502=0,"",INDEX(Data!$U$2051:$U$2550,$M502))</f>
        <v/>
      </c>
      <c r="K502" s="146" t="str">
        <f ca="1">IF($M502=0,"",INDEX(Data!$AA$2051:$AA$2550,$M502))</f>
        <v/>
      </c>
      <c r="L502" s="146" t="str">
        <f ca="1">IF($M502=0,"",IF(INDEX(Data!$AN$2051:$AN$2550,$M502)=0,"",IF(INDEX(Data!$U$41:$U$540,INDEX(Data!$AN$2051:$AN$2550,$M502))="","",INDEX(Data!$U$41:$U$540,INDEX(Data!$AN$2051:$AN$2550,$M502)))))</f>
        <v/>
      </c>
      <c r="M502" s="132">
        <f ca="1">IF(COUNTIFS(Data!$AV$2051:$AV$2550,490)=1,MATCH(490,Data!$AV$2051:$AV$2550,0),0)</f>
        <v>0</v>
      </c>
      <c r="N502" s="150" t="str">
        <f ca="1">IF($M502=0,"",IF(INDEX(Data!$I$2051:$I$2550,$M502)=0,"Add ID","Row "&amp;(INDEX(Data!$I$2051:$I$2550,$M502)+7)))</f>
        <v/>
      </c>
    </row>
    <row r="503" spans="1:14" ht="40" customHeight="1">
      <c r="A503" s="135" t="str">
        <f ca="1">IF($M503=0,"",INDEX(Data!$W$2051:$W$2550,$M503))</f>
        <v/>
      </c>
      <c r="B503" s="138" t="str">
        <f ca="1">IF($M503=0,"",INDEX(Data!$B$2051:$B$2550,$M503))</f>
        <v/>
      </c>
      <c r="C503" s="141" t="str">
        <f ca="1">IF($M503=0,"",INDEX(Data!$C$2051:$C$2550,$M503))</f>
        <v/>
      </c>
      <c r="D503" s="141" t="str">
        <f ca="1">IF($M503=0,"",INDEX(Data!$D$2051:$D$2550,$M503))</f>
        <v/>
      </c>
      <c r="E503" s="142" t="str">
        <f ca="1">IF($M503=0,"",INDEX(Data!$G$2051:$G$2550,$M503))</f>
        <v/>
      </c>
      <c r="F503" s="141" t="str">
        <f ca="1">IF($M503=0,"",INDEX(Data!$F$2051:$F$2550,$M503))</f>
        <v/>
      </c>
      <c r="G503" s="143" t="str">
        <f ca="1">IF($M503=0,"",INDEX(Data!$K$2051:$K$2550,$M503))</f>
        <v/>
      </c>
      <c r="H503" s="141" t="str">
        <f ca="1">IF($M503=0,"",INDEX(Data!$L$2051:$L$2550,$M503))</f>
        <v/>
      </c>
      <c r="I503" s="144" t="str">
        <f ca="1">IF($M503=0,"",INDEX(Data!$T$2051:$T$2550,$M503))</f>
        <v/>
      </c>
      <c r="J503" s="141" t="str">
        <f ca="1">IF($M503=0,"",INDEX(Data!$U$2051:$U$2550,$M503))</f>
        <v/>
      </c>
      <c r="K503" s="141" t="str">
        <f ca="1">IF($M503=0,"",INDEX(Data!$AA$2051:$AA$2550,$M503))</f>
        <v/>
      </c>
      <c r="L503" s="141" t="str">
        <f ca="1">IF($M503=0,"",IF(INDEX(Data!$AN$2051:$AN$2550,$M503)=0,"",IF(INDEX(Data!$U$41:$U$540,INDEX(Data!$AN$2051:$AN$2550,$M503))="","",INDEX(Data!$U$41:$U$540,INDEX(Data!$AN$2051:$AN$2550,$M503)))))</f>
        <v/>
      </c>
      <c r="M503" s="132">
        <f ca="1">IF(COUNTIFS(Data!$AV$2051:$AV$2550,491)=1,MATCH(491,Data!$AV$2051:$AV$2550,0),0)</f>
        <v>0</v>
      </c>
      <c r="N503" s="145" t="str">
        <f ca="1">IF($M503=0,"",IF(INDEX(Data!$I$2051:$I$2550,$M503)=0,"Add ID","Row "&amp;(INDEX(Data!$I$2051:$I$2550,$M503)+7)))</f>
        <v/>
      </c>
    </row>
    <row r="504" spans="1:14" ht="40" customHeight="1">
      <c r="A504" s="136" t="str">
        <f ca="1">IF($M504=0,"",INDEX(Data!$W$2051:$W$2550,$M504))</f>
        <v/>
      </c>
      <c r="B504" s="139" t="str">
        <f ca="1">IF($M504=0,"",INDEX(Data!$B$2051:$B$2550,$M504))</f>
        <v/>
      </c>
      <c r="C504" s="146" t="str">
        <f ca="1">IF($M504=0,"",INDEX(Data!$C$2051:$C$2550,$M504))</f>
        <v/>
      </c>
      <c r="D504" s="146" t="str">
        <f ca="1">IF($M504=0,"",INDEX(Data!$D$2051:$D$2550,$M504))</f>
        <v/>
      </c>
      <c r="E504" s="147" t="str">
        <f ca="1">IF($M504=0,"",INDEX(Data!$G$2051:$G$2550,$M504))</f>
        <v/>
      </c>
      <c r="F504" s="146" t="str">
        <f ca="1">IF($M504=0,"",INDEX(Data!$F$2051:$F$2550,$M504))</f>
        <v/>
      </c>
      <c r="G504" s="148" t="str">
        <f ca="1">IF($M504=0,"",INDEX(Data!$K$2051:$K$2550,$M504))</f>
        <v/>
      </c>
      <c r="H504" s="146" t="str">
        <f ca="1">IF($M504=0,"",INDEX(Data!$L$2051:$L$2550,$M504))</f>
        <v/>
      </c>
      <c r="I504" s="149" t="str">
        <f ca="1">IF($M504=0,"",INDEX(Data!$T$2051:$T$2550,$M504))</f>
        <v/>
      </c>
      <c r="J504" s="146" t="str">
        <f ca="1">IF($M504=0,"",INDEX(Data!$U$2051:$U$2550,$M504))</f>
        <v/>
      </c>
      <c r="K504" s="146" t="str">
        <f ca="1">IF($M504=0,"",INDEX(Data!$AA$2051:$AA$2550,$M504))</f>
        <v/>
      </c>
      <c r="L504" s="146" t="str">
        <f ca="1">IF($M504=0,"",IF(INDEX(Data!$AN$2051:$AN$2550,$M504)=0,"",IF(INDEX(Data!$U$41:$U$540,INDEX(Data!$AN$2051:$AN$2550,$M504))="","",INDEX(Data!$U$41:$U$540,INDEX(Data!$AN$2051:$AN$2550,$M504)))))</f>
        <v/>
      </c>
      <c r="M504" s="132">
        <f ca="1">IF(COUNTIFS(Data!$AV$2051:$AV$2550,492)=1,MATCH(492,Data!$AV$2051:$AV$2550,0),0)</f>
        <v>0</v>
      </c>
      <c r="N504" s="150" t="str">
        <f ca="1">IF($M504=0,"",IF(INDEX(Data!$I$2051:$I$2550,$M504)=0,"Add ID","Row "&amp;(INDEX(Data!$I$2051:$I$2550,$M504)+7)))</f>
        <v/>
      </c>
    </row>
    <row r="505" spans="1:14" ht="40" customHeight="1">
      <c r="A505" s="135" t="str">
        <f ca="1">IF($M505=0,"",INDEX(Data!$W$2051:$W$2550,$M505))</f>
        <v/>
      </c>
      <c r="B505" s="138" t="str">
        <f ca="1">IF($M505=0,"",INDEX(Data!$B$2051:$B$2550,$M505))</f>
        <v/>
      </c>
      <c r="C505" s="141" t="str">
        <f ca="1">IF($M505=0,"",INDEX(Data!$C$2051:$C$2550,$M505))</f>
        <v/>
      </c>
      <c r="D505" s="141" t="str">
        <f ca="1">IF($M505=0,"",INDEX(Data!$D$2051:$D$2550,$M505))</f>
        <v/>
      </c>
      <c r="E505" s="142" t="str">
        <f ca="1">IF($M505=0,"",INDEX(Data!$G$2051:$G$2550,$M505))</f>
        <v/>
      </c>
      <c r="F505" s="141" t="str">
        <f ca="1">IF($M505=0,"",INDEX(Data!$F$2051:$F$2550,$M505))</f>
        <v/>
      </c>
      <c r="G505" s="143" t="str">
        <f ca="1">IF($M505=0,"",INDEX(Data!$K$2051:$K$2550,$M505))</f>
        <v/>
      </c>
      <c r="H505" s="141" t="str">
        <f ca="1">IF($M505=0,"",INDEX(Data!$L$2051:$L$2550,$M505))</f>
        <v/>
      </c>
      <c r="I505" s="144" t="str">
        <f ca="1">IF($M505=0,"",INDEX(Data!$T$2051:$T$2550,$M505))</f>
        <v/>
      </c>
      <c r="J505" s="141" t="str">
        <f ca="1">IF($M505=0,"",INDEX(Data!$U$2051:$U$2550,$M505))</f>
        <v/>
      </c>
      <c r="K505" s="141" t="str">
        <f ca="1">IF($M505=0,"",INDEX(Data!$AA$2051:$AA$2550,$M505))</f>
        <v/>
      </c>
      <c r="L505" s="141" t="str">
        <f ca="1">IF($M505=0,"",IF(INDEX(Data!$AN$2051:$AN$2550,$M505)=0,"",IF(INDEX(Data!$U$41:$U$540,INDEX(Data!$AN$2051:$AN$2550,$M505))="","",INDEX(Data!$U$41:$U$540,INDEX(Data!$AN$2051:$AN$2550,$M505)))))</f>
        <v/>
      </c>
      <c r="M505" s="132">
        <f ca="1">IF(COUNTIFS(Data!$AV$2051:$AV$2550,493)=1,MATCH(493,Data!$AV$2051:$AV$2550,0),0)</f>
        <v>0</v>
      </c>
      <c r="N505" s="145" t="str">
        <f ca="1">IF($M505=0,"",IF(INDEX(Data!$I$2051:$I$2550,$M505)=0,"Add ID","Row "&amp;(INDEX(Data!$I$2051:$I$2550,$M505)+7)))</f>
        <v/>
      </c>
    </row>
    <row r="506" spans="1:14" ht="40" customHeight="1">
      <c r="A506" s="136" t="str">
        <f ca="1">IF($M506=0,"",INDEX(Data!$W$2051:$W$2550,$M506))</f>
        <v/>
      </c>
      <c r="B506" s="139" t="str">
        <f ca="1">IF($M506=0,"",INDEX(Data!$B$2051:$B$2550,$M506))</f>
        <v/>
      </c>
      <c r="C506" s="146" t="str">
        <f ca="1">IF($M506=0,"",INDEX(Data!$C$2051:$C$2550,$M506))</f>
        <v/>
      </c>
      <c r="D506" s="146" t="str">
        <f ca="1">IF($M506=0,"",INDEX(Data!$D$2051:$D$2550,$M506))</f>
        <v/>
      </c>
      <c r="E506" s="147" t="str">
        <f ca="1">IF($M506=0,"",INDEX(Data!$G$2051:$G$2550,$M506))</f>
        <v/>
      </c>
      <c r="F506" s="146" t="str">
        <f ca="1">IF($M506=0,"",INDEX(Data!$F$2051:$F$2550,$M506))</f>
        <v/>
      </c>
      <c r="G506" s="148" t="str">
        <f ca="1">IF($M506=0,"",INDEX(Data!$K$2051:$K$2550,$M506))</f>
        <v/>
      </c>
      <c r="H506" s="146" t="str">
        <f ca="1">IF($M506=0,"",INDEX(Data!$L$2051:$L$2550,$M506))</f>
        <v/>
      </c>
      <c r="I506" s="149" t="str">
        <f ca="1">IF($M506=0,"",INDEX(Data!$T$2051:$T$2550,$M506))</f>
        <v/>
      </c>
      <c r="J506" s="146" t="str">
        <f ca="1">IF($M506=0,"",INDEX(Data!$U$2051:$U$2550,$M506))</f>
        <v/>
      </c>
      <c r="K506" s="146" t="str">
        <f ca="1">IF($M506=0,"",INDEX(Data!$AA$2051:$AA$2550,$M506))</f>
        <v/>
      </c>
      <c r="L506" s="146" t="str">
        <f ca="1">IF($M506=0,"",IF(INDEX(Data!$AN$2051:$AN$2550,$M506)=0,"",IF(INDEX(Data!$U$41:$U$540,INDEX(Data!$AN$2051:$AN$2550,$M506))="","",INDEX(Data!$U$41:$U$540,INDEX(Data!$AN$2051:$AN$2550,$M506)))))</f>
        <v/>
      </c>
      <c r="M506" s="132">
        <f ca="1">IF(COUNTIFS(Data!$AV$2051:$AV$2550,494)=1,MATCH(494,Data!$AV$2051:$AV$2550,0),0)</f>
        <v>0</v>
      </c>
      <c r="N506" s="150" t="str">
        <f ca="1">IF($M506=0,"",IF(INDEX(Data!$I$2051:$I$2550,$M506)=0,"Add ID","Row "&amp;(INDEX(Data!$I$2051:$I$2550,$M506)+7)))</f>
        <v/>
      </c>
    </row>
    <row r="507" spans="1:14" ht="40" customHeight="1">
      <c r="A507" s="135" t="str">
        <f ca="1">IF($M507=0,"",INDEX(Data!$W$2051:$W$2550,$M507))</f>
        <v/>
      </c>
      <c r="B507" s="138" t="str">
        <f ca="1">IF($M507=0,"",INDEX(Data!$B$2051:$B$2550,$M507))</f>
        <v/>
      </c>
      <c r="C507" s="141" t="str">
        <f ca="1">IF($M507=0,"",INDEX(Data!$C$2051:$C$2550,$M507))</f>
        <v/>
      </c>
      <c r="D507" s="141" t="str">
        <f ca="1">IF($M507=0,"",INDEX(Data!$D$2051:$D$2550,$M507))</f>
        <v/>
      </c>
      <c r="E507" s="142" t="str">
        <f ca="1">IF($M507=0,"",INDEX(Data!$G$2051:$G$2550,$M507))</f>
        <v/>
      </c>
      <c r="F507" s="141" t="str">
        <f ca="1">IF($M507=0,"",INDEX(Data!$F$2051:$F$2550,$M507))</f>
        <v/>
      </c>
      <c r="G507" s="143" t="str">
        <f ca="1">IF($M507=0,"",INDEX(Data!$K$2051:$K$2550,$M507))</f>
        <v/>
      </c>
      <c r="H507" s="141" t="str">
        <f ca="1">IF($M507=0,"",INDEX(Data!$L$2051:$L$2550,$M507))</f>
        <v/>
      </c>
      <c r="I507" s="144" t="str">
        <f ca="1">IF($M507=0,"",INDEX(Data!$T$2051:$T$2550,$M507))</f>
        <v/>
      </c>
      <c r="J507" s="141" t="str">
        <f ca="1">IF($M507=0,"",INDEX(Data!$U$2051:$U$2550,$M507))</f>
        <v/>
      </c>
      <c r="K507" s="141" t="str">
        <f ca="1">IF($M507=0,"",INDEX(Data!$AA$2051:$AA$2550,$M507))</f>
        <v/>
      </c>
      <c r="L507" s="141" t="str">
        <f ca="1">IF($M507=0,"",IF(INDEX(Data!$AN$2051:$AN$2550,$M507)=0,"",IF(INDEX(Data!$U$41:$U$540,INDEX(Data!$AN$2051:$AN$2550,$M507))="","",INDEX(Data!$U$41:$U$540,INDEX(Data!$AN$2051:$AN$2550,$M507)))))</f>
        <v/>
      </c>
      <c r="M507" s="132">
        <f ca="1">IF(COUNTIFS(Data!$AV$2051:$AV$2550,495)=1,MATCH(495,Data!$AV$2051:$AV$2550,0),0)</f>
        <v>0</v>
      </c>
      <c r="N507" s="145" t="str">
        <f ca="1">IF($M507=0,"",IF(INDEX(Data!$I$2051:$I$2550,$M507)=0,"Add ID","Row "&amp;(INDEX(Data!$I$2051:$I$2550,$M507)+7)))</f>
        <v/>
      </c>
    </row>
    <row r="508" spans="1:14" ht="40" customHeight="1">
      <c r="A508" s="136" t="str">
        <f ca="1">IF($M508=0,"",INDEX(Data!$W$2051:$W$2550,$M508))</f>
        <v/>
      </c>
      <c r="B508" s="139" t="str">
        <f ca="1">IF($M508=0,"",INDEX(Data!$B$2051:$B$2550,$M508))</f>
        <v/>
      </c>
      <c r="C508" s="146" t="str">
        <f ca="1">IF($M508=0,"",INDEX(Data!$C$2051:$C$2550,$M508))</f>
        <v/>
      </c>
      <c r="D508" s="146" t="str">
        <f ca="1">IF($M508=0,"",INDEX(Data!$D$2051:$D$2550,$M508))</f>
        <v/>
      </c>
      <c r="E508" s="147" t="str">
        <f ca="1">IF($M508=0,"",INDEX(Data!$G$2051:$G$2550,$M508))</f>
        <v/>
      </c>
      <c r="F508" s="146" t="str">
        <f ca="1">IF($M508=0,"",INDEX(Data!$F$2051:$F$2550,$M508))</f>
        <v/>
      </c>
      <c r="G508" s="148" t="str">
        <f ca="1">IF($M508=0,"",INDEX(Data!$K$2051:$K$2550,$M508))</f>
        <v/>
      </c>
      <c r="H508" s="146" t="str">
        <f ca="1">IF($M508=0,"",INDEX(Data!$L$2051:$L$2550,$M508))</f>
        <v/>
      </c>
      <c r="I508" s="149" t="str">
        <f ca="1">IF($M508=0,"",INDEX(Data!$T$2051:$T$2550,$M508))</f>
        <v/>
      </c>
      <c r="J508" s="146" t="str">
        <f ca="1">IF($M508=0,"",INDEX(Data!$U$2051:$U$2550,$M508))</f>
        <v/>
      </c>
      <c r="K508" s="146" t="str">
        <f ca="1">IF($M508=0,"",INDEX(Data!$AA$2051:$AA$2550,$M508))</f>
        <v/>
      </c>
      <c r="L508" s="146" t="str">
        <f ca="1">IF($M508=0,"",IF(INDEX(Data!$AN$2051:$AN$2550,$M508)=0,"",IF(INDEX(Data!$U$41:$U$540,INDEX(Data!$AN$2051:$AN$2550,$M508))="","",INDEX(Data!$U$41:$U$540,INDEX(Data!$AN$2051:$AN$2550,$M508)))))</f>
        <v/>
      </c>
      <c r="M508" s="132">
        <f ca="1">IF(COUNTIFS(Data!$AV$2051:$AV$2550,496)=1,MATCH(496,Data!$AV$2051:$AV$2550,0),0)</f>
        <v>0</v>
      </c>
      <c r="N508" s="150" t="str">
        <f ca="1">IF($M508=0,"",IF(INDEX(Data!$I$2051:$I$2550,$M508)=0,"Add ID","Row "&amp;(INDEX(Data!$I$2051:$I$2550,$M508)+7)))</f>
        <v/>
      </c>
    </row>
    <row r="509" spans="1:14" ht="40" customHeight="1">
      <c r="A509" s="135" t="str">
        <f ca="1">IF($M509=0,"",INDEX(Data!$W$2051:$W$2550,$M509))</f>
        <v/>
      </c>
      <c r="B509" s="138" t="str">
        <f ca="1">IF($M509=0,"",INDEX(Data!$B$2051:$B$2550,$M509))</f>
        <v/>
      </c>
      <c r="C509" s="141" t="str">
        <f ca="1">IF($M509=0,"",INDEX(Data!$C$2051:$C$2550,$M509))</f>
        <v/>
      </c>
      <c r="D509" s="141" t="str">
        <f ca="1">IF($M509=0,"",INDEX(Data!$D$2051:$D$2550,$M509))</f>
        <v/>
      </c>
      <c r="E509" s="142" t="str">
        <f ca="1">IF($M509=0,"",INDEX(Data!$G$2051:$G$2550,$M509))</f>
        <v/>
      </c>
      <c r="F509" s="141" t="str">
        <f ca="1">IF($M509=0,"",INDEX(Data!$F$2051:$F$2550,$M509))</f>
        <v/>
      </c>
      <c r="G509" s="143" t="str">
        <f ca="1">IF($M509=0,"",INDEX(Data!$K$2051:$K$2550,$M509))</f>
        <v/>
      </c>
      <c r="H509" s="141" t="str">
        <f ca="1">IF($M509=0,"",INDEX(Data!$L$2051:$L$2550,$M509))</f>
        <v/>
      </c>
      <c r="I509" s="144" t="str">
        <f ca="1">IF($M509=0,"",INDEX(Data!$T$2051:$T$2550,$M509))</f>
        <v/>
      </c>
      <c r="J509" s="141" t="str">
        <f ca="1">IF($M509=0,"",INDEX(Data!$U$2051:$U$2550,$M509))</f>
        <v/>
      </c>
      <c r="K509" s="141" t="str">
        <f ca="1">IF($M509=0,"",INDEX(Data!$AA$2051:$AA$2550,$M509))</f>
        <v/>
      </c>
      <c r="L509" s="141" t="str">
        <f ca="1">IF($M509=0,"",IF(INDEX(Data!$AN$2051:$AN$2550,$M509)=0,"",IF(INDEX(Data!$U$41:$U$540,INDEX(Data!$AN$2051:$AN$2550,$M509))="","",INDEX(Data!$U$41:$U$540,INDEX(Data!$AN$2051:$AN$2550,$M509)))))</f>
        <v/>
      </c>
      <c r="M509" s="132">
        <f ca="1">IF(COUNTIFS(Data!$AV$2051:$AV$2550,497)=1,MATCH(497,Data!$AV$2051:$AV$2550,0),0)</f>
        <v>0</v>
      </c>
      <c r="N509" s="145" t="str">
        <f ca="1">IF($M509=0,"",IF(INDEX(Data!$I$2051:$I$2550,$M509)=0,"Add ID","Row "&amp;(INDEX(Data!$I$2051:$I$2550,$M509)+7)))</f>
        <v/>
      </c>
    </row>
    <row r="510" spans="1:14" ht="40" customHeight="1">
      <c r="A510" s="136" t="str">
        <f ca="1">IF($M510=0,"",INDEX(Data!$W$2051:$W$2550,$M510))</f>
        <v/>
      </c>
      <c r="B510" s="139" t="str">
        <f ca="1">IF($M510=0,"",INDEX(Data!$B$2051:$B$2550,$M510))</f>
        <v/>
      </c>
      <c r="C510" s="146" t="str">
        <f ca="1">IF($M510=0,"",INDEX(Data!$C$2051:$C$2550,$M510))</f>
        <v/>
      </c>
      <c r="D510" s="146" t="str">
        <f ca="1">IF($M510=0,"",INDEX(Data!$D$2051:$D$2550,$M510))</f>
        <v/>
      </c>
      <c r="E510" s="147" t="str">
        <f ca="1">IF($M510=0,"",INDEX(Data!$G$2051:$G$2550,$M510))</f>
        <v/>
      </c>
      <c r="F510" s="146" t="str">
        <f ca="1">IF($M510=0,"",INDEX(Data!$F$2051:$F$2550,$M510))</f>
        <v/>
      </c>
      <c r="G510" s="148" t="str">
        <f ca="1">IF($M510=0,"",INDEX(Data!$K$2051:$K$2550,$M510))</f>
        <v/>
      </c>
      <c r="H510" s="146" t="str">
        <f ca="1">IF($M510=0,"",INDEX(Data!$L$2051:$L$2550,$M510))</f>
        <v/>
      </c>
      <c r="I510" s="149" t="str">
        <f ca="1">IF($M510=0,"",INDEX(Data!$T$2051:$T$2550,$M510))</f>
        <v/>
      </c>
      <c r="J510" s="146" t="str">
        <f ca="1">IF($M510=0,"",INDEX(Data!$U$2051:$U$2550,$M510))</f>
        <v/>
      </c>
      <c r="K510" s="146" t="str">
        <f ca="1">IF($M510=0,"",INDEX(Data!$AA$2051:$AA$2550,$M510))</f>
        <v/>
      </c>
      <c r="L510" s="146" t="str">
        <f ca="1">IF($M510=0,"",IF(INDEX(Data!$AN$2051:$AN$2550,$M510)=0,"",IF(INDEX(Data!$U$41:$U$540,INDEX(Data!$AN$2051:$AN$2550,$M510))="","",INDEX(Data!$U$41:$U$540,INDEX(Data!$AN$2051:$AN$2550,$M510)))))</f>
        <v/>
      </c>
      <c r="M510" s="132">
        <f ca="1">IF(COUNTIFS(Data!$AV$2051:$AV$2550,498)=1,MATCH(498,Data!$AV$2051:$AV$2550,0),0)</f>
        <v>0</v>
      </c>
      <c r="N510" s="150" t="str">
        <f ca="1">IF($M510=0,"",IF(INDEX(Data!$I$2051:$I$2550,$M510)=0,"Add ID","Row "&amp;(INDEX(Data!$I$2051:$I$2550,$M510)+7)))</f>
        <v/>
      </c>
    </row>
    <row r="511" spans="1:14" ht="40" customHeight="1">
      <c r="A511" s="135" t="str">
        <f ca="1">IF($M511=0,"",INDEX(Data!$W$2051:$W$2550,$M511))</f>
        <v/>
      </c>
      <c r="B511" s="138" t="str">
        <f ca="1">IF($M511=0,"",INDEX(Data!$B$2051:$B$2550,$M511))</f>
        <v/>
      </c>
      <c r="C511" s="141" t="str">
        <f ca="1">IF($M511=0,"",INDEX(Data!$C$2051:$C$2550,$M511))</f>
        <v/>
      </c>
      <c r="D511" s="141" t="str">
        <f ca="1">IF($M511=0,"",INDEX(Data!$D$2051:$D$2550,$M511))</f>
        <v/>
      </c>
      <c r="E511" s="142" t="str">
        <f ca="1">IF($M511=0,"",INDEX(Data!$G$2051:$G$2550,$M511))</f>
        <v/>
      </c>
      <c r="F511" s="141" t="str">
        <f ca="1">IF($M511=0,"",INDEX(Data!$F$2051:$F$2550,$M511))</f>
        <v/>
      </c>
      <c r="G511" s="143" t="str">
        <f ca="1">IF($M511=0,"",INDEX(Data!$K$2051:$K$2550,$M511))</f>
        <v/>
      </c>
      <c r="H511" s="141" t="str">
        <f ca="1">IF($M511=0,"",INDEX(Data!$L$2051:$L$2550,$M511))</f>
        <v/>
      </c>
      <c r="I511" s="144" t="str">
        <f ca="1">IF($M511=0,"",INDEX(Data!$T$2051:$T$2550,$M511))</f>
        <v/>
      </c>
      <c r="J511" s="141" t="str">
        <f ca="1">IF($M511=0,"",INDEX(Data!$U$2051:$U$2550,$M511))</f>
        <v/>
      </c>
      <c r="K511" s="141" t="str">
        <f ca="1">IF($M511=0,"",INDEX(Data!$AA$2051:$AA$2550,$M511))</f>
        <v/>
      </c>
      <c r="L511" s="141" t="str">
        <f ca="1">IF($M511=0,"",IF(INDEX(Data!$AN$2051:$AN$2550,$M511)=0,"",IF(INDEX(Data!$U$41:$U$540,INDEX(Data!$AN$2051:$AN$2550,$M511))="","",INDEX(Data!$U$41:$U$540,INDEX(Data!$AN$2051:$AN$2550,$M511)))))</f>
        <v/>
      </c>
      <c r="M511" s="132">
        <f ca="1">IF(COUNTIFS(Data!$AV$2051:$AV$2550,499)=1,MATCH(499,Data!$AV$2051:$AV$2550,0),0)</f>
        <v>0</v>
      </c>
      <c r="N511" s="145" t="str">
        <f ca="1">IF($M511=0,"",IF(INDEX(Data!$I$2051:$I$2550,$M511)=0,"Add ID","Row "&amp;(INDEX(Data!$I$2051:$I$2550,$M511)+7)))</f>
        <v/>
      </c>
    </row>
    <row r="512" spans="1:14" ht="40" customHeight="1">
      <c r="A512" s="137" t="str">
        <f ca="1">IF($M512=0,"",INDEX(Data!$W$2051:$W$2550,$M512))</f>
        <v/>
      </c>
      <c r="B512" s="140" t="str">
        <f ca="1">IF($M512=0,"",INDEX(Data!$B$2051:$B$2550,$M512))</f>
        <v/>
      </c>
      <c r="C512" s="151" t="str">
        <f ca="1">IF($M512=0,"",INDEX(Data!$C$2051:$C$2550,$M512))</f>
        <v/>
      </c>
      <c r="D512" s="151" t="str">
        <f ca="1">IF($M512=0,"",INDEX(Data!$D$2051:$D$2550,$M512))</f>
        <v/>
      </c>
      <c r="E512" s="152" t="str">
        <f ca="1">IF($M512=0,"",INDEX(Data!$G$2051:$G$2550,$M512))</f>
        <v/>
      </c>
      <c r="F512" s="151" t="str">
        <f ca="1">IF($M512=0,"",INDEX(Data!$F$2051:$F$2550,$M512))</f>
        <v/>
      </c>
      <c r="G512" s="153" t="str">
        <f ca="1">IF($M512=0,"",INDEX(Data!$K$2051:$K$2550,$M512))</f>
        <v/>
      </c>
      <c r="H512" s="151" t="str">
        <f ca="1">IF($M512=0,"",INDEX(Data!$L$2051:$L$2550,$M512))</f>
        <v/>
      </c>
      <c r="I512" s="154" t="str">
        <f ca="1">IF($M512=0,"",INDEX(Data!$T$2051:$T$2550,$M512))</f>
        <v/>
      </c>
      <c r="J512" s="151" t="str">
        <f ca="1">IF($M512=0,"",INDEX(Data!$U$2051:$U$2550,$M512))</f>
        <v/>
      </c>
      <c r="K512" s="151" t="str">
        <f ca="1">IF($M512=0,"",INDEX(Data!$AA$2051:$AA$2550,$M512))</f>
        <v/>
      </c>
      <c r="L512" s="151" t="str">
        <f ca="1">IF($M512=0,"",IF(INDEX(Data!$AN$2051:$AN$2550,$M512)=0,"",IF(INDEX(Data!$U$41:$U$540,INDEX(Data!$AN$2051:$AN$2550,$M512))="","",INDEX(Data!$U$41:$U$540,INDEX(Data!$AN$2051:$AN$2550,$M512)))))</f>
        <v/>
      </c>
      <c r="M512" s="134">
        <f ca="1">IF(COUNTIFS(Data!$AV$2051:$AV$2550,500)=1,MATCH(500,Data!$AV$2051:$AV$2550,0),0)</f>
        <v>0</v>
      </c>
      <c r="N512" s="155" t="str">
        <f ca="1">IF($M512=0,"",IF(INDEX(Data!$I$2051:$I$2550,$M512)=0,"Add ID","Row "&amp;(INDEX(Data!$I$2051:$I$2550,$M512)+7)))</f>
        <v/>
      </c>
    </row>
  </sheetData>
  <mergeCells count="6">
    <mergeCell ref="M9:O9"/>
    <mergeCell ref="A10:C10"/>
    <mergeCell ref="D10:F10"/>
    <mergeCell ref="G10:I10"/>
    <mergeCell ref="J10:K10"/>
    <mergeCell ref="A11:K11"/>
  </mergeCells>
  <dataValidations count="4">
    <dataValidation type="list" sqref="A10" xr:uid="{00000000-0002-0000-0400-000000000000}">
      <formula1>"All,District,Charter"</formula1>
    </dataValidation>
    <dataValidation type="list" sqref="D10" xr:uid="{00000000-0002-0000-0400-000001000000}">
      <formula1>"All,Elementary,Middle,High,Elementary-Middle,Middle-High,Elementary-High,Elementary-Middle-High,Transition/Overage School"</formula1>
    </dataValidation>
    <dataValidation type="list" sqref="G10" xr:uid="{00000000-0002-0000-0400-000002000000}">
      <formula1>"Priority score,Economic need,Enrollment,Fresh miles,Nearby resources"</formula1>
    </dataValidation>
    <dataValidation type="list" sqref="J10" xr:uid="{00000000-0002-0000-0400-000003000000}">
      <formula1>"Descending,Ascending"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2827-B487-4AF0-88E6-C451F84BBA35}">
  <dimension ref="A1:AV2550"/>
  <sheetViews>
    <sheetView showGridLines="0" zoomScale="42" workbookViewId="0">
      <selection activeCell="U20" sqref="U20"/>
    </sheetView>
  </sheetViews>
  <sheetFormatPr defaultRowHeight="14"/>
  <cols>
    <col min="1" max="1" width="15" customWidth="1"/>
    <col min="2" max="2" width="43" customWidth="1"/>
    <col min="3" max="12" width="15" customWidth="1"/>
    <col min="20" max="20" width="13.6640625" bestFit="1" customWidth="1"/>
    <col min="21" max="21" width="147.6640625" bestFit="1" customWidth="1"/>
    <col min="42" max="44" width="24" customWidth="1"/>
  </cols>
  <sheetData>
    <row r="1" spans="1:40" ht="52">
      <c r="A1" s="58" t="s">
        <v>45</v>
      </c>
      <c r="B1" s="59" t="s">
        <v>77</v>
      </c>
      <c r="C1" s="59" t="s">
        <v>419</v>
      </c>
      <c r="D1" s="59" t="s">
        <v>420</v>
      </c>
      <c r="E1" s="59" t="s">
        <v>421</v>
      </c>
      <c r="F1" s="59" t="s">
        <v>70</v>
      </c>
      <c r="G1" s="59" t="s">
        <v>422</v>
      </c>
      <c r="H1" s="59" t="s">
        <v>423</v>
      </c>
      <c r="I1" s="59" t="s">
        <v>424</v>
      </c>
      <c r="J1" s="59" t="s">
        <v>425</v>
      </c>
      <c r="K1" s="59" t="s">
        <v>15</v>
      </c>
      <c r="L1" s="59" t="s">
        <v>52</v>
      </c>
      <c r="M1" s="59" t="s">
        <v>426</v>
      </c>
      <c r="N1" s="59" t="s">
        <v>427</v>
      </c>
      <c r="O1" s="59" t="s">
        <v>428</v>
      </c>
      <c r="P1" s="59" t="s">
        <v>429</v>
      </c>
      <c r="Q1" s="59" t="s">
        <v>430</v>
      </c>
      <c r="R1" s="60" t="s">
        <v>431</v>
      </c>
      <c r="S1" s="1"/>
      <c r="T1" s="72" t="s">
        <v>432</v>
      </c>
      <c r="U1" s="73" t="s">
        <v>433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61" t="s">
        <v>225</v>
      </c>
      <c r="B2" s="62" t="s">
        <v>434</v>
      </c>
      <c r="C2" s="62" t="s">
        <v>435</v>
      </c>
      <c r="D2" s="62" t="s">
        <v>436</v>
      </c>
      <c r="E2" s="62" t="s">
        <v>437</v>
      </c>
      <c r="F2" s="62" t="s">
        <v>438</v>
      </c>
      <c r="G2" s="62" t="s">
        <v>439</v>
      </c>
      <c r="H2" s="62" t="s">
        <v>440</v>
      </c>
      <c r="I2" s="62">
        <v>39.921497369999997</v>
      </c>
      <c r="J2" s="62">
        <v>-75.234055620000007</v>
      </c>
      <c r="K2" s="62">
        <v>594</v>
      </c>
      <c r="L2" s="63">
        <v>0.80530000000000002</v>
      </c>
      <c r="M2" s="64">
        <v>4</v>
      </c>
      <c r="N2" s="64" t="s">
        <v>441</v>
      </c>
      <c r="O2" s="64" t="s">
        <v>442</v>
      </c>
      <c r="P2" s="64" t="s">
        <v>443</v>
      </c>
      <c r="Q2" s="64" t="s">
        <v>444</v>
      </c>
      <c r="R2" s="65" t="s">
        <v>445</v>
      </c>
      <c r="S2" s="1"/>
      <c r="T2" s="74" t="s">
        <v>446</v>
      </c>
      <c r="U2" s="75" t="s">
        <v>447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66" t="s">
        <v>399</v>
      </c>
      <c r="B3" s="62" t="s">
        <v>448</v>
      </c>
      <c r="C3" s="62" t="s">
        <v>435</v>
      </c>
      <c r="D3" s="62" t="s">
        <v>436</v>
      </c>
      <c r="E3" s="62" t="s">
        <v>437</v>
      </c>
      <c r="F3" s="62" t="s">
        <v>449</v>
      </c>
      <c r="G3" s="62" t="s">
        <v>439</v>
      </c>
      <c r="H3" s="62" t="s">
        <v>450</v>
      </c>
      <c r="I3" s="62">
        <v>39.958109999999998</v>
      </c>
      <c r="J3" s="62">
        <v>-75.219654000000006</v>
      </c>
      <c r="K3" s="62">
        <v>729</v>
      </c>
      <c r="L3" s="63">
        <v>0.84560000000000002</v>
      </c>
      <c r="M3" s="64">
        <v>14</v>
      </c>
      <c r="N3" s="64" t="s">
        <v>441</v>
      </c>
      <c r="O3" s="64" t="s">
        <v>442</v>
      </c>
      <c r="P3" s="64" t="s">
        <v>443</v>
      </c>
      <c r="Q3" s="64" t="s">
        <v>451</v>
      </c>
      <c r="R3" s="65" t="s">
        <v>445</v>
      </c>
      <c r="S3" s="1"/>
      <c r="T3" s="74" t="s">
        <v>452</v>
      </c>
      <c r="U3" s="75" t="s">
        <v>453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66" t="s">
        <v>203</v>
      </c>
      <c r="B4" s="62" t="s">
        <v>454</v>
      </c>
      <c r="C4" s="62" t="s">
        <v>435</v>
      </c>
      <c r="D4" s="62" t="s">
        <v>436</v>
      </c>
      <c r="E4" s="62" t="s">
        <v>437</v>
      </c>
      <c r="F4" s="62" t="s">
        <v>455</v>
      </c>
      <c r="G4" s="62" t="s">
        <v>439</v>
      </c>
      <c r="H4" s="62" t="s">
        <v>456</v>
      </c>
      <c r="I4" s="62">
        <v>39.974657659999998</v>
      </c>
      <c r="J4" s="62">
        <v>-75.204756599999996</v>
      </c>
      <c r="K4" s="62">
        <v>648</v>
      </c>
      <c r="L4" s="63">
        <v>0.84160000000000001</v>
      </c>
      <c r="M4" s="64">
        <v>9</v>
      </c>
      <c r="N4" s="64" t="s">
        <v>441</v>
      </c>
      <c r="O4" s="64" t="s">
        <v>442</v>
      </c>
      <c r="P4" s="64" t="s">
        <v>443</v>
      </c>
      <c r="Q4" s="64" t="s">
        <v>457</v>
      </c>
      <c r="R4" s="65" t="s">
        <v>445</v>
      </c>
      <c r="S4" s="1"/>
      <c r="T4" s="74" t="s">
        <v>458</v>
      </c>
      <c r="U4" s="75" t="s">
        <v>459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66" t="s">
        <v>315</v>
      </c>
      <c r="B5" s="62" t="s">
        <v>460</v>
      </c>
      <c r="C5" s="62" t="s">
        <v>435</v>
      </c>
      <c r="D5" s="62" t="s">
        <v>436</v>
      </c>
      <c r="E5" s="62" t="s">
        <v>437</v>
      </c>
      <c r="F5" s="62" t="s">
        <v>461</v>
      </c>
      <c r="G5" s="62" t="s">
        <v>439</v>
      </c>
      <c r="H5" s="62" t="s">
        <v>456</v>
      </c>
      <c r="I5" s="62">
        <v>39.956795530000001</v>
      </c>
      <c r="J5" s="62">
        <v>-75.204763110000002</v>
      </c>
      <c r="K5" s="62">
        <v>300</v>
      </c>
      <c r="L5" s="63">
        <v>0.75329999999999997</v>
      </c>
      <c r="M5" s="64">
        <v>12</v>
      </c>
      <c r="N5" s="64" t="s">
        <v>441</v>
      </c>
      <c r="O5" s="64" t="s">
        <v>442</v>
      </c>
      <c r="P5" s="64" t="s">
        <v>443</v>
      </c>
      <c r="Q5" s="64" t="s">
        <v>462</v>
      </c>
      <c r="R5" s="65" t="s">
        <v>445</v>
      </c>
      <c r="S5" s="1"/>
      <c r="T5" s="74" t="s">
        <v>463</v>
      </c>
      <c r="U5" s="75" t="s">
        <v>464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66" t="s">
        <v>409</v>
      </c>
      <c r="B6" s="62" t="s">
        <v>465</v>
      </c>
      <c r="C6" s="62" t="s">
        <v>435</v>
      </c>
      <c r="D6" s="62" t="s">
        <v>436</v>
      </c>
      <c r="E6" s="62" t="s">
        <v>437</v>
      </c>
      <c r="F6" s="62" t="s">
        <v>466</v>
      </c>
      <c r="G6" s="62" t="s">
        <v>439</v>
      </c>
      <c r="H6" s="62" t="s">
        <v>450</v>
      </c>
      <c r="I6" s="62">
        <v>39.957593539999998</v>
      </c>
      <c r="J6" s="62">
        <v>-75.238594050000003</v>
      </c>
      <c r="K6" s="62">
        <v>439</v>
      </c>
      <c r="L6" s="63">
        <v>0.80840000000000001</v>
      </c>
      <c r="M6" s="64">
        <v>13</v>
      </c>
      <c r="N6" s="64" t="s">
        <v>441</v>
      </c>
      <c r="O6" s="64" t="s">
        <v>442</v>
      </c>
      <c r="P6" s="64" t="s">
        <v>443</v>
      </c>
      <c r="Q6" s="64" t="s">
        <v>467</v>
      </c>
      <c r="R6" s="65" t="s">
        <v>445</v>
      </c>
      <c r="S6" s="1"/>
      <c r="T6" s="74" t="s">
        <v>468</v>
      </c>
      <c r="U6" s="75" t="s">
        <v>469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66" t="s">
        <v>413</v>
      </c>
      <c r="B7" s="62" t="s">
        <v>470</v>
      </c>
      <c r="C7" s="62" t="s">
        <v>435</v>
      </c>
      <c r="D7" s="62" t="s">
        <v>436</v>
      </c>
      <c r="E7" s="62" t="s">
        <v>471</v>
      </c>
      <c r="F7" s="62" t="s">
        <v>472</v>
      </c>
      <c r="G7" s="62" t="s">
        <v>439</v>
      </c>
      <c r="H7" s="62" t="s">
        <v>440</v>
      </c>
      <c r="I7" s="62">
        <v>39.920936189999999</v>
      </c>
      <c r="J7" s="62">
        <v>-75.232276319999997</v>
      </c>
      <c r="K7" s="62">
        <v>230</v>
      </c>
      <c r="L7" s="63">
        <v>0.87870000000000004</v>
      </c>
      <c r="M7" s="64">
        <v>4</v>
      </c>
      <c r="N7" s="64" t="s">
        <v>441</v>
      </c>
      <c r="O7" s="64" t="s">
        <v>442</v>
      </c>
      <c r="P7" s="64" t="s">
        <v>443</v>
      </c>
      <c r="Q7" s="64" t="s">
        <v>473</v>
      </c>
      <c r="R7" s="65" t="s">
        <v>445</v>
      </c>
      <c r="S7" s="1"/>
      <c r="T7" s="74" t="s">
        <v>474</v>
      </c>
      <c r="U7" s="75" t="s">
        <v>475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66" t="s">
        <v>290</v>
      </c>
      <c r="B8" s="62" t="s">
        <v>476</v>
      </c>
      <c r="C8" s="62" t="s">
        <v>435</v>
      </c>
      <c r="D8" s="62" t="s">
        <v>436</v>
      </c>
      <c r="E8" s="62" t="s">
        <v>437</v>
      </c>
      <c r="F8" s="62" t="s">
        <v>477</v>
      </c>
      <c r="G8" s="62" t="s">
        <v>439</v>
      </c>
      <c r="H8" s="62" t="s">
        <v>478</v>
      </c>
      <c r="I8" s="62">
        <v>39.944531990000002</v>
      </c>
      <c r="J8" s="62">
        <v>-75.241844220000004</v>
      </c>
      <c r="K8" s="62">
        <v>151</v>
      </c>
      <c r="L8" s="63">
        <v>0.83440000000000003</v>
      </c>
      <c r="M8" s="64">
        <v>5</v>
      </c>
      <c r="N8" s="64" t="s">
        <v>441</v>
      </c>
      <c r="O8" s="64" t="s">
        <v>442</v>
      </c>
      <c r="P8" s="64" t="s">
        <v>443</v>
      </c>
      <c r="Q8" s="64" t="s">
        <v>479</v>
      </c>
      <c r="R8" s="65" t="s">
        <v>445</v>
      </c>
      <c r="S8" s="1"/>
      <c r="T8" s="76" t="s">
        <v>480</v>
      </c>
      <c r="U8" s="77" t="s">
        <v>481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22" customHeight="1">
      <c r="A9" s="66" t="s">
        <v>224</v>
      </c>
      <c r="B9" s="62" t="s">
        <v>482</v>
      </c>
      <c r="C9" s="62" t="s">
        <v>435</v>
      </c>
      <c r="D9" s="62" t="s">
        <v>436</v>
      </c>
      <c r="E9" s="62" t="s">
        <v>483</v>
      </c>
      <c r="F9" s="62" t="s">
        <v>484</v>
      </c>
      <c r="G9" s="62" t="s">
        <v>439</v>
      </c>
      <c r="H9" s="62" t="s">
        <v>450</v>
      </c>
      <c r="I9" s="62">
        <v>39.964374939999999</v>
      </c>
      <c r="J9" s="62">
        <v>-75.238603760000004</v>
      </c>
      <c r="K9" s="62">
        <v>442</v>
      </c>
      <c r="L9" s="63">
        <v>0.91180000000000005</v>
      </c>
      <c r="M9" s="64">
        <v>11</v>
      </c>
      <c r="N9" s="64" t="s">
        <v>441</v>
      </c>
      <c r="O9" s="64" t="s">
        <v>442</v>
      </c>
      <c r="P9" s="64" t="s">
        <v>443</v>
      </c>
      <c r="Q9" s="64" t="s">
        <v>485</v>
      </c>
      <c r="R9" s="65" t="s">
        <v>445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ht="22" customHeight="1">
      <c r="A10" s="66" t="s">
        <v>401</v>
      </c>
      <c r="B10" s="62" t="s">
        <v>486</v>
      </c>
      <c r="C10" s="62" t="s">
        <v>435</v>
      </c>
      <c r="D10" s="62" t="s">
        <v>436</v>
      </c>
      <c r="E10" s="62" t="s">
        <v>483</v>
      </c>
      <c r="F10" s="62" t="s">
        <v>487</v>
      </c>
      <c r="G10" s="62" t="s">
        <v>439</v>
      </c>
      <c r="H10" s="62" t="s">
        <v>478</v>
      </c>
      <c r="I10" s="62">
        <v>39.952686999999997</v>
      </c>
      <c r="J10" s="62">
        <v>-75.243690999999998</v>
      </c>
      <c r="K10" s="62">
        <v>332</v>
      </c>
      <c r="L10" s="63">
        <v>0.90229999999999999</v>
      </c>
      <c r="M10" s="64">
        <v>5</v>
      </c>
      <c r="N10" s="64" t="s">
        <v>441</v>
      </c>
      <c r="O10" s="64" t="s">
        <v>442</v>
      </c>
      <c r="P10" s="64" t="s">
        <v>443</v>
      </c>
      <c r="Q10" s="64" t="s">
        <v>488</v>
      </c>
      <c r="R10" s="65" t="s">
        <v>445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ht="22" customHeight="1">
      <c r="A11" s="66" t="s">
        <v>238</v>
      </c>
      <c r="B11" s="62" t="s">
        <v>489</v>
      </c>
      <c r="C11" s="62" t="s">
        <v>435</v>
      </c>
      <c r="D11" s="62" t="s">
        <v>436</v>
      </c>
      <c r="E11" s="62" t="s">
        <v>490</v>
      </c>
      <c r="F11" s="62" t="s">
        <v>491</v>
      </c>
      <c r="G11" s="62" t="s">
        <v>439</v>
      </c>
      <c r="H11" s="62" t="s">
        <v>440</v>
      </c>
      <c r="I11" s="62">
        <v>39.927435000000003</v>
      </c>
      <c r="J11" s="62">
        <v>-75.239911000000006</v>
      </c>
      <c r="K11" s="62">
        <v>377</v>
      </c>
      <c r="L11" s="63">
        <v>0.78200000000000003</v>
      </c>
      <c r="M11" s="64">
        <v>5</v>
      </c>
      <c r="N11" s="64" t="s">
        <v>441</v>
      </c>
      <c r="O11" s="64" t="s">
        <v>442</v>
      </c>
      <c r="P11" s="64" t="s">
        <v>443</v>
      </c>
      <c r="Q11" s="64" t="s">
        <v>492</v>
      </c>
      <c r="R11" s="65" t="s">
        <v>445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44" customHeight="1">
      <c r="A12" s="66" t="s">
        <v>119</v>
      </c>
      <c r="B12" s="62" t="s">
        <v>493</v>
      </c>
      <c r="C12" s="62" t="s">
        <v>435</v>
      </c>
      <c r="D12" s="62" t="s">
        <v>436</v>
      </c>
      <c r="E12" s="62" t="s">
        <v>483</v>
      </c>
      <c r="F12" s="62" t="s">
        <v>494</v>
      </c>
      <c r="G12" s="62" t="s">
        <v>439</v>
      </c>
      <c r="H12" s="62" t="s">
        <v>478</v>
      </c>
      <c r="I12" s="62">
        <v>39.940519999999999</v>
      </c>
      <c r="J12" s="62">
        <v>-75.216289000000003</v>
      </c>
      <c r="K12" s="62">
        <v>213</v>
      </c>
      <c r="L12" s="63">
        <v>0.90139999999999998</v>
      </c>
      <c r="M12" s="64">
        <v>7</v>
      </c>
      <c r="N12" s="64" t="s">
        <v>441</v>
      </c>
      <c r="O12" s="64" t="s">
        <v>442</v>
      </c>
      <c r="P12" s="64" t="s">
        <v>443</v>
      </c>
      <c r="Q12" s="64" t="s">
        <v>495</v>
      </c>
      <c r="R12" s="65" t="s">
        <v>445</v>
      </c>
      <c r="S12" s="1"/>
      <c r="T12" s="82" t="s">
        <v>496</v>
      </c>
      <c r="U12" s="83" t="s">
        <v>497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ht="44" customHeight="1">
      <c r="A13" s="66" t="s">
        <v>349</v>
      </c>
      <c r="B13" s="62" t="s">
        <v>498</v>
      </c>
      <c r="C13" s="62" t="s">
        <v>435</v>
      </c>
      <c r="D13" s="62" t="s">
        <v>436</v>
      </c>
      <c r="E13" s="62" t="s">
        <v>483</v>
      </c>
      <c r="F13" s="62" t="s">
        <v>499</v>
      </c>
      <c r="G13" s="62" t="s">
        <v>439</v>
      </c>
      <c r="H13" s="62" t="s">
        <v>456</v>
      </c>
      <c r="I13" s="62">
        <v>39.953099000000002</v>
      </c>
      <c r="J13" s="62">
        <v>-75.208186999999995</v>
      </c>
      <c r="K13" s="62">
        <v>601</v>
      </c>
      <c r="L13" s="63">
        <v>0.2288</v>
      </c>
      <c r="M13" s="64">
        <v>10</v>
      </c>
      <c r="N13" s="64" t="s">
        <v>441</v>
      </c>
      <c r="O13" s="64" t="s">
        <v>442</v>
      </c>
      <c r="P13" s="64" t="s">
        <v>443</v>
      </c>
      <c r="Q13" s="64" t="s">
        <v>500</v>
      </c>
      <c r="R13" s="65" t="s">
        <v>445</v>
      </c>
      <c r="S13" s="1"/>
      <c r="T13" s="79" t="s">
        <v>501</v>
      </c>
      <c r="U13" s="78" t="s">
        <v>502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44" customHeight="1">
      <c r="A14" s="66" t="s">
        <v>107</v>
      </c>
      <c r="B14" s="62" t="s">
        <v>503</v>
      </c>
      <c r="C14" s="62" t="s">
        <v>435</v>
      </c>
      <c r="D14" s="62" t="s">
        <v>436</v>
      </c>
      <c r="E14" s="62" t="s">
        <v>483</v>
      </c>
      <c r="F14" s="62" t="s">
        <v>504</v>
      </c>
      <c r="G14" s="62" t="s">
        <v>439</v>
      </c>
      <c r="H14" s="62" t="s">
        <v>450</v>
      </c>
      <c r="I14" s="62">
        <v>39.955438000000001</v>
      </c>
      <c r="J14" s="62">
        <v>-75.235543000000007</v>
      </c>
      <c r="K14" s="62">
        <v>366</v>
      </c>
      <c r="L14" s="63">
        <v>0.90129999999999999</v>
      </c>
      <c r="M14" s="64">
        <v>10</v>
      </c>
      <c r="N14" s="64" t="s">
        <v>441</v>
      </c>
      <c r="O14" s="64" t="s">
        <v>442</v>
      </c>
      <c r="P14" s="64" t="s">
        <v>443</v>
      </c>
      <c r="Q14" s="64" t="s">
        <v>505</v>
      </c>
      <c r="R14" s="65" t="s">
        <v>445</v>
      </c>
      <c r="S14" s="1"/>
      <c r="T14" s="80" t="s">
        <v>506</v>
      </c>
      <c r="U14" s="81" t="s">
        <v>507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44" customHeight="1">
      <c r="A15" s="66" t="s">
        <v>114</v>
      </c>
      <c r="B15" s="62" t="s">
        <v>508</v>
      </c>
      <c r="C15" s="62" t="s">
        <v>435</v>
      </c>
      <c r="D15" s="62" t="s">
        <v>436</v>
      </c>
      <c r="E15" s="62" t="s">
        <v>483</v>
      </c>
      <c r="F15" s="62" t="s">
        <v>509</v>
      </c>
      <c r="G15" s="62" t="s">
        <v>439</v>
      </c>
      <c r="H15" s="62" t="s">
        <v>478</v>
      </c>
      <c r="I15" s="62">
        <v>39.947365169999998</v>
      </c>
      <c r="J15" s="62">
        <v>-75.230595080000001</v>
      </c>
      <c r="K15" s="62">
        <v>259</v>
      </c>
      <c r="L15" s="63">
        <v>0.874</v>
      </c>
      <c r="M15" s="64">
        <v>11</v>
      </c>
      <c r="N15" s="64" t="s">
        <v>441</v>
      </c>
      <c r="O15" s="64" t="s">
        <v>442</v>
      </c>
      <c r="P15" s="64" t="s">
        <v>443</v>
      </c>
      <c r="Q15" s="64" t="s">
        <v>510</v>
      </c>
      <c r="R15" s="65" t="s">
        <v>445</v>
      </c>
      <c r="S15" s="1"/>
      <c r="T15" s="79" t="s">
        <v>511</v>
      </c>
      <c r="U15" s="78" t="s">
        <v>512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44" customHeight="1">
      <c r="A16" s="66" t="s">
        <v>199</v>
      </c>
      <c r="B16" s="62" t="s">
        <v>513</v>
      </c>
      <c r="C16" s="62" t="s">
        <v>435</v>
      </c>
      <c r="D16" s="62" t="s">
        <v>436</v>
      </c>
      <c r="E16" s="62" t="s">
        <v>483</v>
      </c>
      <c r="F16" s="62" t="s">
        <v>514</v>
      </c>
      <c r="G16" s="62" t="s">
        <v>439</v>
      </c>
      <c r="H16" s="62" t="s">
        <v>450</v>
      </c>
      <c r="I16" s="62">
        <v>39.954515000000001</v>
      </c>
      <c r="J16" s="62">
        <v>-75.216346999999999</v>
      </c>
      <c r="K16" s="62">
        <v>463</v>
      </c>
      <c r="L16" s="63">
        <v>0.70809999999999995</v>
      </c>
      <c r="M16" s="64">
        <v>12</v>
      </c>
      <c r="N16" s="64" t="s">
        <v>441</v>
      </c>
      <c r="O16" s="64" t="s">
        <v>442</v>
      </c>
      <c r="P16" s="64" t="s">
        <v>443</v>
      </c>
      <c r="Q16" s="64" t="s">
        <v>515</v>
      </c>
      <c r="R16" s="65" t="s">
        <v>445</v>
      </c>
      <c r="S16" s="1"/>
      <c r="T16" s="80" t="s">
        <v>25</v>
      </c>
      <c r="U16" s="81" t="s">
        <v>516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44" customHeight="1">
      <c r="A17" s="66" t="s">
        <v>402</v>
      </c>
      <c r="B17" s="62" t="s">
        <v>517</v>
      </c>
      <c r="C17" s="62" t="s">
        <v>435</v>
      </c>
      <c r="D17" s="62" t="s">
        <v>436</v>
      </c>
      <c r="E17" s="62" t="s">
        <v>483</v>
      </c>
      <c r="F17" s="62" t="s">
        <v>518</v>
      </c>
      <c r="G17" s="62" t="s">
        <v>439</v>
      </c>
      <c r="H17" s="62" t="s">
        <v>478</v>
      </c>
      <c r="I17" s="62">
        <v>39.940908229999998</v>
      </c>
      <c r="J17" s="62">
        <v>-75.232373159999995</v>
      </c>
      <c r="K17" s="62">
        <v>259</v>
      </c>
      <c r="L17" s="63">
        <v>0.89580000000000004</v>
      </c>
      <c r="M17" s="64">
        <v>8</v>
      </c>
      <c r="N17" s="64" t="s">
        <v>441</v>
      </c>
      <c r="O17" s="64" t="s">
        <v>442</v>
      </c>
      <c r="P17" s="64" t="s">
        <v>443</v>
      </c>
      <c r="Q17" s="64" t="s">
        <v>519</v>
      </c>
      <c r="R17" s="65" t="s">
        <v>445</v>
      </c>
      <c r="S17" s="1"/>
      <c r="T17" s="79" t="s">
        <v>520</v>
      </c>
      <c r="U17" s="78" t="s">
        <v>521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44" customHeight="1">
      <c r="A18" s="66" t="s">
        <v>289</v>
      </c>
      <c r="B18" s="62" t="s">
        <v>522</v>
      </c>
      <c r="C18" s="62" t="s">
        <v>435</v>
      </c>
      <c r="D18" s="62" t="s">
        <v>436</v>
      </c>
      <c r="E18" s="62" t="s">
        <v>483</v>
      </c>
      <c r="F18" s="62" t="s">
        <v>523</v>
      </c>
      <c r="G18" s="62" t="s">
        <v>439</v>
      </c>
      <c r="H18" s="62" t="s">
        <v>456</v>
      </c>
      <c r="I18" s="62">
        <v>39.966197270000002</v>
      </c>
      <c r="J18" s="62">
        <v>-75.194114870000007</v>
      </c>
      <c r="K18" s="62">
        <v>286</v>
      </c>
      <c r="L18" s="63">
        <v>0.9264</v>
      </c>
      <c r="M18" s="64">
        <v>11</v>
      </c>
      <c r="N18" s="64" t="s">
        <v>441</v>
      </c>
      <c r="O18" s="64" t="s">
        <v>442</v>
      </c>
      <c r="P18" s="64" t="s">
        <v>443</v>
      </c>
      <c r="Q18" s="64" t="s">
        <v>524</v>
      </c>
      <c r="R18" s="65" t="s">
        <v>445</v>
      </c>
      <c r="S18" s="1"/>
      <c r="T18" s="80" t="s">
        <v>525</v>
      </c>
      <c r="U18" s="81" t="s">
        <v>526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44" customHeight="1">
      <c r="A19" s="66" t="s">
        <v>348</v>
      </c>
      <c r="B19" s="62" t="s">
        <v>527</v>
      </c>
      <c r="C19" s="62" t="s">
        <v>435</v>
      </c>
      <c r="D19" s="62" t="s">
        <v>436</v>
      </c>
      <c r="E19" s="62" t="s">
        <v>483</v>
      </c>
      <c r="F19" s="62" t="s">
        <v>528</v>
      </c>
      <c r="G19" s="62" t="s">
        <v>439</v>
      </c>
      <c r="H19" s="62" t="s">
        <v>478</v>
      </c>
      <c r="I19" s="62">
        <v>39.936814269999999</v>
      </c>
      <c r="J19" s="62">
        <v>-75.223291000000003</v>
      </c>
      <c r="K19" s="62">
        <v>271</v>
      </c>
      <c r="L19" s="63">
        <v>0.87260000000000004</v>
      </c>
      <c r="M19" s="64">
        <v>9</v>
      </c>
      <c r="N19" s="64" t="s">
        <v>441</v>
      </c>
      <c r="O19" s="64" t="s">
        <v>442</v>
      </c>
      <c r="P19" s="64" t="s">
        <v>443</v>
      </c>
      <c r="Q19" s="64" t="s">
        <v>529</v>
      </c>
      <c r="R19" s="65" t="s">
        <v>445</v>
      </c>
      <c r="S19" s="1"/>
      <c r="T19" s="79" t="s">
        <v>43</v>
      </c>
      <c r="U19" s="78" t="s">
        <v>530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44" customHeight="1">
      <c r="A20" s="66" t="s">
        <v>382</v>
      </c>
      <c r="B20" s="62" t="s">
        <v>531</v>
      </c>
      <c r="C20" s="62" t="s">
        <v>435</v>
      </c>
      <c r="D20" s="62" t="s">
        <v>436</v>
      </c>
      <c r="E20" s="62" t="s">
        <v>490</v>
      </c>
      <c r="F20" s="62" t="s">
        <v>532</v>
      </c>
      <c r="G20" s="62" t="s">
        <v>439</v>
      </c>
      <c r="H20" s="62" t="s">
        <v>440</v>
      </c>
      <c r="I20" s="62">
        <v>39.92346826</v>
      </c>
      <c r="J20" s="62">
        <v>-75.226900150000006</v>
      </c>
      <c r="K20" s="62">
        <v>363</v>
      </c>
      <c r="L20" s="63">
        <v>0.84570000000000001</v>
      </c>
      <c r="M20" s="64">
        <v>5</v>
      </c>
      <c r="N20" s="64" t="s">
        <v>441</v>
      </c>
      <c r="O20" s="64" t="s">
        <v>442</v>
      </c>
      <c r="P20" s="64" t="s">
        <v>443</v>
      </c>
      <c r="Q20" s="64" t="s">
        <v>533</v>
      </c>
      <c r="R20" s="65" t="s">
        <v>445</v>
      </c>
      <c r="S20" s="1"/>
      <c r="T20" s="80" t="s">
        <v>534</v>
      </c>
      <c r="U20" s="81" t="s">
        <v>535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44" customHeight="1">
      <c r="A21" s="66" t="s">
        <v>353</v>
      </c>
      <c r="B21" s="62" t="s">
        <v>536</v>
      </c>
      <c r="C21" s="62" t="s">
        <v>435</v>
      </c>
      <c r="D21" s="62" t="s">
        <v>436</v>
      </c>
      <c r="E21" s="62" t="s">
        <v>490</v>
      </c>
      <c r="F21" s="62" t="s">
        <v>537</v>
      </c>
      <c r="G21" s="62" t="s">
        <v>439</v>
      </c>
      <c r="H21" s="62" t="s">
        <v>456</v>
      </c>
      <c r="I21" s="62">
        <v>39.957962799999997</v>
      </c>
      <c r="J21" s="62">
        <v>-75.1939177</v>
      </c>
      <c r="K21" s="62">
        <v>342</v>
      </c>
      <c r="L21" s="63">
        <v>0.47360000000000002</v>
      </c>
      <c r="M21" s="64">
        <v>10</v>
      </c>
      <c r="N21" s="64" t="s">
        <v>441</v>
      </c>
      <c r="O21" s="64" t="s">
        <v>442</v>
      </c>
      <c r="P21" s="64" t="s">
        <v>443</v>
      </c>
      <c r="Q21" s="64" t="s">
        <v>538</v>
      </c>
      <c r="R21" s="65" t="s">
        <v>445</v>
      </c>
      <c r="S21" s="1"/>
      <c r="T21" s="79" t="s">
        <v>539</v>
      </c>
      <c r="U21" s="78" t="s">
        <v>540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44" customHeight="1">
      <c r="A22" s="66" t="s">
        <v>230</v>
      </c>
      <c r="B22" s="62" t="s">
        <v>541</v>
      </c>
      <c r="C22" s="62" t="s">
        <v>435</v>
      </c>
      <c r="D22" s="62" t="s">
        <v>436</v>
      </c>
      <c r="E22" s="62" t="s">
        <v>490</v>
      </c>
      <c r="F22" s="62" t="s">
        <v>542</v>
      </c>
      <c r="G22" s="62" t="s">
        <v>439</v>
      </c>
      <c r="H22" s="62" t="s">
        <v>440</v>
      </c>
      <c r="I22" s="62">
        <v>39.916094999999999</v>
      </c>
      <c r="J22" s="62">
        <v>-75.236761999999999</v>
      </c>
      <c r="K22" s="62">
        <v>353</v>
      </c>
      <c r="L22" s="63">
        <v>0.84250000000000003</v>
      </c>
      <c r="M22" s="64">
        <v>3</v>
      </c>
      <c r="N22" s="64" t="s">
        <v>441</v>
      </c>
      <c r="O22" s="64" t="s">
        <v>442</v>
      </c>
      <c r="P22" s="64" t="s">
        <v>443</v>
      </c>
      <c r="Q22" s="64" t="s">
        <v>543</v>
      </c>
      <c r="R22" s="65" t="s">
        <v>445</v>
      </c>
      <c r="S22" s="1"/>
      <c r="T22" s="80" t="s">
        <v>544</v>
      </c>
      <c r="U22" s="81" t="s">
        <v>545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44" customHeight="1">
      <c r="A23" s="66" t="s">
        <v>220</v>
      </c>
      <c r="B23" s="62" t="s">
        <v>546</v>
      </c>
      <c r="C23" s="62" t="s">
        <v>435</v>
      </c>
      <c r="D23" s="62" t="s">
        <v>436</v>
      </c>
      <c r="E23" s="62" t="s">
        <v>483</v>
      </c>
      <c r="F23" s="62" t="s">
        <v>547</v>
      </c>
      <c r="G23" s="62" t="s">
        <v>439</v>
      </c>
      <c r="H23" s="62" t="s">
        <v>450</v>
      </c>
      <c r="I23" s="62">
        <v>39.967339000000003</v>
      </c>
      <c r="J23" s="62">
        <v>-75.220062999999996</v>
      </c>
      <c r="K23" s="62">
        <v>415</v>
      </c>
      <c r="L23" s="63">
        <v>0.92700000000000005</v>
      </c>
      <c r="M23" s="64">
        <v>12</v>
      </c>
      <c r="N23" s="64" t="s">
        <v>441</v>
      </c>
      <c r="O23" s="64" t="s">
        <v>442</v>
      </c>
      <c r="P23" s="64" t="s">
        <v>443</v>
      </c>
      <c r="Q23" s="64" t="s">
        <v>548</v>
      </c>
      <c r="R23" s="65" t="s">
        <v>445</v>
      </c>
      <c r="S23" s="1"/>
      <c r="T23" s="79" t="s">
        <v>549</v>
      </c>
      <c r="U23" s="78" t="s">
        <v>550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44" customHeight="1">
      <c r="A24" s="66" t="s">
        <v>265</v>
      </c>
      <c r="B24" s="62" t="s">
        <v>551</v>
      </c>
      <c r="C24" s="62" t="s">
        <v>435</v>
      </c>
      <c r="D24" s="62" t="s">
        <v>436</v>
      </c>
      <c r="E24" s="62" t="s">
        <v>483</v>
      </c>
      <c r="F24" s="62" t="s">
        <v>552</v>
      </c>
      <c r="G24" s="62" t="s">
        <v>439</v>
      </c>
      <c r="H24" s="62" t="s">
        <v>456</v>
      </c>
      <c r="I24" s="62">
        <v>39.966206</v>
      </c>
      <c r="J24" s="62">
        <v>-75.211179000000001</v>
      </c>
      <c r="K24" s="62">
        <v>213</v>
      </c>
      <c r="L24" s="63">
        <v>0.92449999999999999</v>
      </c>
      <c r="M24" s="64">
        <v>14</v>
      </c>
      <c r="N24" s="64" t="s">
        <v>441</v>
      </c>
      <c r="O24" s="64" t="s">
        <v>442</v>
      </c>
      <c r="P24" s="64" t="s">
        <v>443</v>
      </c>
      <c r="Q24" s="64" t="s">
        <v>553</v>
      </c>
      <c r="R24" s="65" t="s">
        <v>445</v>
      </c>
      <c r="S24" s="1"/>
      <c r="T24" s="80" t="s">
        <v>554</v>
      </c>
      <c r="U24" s="81" t="s">
        <v>555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44" customHeight="1">
      <c r="A25" s="66" t="s">
        <v>318</v>
      </c>
      <c r="B25" s="62" t="s">
        <v>556</v>
      </c>
      <c r="C25" s="62" t="s">
        <v>435</v>
      </c>
      <c r="D25" s="62" t="s">
        <v>436</v>
      </c>
      <c r="E25" s="62" t="s">
        <v>483</v>
      </c>
      <c r="F25" s="62" t="s">
        <v>557</v>
      </c>
      <c r="G25" s="62" t="s">
        <v>439</v>
      </c>
      <c r="H25" s="62" t="s">
        <v>558</v>
      </c>
      <c r="I25" s="62">
        <v>39.906923579999997</v>
      </c>
      <c r="J25" s="62">
        <v>-75.248658329999998</v>
      </c>
      <c r="K25" s="62">
        <v>429</v>
      </c>
      <c r="L25" s="63">
        <v>0.83720000000000006</v>
      </c>
      <c r="M25" s="64">
        <v>1</v>
      </c>
      <c r="N25" s="64" t="s">
        <v>441</v>
      </c>
      <c r="O25" s="64" t="s">
        <v>442</v>
      </c>
      <c r="P25" s="64" t="s">
        <v>443</v>
      </c>
      <c r="Q25" s="64" t="s">
        <v>559</v>
      </c>
      <c r="R25" s="65" t="s">
        <v>445</v>
      </c>
      <c r="S25" s="1"/>
      <c r="T25" s="79" t="s">
        <v>560</v>
      </c>
      <c r="U25" s="78" t="s">
        <v>561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44" customHeight="1">
      <c r="A26" s="66" t="s">
        <v>98</v>
      </c>
      <c r="B26" s="62" t="s">
        <v>562</v>
      </c>
      <c r="C26" s="62" t="s">
        <v>435</v>
      </c>
      <c r="D26" s="62" t="s">
        <v>436</v>
      </c>
      <c r="E26" s="62" t="s">
        <v>483</v>
      </c>
      <c r="F26" s="62" t="s">
        <v>563</v>
      </c>
      <c r="G26" s="62" t="s">
        <v>439</v>
      </c>
      <c r="H26" s="62" t="s">
        <v>478</v>
      </c>
      <c r="I26" s="62">
        <v>39.946725999999998</v>
      </c>
      <c r="J26" s="62">
        <v>-75.245716999999999</v>
      </c>
      <c r="K26" s="62">
        <v>318</v>
      </c>
      <c r="L26" s="63">
        <v>0.86460000000000004</v>
      </c>
      <c r="M26" s="64">
        <v>6</v>
      </c>
      <c r="N26" s="64" t="s">
        <v>441</v>
      </c>
      <c r="O26" s="64" t="s">
        <v>442</v>
      </c>
      <c r="P26" s="64" t="s">
        <v>443</v>
      </c>
      <c r="Q26" s="64" t="s">
        <v>564</v>
      </c>
      <c r="R26" s="65" t="s">
        <v>445</v>
      </c>
      <c r="S26" s="1"/>
      <c r="T26" s="80" t="s">
        <v>565</v>
      </c>
      <c r="U26" s="81" t="s">
        <v>566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44" customHeight="1">
      <c r="A27" s="66" t="s">
        <v>99</v>
      </c>
      <c r="B27" s="62" t="s">
        <v>567</v>
      </c>
      <c r="C27" s="62" t="s">
        <v>435</v>
      </c>
      <c r="D27" s="62" t="s">
        <v>436</v>
      </c>
      <c r="E27" s="62" t="s">
        <v>483</v>
      </c>
      <c r="F27" s="62" t="s">
        <v>568</v>
      </c>
      <c r="G27" s="62" t="s">
        <v>439</v>
      </c>
      <c r="H27" s="62" t="s">
        <v>450</v>
      </c>
      <c r="I27" s="62">
        <v>39.96262376</v>
      </c>
      <c r="J27" s="62">
        <v>-75.212450970000006</v>
      </c>
      <c r="K27" s="62">
        <v>276</v>
      </c>
      <c r="L27" s="63">
        <v>0.82899999999999996</v>
      </c>
      <c r="M27" s="64">
        <v>15</v>
      </c>
      <c r="N27" s="64" t="s">
        <v>441</v>
      </c>
      <c r="O27" s="64" t="s">
        <v>442</v>
      </c>
      <c r="P27" s="64" t="s">
        <v>443</v>
      </c>
      <c r="Q27" s="64" t="s">
        <v>569</v>
      </c>
      <c r="R27" s="65" t="s">
        <v>445</v>
      </c>
      <c r="S27" s="1"/>
      <c r="T27" s="79" t="s">
        <v>570</v>
      </c>
      <c r="U27" s="78" t="s">
        <v>571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22" customHeight="1">
      <c r="A28" s="66" t="s">
        <v>345</v>
      </c>
      <c r="B28" s="62" t="s">
        <v>572</v>
      </c>
      <c r="C28" s="62" t="s">
        <v>435</v>
      </c>
      <c r="D28" s="62" t="s">
        <v>436</v>
      </c>
      <c r="E28" s="62" t="s">
        <v>483</v>
      </c>
      <c r="F28" s="62" t="s">
        <v>573</v>
      </c>
      <c r="G28" s="62" t="s">
        <v>439</v>
      </c>
      <c r="H28" s="62" t="s">
        <v>574</v>
      </c>
      <c r="I28" s="62">
        <v>39.972963120000003</v>
      </c>
      <c r="J28" s="62">
        <v>-75.213888679999997</v>
      </c>
      <c r="K28" s="62">
        <v>228</v>
      </c>
      <c r="L28" s="63">
        <v>0.89790000000000003</v>
      </c>
      <c r="M28" s="64">
        <v>9</v>
      </c>
      <c r="N28" s="64" t="s">
        <v>441</v>
      </c>
      <c r="O28" s="64" t="s">
        <v>442</v>
      </c>
      <c r="P28" s="64" t="s">
        <v>443</v>
      </c>
      <c r="Q28" s="64" t="s">
        <v>575</v>
      </c>
      <c r="R28" s="65" t="s">
        <v>445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ht="22" customHeight="1">
      <c r="A29" s="66" t="s">
        <v>288</v>
      </c>
      <c r="B29" s="62" t="s">
        <v>576</v>
      </c>
      <c r="C29" s="62" t="s">
        <v>435</v>
      </c>
      <c r="D29" s="62" t="s">
        <v>436</v>
      </c>
      <c r="E29" s="62" t="s">
        <v>471</v>
      </c>
      <c r="F29" s="62" t="s">
        <v>577</v>
      </c>
      <c r="G29" s="62" t="s">
        <v>439</v>
      </c>
      <c r="H29" s="62" t="s">
        <v>450</v>
      </c>
      <c r="I29" s="62">
        <v>39.964253790000001</v>
      </c>
      <c r="J29" s="62">
        <v>-75.215467039999993</v>
      </c>
      <c r="K29" s="62">
        <v>122</v>
      </c>
      <c r="L29" s="63">
        <v>0.8</v>
      </c>
      <c r="M29" s="64">
        <v>14</v>
      </c>
      <c r="N29" s="64" t="s">
        <v>441</v>
      </c>
      <c r="O29" s="64" t="s">
        <v>442</v>
      </c>
      <c r="P29" s="64" t="s">
        <v>443</v>
      </c>
      <c r="Q29" s="64" t="s">
        <v>578</v>
      </c>
      <c r="R29" s="65" t="s">
        <v>445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ht="22" customHeight="1">
      <c r="A30" s="66" t="s">
        <v>359</v>
      </c>
      <c r="B30" s="62" t="s">
        <v>579</v>
      </c>
      <c r="C30" s="62" t="s">
        <v>435</v>
      </c>
      <c r="D30" s="62" t="s">
        <v>436</v>
      </c>
      <c r="E30" s="62" t="s">
        <v>437</v>
      </c>
      <c r="F30" s="62" t="s">
        <v>580</v>
      </c>
      <c r="G30" s="62" t="s">
        <v>439</v>
      </c>
      <c r="H30" s="62" t="s">
        <v>581</v>
      </c>
      <c r="I30" s="62">
        <v>39.923898700000002</v>
      </c>
      <c r="J30" s="62">
        <v>-75.169106499999998</v>
      </c>
      <c r="K30" s="62">
        <v>647</v>
      </c>
      <c r="L30" s="63">
        <v>0.78029999999999999</v>
      </c>
      <c r="M30" s="64">
        <v>10</v>
      </c>
      <c r="N30" s="64" t="s">
        <v>441</v>
      </c>
      <c r="O30" s="64" t="s">
        <v>442</v>
      </c>
      <c r="P30" s="64" t="s">
        <v>443</v>
      </c>
      <c r="Q30" s="64" t="s">
        <v>582</v>
      </c>
      <c r="R30" s="65" t="s">
        <v>445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ht="22" customHeight="1">
      <c r="A31" s="66" t="s">
        <v>121</v>
      </c>
      <c r="B31" s="62" t="s">
        <v>583</v>
      </c>
      <c r="C31" s="62" t="s">
        <v>435</v>
      </c>
      <c r="D31" s="62" t="s">
        <v>436</v>
      </c>
      <c r="E31" s="62" t="s">
        <v>437</v>
      </c>
      <c r="F31" s="62" t="s">
        <v>584</v>
      </c>
      <c r="G31" s="62" t="s">
        <v>439</v>
      </c>
      <c r="H31" s="62" t="s">
        <v>585</v>
      </c>
      <c r="I31" s="62">
        <v>39.963529999999999</v>
      </c>
      <c r="J31" s="62">
        <v>-75.161640000000006</v>
      </c>
      <c r="K31" s="62">
        <v>530</v>
      </c>
      <c r="L31" s="63">
        <v>0.83099999999999996</v>
      </c>
      <c r="M31" s="64">
        <v>10</v>
      </c>
      <c r="N31" s="64" t="s">
        <v>441</v>
      </c>
      <c r="O31" s="64" t="s">
        <v>442</v>
      </c>
      <c r="P31" s="64" t="s">
        <v>443</v>
      </c>
      <c r="Q31" s="64" t="s">
        <v>586</v>
      </c>
      <c r="R31" s="65" t="s">
        <v>445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ht="22" customHeight="1">
      <c r="A32" s="66" t="s">
        <v>202</v>
      </c>
      <c r="B32" s="62" t="s">
        <v>587</v>
      </c>
      <c r="C32" s="62" t="s">
        <v>435</v>
      </c>
      <c r="D32" s="62" t="s">
        <v>436</v>
      </c>
      <c r="E32" s="62" t="s">
        <v>437</v>
      </c>
      <c r="F32" s="62" t="s">
        <v>588</v>
      </c>
      <c r="G32" s="62" t="s">
        <v>439</v>
      </c>
      <c r="H32" s="62" t="s">
        <v>589</v>
      </c>
      <c r="I32" s="62">
        <v>39.939419919999999</v>
      </c>
      <c r="J32" s="62">
        <v>-75.165483750000007</v>
      </c>
      <c r="K32" s="62">
        <v>597</v>
      </c>
      <c r="L32" s="63">
        <v>0.48149999999999998</v>
      </c>
      <c r="M32" s="64">
        <v>13</v>
      </c>
      <c r="N32" s="64" t="s">
        <v>441</v>
      </c>
      <c r="O32" s="64" t="s">
        <v>442</v>
      </c>
      <c r="P32" s="64" t="s">
        <v>443</v>
      </c>
      <c r="Q32" s="64" t="s">
        <v>590</v>
      </c>
      <c r="R32" s="65" t="s">
        <v>445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22" customHeight="1">
      <c r="A33" s="66" t="s">
        <v>356</v>
      </c>
      <c r="B33" s="62" t="s">
        <v>591</v>
      </c>
      <c r="C33" s="62" t="s">
        <v>435</v>
      </c>
      <c r="D33" s="62" t="s">
        <v>436</v>
      </c>
      <c r="E33" s="62" t="s">
        <v>471</v>
      </c>
      <c r="F33" s="62" t="s">
        <v>537</v>
      </c>
      <c r="G33" s="62" t="s">
        <v>439</v>
      </c>
      <c r="H33" s="62" t="s">
        <v>456</v>
      </c>
      <c r="I33" s="62">
        <v>39.957962799999997</v>
      </c>
      <c r="J33" s="62">
        <v>-75.1939177</v>
      </c>
      <c r="K33" s="62">
        <v>351</v>
      </c>
      <c r="L33" s="63">
        <v>0.51</v>
      </c>
      <c r="M33" s="64">
        <v>10</v>
      </c>
      <c r="N33" s="64" t="s">
        <v>441</v>
      </c>
      <c r="O33" s="64" t="s">
        <v>442</v>
      </c>
      <c r="P33" s="64" t="s">
        <v>443</v>
      </c>
      <c r="Q33" s="64" t="s">
        <v>592</v>
      </c>
      <c r="R33" s="65" t="s">
        <v>445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22" customHeight="1">
      <c r="A34" s="66" t="s">
        <v>241</v>
      </c>
      <c r="B34" s="62" t="s">
        <v>593</v>
      </c>
      <c r="C34" s="62" t="s">
        <v>435</v>
      </c>
      <c r="D34" s="62" t="s">
        <v>436</v>
      </c>
      <c r="E34" s="62" t="s">
        <v>594</v>
      </c>
      <c r="F34" s="62" t="s">
        <v>595</v>
      </c>
      <c r="G34" s="62" t="s">
        <v>439</v>
      </c>
      <c r="H34" s="62" t="s">
        <v>585</v>
      </c>
      <c r="I34" s="62">
        <v>39.963200309999998</v>
      </c>
      <c r="J34" s="62">
        <v>-75.166207580000005</v>
      </c>
      <c r="K34" s="62">
        <v>1221</v>
      </c>
      <c r="L34" s="63">
        <v>0.37780000000000002</v>
      </c>
      <c r="M34" s="64">
        <v>8</v>
      </c>
      <c r="N34" s="64" t="s">
        <v>441</v>
      </c>
      <c r="O34" s="64" t="s">
        <v>442</v>
      </c>
      <c r="P34" s="64" t="s">
        <v>443</v>
      </c>
      <c r="Q34" s="64" t="s">
        <v>596</v>
      </c>
      <c r="R34" s="65" t="s">
        <v>445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22" customHeight="1">
      <c r="A35" s="66" t="s">
        <v>206</v>
      </c>
      <c r="B35" s="62" t="s">
        <v>597</v>
      </c>
      <c r="C35" s="62" t="s">
        <v>435</v>
      </c>
      <c r="D35" s="62" t="s">
        <v>436</v>
      </c>
      <c r="E35" s="62" t="s">
        <v>437</v>
      </c>
      <c r="F35" s="62" t="s">
        <v>598</v>
      </c>
      <c r="G35" s="62" t="s">
        <v>439</v>
      </c>
      <c r="H35" s="62" t="s">
        <v>581</v>
      </c>
      <c r="I35" s="62">
        <v>39.923762000000004</v>
      </c>
      <c r="J35" s="62">
        <v>-75.150585000000007</v>
      </c>
      <c r="K35" s="62">
        <v>836</v>
      </c>
      <c r="L35" s="63">
        <v>0.68889999999999996</v>
      </c>
      <c r="M35" s="64">
        <v>6</v>
      </c>
      <c r="N35" s="64" t="s">
        <v>441</v>
      </c>
      <c r="O35" s="64" t="s">
        <v>442</v>
      </c>
      <c r="P35" s="64" t="s">
        <v>443</v>
      </c>
      <c r="Q35" s="64" t="s">
        <v>599</v>
      </c>
      <c r="R35" s="65" t="s">
        <v>445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22" customHeight="1">
      <c r="A36" s="66" t="s">
        <v>138</v>
      </c>
      <c r="B36" s="62" t="s">
        <v>600</v>
      </c>
      <c r="C36" s="62" t="s">
        <v>435</v>
      </c>
      <c r="D36" s="62" t="s">
        <v>436</v>
      </c>
      <c r="E36" s="62" t="s">
        <v>483</v>
      </c>
      <c r="F36" s="62" t="s">
        <v>601</v>
      </c>
      <c r="G36" s="62" t="s">
        <v>439</v>
      </c>
      <c r="H36" s="62" t="s">
        <v>581</v>
      </c>
      <c r="I36" s="62">
        <v>39.915586380000001</v>
      </c>
      <c r="J36" s="62">
        <v>-75.163008579999996</v>
      </c>
      <c r="K36" s="62">
        <v>519</v>
      </c>
      <c r="L36" s="63">
        <v>0.75519999999999998</v>
      </c>
      <c r="M36" s="64">
        <v>5</v>
      </c>
      <c r="N36" s="64" t="s">
        <v>441</v>
      </c>
      <c r="O36" s="64" t="s">
        <v>442</v>
      </c>
      <c r="P36" s="64" t="s">
        <v>443</v>
      </c>
      <c r="Q36" s="64" t="s">
        <v>602</v>
      </c>
      <c r="R36" s="65" t="s">
        <v>445</v>
      </c>
      <c r="S36" s="1"/>
      <c r="T36" s="85" t="s">
        <v>4638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22" customHeight="1">
      <c r="A37" s="66" t="s">
        <v>115</v>
      </c>
      <c r="B37" s="62" t="s">
        <v>603</v>
      </c>
      <c r="C37" s="62" t="s">
        <v>435</v>
      </c>
      <c r="D37" s="62" t="s">
        <v>436</v>
      </c>
      <c r="E37" s="62" t="s">
        <v>483</v>
      </c>
      <c r="F37" s="62" t="s">
        <v>604</v>
      </c>
      <c r="G37" s="62" t="s">
        <v>439</v>
      </c>
      <c r="H37" s="62" t="s">
        <v>585</v>
      </c>
      <c r="I37" s="62">
        <v>39.969677820000001</v>
      </c>
      <c r="J37" s="62">
        <v>-75.173846920000003</v>
      </c>
      <c r="K37" s="62">
        <v>622</v>
      </c>
      <c r="L37" s="63">
        <v>0.53339999999999999</v>
      </c>
      <c r="M37" s="64">
        <v>7</v>
      </c>
      <c r="N37" s="64" t="s">
        <v>441</v>
      </c>
      <c r="O37" s="64" t="s">
        <v>442</v>
      </c>
      <c r="P37" s="64" t="s">
        <v>443</v>
      </c>
      <c r="Q37" s="64" t="s">
        <v>605</v>
      </c>
      <c r="R37" s="65" t="s">
        <v>445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22" customHeight="1">
      <c r="A38" s="66" t="s">
        <v>160</v>
      </c>
      <c r="B38" s="62" t="s">
        <v>606</v>
      </c>
      <c r="C38" s="62" t="s">
        <v>435</v>
      </c>
      <c r="D38" s="62" t="s">
        <v>436</v>
      </c>
      <c r="E38" s="62" t="s">
        <v>483</v>
      </c>
      <c r="F38" s="62" t="s">
        <v>607</v>
      </c>
      <c r="G38" s="62" t="s">
        <v>439</v>
      </c>
      <c r="H38" s="62" t="s">
        <v>608</v>
      </c>
      <c r="I38" s="62">
        <v>39.914698999999999</v>
      </c>
      <c r="J38" s="62">
        <v>-75.176674000000006</v>
      </c>
      <c r="K38" s="62">
        <v>244</v>
      </c>
      <c r="L38" s="63">
        <v>0.81910000000000005</v>
      </c>
      <c r="M38" s="64">
        <v>1</v>
      </c>
      <c r="N38" s="64" t="s">
        <v>441</v>
      </c>
      <c r="O38" s="64" t="s">
        <v>442</v>
      </c>
      <c r="P38" s="64" t="s">
        <v>443</v>
      </c>
      <c r="Q38" s="64" t="s">
        <v>609</v>
      </c>
      <c r="R38" s="65" t="s">
        <v>445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22" customHeight="1">
      <c r="A39" s="66" t="s">
        <v>183</v>
      </c>
      <c r="B39" s="62" t="s">
        <v>610</v>
      </c>
      <c r="C39" s="62" t="s">
        <v>435</v>
      </c>
      <c r="D39" s="62" t="s">
        <v>436</v>
      </c>
      <c r="E39" s="62" t="s">
        <v>483</v>
      </c>
      <c r="F39" s="62" t="s">
        <v>611</v>
      </c>
      <c r="G39" s="62" t="s">
        <v>439</v>
      </c>
      <c r="H39" s="62" t="s">
        <v>612</v>
      </c>
      <c r="I39" s="62">
        <v>39.934637000000002</v>
      </c>
      <c r="J39" s="62">
        <v>-75.170492999999993</v>
      </c>
      <c r="K39" s="62">
        <v>443</v>
      </c>
      <c r="L39" s="63">
        <v>0.76259999999999994</v>
      </c>
      <c r="M39" s="64">
        <v>16</v>
      </c>
      <c r="N39" s="64" t="s">
        <v>441</v>
      </c>
      <c r="O39" s="64" t="s">
        <v>442</v>
      </c>
      <c r="P39" s="64" t="s">
        <v>443</v>
      </c>
      <c r="Q39" s="64" t="s">
        <v>613</v>
      </c>
      <c r="R39" s="65" t="s">
        <v>445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22" customHeight="1">
      <c r="A40" s="66" t="s">
        <v>172</v>
      </c>
      <c r="B40" s="62" t="s">
        <v>614</v>
      </c>
      <c r="C40" s="62" t="s">
        <v>435</v>
      </c>
      <c r="D40" s="62" t="s">
        <v>436</v>
      </c>
      <c r="E40" s="62" t="s">
        <v>437</v>
      </c>
      <c r="F40" s="62" t="s">
        <v>615</v>
      </c>
      <c r="G40" s="62" t="s">
        <v>439</v>
      </c>
      <c r="H40" s="62" t="s">
        <v>585</v>
      </c>
      <c r="I40" s="62">
        <v>39.965049</v>
      </c>
      <c r="J40" s="62">
        <v>-75.162752999999995</v>
      </c>
      <c r="K40" s="62">
        <v>975</v>
      </c>
      <c r="L40" s="63">
        <v>0.76029999999999998</v>
      </c>
      <c r="M40" s="64">
        <v>10</v>
      </c>
      <c r="N40" s="64" t="s">
        <v>441</v>
      </c>
      <c r="O40" s="64" t="s">
        <v>442</v>
      </c>
      <c r="P40" s="64" t="s">
        <v>443</v>
      </c>
      <c r="Q40" s="64" t="s">
        <v>616</v>
      </c>
      <c r="R40" s="65" t="s">
        <v>445</v>
      </c>
      <c r="S40" s="1"/>
      <c r="T40" s="84" t="s">
        <v>45</v>
      </c>
      <c r="U40" s="84" t="s">
        <v>617</v>
      </c>
      <c r="V40" s="84" t="s">
        <v>71</v>
      </c>
      <c r="W40" s="84" t="s">
        <v>618</v>
      </c>
      <c r="X40" s="84" t="s">
        <v>619</v>
      </c>
      <c r="Y40" s="84" t="s">
        <v>620</v>
      </c>
      <c r="Z40" s="84" t="s">
        <v>621</v>
      </c>
      <c r="AA40" s="105" t="s">
        <v>4644</v>
      </c>
      <c r="AB40" s="105" t="s">
        <v>4645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22" customHeight="1">
      <c r="A41" s="66" t="s">
        <v>95</v>
      </c>
      <c r="B41" s="62" t="s">
        <v>622</v>
      </c>
      <c r="C41" s="62" t="s">
        <v>623</v>
      </c>
      <c r="D41" s="62" t="s">
        <v>88</v>
      </c>
      <c r="E41" s="62" t="s">
        <v>624</v>
      </c>
      <c r="F41" s="62" t="s">
        <v>625</v>
      </c>
      <c r="G41" s="62" t="s">
        <v>439</v>
      </c>
      <c r="H41" s="62" t="s">
        <v>626</v>
      </c>
      <c r="I41" s="62">
        <v>39.978133999999997</v>
      </c>
      <c r="J41" s="62">
        <v>-75.177657999999994</v>
      </c>
      <c r="K41" s="62">
        <v>49</v>
      </c>
      <c r="L41" s="63"/>
      <c r="M41" s="64">
        <v>12</v>
      </c>
      <c r="N41" s="64" t="s">
        <v>441</v>
      </c>
      <c r="O41" s="64" t="s">
        <v>442</v>
      </c>
      <c r="P41" s="64" t="s">
        <v>443</v>
      </c>
      <c r="Q41" s="64" t="s">
        <v>627</v>
      </c>
      <c r="R41" s="65" t="s">
        <v>445</v>
      </c>
      <c r="S41" s="1"/>
      <c r="T41" s="84" t="s">
        <v>225</v>
      </c>
      <c r="U41" s="84" t="s">
        <v>628</v>
      </c>
      <c r="V41" s="84" t="s">
        <v>629</v>
      </c>
      <c r="W41" s="84" t="s">
        <v>475</v>
      </c>
      <c r="X41" s="84" t="s">
        <v>475</v>
      </c>
      <c r="Y41" s="84" t="s">
        <v>630</v>
      </c>
      <c r="Z41" s="84" t="s">
        <v>630</v>
      </c>
      <c r="AA41" s="108"/>
      <c r="AB41" s="108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22" customHeight="1">
      <c r="A42" s="66" t="s">
        <v>365</v>
      </c>
      <c r="B42" s="62" t="s">
        <v>631</v>
      </c>
      <c r="C42" s="62" t="s">
        <v>435</v>
      </c>
      <c r="D42" s="62" t="s">
        <v>436</v>
      </c>
      <c r="E42" s="62" t="s">
        <v>490</v>
      </c>
      <c r="F42" s="62" t="s">
        <v>632</v>
      </c>
      <c r="G42" s="62" t="s">
        <v>439</v>
      </c>
      <c r="H42" s="62" t="s">
        <v>608</v>
      </c>
      <c r="I42" s="62">
        <v>39.925058999999997</v>
      </c>
      <c r="J42" s="62">
        <v>-75.176610999999994</v>
      </c>
      <c r="K42" s="62">
        <v>304</v>
      </c>
      <c r="L42" s="63">
        <v>0.84109999999999996</v>
      </c>
      <c r="M42" s="64">
        <v>12</v>
      </c>
      <c r="N42" s="64" t="s">
        <v>441</v>
      </c>
      <c r="O42" s="64" t="s">
        <v>442</v>
      </c>
      <c r="P42" s="64" t="s">
        <v>443</v>
      </c>
      <c r="Q42" s="64" t="s">
        <v>633</v>
      </c>
      <c r="R42" s="65" t="s">
        <v>445</v>
      </c>
      <c r="S42" s="1"/>
      <c r="T42" s="84" t="s">
        <v>399</v>
      </c>
      <c r="U42" s="84" t="s">
        <v>634</v>
      </c>
      <c r="V42" s="84" t="s">
        <v>635</v>
      </c>
      <c r="W42" s="84" t="s">
        <v>475</v>
      </c>
      <c r="X42" s="84" t="s">
        <v>475</v>
      </c>
      <c r="Y42" s="84" t="s">
        <v>630</v>
      </c>
      <c r="Z42" s="84" t="s">
        <v>630</v>
      </c>
      <c r="AA42" s="108"/>
      <c r="AB42" s="108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22" customHeight="1">
      <c r="A43" s="66" t="s">
        <v>179</v>
      </c>
      <c r="B43" s="62" t="s">
        <v>636</v>
      </c>
      <c r="C43" s="62" t="s">
        <v>435</v>
      </c>
      <c r="D43" s="62" t="s">
        <v>436</v>
      </c>
      <c r="E43" s="62" t="s">
        <v>483</v>
      </c>
      <c r="F43" s="62" t="s">
        <v>637</v>
      </c>
      <c r="G43" s="62" t="s">
        <v>439</v>
      </c>
      <c r="H43" s="62" t="s">
        <v>638</v>
      </c>
      <c r="I43" s="62">
        <v>39.944634999999998</v>
      </c>
      <c r="J43" s="62">
        <v>-75.153180000000006</v>
      </c>
      <c r="K43" s="62">
        <v>667</v>
      </c>
      <c r="L43" s="63">
        <v>0.40089999999999998</v>
      </c>
      <c r="M43" s="64">
        <v>7</v>
      </c>
      <c r="N43" s="64" t="s">
        <v>441</v>
      </c>
      <c r="O43" s="64" t="s">
        <v>442</v>
      </c>
      <c r="P43" s="64" t="s">
        <v>443</v>
      </c>
      <c r="Q43" s="64" t="s">
        <v>639</v>
      </c>
      <c r="R43" s="65" t="s">
        <v>445</v>
      </c>
      <c r="S43" s="1"/>
      <c r="T43" s="84" t="s">
        <v>203</v>
      </c>
      <c r="U43" s="84" t="s">
        <v>640</v>
      </c>
      <c r="V43" s="84" t="s">
        <v>641</v>
      </c>
      <c r="W43" s="84" t="s">
        <v>475</v>
      </c>
      <c r="X43" s="84" t="s">
        <v>475</v>
      </c>
      <c r="Y43" s="84" t="s">
        <v>630</v>
      </c>
      <c r="Z43" s="84" t="s">
        <v>630</v>
      </c>
      <c r="AA43" s="108"/>
      <c r="AB43" s="108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22" customHeight="1">
      <c r="A44" s="66" t="s">
        <v>140</v>
      </c>
      <c r="B44" s="62" t="s">
        <v>642</v>
      </c>
      <c r="C44" s="62" t="s">
        <v>435</v>
      </c>
      <c r="D44" s="62" t="s">
        <v>436</v>
      </c>
      <c r="E44" s="62" t="s">
        <v>483</v>
      </c>
      <c r="F44" s="62" t="s">
        <v>643</v>
      </c>
      <c r="G44" s="62" t="s">
        <v>439</v>
      </c>
      <c r="H44" s="62" t="s">
        <v>608</v>
      </c>
      <c r="I44" s="62">
        <v>39.929592</v>
      </c>
      <c r="J44" s="62">
        <v>-75.181792999999999</v>
      </c>
      <c r="K44" s="62">
        <v>240</v>
      </c>
      <c r="L44" s="63">
        <v>0.85470000000000002</v>
      </c>
      <c r="M44" s="64">
        <v>11</v>
      </c>
      <c r="N44" s="64" t="s">
        <v>441</v>
      </c>
      <c r="O44" s="64" t="s">
        <v>442</v>
      </c>
      <c r="P44" s="64" t="s">
        <v>443</v>
      </c>
      <c r="Q44" s="64" t="s">
        <v>644</v>
      </c>
      <c r="R44" s="65" t="s">
        <v>445</v>
      </c>
      <c r="S44" s="1"/>
      <c r="T44" s="84" t="s">
        <v>315</v>
      </c>
      <c r="U44" s="84" t="s">
        <v>645</v>
      </c>
      <c r="V44" s="84" t="s">
        <v>646</v>
      </c>
      <c r="W44" s="84" t="s">
        <v>475</v>
      </c>
      <c r="X44" s="84" t="s">
        <v>475</v>
      </c>
      <c r="Y44" s="84" t="s">
        <v>630</v>
      </c>
      <c r="Z44" s="84" t="s">
        <v>630</v>
      </c>
      <c r="AA44" s="108"/>
      <c r="AB44" s="108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22" customHeight="1">
      <c r="A45" s="66" t="s">
        <v>410</v>
      </c>
      <c r="B45" s="62" t="s">
        <v>647</v>
      </c>
      <c r="C45" s="62" t="s">
        <v>435</v>
      </c>
      <c r="D45" s="62" t="s">
        <v>88</v>
      </c>
      <c r="E45" s="62" t="s">
        <v>483</v>
      </c>
      <c r="F45" s="62" t="s">
        <v>648</v>
      </c>
      <c r="G45" s="62" t="s">
        <v>439</v>
      </c>
      <c r="H45" s="62" t="s">
        <v>589</v>
      </c>
      <c r="I45" s="62">
        <v>39.93974936</v>
      </c>
      <c r="J45" s="62">
        <v>-75.151133389999998</v>
      </c>
      <c r="K45" s="62">
        <v>579</v>
      </c>
      <c r="L45" s="63">
        <v>0.15390000000000001</v>
      </c>
      <c r="M45" s="64">
        <v>6</v>
      </c>
      <c r="N45" s="64" t="s">
        <v>441</v>
      </c>
      <c r="O45" s="64" t="s">
        <v>442</v>
      </c>
      <c r="P45" s="64" t="s">
        <v>443</v>
      </c>
      <c r="Q45" s="64" t="s">
        <v>649</v>
      </c>
      <c r="R45" s="65" t="s">
        <v>445</v>
      </c>
      <c r="S45" s="1"/>
      <c r="T45" s="84" t="s">
        <v>409</v>
      </c>
      <c r="U45" s="84" t="s">
        <v>650</v>
      </c>
      <c r="V45" s="84" t="s">
        <v>651</v>
      </c>
      <c r="W45" s="84" t="s">
        <v>475</v>
      </c>
      <c r="X45" s="84" t="s">
        <v>475</v>
      </c>
      <c r="Y45" s="84" t="s">
        <v>630</v>
      </c>
      <c r="Z45" s="84" t="s">
        <v>630</v>
      </c>
      <c r="AA45" s="108"/>
      <c r="AB45" s="108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22" customHeight="1">
      <c r="A46" s="66" t="s">
        <v>342</v>
      </c>
      <c r="B46" s="62" t="s">
        <v>652</v>
      </c>
      <c r="C46" s="62" t="s">
        <v>435</v>
      </c>
      <c r="D46" s="62" t="s">
        <v>436</v>
      </c>
      <c r="E46" s="62" t="s">
        <v>483</v>
      </c>
      <c r="F46" s="62" t="s">
        <v>653</v>
      </c>
      <c r="G46" s="62" t="s">
        <v>439</v>
      </c>
      <c r="H46" s="62" t="s">
        <v>626</v>
      </c>
      <c r="I46" s="62">
        <v>39.975439000000001</v>
      </c>
      <c r="J46" s="62">
        <v>-75.178659999999994</v>
      </c>
      <c r="K46" s="62">
        <v>216</v>
      </c>
      <c r="L46" s="63">
        <v>0.90229999999999999</v>
      </c>
      <c r="M46" s="64">
        <v>9</v>
      </c>
      <c r="N46" s="64" t="s">
        <v>441</v>
      </c>
      <c r="O46" s="64" t="s">
        <v>442</v>
      </c>
      <c r="P46" s="64" t="s">
        <v>443</v>
      </c>
      <c r="Q46" s="64" t="s">
        <v>654</v>
      </c>
      <c r="R46" s="65" t="s">
        <v>445</v>
      </c>
      <c r="S46" s="1"/>
      <c r="T46" s="84" t="s">
        <v>413</v>
      </c>
      <c r="U46" s="84" t="s">
        <v>655</v>
      </c>
      <c r="V46" s="84" t="s">
        <v>656</v>
      </c>
      <c r="W46" s="84" t="s">
        <v>475</v>
      </c>
      <c r="X46" s="84" t="s">
        <v>475</v>
      </c>
      <c r="Y46" s="84" t="s">
        <v>630</v>
      </c>
      <c r="Z46" s="84" t="s">
        <v>630</v>
      </c>
      <c r="AA46" s="108"/>
      <c r="AB46" s="108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22" customHeight="1">
      <c r="A47" s="66" t="s">
        <v>188</v>
      </c>
      <c r="B47" s="62" t="s">
        <v>657</v>
      </c>
      <c r="C47" s="62" t="s">
        <v>435</v>
      </c>
      <c r="D47" s="62" t="s">
        <v>436</v>
      </c>
      <c r="E47" s="62" t="s">
        <v>594</v>
      </c>
      <c r="F47" s="62" t="s">
        <v>658</v>
      </c>
      <c r="G47" s="62" t="s">
        <v>439</v>
      </c>
      <c r="H47" s="62" t="s">
        <v>608</v>
      </c>
      <c r="I47" s="62">
        <v>39.92210463</v>
      </c>
      <c r="J47" s="62">
        <v>-75.182564389999996</v>
      </c>
      <c r="K47" s="62">
        <v>666</v>
      </c>
      <c r="L47" s="63"/>
      <c r="M47" s="64">
        <v>7</v>
      </c>
      <c r="N47" s="64" t="s">
        <v>441</v>
      </c>
      <c r="O47" s="64" t="s">
        <v>442</v>
      </c>
      <c r="P47" s="64" t="s">
        <v>443</v>
      </c>
      <c r="Q47" s="64" t="s">
        <v>659</v>
      </c>
      <c r="R47" s="65" t="s">
        <v>445</v>
      </c>
      <c r="S47" s="1"/>
      <c r="T47" s="84" t="s">
        <v>290</v>
      </c>
      <c r="U47" s="84" t="s">
        <v>660</v>
      </c>
      <c r="V47" s="84" t="s">
        <v>661</v>
      </c>
      <c r="W47" s="84" t="s">
        <v>475</v>
      </c>
      <c r="X47" s="84" t="s">
        <v>475</v>
      </c>
      <c r="Y47" s="84" t="s">
        <v>630</v>
      </c>
      <c r="Z47" s="84" t="s">
        <v>630</v>
      </c>
      <c r="AA47" s="108"/>
      <c r="AB47" s="108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22" customHeight="1">
      <c r="A48" s="66" t="s">
        <v>148</v>
      </c>
      <c r="B48" s="62" t="s">
        <v>662</v>
      </c>
      <c r="C48" s="62" t="s">
        <v>435</v>
      </c>
      <c r="D48" s="62" t="s">
        <v>436</v>
      </c>
      <c r="E48" s="62" t="s">
        <v>483</v>
      </c>
      <c r="F48" s="62" t="s">
        <v>663</v>
      </c>
      <c r="G48" s="62" t="s">
        <v>439</v>
      </c>
      <c r="H48" s="62" t="s">
        <v>612</v>
      </c>
      <c r="I48" s="62">
        <v>39.940503</v>
      </c>
      <c r="J48" s="62">
        <v>-75.171017000000006</v>
      </c>
      <c r="K48" s="62">
        <v>316</v>
      </c>
      <c r="L48" s="63">
        <v>0.64970000000000006</v>
      </c>
      <c r="M48" s="64">
        <v>15</v>
      </c>
      <c r="N48" s="64" t="s">
        <v>441</v>
      </c>
      <c r="O48" s="64" t="s">
        <v>442</v>
      </c>
      <c r="P48" s="64" t="s">
        <v>443</v>
      </c>
      <c r="Q48" s="64" t="s">
        <v>664</v>
      </c>
      <c r="R48" s="65" t="s">
        <v>445</v>
      </c>
      <c r="S48" s="1"/>
      <c r="T48" s="84" t="s">
        <v>224</v>
      </c>
      <c r="U48" s="84" t="s">
        <v>665</v>
      </c>
      <c r="V48" s="84" t="s">
        <v>666</v>
      </c>
      <c r="W48" s="84" t="s">
        <v>475</v>
      </c>
      <c r="X48" s="84" t="s">
        <v>475</v>
      </c>
      <c r="Y48" s="84" t="s">
        <v>630</v>
      </c>
      <c r="Z48" s="84" t="s">
        <v>630</v>
      </c>
      <c r="AA48" s="108"/>
      <c r="AB48" s="108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22" customHeight="1">
      <c r="A49" s="66" t="s">
        <v>100</v>
      </c>
      <c r="B49" s="62" t="s">
        <v>667</v>
      </c>
      <c r="C49" s="62" t="s">
        <v>435</v>
      </c>
      <c r="D49" s="62" t="s">
        <v>88</v>
      </c>
      <c r="E49" s="62" t="s">
        <v>483</v>
      </c>
      <c r="F49" s="62" t="s">
        <v>668</v>
      </c>
      <c r="G49" s="62" t="s">
        <v>439</v>
      </c>
      <c r="H49" s="62" t="s">
        <v>669</v>
      </c>
      <c r="I49" s="62">
        <v>39.95227234</v>
      </c>
      <c r="J49" s="62">
        <v>-75.177392060000003</v>
      </c>
      <c r="K49" s="62">
        <v>757</v>
      </c>
      <c r="L49" s="63">
        <v>0.15759999999999999</v>
      </c>
      <c r="M49" s="64">
        <v>5</v>
      </c>
      <c r="N49" s="64" t="s">
        <v>441</v>
      </c>
      <c r="O49" s="64" t="s">
        <v>442</v>
      </c>
      <c r="P49" s="64" t="s">
        <v>443</v>
      </c>
      <c r="Q49" s="64" t="s">
        <v>670</v>
      </c>
      <c r="R49" s="65" t="s">
        <v>445</v>
      </c>
      <c r="S49" s="1"/>
      <c r="T49" s="84" t="s">
        <v>401</v>
      </c>
      <c r="U49" s="84" t="s">
        <v>671</v>
      </c>
      <c r="V49" s="84" t="s">
        <v>672</v>
      </c>
      <c r="W49" s="84" t="s">
        <v>475</v>
      </c>
      <c r="X49" s="84" t="s">
        <v>475</v>
      </c>
      <c r="Y49" s="84" t="s">
        <v>630</v>
      </c>
      <c r="Z49" s="84" t="s">
        <v>630</v>
      </c>
      <c r="AA49" s="108"/>
      <c r="AB49" s="108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22" customHeight="1">
      <c r="A50" s="66" t="s">
        <v>262</v>
      </c>
      <c r="B50" s="62" t="s">
        <v>673</v>
      </c>
      <c r="C50" s="62" t="s">
        <v>435</v>
      </c>
      <c r="D50" s="62" t="s">
        <v>436</v>
      </c>
      <c r="E50" s="62" t="s">
        <v>483</v>
      </c>
      <c r="F50" s="62" t="s">
        <v>674</v>
      </c>
      <c r="G50" s="62" t="s">
        <v>439</v>
      </c>
      <c r="H50" s="62" t="s">
        <v>612</v>
      </c>
      <c r="I50" s="62">
        <v>39.941900830000002</v>
      </c>
      <c r="J50" s="62">
        <v>-75.175698819999994</v>
      </c>
      <c r="K50" s="62">
        <v>348</v>
      </c>
      <c r="L50" s="63">
        <v>0.41089999999999999</v>
      </c>
      <c r="M50" s="64">
        <v>16</v>
      </c>
      <c r="N50" s="64" t="s">
        <v>441</v>
      </c>
      <c r="O50" s="64" t="s">
        <v>442</v>
      </c>
      <c r="P50" s="64" t="s">
        <v>443</v>
      </c>
      <c r="Q50" s="64" t="s">
        <v>675</v>
      </c>
      <c r="R50" s="65" t="s">
        <v>445</v>
      </c>
      <c r="S50" s="1"/>
      <c r="T50" s="84" t="s">
        <v>238</v>
      </c>
      <c r="U50" s="84" t="s">
        <v>676</v>
      </c>
      <c r="V50" s="84" t="s">
        <v>677</v>
      </c>
      <c r="W50" s="84" t="s">
        <v>475</v>
      </c>
      <c r="X50" s="84" t="s">
        <v>475</v>
      </c>
      <c r="Y50" s="84" t="s">
        <v>630</v>
      </c>
      <c r="Z50" s="84" t="s">
        <v>630</v>
      </c>
      <c r="AA50" s="108"/>
      <c r="AB50" s="108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22" customHeight="1">
      <c r="A51" s="66" t="s">
        <v>258</v>
      </c>
      <c r="B51" s="62" t="s">
        <v>678</v>
      </c>
      <c r="C51" s="62" t="s">
        <v>435</v>
      </c>
      <c r="D51" s="62" t="s">
        <v>436</v>
      </c>
      <c r="E51" s="62" t="s">
        <v>483</v>
      </c>
      <c r="F51" s="62" t="s">
        <v>679</v>
      </c>
      <c r="G51" s="62" t="s">
        <v>439</v>
      </c>
      <c r="H51" s="62" t="s">
        <v>585</v>
      </c>
      <c r="I51" s="62">
        <v>39.964919389999999</v>
      </c>
      <c r="J51" s="62">
        <v>-75.167700600000003</v>
      </c>
      <c r="K51" s="62">
        <v>170</v>
      </c>
      <c r="L51" s="63">
        <v>0.79159999999999997</v>
      </c>
      <c r="M51" s="64">
        <v>9</v>
      </c>
      <c r="N51" s="64" t="s">
        <v>441</v>
      </c>
      <c r="O51" s="64" t="s">
        <v>442</v>
      </c>
      <c r="P51" s="64" t="s">
        <v>443</v>
      </c>
      <c r="Q51" s="64" t="s">
        <v>680</v>
      </c>
      <c r="R51" s="65" t="s">
        <v>445</v>
      </c>
      <c r="S51" s="1"/>
      <c r="T51" s="84" t="s">
        <v>119</v>
      </c>
      <c r="U51" s="84" t="s">
        <v>681</v>
      </c>
      <c r="V51" s="84" t="s">
        <v>682</v>
      </c>
      <c r="W51" s="84" t="s">
        <v>475</v>
      </c>
      <c r="X51" s="84" t="s">
        <v>475</v>
      </c>
      <c r="Y51" s="84" t="s">
        <v>630</v>
      </c>
      <c r="Z51" s="84" t="s">
        <v>630</v>
      </c>
      <c r="AA51" s="108"/>
      <c r="AB51" s="108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22" customHeight="1">
      <c r="A52" s="66" t="s">
        <v>161</v>
      </c>
      <c r="B52" s="62" t="s">
        <v>683</v>
      </c>
      <c r="C52" s="62" t="s">
        <v>435</v>
      </c>
      <c r="D52" s="62" t="s">
        <v>436</v>
      </c>
      <c r="E52" s="62" t="s">
        <v>483</v>
      </c>
      <c r="F52" s="62" t="s">
        <v>684</v>
      </c>
      <c r="G52" s="62" t="s">
        <v>439</v>
      </c>
      <c r="H52" s="62" t="s">
        <v>589</v>
      </c>
      <c r="I52" s="62">
        <v>39.934623000000002</v>
      </c>
      <c r="J52" s="62">
        <v>-75.163481000000004</v>
      </c>
      <c r="K52" s="62">
        <v>541</v>
      </c>
      <c r="L52" s="63">
        <v>0.45639999999999997</v>
      </c>
      <c r="M52" s="64">
        <v>11</v>
      </c>
      <c r="N52" s="64" t="s">
        <v>441</v>
      </c>
      <c r="O52" s="64" t="s">
        <v>442</v>
      </c>
      <c r="P52" s="64" t="s">
        <v>443</v>
      </c>
      <c r="Q52" s="64" t="s">
        <v>685</v>
      </c>
      <c r="R52" s="65" t="s">
        <v>445</v>
      </c>
      <c r="S52" s="1"/>
      <c r="T52" s="84" t="s">
        <v>349</v>
      </c>
      <c r="U52" s="84" t="s">
        <v>686</v>
      </c>
      <c r="V52" s="84" t="s">
        <v>687</v>
      </c>
      <c r="W52" s="84" t="s">
        <v>475</v>
      </c>
      <c r="X52" s="84" t="s">
        <v>475</v>
      </c>
      <c r="Y52" s="84" t="s">
        <v>630</v>
      </c>
      <c r="Z52" s="84" t="s">
        <v>630</v>
      </c>
      <c r="AA52" s="108"/>
      <c r="AB52" s="108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22" customHeight="1">
      <c r="A53" s="66" t="s">
        <v>92</v>
      </c>
      <c r="B53" s="62" t="s">
        <v>688</v>
      </c>
      <c r="C53" s="62" t="s">
        <v>435</v>
      </c>
      <c r="D53" s="62" t="s">
        <v>436</v>
      </c>
      <c r="E53" s="62" t="s">
        <v>490</v>
      </c>
      <c r="F53" s="62" t="s">
        <v>689</v>
      </c>
      <c r="G53" s="62" t="s">
        <v>439</v>
      </c>
      <c r="H53" s="62" t="s">
        <v>581</v>
      </c>
      <c r="I53" s="62">
        <v>39.918773000000002</v>
      </c>
      <c r="J53" s="62">
        <v>-75.168367000000003</v>
      </c>
      <c r="K53" s="62">
        <v>272</v>
      </c>
      <c r="L53" s="63">
        <v>0.61899999999999999</v>
      </c>
      <c r="M53" s="64">
        <v>6</v>
      </c>
      <c r="N53" s="64" t="s">
        <v>441</v>
      </c>
      <c r="O53" s="64" t="s">
        <v>442</v>
      </c>
      <c r="P53" s="64" t="s">
        <v>443</v>
      </c>
      <c r="Q53" s="64" t="s">
        <v>690</v>
      </c>
      <c r="R53" s="65" t="s">
        <v>445</v>
      </c>
      <c r="S53" s="1"/>
      <c r="T53" s="84" t="s">
        <v>107</v>
      </c>
      <c r="U53" s="84" t="s">
        <v>691</v>
      </c>
      <c r="V53" s="84" t="s">
        <v>692</v>
      </c>
      <c r="W53" s="84" t="s">
        <v>475</v>
      </c>
      <c r="X53" s="84" t="s">
        <v>475</v>
      </c>
      <c r="Y53" s="84" t="s">
        <v>630</v>
      </c>
      <c r="Z53" s="84" t="s">
        <v>630</v>
      </c>
      <c r="AA53" s="108"/>
      <c r="AB53" s="108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22" customHeight="1">
      <c r="A54" s="66" t="s">
        <v>325</v>
      </c>
      <c r="B54" s="62" t="s">
        <v>693</v>
      </c>
      <c r="C54" s="62" t="s">
        <v>435</v>
      </c>
      <c r="D54" s="62" t="s">
        <v>436</v>
      </c>
      <c r="E54" s="62" t="s">
        <v>624</v>
      </c>
      <c r="F54" s="62" t="s">
        <v>694</v>
      </c>
      <c r="G54" s="62" t="s">
        <v>439</v>
      </c>
      <c r="H54" s="62" t="s">
        <v>450</v>
      </c>
      <c r="I54" s="62">
        <v>39.961365649999998</v>
      </c>
      <c r="J54" s="62">
        <v>-75.215726239999995</v>
      </c>
      <c r="K54" s="62">
        <v>124</v>
      </c>
      <c r="L54" s="63"/>
      <c r="M54" s="64">
        <v>14</v>
      </c>
      <c r="N54" s="64" t="s">
        <v>441</v>
      </c>
      <c r="O54" s="64" t="s">
        <v>442</v>
      </c>
      <c r="P54" s="64" t="s">
        <v>443</v>
      </c>
      <c r="Q54" s="64" t="s">
        <v>627</v>
      </c>
      <c r="R54" s="65" t="s">
        <v>445</v>
      </c>
      <c r="S54" s="1"/>
      <c r="T54" s="84" t="s">
        <v>114</v>
      </c>
      <c r="U54" s="84" t="s">
        <v>695</v>
      </c>
      <c r="V54" s="84" t="s">
        <v>696</v>
      </c>
      <c r="W54" s="84" t="s">
        <v>475</v>
      </c>
      <c r="X54" s="84" t="s">
        <v>475</v>
      </c>
      <c r="Y54" s="84" t="s">
        <v>630</v>
      </c>
      <c r="Z54" s="84" t="s">
        <v>630</v>
      </c>
      <c r="AA54" s="108"/>
      <c r="AB54" s="108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22" customHeight="1">
      <c r="A55" s="66" t="s">
        <v>170</v>
      </c>
      <c r="B55" s="62" t="s">
        <v>697</v>
      </c>
      <c r="C55" s="62" t="s">
        <v>435</v>
      </c>
      <c r="D55" s="62" t="s">
        <v>436</v>
      </c>
      <c r="E55" s="62" t="s">
        <v>490</v>
      </c>
      <c r="F55" s="62" t="s">
        <v>698</v>
      </c>
      <c r="G55" s="62" t="s">
        <v>439</v>
      </c>
      <c r="H55" s="62" t="s">
        <v>581</v>
      </c>
      <c r="I55" s="62">
        <v>39.921385700000002</v>
      </c>
      <c r="J55" s="62">
        <v>-75.160196099999993</v>
      </c>
      <c r="K55" s="62">
        <v>349</v>
      </c>
      <c r="L55" s="63">
        <v>0.80740000000000001</v>
      </c>
      <c r="M55" s="64">
        <v>6</v>
      </c>
      <c r="N55" s="64" t="s">
        <v>441</v>
      </c>
      <c r="O55" s="64" t="s">
        <v>442</v>
      </c>
      <c r="P55" s="64" t="s">
        <v>443</v>
      </c>
      <c r="Q55" s="64" t="s">
        <v>699</v>
      </c>
      <c r="R55" s="65" t="s">
        <v>445</v>
      </c>
      <c r="S55" s="1"/>
      <c r="T55" s="84" t="s">
        <v>199</v>
      </c>
      <c r="U55" s="84" t="s">
        <v>700</v>
      </c>
      <c r="V55" s="84" t="s">
        <v>701</v>
      </c>
      <c r="W55" s="84" t="s">
        <v>475</v>
      </c>
      <c r="X55" s="84" t="s">
        <v>475</v>
      </c>
      <c r="Y55" s="84" t="s">
        <v>630</v>
      </c>
      <c r="Z55" s="84" t="s">
        <v>630</v>
      </c>
      <c r="AA55" s="108"/>
      <c r="AB55" s="108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22" customHeight="1">
      <c r="A56" s="66" t="s">
        <v>151</v>
      </c>
      <c r="B56" s="62" t="s">
        <v>702</v>
      </c>
      <c r="C56" s="62" t="s">
        <v>435</v>
      </c>
      <c r="D56" s="62" t="s">
        <v>436</v>
      </c>
      <c r="E56" s="62" t="s">
        <v>483</v>
      </c>
      <c r="F56" s="62" t="s">
        <v>703</v>
      </c>
      <c r="G56" s="62" t="s">
        <v>439</v>
      </c>
      <c r="H56" s="62" t="s">
        <v>589</v>
      </c>
      <c r="I56" s="62">
        <v>39.930019999999999</v>
      </c>
      <c r="J56" s="62">
        <v>-75.156465999999995</v>
      </c>
      <c r="K56" s="62">
        <v>481</v>
      </c>
      <c r="L56" s="63">
        <v>0.77159999999999995</v>
      </c>
      <c r="M56" s="64">
        <v>9</v>
      </c>
      <c r="N56" s="64" t="s">
        <v>441</v>
      </c>
      <c r="O56" s="64" t="s">
        <v>442</v>
      </c>
      <c r="P56" s="64" t="s">
        <v>443</v>
      </c>
      <c r="Q56" s="64" t="s">
        <v>704</v>
      </c>
      <c r="R56" s="65" t="s">
        <v>445</v>
      </c>
      <c r="S56" s="1"/>
      <c r="T56" s="84" t="s">
        <v>402</v>
      </c>
      <c r="U56" s="84" t="s">
        <v>705</v>
      </c>
      <c r="V56" s="84" t="s">
        <v>706</v>
      </c>
      <c r="W56" s="84" t="s">
        <v>475</v>
      </c>
      <c r="X56" s="84" t="s">
        <v>475</v>
      </c>
      <c r="Y56" s="84" t="s">
        <v>630</v>
      </c>
      <c r="Z56" s="84" t="s">
        <v>630</v>
      </c>
      <c r="AA56" s="108"/>
      <c r="AB56" s="108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22" customHeight="1">
      <c r="A57" s="66" t="s">
        <v>184</v>
      </c>
      <c r="B57" s="62" t="s">
        <v>707</v>
      </c>
      <c r="C57" s="62" t="s">
        <v>435</v>
      </c>
      <c r="D57" s="62" t="s">
        <v>436</v>
      </c>
      <c r="E57" s="62" t="s">
        <v>483</v>
      </c>
      <c r="F57" s="62" t="s">
        <v>708</v>
      </c>
      <c r="G57" s="62" t="s">
        <v>439</v>
      </c>
      <c r="H57" s="62" t="s">
        <v>589</v>
      </c>
      <c r="I57" s="62">
        <v>39.936694000000003</v>
      </c>
      <c r="J57" s="62">
        <v>-75.153829999999999</v>
      </c>
      <c r="K57" s="62">
        <v>399</v>
      </c>
      <c r="L57" s="63">
        <v>0.62619999999999998</v>
      </c>
      <c r="M57" s="64">
        <v>8</v>
      </c>
      <c r="N57" s="64" t="s">
        <v>441</v>
      </c>
      <c r="O57" s="64" t="s">
        <v>442</v>
      </c>
      <c r="P57" s="64" t="s">
        <v>443</v>
      </c>
      <c r="Q57" s="64" t="s">
        <v>709</v>
      </c>
      <c r="R57" s="65" t="s">
        <v>445</v>
      </c>
      <c r="S57" s="1"/>
      <c r="T57" s="84" t="s">
        <v>289</v>
      </c>
      <c r="U57" s="84" t="s">
        <v>710</v>
      </c>
      <c r="V57" s="84" t="s">
        <v>711</v>
      </c>
      <c r="W57" s="84" t="s">
        <v>475</v>
      </c>
      <c r="X57" s="84" t="s">
        <v>475</v>
      </c>
      <c r="Y57" s="84" t="s">
        <v>630</v>
      </c>
      <c r="Z57" s="84" t="s">
        <v>630</v>
      </c>
      <c r="AA57" s="108"/>
      <c r="AB57" s="108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22" customHeight="1">
      <c r="A58" s="66" t="s">
        <v>93</v>
      </c>
      <c r="B58" s="62" t="s">
        <v>712</v>
      </c>
      <c r="C58" s="62" t="s">
        <v>435</v>
      </c>
      <c r="D58" s="62" t="s">
        <v>436</v>
      </c>
      <c r="E58" s="62" t="s">
        <v>437</v>
      </c>
      <c r="F58" s="62" t="s">
        <v>713</v>
      </c>
      <c r="G58" s="62" t="s">
        <v>439</v>
      </c>
      <c r="H58" s="62" t="s">
        <v>589</v>
      </c>
      <c r="I58" s="62">
        <v>39.940197869999999</v>
      </c>
      <c r="J58" s="62">
        <v>-75.161949149999998</v>
      </c>
      <c r="K58" s="62">
        <v>1242</v>
      </c>
      <c r="L58" s="63">
        <v>0.5998</v>
      </c>
      <c r="M58" s="64">
        <v>11</v>
      </c>
      <c r="N58" s="64" t="s">
        <v>441</v>
      </c>
      <c r="O58" s="64" t="s">
        <v>442</v>
      </c>
      <c r="P58" s="64" t="s">
        <v>443</v>
      </c>
      <c r="Q58" s="64" t="s">
        <v>714</v>
      </c>
      <c r="R58" s="65" t="s">
        <v>445</v>
      </c>
      <c r="S58" s="1"/>
      <c r="T58" s="84" t="s">
        <v>348</v>
      </c>
      <c r="U58" s="84" t="s">
        <v>715</v>
      </c>
      <c r="V58" s="84" t="s">
        <v>716</v>
      </c>
      <c r="W58" s="84" t="s">
        <v>475</v>
      </c>
      <c r="X58" s="84" t="s">
        <v>475</v>
      </c>
      <c r="Y58" s="84" t="s">
        <v>630</v>
      </c>
      <c r="Z58" s="84" t="s">
        <v>630</v>
      </c>
      <c r="AA58" s="108"/>
      <c r="AB58" s="108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22" customHeight="1">
      <c r="A59" s="66" t="s">
        <v>185</v>
      </c>
      <c r="B59" s="62" t="s">
        <v>717</v>
      </c>
      <c r="C59" s="62" t="s">
        <v>435</v>
      </c>
      <c r="D59" s="62" t="s">
        <v>436</v>
      </c>
      <c r="E59" s="62" t="s">
        <v>483</v>
      </c>
      <c r="F59" s="62" t="s">
        <v>718</v>
      </c>
      <c r="G59" s="62" t="s">
        <v>439</v>
      </c>
      <c r="H59" s="62" t="s">
        <v>581</v>
      </c>
      <c r="I59" s="62">
        <v>39.919357140000002</v>
      </c>
      <c r="J59" s="62">
        <v>-75.150550530000004</v>
      </c>
      <c r="K59" s="62">
        <v>317</v>
      </c>
      <c r="L59" s="63">
        <v>0.79769999999999996</v>
      </c>
      <c r="M59" s="64">
        <v>4</v>
      </c>
      <c r="N59" s="64" t="s">
        <v>441</v>
      </c>
      <c r="O59" s="64" t="s">
        <v>442</v>
      </c>
      <c r="P59" s="64" t="s">
        <v>443</v>
      </c>
      <c r="Q59" s="64" t="s">
        <v>719</v>
      </c>
      <c r="R59" s="65" t="s">
        <v>445</v>
      </c>
      <c r="S59" s="1"/>
      <c r="T59" s="84" t="s">
        <v>382</v>
      </c>
      <c r="U59" s="84" t="s">
        <v>720</v>
      </c>
      <c r="V59" s="84" t="s">
        <v>721</v>
      </c>
      <c r="W59" s="84" t="s">
        <v>475</v>
      </c>
      <c r="X59" s="84" t="s">
        <v>475</v>
      </c>
      <c r="Y59" s="84" t="s">
        <v>630</v>
      </c>
      <c r="Z59" s="84" t="s">
        <v>630</v>
      </c>
      <c r="AA59" s="108"/>
      <c r="AB59" s="108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22" customHeight="1">
      <c r="A60" s="66" t="s">
        <v>361</v>
      </c>
      <c r="B60" s="62" t="s">
        <v>722</v>
      </c>
      <c r="C60" s="62" t="s">
        <v>435</v>
      </c>
      <c r="D60" s="62" t="s">
        <v>436</v>
      </c>
      <c r="E60" s="62" t="s">
        <v>483</v>
      </c>
      <c r="F60" s="62" t="s">
        <v>723</v>
      </c>
      <c r="G60" s="62" t="s">
        <v>439</v>
      </c>
      <c r="H60" s="62" t="s">
        <v>581</v>
      </c>
      <c r="I60" s="62">
        <v>39.92637775</v>
      </c>
      <c r="J60" s="62">
        <v>-75.160531680000005</v>
      </c>
      <c r="K60" s="62">
        <v>889</v>
      </c>
      <c r="L60" s="63">
        <v>0.74780000000000002</v>
      </c>
      <c r="M60" s="64">
        <v>8</v>
      </c>
      <c r="N60" s="64" t="s">
        <v>441</v>
      </c>
      <c r="O60" s="64" t="s">
        <v>442</v>
      </c>
      <c r="P60" s="64" t="s">
        <v>443</v>
      </c>
      <c r="Q60" s="64" t="s">
        <v>724</v>
      </c>
      <c r="R60" s="65" t="s">
        <v>445</v>
      </c>
      <c r="S60" s="1"/>
      <c r="T60" s="84" t="s">
        <v>353</v>
      </c>
      <c r="U60" s="84" t="s">
        <v>725</v>
      </c>
      <c r="V60" s="84" t="s">
        <v>726</v>
      </c>
      <c r="W60" s="84" t="s">
        <v>475</v>
      </c>
      <c r="X60" s="84" t="s">
        <v>475</v>
      </c>
      <c r="Y60" s="84" t="s">
        <v>630</v>
      </c>
      <c r="Z60" s="84" t="s">
        <v>630</v>
      </c>
      <c r="AA60" s="108"/>
      <c r="AB60" s="108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22" customHeight="1">
      <c r="A61" s="66" t="s">
        <v>355</v>
      </c>
      <c r="B61" s="62" t="s">
        <v>727</v>
      </c>
      <c r="C61" s="62" t="s">
        <v>435</v>
      </c>
      <c r="D61" s="62" t="s">
        <v>436</v>
      </c>
      <c r="E61" s="62" t="s">
        <v>437</v>
      </c>
      <c r="F61" s="62" t="s">
        <v>728</v>
      </c>
      <c r="G61" s="62" t="s">
        <v>439</v>
      </c>
      <c r="H61" s="62" t="s">
        <v>585</v>
      </c>
      <c r="I61" s="62">
        <v>39.963701</v>
      </c>
      <c r="J61" s="62">
        <v>-75.162515999999997</v>
      </c>
      <c r="K61" s="62">
        <v>510</v>
      </c>
      <c r="L61" s="63">
        <v>0.4627</v>
      </c>
      <c r="M61" s="64">
        <v>10</v>
      </c>
      <c r="N61" s="64" t="s">
        <v>441</v>
      </c>
      <c r="O61" s="64" t="s">
        <v>442</v>
      </c>
      <c r="P61" s="64" t="s">
        <v>443</v>
      </c>
      <c r="Q61" s="64" t="s">
        <v>729</v>
      </c>
      <c r="R61" s="65" t="s">
        <v>445</v>
      </c>
      <c r="S61" s="1"/>
      <c r="T61" s="84" t="s">
        <v>230</v>
      </c>
      <c r="U61" s="84" t="s">
        <v>730</v>
      </c>
      <c r="V61" s="84" t="s">
        <v>731</v>
      </c>
      <c r="W61" s="84" t="s">
        <v>475</v>
      </c>
      <c r="X61" s="84" t="s">
        <v>475</v>
      </c>
      <c r="Y61" s="84" t="s">
        <v>630</v>
      </c>
      <c r="Z61" s="84" t="s">
        <v>630</v>
      </c>
      <c r="AA61" s="108"/>
      <c r="AB61" s="108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22" customHeight="1">
      <c r="A62" s="66" t="s">
        <v>134</v>
      </c>
      <c r="B62" s="62" t="s">
        <v>732</v>
      </c>
      <c r="C62" s="62" t="s">
        <v>435</v>
      </c>
      <c r="D62" s="62" t="s">
        <v>436</v>
      </c>
      <c r="E62" s="62" t="s">
        <v>437</v>
      </c>
      <c r="F62" s="62" t="s">
        <v>733</v>
      </c>
      <c r="G62" s="62" t="s">
        <v>439</v>
      </c>
      <c r="H62" s="62" t="s">
        <v>638</v>
      </c>
      <c r="I62" s="62">
        <v>39.950251999999999</v>
      </c>
      <c r="J62" s="62">
        <v>-75.152336000000005</v>
      </c>
      <c r="K62" s="62">
        <v>410</v>
      </c>
      <c r="L62" s="63">
        <v>0.81120000000000003</v>
      </c>
      <c r="M62" s="64">
        <v>7</v>
      </c>
      <c r="N62" s="64" t="s">
        <v>441</v>
      </c>
      <c r="O62" s="64" t="s">
        <v>442</v>
      </c>
      <c r="P62" s="64" t="s">
        <v>443</v>
      </c>
      <c r="Q62" s="64" t="s">
        <v>734</v>
      </c>
      <c r="R62" s="65" t="s">
        <v>445</v>
      </c>
      <c r="S62" s="1"/>
      <c r="T62" s="84" t="s">
        <v>220</v>
      </c>
      <c r="U62" s="84" t="s">
        <v>735</v>
      </c>
      <c r="V62" s="84" t="s">
        <v>736</v>
      </c>
      <c r="W62" s="84" t="s">
        <v>475</v>
      </c>
      <c r="X62" s="84" t="s">
        <v>475</v>
      </c>
      <c r="Y62" s="84" t="s">
        <v>630</v>
      </c>
      <c r="Z62" s="84" t="s">
        <v>630</v>
      </c>
      <c r="AA62" s="108"/>
      <c r="AB62" s="108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22" customHeight="1">
      <c r="A63" s="66" t="s">
        <v>377</v>
      </c>
      <c r="B63" s="62" t="s">
        <v>737</v>
      </c>
      <c r="C63" s="62" t="s">
        <v>435</v>
      </c>
      <c r="D63" s="62" t="s">
        <v>436</v>
      </c>
      <c r="E63" s="62" t="s">
        <v>594</v>
      </c>
      <c r="F63" s="62" t="s">
        <v>738</v>
      </c>
      <c r="G63" s="62" t="s">
        <v>439</v>
      </c>
      <c r="H63" s="62" t="s">
        <v>574</v>
      </c>
      <c r="I63" s="62">
        <v>39.986102209999999</v>
      </c>
      <c r="J63" s="62">
        <v>-75.24192008</v>
      </c>
      <c r="K63" s="62">
        <v>492</v>
      </c>
      <c r="L63" s="63">
        <v>0.51519999999999999</v>
      </c>
      <c r="M63" s="64">
        <v>5</v>
      </c>
      <c r="N63" s="64" t="s">
        <v>441</v>
      </c>
      <c r="O63" s="64" t="s">
        <v>442</v>
      </c>
      <c r="P63" s="64" t="s">
        <v>443</v>
      </c>
      <c r="Q63" s="64" t="s">
        <v>739</v>
      </c>
      <c r="R63" s="65" t="s">
        <v>445</v>
      </c>
      <c r="S63" s="1"/>
      <c r="T63" s="84" t="s">
        <v>265</v>
      </c>
      <c r="U63" s="84" t="s">
        <v>740</v>
      </c>
      <c r="V63" s="84" t="s">
        <v>741</v>
      </c>
      <c r="W63" s="84" t="s">
        <v>475</v>
      </c>
      <c r="X63" s="84" t="s">
        <v>475</v>
      </c>
      <c r="Y63" s="84" t="s">
        <v>630</v>
      </c>
      <c r="Z63" s="84" t="s">
        <v>630</v>
      </c>
      <c r="AA63" s="108"/>
      <c r="AB63" s="108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22" customHeight="1">
      <c r="A64" s="66" t="s">
        <v>228</v>
      </c>
      <c r="B64" s="62" t="s">
        <v>742</v>
      </c>
      <c r="C64" s="62" t="s">
        <v>435</v>
      </c>
      <c r="D64" s="62" t="s">
        <v>436</v>
      </c>
      <c r="E64" s="62" t="s">
        <v>483</v>
      </c>
      <c r="F64" s="62" t="s">
        <v>743</v>
      </c>
      <c r="G64" s="62" t="s">
        <v>439</v>
      </c>
      <c r="H64" s="62" t="s">
        <v>581</v>
      </c>
      <c r="I64" s="62">
        <v>39.917212229999997</v>
      </c>
      <c r="J64" s="62">
        <v>-75.154522369999995</v>
      </c>
      <c r="K64" s="62">
        <v>485</v>
      </c>
      <c r="L64" s="63">
        <v>0.80600000000000005</v>
      </c>
      <c r="M64" s="64">
        <v>4</v>
      </c>
      <c r="N64" s="64" t="s">
        <v>441</v>
      </c>
      <c r="O64" s="64" t="s">
        <v>442</v>
      </c>
      <c r="P64" s="64" t="s">
        <v>443</v>
      </c>
      <c r="Q64" s="64" t="s">
        <v>744</v>
      </c>
      <c r="R64" s="65" t="s">
        <v>445</v>
      </c>
      <c r="S64" s="1"/>
      <c r="T64" s="84" t="s">
        <v>318</v>
      </c>
      <c r="U64" s="84" t="s">
        <v>745</v>
      </c>
      <c r="V64" s="84" t="s">
        <v>746</v>
      </c>
      <c r="W64" s="84" t="s">
        <v>475</v>
      </c>
      <c r="X64" s="84" t="s">
        <v>475</v>
      </c>
      <c r="Y64" s="84" t="s">
        <v>630</v>
      </c>
      <c r="Z64" s="84" t="s">
        <v>630</v>
      </c>
      <c r="AA64" s="108"/>
      <c r="AB64" s="108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22" customHeight="1">
      <c r="A65" s="66" t="s">
        <v>392</v>
      </c>
      <c r="B65" s="62" t="s">
        <v>747</v>
      </c>
      <c r="C65" s="62" t="s">
        <v>435</v>
      </c>
      <c r="D65" s="62" t="s">
        <v>436</v>
      </c>
      <c r="E65" s="62" t="s">
        <v>483</v>
      </c>
      <c r="F65" s="62" t="s">
        <v>748</v>
      </c>
      <c r="G65" s="62" t="s">
        <v>439</v>
      </c>
      <c r="H65" s="62" t="s">
        <v>589</v>
      </c>
      <c r="I65" s="62">
        <v>39.934279490000002</v>
      </c>
      <c r="J65" s="62">
        <v>-75.15252649</v>
      </c>
      <c r="K65" s="62">
        <v>370</v>
      </c>
      <c r="L65" s="63">
        <v>0.68559999999999999</v>
      </c>
      <c r="M65" s="64">
        <v>8</v>
      </c>
      <c r="N65" s="64" t="s">
        <v>441</v>
      </c>
      <c r="O65" s="64" t="s">
        <v>442</v>
      </c>
      <c r="P65" s="64" t="s">
        <v>443</v>
      </c>
      <c r="Q65" s="64" t="s">
        <v>749</v>
      </c>
      <c r="R65" s="65" t="s">
        <v>445</v>
      </c>
      <c r="S65" s="1"/>
      <c r="T65" s="84" t="s">
        <v>98</v>
      </c>
      <c r="U65" s="84" t="s">
        <v>750</v>
      </c>
      <c r="V65" s="84" t="s">
        <v>751</v>
      </c>
      <c r="W65" s="84" t="s">
        <v>475</v>
      </c>
      <c r="X65" s="84" t="s">
        <v>475</v>
      </c>
      <c r="Y65" s="84" t="s">
        <v>630</v>
      </c>
      <c r="Z65" s="84" t="s">
        <v>630</v>
      </c>
      <c r="AA65" s="108"/>
      <c r="AB65" s="108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22" customHeight="1">
      <c r="A66" s="66" t="s">
        <v>159</v>
      </c>
      <c r="B66" s="62" t="s">
        <v>752</v>
      </c>
      <c r="C66" s="62" t="s">
        <v>623</v>
      </c>
      <c r="D66" s="62" t="s">
        <v>88</v>
      </c>
      <c r="E66" s="62" t="s">
        <v>624</v>
      </c>
      <c r="F66" s="62" t="s">
        <v>753</v>
      </c>
      <c r="G66" s="62" t="s">
        <v>439</v>
      </c>
      <c r="H66" s="62" t="s">
        <v>456</v>
      </c>
      <c r="I66" s="62">
        <v>39.969704999999998</v>
      </c>
      <c r="J66" s="62">
        <v>-75.210282000000007</v>
      </c>
      <c r="K66" s="62">
        <v>24</v>
      </c>
      <c r="L66" s="63"/>
      <c r="M66" s="64">
        <v>11</v>
      </c>
      <c r="N66" s="64" t="s">
        <v>441</v>
      </c>
      <c r="O66" s="64" t="s">
        <v>442</v>
      </c>
      <c r="P66" s="64" t="s">
        <v>443</v>
      </c>
      <c r="Q66" s="64" t="s">
        <v>627</v>
      </c>
      <c r="R66" s="65" t="s">
        <v>445</v>
      </c>
      <c r="S66" s="1"/>
      <c r="T66" s="84" t="s">
        <v>99</v>
      </c>
      <c r="U66" s="84" t="s">
        <v>754</v>
      </c>
      <c r="V66" s="84" t="s">
        <v>755</v>
      </c>
      <c r="W66" s="84" t="s">
        <v>475</v>
      </c>
      <c r="X66" s="84" t="s">
        <v>475</v>
      </c>
      <c r="Y66" s="84" t="s">
        <v>630</v>
      </c>
      <c r="Z66" s="84" t="s">
        <v>630</v>
      </c>
      <c r="AA66" s="108"/>
      <c r="AB66" s="108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22" customHeight="1">
      <c r="A67" s="66" t="s">
        <v>137</v>
      </c>
      <c r="B67" s="62" t="s">
        <v>756</v>
      </c>
      <c r="C67" s="62" t="s">
        <v>435</v>
      </c>
      <c r="D67" s="62" t="s">
        <v>88</v>
      </c>
      <c r="E67" s="62" t="s">
        <v>624</v>
      </c>
      <c r="F67" s="62" t="s">
        <v>757</v>
      </c>
      <c r="G67" s="62" t="s">
        <v>439</v>
      </c>
      <c r="H67" s="62" t="s">
        <v>758</v>
      </c>
      <c r="I67" s="62">
        <v>40.014255249999998</v>
      </c>
      <c r="J67" s="62">
        <v>-75.125996790000002</v>
      </c>
      <c r="K67" s="62">
        <v>25</v>
      </c>
      <c r="L67" s="63"/>
      <c r="M67" s="64">
        <v>10</v>
      </c>
      <c r="N67" s="64" t="s">
        <v>441</v>
      </c>
      <c r="O67" s="64" t="s">
        <v>442</v>
      </c>
      <c r="P67" s="64" t="s">
        <v>443</v>
      </c>
      <c r="Q67" s="64" t="s">
        <v>627</v>
      </c>
      <c r="R67" s="65" t="s">
        <v>445</v>
      </c>
      <c r="S67" s="1"/>
      <c r="T67" s="84" t="s">
        <v>345</v>
      </c>
      <c r="U67" s="84" t="s">
        <v>759</v>
      </c>
      <c r="V67" s="84" t="s">
        <v>760</v>
      </c>
      <c r="W67" s="84" t="s">
        <v>475</v>
      </c>
      <c r="X67" s="84" t="s">
        <v>475</v>
      </c>
      <c r="Y67" s="84" t="s">
        <v>630</v>
      </c>
      <c r="Z67" s="84" t="s">
        <v>630</v>
      </c>
      <c r="AA67" s="108"/>
      <c r="AB67" s="108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22" customHeight="1">
      <c r="A68" s="66" t="s">
        <v>118</v>
      </c>
      <c r="B68" s="62" t="s">
        <v>761</v>
      </c>
      <c r="C68" s="62" t="s">
        <v>435</v>
      </c>
      <c r="D68" s="62" t="s">
        <v>88</v>
      </c>
      <c r="E68" s="62" t="s">
        <v>624</v>
      </c>
      <c r="F68" s="62" t="s">
        <v>584</v>
      </c>
      <c r="G68" s="62" t="s">
        <v>439</v>
      </c>
      <c r="H68" s="62" t="s">
        <v>585</v>
      </c>
      <c r="I68" s="62">
        <v>39.963529999999999</v>
      </c>
      <c r="J68" s="62">
        <v>-75.161640000000006</v>
      </c>
      <c r="K68" s="62">
        <v>211</v>
      </c>
      <c r="L68" s="63"/>
      <c r="M68" s="64">
        <v>10</v>
      </c>
      <c r="N68" s="64" t="s">
        <v>441</v>
      </c>
      <c r="O68" s="64" t="s">
        <v>442</v>
      </c>
      <c r="P68" s="64" t="s">
        <v>443</v>
      </c>
      <c r="Q68" s="64" t="s">
        <v>627</v>
      </c>
      <c r="R68" s="65" t="s">
        <v>445</v>
      </c>
      <c r="S68" s="1"/>
      <c r="T68" s="84" t="s">
        <v>288</v>
      </c>
      <c r="U68" s="84" t="s">
        <v>762</v>
      </c>
      <c r="V68" s="84" t="s">
        <v>763</v>
      </c>
      <c r="W68" s="84" t="s">
        <v>475</v>
      </c>
      <c r="X68" s="84" t="s">
        <v>475</v>
      </c>
      <c r="Y68" s="84" t="s">
        <v>630</v>
      </c>
      <c r="Z68" s="84" t="s">
        <v>630</v>
      </c>
      <c r="AA68" s="108"/>
      <c r="AB68" s="108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22" customHeight="1">
      <c r="A69" s="66" t="s">
        <v>373</v>
      </c>
      <c r="B69" s="62" t="s">
        <v>764</v>
      </c>
      <c r="C69" s="62" t="s">
        <v>623</v>
      </c>
      <c r="D69" s="62" t="s">
        <v>88</v>
      </c>
      <c r="E69" s="62" t="s">
        <v>624</v>
      </c>
      <c r="F69" s="62" t="s">
        <v>765</v>
      </c>
      <c r="G69" s="62" t="s">
        <v>439</v>
      </c>
      <c r="H69" s="62" t="s">
        <v>766</v>
      </c>
      <c r="I69" s="62">
        <v>39.981490100000002</v>
      </c>
      <c r="J69" s="62">
        <v>-75.118870599999994</v>
      </c>
      <c r="K69" s="62">
        <v>105</v>
      </c>
      <c r="L69" s="63"/>
      <c r="M69" s="64">
        <v>6</v>
      </c>
      <c r="N69" s="64" t="s">
        <v>441</v>
      </c>
      <c r="O69" s="64" t="s">
        <v>442</v>
      </c>
      <c r="P69" s="64" t="s">
        <v>443</v>
      </c>
      <c r="Q69" s="64" t="s">
        <v>767</v>
      </c>
      <c r="R69" s="65" t="s">
        <v>768</v>
      </c>
      <c r="S69" s="1"/>
      <c r="T69" s="84" t="s">
        <v>359</v>
      </c>
      <c r="U69" s="84" t="s">
        <v>769</v>
      </c>
      <c r="V69" s="84" t="s">
        <v>770</v>
      </c>
      <c r="W69" s="84" t="s">
        <v>475</v>
      </c>
      <c r="X69" s="84" t="s">
        <v>475</v>
      </c>
      <c r="Y69" s="84" t="s">
        <v>630</v>
      </c>
      <c r="Z69" s="84" t="s">
        <v>630</v>
      </c>
      <c r="AA69" s="108"/>
      <c r="AB69" s="108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22" customHeight="1">
      <c r="A70" s="66" t="s">
        <v>143</v>
      </c>
      <c r="B70" s="62" t="s">
        <v>771</v>
      </c>
      <c r="C70" s="62" t="s">
        <v>772</v>
      </c>
      <c r="D70" s="62" t="s">
        <v>90</v>
      </c>
      <c r="E70" s="62" t="s">
        <v>471</v>
      </c>
      <c r="F70" s="62" t="s">
        <v>773</v>
      </c>
      <c r="G70" s="62" t="s">
        <v>439</v>
      </c>
      <c r="H70" s="62" t="s">
        <v>774</v>
      </c>
      <c r="I70" s="62">
        <v>39.945419999999999</v>
      </c>
      <c r="J70" s="62">
        <v>-75.166300000000007</v>
      </c>
      <c r="K70" s="62"/>
      <c r="L70" s="63"/>
      <c r="M70" s="64">
        <v>10</v>
      </c>
      <c r="N70" s="64" t="s">
        <v>441</v>
      </c>
      <c r="O70" s="64" t="s">
        <v>442</v>
      </c>
      <c r="P70" s="64" t="s">
        <v>443</v>
      </c>
      <c r="Q70" s="64" t="s">
        <v>767</v>
      </c>
      <c r="R70" s="65" t="s">
        <v>775</v>
      </c>
      <c r="S70" s="1"/>
      <c r="T70" s="84" t="s">
        <v>121</v>
      </c>
      <c r="U70" s="84" t="s">
        <v>776</v>
      </c>
      <c r="V70" s="84" t="s">
        <v>777</v>
      </c>
      <c r="W70" s="84" t="s">
        <v>475</v>
      </c>
      <c r="X70" s="84" t="s">
        <v>475</v>
      </c>
      <c r="Y70" s="84" t="s">
        <v>630</v>
      </c>
      <c r="Z70" s="84" t="s">
        <v>630</v>
      </c>
      <c r="AA70" s="108"/>
      <c r="AB70" s="108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22" customHeight="1">
      <c r="A71" s="66" t="s">
        <v>158</v>
      </c>
      <c r="B71" s="62" t="s">
        <v>778</v>
      </c>
      <c r="C71" s="62" t="s">
        <v>623</v>
      </c>
      <c r="D71" s="62" t="s">
        <v>88</v>
      </c>
      <c r="E71" s="62" t="s">
        <v>624</v>
      </c>
      <c r="F71" s="62" t="s">
        <v>779</v>
      </c>
      <c r="G71" s="62" t="s">
        <v>439</v>
      </c>
      <c r="H71" s="62" t="s">
        <v>780</v>
      </c>
      <c r="I71" s="62">
        <v>40.026081429999998</v>
      </c>
      <c r="J71" s="62">
        <v>-75.102519439999995</v>
      </c>
      <c r="K71" s="62">
        <v>183</v>
      </c>
      <c r="L71" s="63"/>
      <c r="M71" s="64">
        <v>3</v>
      </c>
      <c r="N71" s="64" t="s">
        <v>441</v>
      </c>
      <c r="O71" s="64" t="s">
        <v>442</v>
      </c>
      <c r="P71" s="64" t="s">
        <v>443</v>
      </c>
      <c r="Q71" s="64" t="s">
        <v>627</v>
      </c>
      <c r="R71" s="65" t="s">
        <v>445</v>
      </c>
      <c r="S71" s="1"/>
      <c r="T71" s="84" t="s">
        <v>202</v>
      </c>
      <c r="U71" s="84" t="s">
        <v>781</v>
      </c>
      <c r="V71" s="84" t="s">
        <v>782</v>
      </c>
      <c r="W71" s="84" t="s">
        <v>475</v>
      </c>
      <c r="X71" s="84" t="s">
        <v>475</v>
      </c>
      <c r="Y71" s="84" t="s">
        <v>630</v>
      </c>
      <c r="Z71" s="84" t="s">
        <v>630</v>
      </c>
      <c r="AA71" s="108"/>
      <c r="AB71" s="108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22" customHeight="1">
      <c r="A72" s="66" t="s">
        <v>156</v>
      </c>
      <c r="B72" s="62" t="s">
        <v>783</v>
      </c>
      <c r="C72" s="62" t="s">
        <v>623</v>
      </c>
      <c r="D72" s="62" t="s">
        <v>88</v>
      </c>
      <c r="E72" s="62" t="s">
        <v>624</v>
      </c>
      <c r="F72" s="62" t="s">
        <v>784</v>
      </c>
      <c r="G72" s="62" t="s">
        <v>439</v>
      </c>
      <c r="H72" s="62" t="s">
        <v>785</v>
      </c>
      <c r="I72" s="62">
        <v>40.035414299999999</v>
      </c>
      <c r="J72" s="62">
        <v>-75.117962599999998</v>
      </c>
      <c r="K72" s="62">
        <v>199</v>
      </c>
      <c r="L72" s="63"/>
      <c r="M72" s="64">
        <v>6</v>
      </c>
      <c r="N72" s="64" t="s">
        <v>441</v>
      </c>
      <c r="O72" s="64" t="s">
        <v>442</v>
      </c>
      <c r="P72" s="64" t="s">
        <v>443</v>
      </c>
      <c r="Q72" s="64" t="s">
        <v>767</v>
      </c>
      <c r="R72" s="65" t="s">
        <v>445</v>
      </c>
      <c r="S72" s="1"/>
      <c r="T72" s="84" t="s">
        <v>356</v>
      </c>
      <c r="U72" s="84" t="s">
        <v>786</v>
      </c>
      <c r="V72" s="84" t="s">
        <v>787</v>
      </c>
      <c r="W72" s="84" t="s">
        <v>475</v>
      </c>
      <c r="X72" s="84" t="s">
        <v>475</v>
      </c>
      <c r="Y72" s="84" t="s">
        <v>630</v>
      </c>
      <c r="Z72" s="84" t="s">
        <v>630</v>
      </c>
      <c r="AA72" s="108"/>
      <c r="AB72" s="108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22" customHeight="1">
      <c r="A73" s="66" t="s">
        <v>372</v>
      </c>
      <c r="B73" s="62" t="s">
        <v>788</v>
      </c>
      <c r="C73" s="62" t="s">
        <v>435</v>
      </c>
      <c r="D73" s="62" t="s">
        <v>88</v>
      </c>
      <c r="E73" s="62" t="s">
        <v>624</v>
      </c>
      <c r="F73" s="62" t="s">
        <v>789</v>
      </c>
      <c r="G73" s="62" t="s">
        <v>439</v>
      </c>
      <c r="H73" s="62" t="s">
        <v>585</v>
      </c>
      <c r="I73" s="62">
        <v>39.961308299999999</v>
      </c>
      <c r="J73" s="62">
        <v>-75.162251100000006</v>
      </c>
      <c r="K73" s="62"/>
      <c r="L73" s="63"/>
      <c r="M73" s="64">
        <v>10</v>
      </c>
      <c r="N73" s="64" t="s">
        <v>441</v>
      </c>
      <c r="O73" s="64" t="s">
        <v>442</v>
      </c>
      <c r="P73" s="64" t="s">
        <v>443</v>
      </c>
      <c r="Q73" s="64" t="s">
        <v>767</v>
      </c>
      <c r="R73" s="65" t="s">
        <v>445</v>
      </c>
      <c r="S73" s="1"/>
      <c r="T73" s="84" t="s">
        <v>241</v>
      </c>
      <c r="U73" s="84" t="s">
        <v>790</v>
      </c>
      <c r="V73" s="84" t="s">
        <v>791</v>
      </c>
      <c r="W73" s="84" t="s">
        <v>475</v>
      </c>
      <c r="X73" s="84" t="s">
        <v>475</v>
      </c>
      <c r="Y73" s="84" t="s">
        <v>630</v>
      </c>
      <c r="Z73" s="84" t="s">
        <v>630</v>
      </c>
      <c r="AA73" s="108"/>
      <c r="AB73" s="108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22" customHeight="1">
      <c r="A74" s="66" t="s">
        <v>133</v>
      </c>
      <c r="B74" s="62" t="s">
        <v>792</v>
      </c>
      <c r="C74" s="62" t="s">
        <v>772</v>
      </c>
      <c r="D74" s="62" t="s">
        <v>436</v>
      </c>
      <c r="E74" s="62" t="s">
        <v>793</v>
      </c>
      <c r="F74" s="62" t="s">
        <v>794</v>
      </c>
      <c r="G74" s="62" t="s">
        <v>439</v>
      </c>
      <c r="H74" s="62" t="s">
        <v>780</v>
      </c>
      <c r="I74" s="62">
        <v>40.00538049</v>
      </c>
      <c r="J74" s="62">
        <v>-75.107356129999999</v>
      </c>
      <c r="K74" s="62">
        <v>1251</v>
      </c>
      <c r="L74" s="63">
        <v>0.91139999999999999</v>
      </c>
      <c r="M74" s="64">
        <v>7</v>
      </c>
      <c r="N74" s="64" t="s">
        <v>441</v>
      </c>
      <c r="O74" s="64" t="s">
        <v>442</v>
      </c>
      <c r="P74" s="64" t="s">
        <v>443</v>
      </c>
      <c r="Q74" s="64" t="s">
        <v>267</v>
      </c>
      <c r="R74" s="65" t="s">
        <v>795</v>
      </c>
      <c r="S74" s="1"/>
      <c r="T74" s="84" t="s">
        <v>206</v>
      </c>
      <c r="U74" s="84" t="s">
        <v>796</v>
      </c>
      <c r="V74" s="84" t="s">
        <v>797</v>
      </c>
      <c r="W74" s="84" t="s">
        <v>475</v>
      </c>
      <c r="X74" s="84" t="s">
        <v>475</v>
      </c>
      <c r="Y74" s="84" t="s">
        <v>630</v>
      </c>
      <c r="Z74" s="84" t="s">
        <v>630</v>
      </c>
      <c r="AA74" s="108"/>
      <c r="AB74" s="108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22" customHeight="1">
      <c r="A75" s="66" t="s">
        <v>197</v>
      </c>
      <c r="B75" s="62" t="s">
        <v>798</v>
      </c>
      <c r="C75" s="62" t="s">
        <v>772</v>
      </c>
      <c r="D75" s="62" t="s">
        <v>436</v>
      </c>
      <c r="E75" s="62" t="s">
        <v>483</v>
      </c>
      <c r="F75" s="62" t="s">
        <v>799</v>
      </c>
      <c r="G75" s="62" t="s">
        <v>439</v>
      </c>
      <c r="H75" s="62" t="s">
        <v>800</v>
      </c>
      <c r="I75" s="62">
        <v>39.973091109999999</v>
      </c>
      <c r="J75" s="62">
        <v>-75.251719739999999</v>
      </c>
      <c r="K75" s="62">
        <v>555</v>
      </c>
      <c r="L75" s="63">
        <v>0.79410000000000003</v>
      </c>
      <c r="M75" s="64">
        <v>7</v>
      </c>
      <c r="N75" s="64" t="s">
        <v>441</v>
      </c>
      <c r="O75" s="64" t="s">
        <v>442</v>
      </c>
      <c r="P75" s="64" t="s">
        <v>443</v>
      </c>
      <c r="Q75" s="64" t="s">
        <v>801</v>
      </c>
      <c r="R75" s="65" t="s">
        <v>802</v>
      </c>
      <c r="S75" s="1"/>
      <c r="T75" s="84" t="s">
        <v>138</v>
      </c>
      <c r="U75" s="84" t="s">
        <v>803</v>
      </c>
      <c r="V75" s="84" t="s">
        <v>804</v>
      </c>
      <c r="W75" s="84" t="s">
        <v>475</v>
      </c>
      <c r="X75" s="84" t="s">
        <v>475</v>
      </c>
      <c r="Y75" s="84" t="s">
        <v>630</v>
      </c>
      <c r="Z75" s="84" t="s">
        <v>630</v>
      </c>
      <c r="AA75" s="108"/>
      <c r="AB75" s="108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22" customHeight="1">
      <c r="A76" s="66" t="s">
        <v>418</v>
      </c>
      <c r="B76" s="62" t="s">
        <v>805</v>
      </c>
      <c r="C76" s="62" t="s">
        <v>772</v>
      </c>
      <c r="D76" s="62" t="s">
        <v>90</v>
      </c>
      <c r="E76" s="62" t="s">
        <v>437</v>
      </c>
      <c r="F76" s="62" t="s">
        <v>806</v>
      </c>
      <c r="G76" s="62" t="s">
        <v>439</v>
      </c>
      <c r="H76" s="62" t="s">
        <v>807</v>
      </c>
      <c r="I76" s="62">
        <v>39.988219299999997</v>
      </c>
      <c r="J76" s="62">
        <v>-75.155322699999999</v>
      </c>
      <c r="K76" s="62">
        <v>286</v>
      </c>
      <c r="L76" s="63"/>
      <c r="M76" s="64">
        <v>16</v>
      </c>
      <c r="N76" s="64" t="s">
        <v>441</v>
      </c>
      <c r="O76" s="64" t="s">
        <v>442</v>
      </c>
      <c r="P76" s="64" t="s">
        <v>443</v>
      </c>
      <c r="Q76" s="64" t="s">
        <v>808</v>
      </c>
      <c r="R76" s="65" t="s">
        <v>809</v>
      </c>
      <c r="S76" s="1"/>
      <c r="T76" s="84" t="s">
        <v>115</v>
      </c>
      <c r="U76" s="84" t="s">
        <v>810</v>
      </c>
      <c r="V76" s="84" t="s">
        <v>811</v>
      </c>
      <c r="W76" s="84" t="s">
        <v>475</v>
      </c>
      <c r="X76" s="84" t="s">
        <v>475</v>
      </c>
      <c r="Y76" s="84" t="s">
        <v>630</v>
      </c>
      <c r="Z76" s="84" t="s">
        <v>630</v>
      </c>
      <c r="AA76" s="108"/>
      <c r="AB76" s="108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22" customHeight="1">
      <c r="A77" s="66" t="s">
        <v>131</v>
      </c>
      <c r="B77" s="62" t="s">
        <v>812</v>
      </c>
      <c r="C77" s="62" t="s">
        <v>772</v>
      </c>
      <c r="D77" s="62" t="s">
        <v>436</v>
      </c>
      <c r="E77" s="62" t="s">
        <v>483</v>
      </c>
      <c r="F77" s="62" t="s">
        <v>813</v>
      </c>
      <c r="G77" s="62" t="s">
        <v>439</v>
      </c>
      <c r="H77" s="62" t="s">
        <v>589</v>
      </c>
      <c r="I77" s="62">
        <v>39.938945740000001</v>
      </c>
      <c r="J77" s="62">
        <v>-75.158247520000003</v>
      </c>
      <c r="K77" s="62">
        <v>817</v>
      </c>
      <c r="L77" s="63">
        <v>0.60309999999999997</v>
      </c>
      <c r="M77" s="64">
        <v>11</v>
      </c>
      <c r="N77" s="64" t="s">
        <v>441</v>
      </c>
      <c r="O77" s="64" t="s">
        <v>442</v>
      </c>
      <c r="P77" s="64" t="s">
        <v>443</v>
      </c>
      <c r="Q77" s="64" t="s">
        <v>814</v>
      </c>
      <c r="R77" s="65" t="s">
        <v>815</v>
      </c>
      <c r="S77" s="1"/>
      <c r="T77" s="84" t="s">
        <v>160</v>
      </c>
      <c r="U77" s="84" t="s">
        <v>816</v>
      </c>
      <c r="V77" s="84" t="s">
        <v>817</v>
      </c>
      <c r="W77" s="84" t="s">
        <v>475</v>
      </c>
      <c r="X77" s="84" t="s">
        <v>475</v>
      </c>
      <c r="Y77" s="84" t="s">
        <v>630</v>
      </c>
      <c r="Z77" s="84" t="s">
        <v>630</v>
      </c>
      <c r="AA77" s="108"/>
      <c r="AB77" s="108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22" customHeight="1">
      <c r="A78" s="66" t="s">
        <v>155</v>
      </c>
      <c r="B78" s="62" t="s">
        <v>818</v>
      </c>
      <c r="C78" s="62" t="s">
        <v>772</v>
      </c>
      <c r="D78" s="62" t="s">
        <v>436</v>
      </c>
      <c r="E78" s="62" t="s">
        <v>483</v>
      </c>
      <c r="F78" s="62" t="s">
        <v>819</v>
      </c>
      <c r="G78" s="62" t="s">
        <v>439</v>
      </c>
      <c r="H78" s="62" t="s">
        <v>785</v>
      </c>
      <c r="I78" s="62">
        <v>40.046550119999999</v>
      </c>
      <c r="J78" s="62">
        <v>-75.123249939999994</v>
      </c>
      <c r="K78" s="62">
        <v>697</v>
      </c>
      <c r="L78" s="63">
        <v>0.76470000000000005</v>
      </c>
      <c r="M78" s="64">
        <v>3</v>
      </c>
      <c r="N78" s="64" t="s">
        <v>441</v>
      </c>
      <c r="O78" s="64" t="s">
        <v>442</v>
      </c>
      <c r="P78" s="64" t="s">
        <v>443</v>
      </c>
      <c r="Q78" s="64" t="s">
        <v>820</v>
      </c>
      <c r="R78" s="65" t="s">
        <v>821</v>
      </c>
      <c r="S78" s="1"/>
      <c r="T78" s="84" t="s">
        <v>183</v>
      </c>
      <c r="U78" s="84" t="s">
        <v>822</v>
      </c>
      <c r="V78" s="84" t="s">
        <v>823</v>
      </c>
      <c r="W78" s="84" t="s">
        <v>475</v>
      </c>
      <c r="X78" s="84" t="s">
        <v>475</v>
      </c>
      <c r="Y78" s="84" t="s">
        <v>630</v>
      </c>
      <c r="Z78" s="84" t="s">
        <v>630</v>
      </c>
      <c r="AA78" s="108"/>
      <c r="AB78" s="108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22" customHeight="1">
      <c r="A79" s="66" t="s">
        <v>211</v>
      </c>
      <c r="B79" s="62" t="s">
        <v>824</v>
      </c>
      <c r="C79" s="62" t="s">
        <v>772</v>
      </c>
      <c r="D79" s="62" t="s">
        <v>436</v>
      </c>
      <c r="E79" s="62" t="s">
        <v>490</v>
      </c>
      <c r="F79" s="62" t="s">
        <v>825</v>
      </c>
      <c r="G79" s="62" t="s">
        <v>439</v>
      </c>
      <c r="H79" s="62" t="s">
        <v>456</v>
      </c>
      <c r="I79" s="62">
        <v>39.974752340000002</v>
      </c>
      <c r="J79" s="62">
        <v>-75.212529239999995</v>
      </c>
      <c r="K79" s="62">
        <v>272</v>
      </c>
      <c r="L79" s="63">
        <v>0.63360000000000005</v>
      </c>
      <c r="M79" s="64">
        <v>9</v>
      </c>
      <c r="N79" s="64" t="s">
        <v>441</v>
      </c>
      <c r="O79" s="64" t="s">
        <v>442</v>
      </c>
      <c r="P79" s="64" t="s">
        <v>443</v>
      </c>
      <c r="Q79" s="64" t="s">
        <v>826</v>
      </c>
      <c r="R79" s="65" t="s">
        <v>827</v>
      </c>
      <c r="S79" s="1"/>
      <c r="T79" s="84" t="s">
        <v>172</v>
      </c>
      <c r="U79" s="84" t="s">
        <v>828</v>
      </c>
      <c r="V79" s="84" t="s">
        <v>829</v>
      </c>
      <c r="W79" s="84" t="s">
        <v>475</v>
      </c>
      <c r="X79" s="84" t="s">
        <v>475</v>
      </c>
      <c r="Y79" s="84" t="s">
        <v>630</v>
      </c>
      <c r="Z79" s="84" t="s">
        <v>630</v>
      </c>
      <c r="AA79" s="108"/>
      <c r="AB79" s="108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22" customHeight="1">
      <c r="A80" s="66" t="s">
        <v>208</v>
      </c>
      <c r="B80" s="62" t="s">
        <v>830</v>
      </c>
      <c r="C80" s="62" t="s">
        <v>772</v>
      </c>
      <c r="D80" s="62" t="s">
        <v>436</v>
      </c>
      <c r="E80" s="62" t="s">
        <v>437</v>
      </c>
      <c r="F80" s="62" t="s">
        <v>831</v>
      </c>
      <c r="G80" s="62" t="s">
        <v>439</v>
      </c>
      <c r="H80" s="62" t="s">
        <v>832</v>
      </c>
      <c r="I80" s="62">
        <v>40.049427000000001</v>
      </c>
      <c r="J80" s="62">
        <v>-75.154717000000005</v>
      </c>
      <c r="K80" s="62">
        <v>604</v>
      </c>
      <c r="L80" s="63">
        <v>0.79600000000000004</v>
      </c>
      <c r="M80" s="64">
        <v>13</v>
      </c>
      <c r="N80" s="64" t="s">
        <v>441</v>
      </c>
      <c r="O80" s="64" t="s">
        <v>442</v>
      </c>
      <c r="P80" s="64" t="s">
        <v>443</v>
      </c>
      <c r="Q80" s="64" t="s">
        <v>833</v>
      </c>
      <c r="R80" s="65" t="s">
        <v>834</v>
      </c>
      <c r="S80" s="1"/>
      <c r="T80" s="84" t="s">
        <v>95</v>
      </c>
      <c r="U80" s="84" t="s">
        <v>835</v>
      </c>
      <c r="V80" s="84" t="s">
        <v>836</v>
      </c>
      <c r="W80" s="84" t="s">
        <v>475</v>
      </c>
      <c r="X80" s="84" t="s">
        <v>475</v>
      </c>
      <c r="Y80" s="84" t="s">
        <v>837</v>
      </c>
      <c r="Z80" s="84" t="s">
        <v>837</v>
      </c>
      <c r="AA80" s="108"/>
      <c r="AB80" s="108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22" customHeight="1">
      <c r="A81" s="66" t="s">
        <v>255</v>
      </c>
      <c r="B81" s="62" t="s">
        <v>838</v>
      </c>
      <c r="C81" s="62" t="s">
        <v>772</v>
      </c>
      <c r="D81" s="62" t="s">
        <v>436</v>
      </c>
      <c r="E81" s="62" t="s">
        <v>483</v>
      </c>
      <c r="F81" s="62" t="s">
        <v>839</v>
      </c>
      <c r="G81" s="62" t="s">
        <v>439</v>
      </c>
      <c r="H81" s="62" t="s">
        <v>758</v>
      </c>
      <c r="I81" s="62">
        <v>40.001404000000001</v>
      </c>
      <c r="J81" s="62">
        <v>-75.145662000000002</v>
      </c>
      <c r="K81" s="62">
        <v>375</v>
      </c>
      <c r="L81" s="63">
        <v>0.86109999999999998</v>
      </c>
      <c r="M81" s="64">
        <v>10</v>
      </c>
      <c r="N81" s="64" t="s">
        <v>441</v>
      </c>
      <c r="O81" s="64" t="s">
        <v>442</v>
      </c>
      <c r="P81" s="64" t="s">
        <v>443</v>
      </c>
      <c r="Q81" s="64" t="s">
        <v>840</v>
      </c>
      <c r="R81" s="65" t="s">
        <v>841</v>
      </c>
      <c r="S81" s="1"/>
      <c r="T81" s="84" t="s">
        <v>365</v>
      </c>
      <c r="U81" s="84" t="s">
        <v>842</v>
      </c>
      <c r="V81" s="84" t="s">
        <v>843</v>
      </c>
      <c r="W81" s="84" t="s">
        <v>475</v>
      </c>
      <c r="X81" s="84" t="s">
        <v>475</v>
      </c>
      <c r="Y81" s="84" t="s">
        <v>630</v>
      </c>
      <c r="Z81" s="84" t="s">
        <v>630</v>
      </c>
      <c r="AA81" s="108"/>
      <c r="AB81" s="108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22" customHeight="1">
      <c r="A82" s="66" t="s">
        <v>291</v>
      </c>
      <c r="B82" s="62" t="s">
        <v>844</v>
      </c>
      <c r="C82" s="62" t="s">
        <v>772</v>
      </c>
      <c r="D82" s="62" t="s">
        <v>436</v>
      </c>
      <c r="E82" s="62" t="s">
        <v>437</v>
      </c>
      <c r="F82" s="62" t="s">
        <v>845</v>
      </c>
      <c r="G82" s="62" t="s">
        <v>439</v>
      </c>
      <c r="H82" s="62" t="s">
        <v>758</v>
      </c>
      <c r="I82" s="62">
        <v>40.011127250000001</v>
      </c>
      <c r="J82" s="62">
        <v>-75.150731230000005</v>
      </c>
      <c r="K82" s="62">
        <v>261</v>
      </c>
      <c r="L82" s="63">
        <v>0.68959999999999999</v>
      </c>
      <c r="M82" s="64">
        <v>9</v>
      </c>
      <c r="N82" s="64" t="s">
        <v>441</v>
      </c>
      <c r="O82" s="64" t="s">
        <v>442</v>
      </c>
      <c r="P82" s="64" t="s">
        <v>443</v>
      </c>
      <c r="Q82" s="64" t="s">
        <v>846</v>
      </c>
      <c r="R82" s="65" t="s">
        <v>847</v>
      </c>
      <c r="S82" s="1"/>
      <c r="T82" s="84" t="s">
        <v>179</v>
      </c>
      <c r="U82" s="84" t="s">
        <v>848</v>
      </c>
      <c r="V82" s="84" t="s">
        <v>849</v>
      </c>
      <c r="W82" s="84" t="s">
        <v>475</v>
      </c>
      <c r="X82" s="84" t="s">
        <v>475</v>
      </c>
      <c r="Y82" s="84" t="s">
        <v>630</v>
      </c>
      <c r="Z82" s="84" t="s">
        <v>630</v>
      </c>
      <c r="AA82" s="108"/>
      <c r="AB82" s="108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22" customHeight="1">
      <c r="A83" s="66" t="s">
        <v>333</v>
      </c>
      <c r="B83" s="62" t="s">
        <v>850</v>
      </c>
      <c r="C83" s="62" t="s">
        <v>772</v>
      </c>
      <c r="D83" s="62" t="s">
        <v>436</v>
      </c>
      <c r="E83" s="62" t="s">
        <v>437</v>
      </c>
      <c r="F83" s="62" t="s">
        <v>851</v>
      </c>
      <c r="G83" s="62" t="s">
        <v>439</v>
      </c>
      <c r="H83" s="62" t="s">
        <v>608</v>
      </c>
      <c r="I83" s="62">
        <v>39.92845355</v>
      </c>
      <c r="J83" s="62">
        <v>-75.186656859999999</v>
      </c>
      <c r="K83" s="62">
        <v>590</v>
      </c>
      <c r="L83" s="63">
        <v>0.75</v>
      </c>
      <c r="M83" s="64">
        <v>10</v>
      </c>
      <c r="N83" s="64" t="s">
        <v>441</v>
      </c>
      <c r="O83" s="64" t="s">
        <v>442</v>
      </c>
      <c r="P83" s="64" t="s">
        <v>443</v>
      </c>
      <c r="Q83" s="64" t="s">
        <v>852</v>
      </c>
      <c r="R83" s="65" t="s">
        <v>853</v>
      </c>
      <c r="S83" s="1"/>
      <c r="T83" s="84" t="s">
        <v>140</v>
      </c>
      <c r="U83" s="84" t="s">
        <v>854</v>
      </c>
      <c r="V83" s="84" t="s">
        <v>855</v>
      </c>
      <c r="W83" s="84" t="s">
        <v>475</v>
      </c>
      <c r="X83" s="84" t="s">
        <v>475</v>
      </c>
      <c r="Y83" s="84" t="s">
        <v>630</v>
      </c>
      <c r="Z83" s="84" t="s">
        <v>630</v>
      </c>
      <c r="AA83" s="108"/>
      <c r="AB83" s="108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22" customHeight="1">
      <c r="A84" s="66" t="s">
        <v>397</v>
      </c>
      <c r="B84" s="62" t="s">
        <v>856</v>
      </c>
      <c r="C84" s="62" t="s">
        <v>772</v>
      </c>
      <c r="D84" s="62" t="s">
        <v>436</v>
      </c>
      <c r="E84" s="62" t="s">
        <v>483</v>
      </c>
      <c r="F84" s="62" t="s">
        <v>857</v>
      </c>
      <c r="G84" s="62" t="s">
        <v>439</v>
      </c>
      <c r="H84" s="62" t="s">
        <v>832</v>
      </c>
      <c r="I84" s="62">
        <v>40.059363580000003</v>
      </c>
      <c r="J84" s="62">
        <v>-75.163637980000004</v>
      </c>
      <c r="K84" s="62">
        <v>1007</v>
      </c>
      <c r="L84" s="63">
        <v>0.9637</v>
      </c>
      <c r="M84" s="64">
        <v>8</v>
      </c>
      <c r="N84" s="64" t="s">
        <v>441</v>
      </c>
      <c r="O84" s="64" t="s">
        <v>442</v>
      </c>
      <c r="P84" s="64" t="s">
        <v>443</v>
      </c>
      <c r="Q84" s="64" t="s">
        <v>858</v>
      </c>
      <c r="R84" s="65" t="s">
        <v>859</v>
      </c>
      <c r="S84" s="1"/>
      <c r="T84" s="84" t="s">
        <v>410</v>
      </c>
      <c r="U84" s="84" t="s">
        <v>860</v>
      </c>
      <c r="V84" s="84" t="s">
        <v>861</v>
      </c>
      <c r="W84" s="84" t="s">
        <v>475</v>
      </c>
      <c r="X84" s="84" t="s">
        <v>475</v>
      </c>
      <c r="Y84" s="84" t="s">
        <v>837</v>
      </c>
      <c r="Z84" s="84" t="s">
        <v>837</v>
      </c>
      <c r="AA84" s="108"/>
      <c r="AB84" s="108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22" customHeight="1">
      <c r="A85" s="66" t="s">
        <v>104</v>
      </c>
      <c r="B85" s="62" t="s">
        <v>862</v>
      </c>
      <c r="C85" s="62" t="s">
        <v>772</v>
      </c>
      <c r="D85" s="62" t="s">
        <v>436</v>
      </c>
      <c r="E85" s="62" t="s">
        <v>483</v>
      </c>
      <c r="F85" s="62" t="s">
        <v>863</v>
      </c>
      <c r="G85" s="62" t="s">
        <v>439</v>
      </c>
      <c r="H85" s="62" t="s">
        <v>626</v>
      </c>
      <c r="I85" s="62">
        <v>39.979731000000001</v>
      </c>
      <c r="J85" s="62">
        <v>-75.165470999999997</v>
      </c>
      <c r="K85" s="62">
        <v>616</v>
      </c>
      <c r="L85" s="63">
        <v>0.92700000000000005</v>
      </c>
      <c r="M85" s="64">
        <v>14</v>
      </c>
      <c r="N85" s="64" t="s">
        <v>441</v>
      </c>
      <c r="O85" s="64" t="s">
        <v>442</v>
      </c>
      <c r="P85" s="64" t="s">
        <v>443</v>
      </c>
      <c r="Q85" s="64" t="s">
        <v>864</v>
      </c>
      <c r="R85" s="65" t="s">
        <v>865</v>
      </c>
      <c r="S85" s="1"/>
      <c r="T85" s="84" t="s">
        <v>342</v>
      </c>
      <c r="U85" s="84" t="s">
        <v>866</v>
      </c>
      <c r="V85" s="84" t="s">
        <v>867</v>
      </c>
      <c r="W85" s="84" t="s">
        <v>475</v>
      </c>
      <c r="X85" s="84" t="s">
        <v>475</v>
      </c>
      <c r="Y85" s="84" t="s">
        <v>630</v>
      </c>
      <c r="Z85" s="84" t="s">
        <v>630</v>
      </c>
      <c r="AA85" s="108"/>
      <c r="AB85" s="108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22" customHeight="1">
      <c r="A86" s="66" t="s">
        <v>176</v>
      </c>
      <c r="B86" s="62" t="s">
        <v>868</v>
      </c>
      <c r="C86" s="62" t="s">
        <v>772</v>
      </c>
      <c r="D86" s="62" t="s">
        <v>436</v>
      </c>
      <c r="E86" s="62" t="s">
        <v>594</v>
      </c>
      <c r="F86" s="62" t="s">
        <v>869</v>
      </c>
      <c r="G86" s="62" t="s">
        <v>439</v>
      </c>
      <c r="H86" s="62" t="s">
        <v>669</v>
      </c>
      <c r="I86" s="62">
        <v>39.952472890000003</v>
      </c>
      <c r="J86" s="62">
        <v>-75.174422590000006</v>
      </c>
      <c r="K86" s="62">
        <v>1072</v>
      </c>
      <c r="L86" s="63">
        <v>0.74880000000000002</v>
      </c>
      <c r="M86" s="64">
        <v>5</v>
      </c>
      <c r="N86" s="64" t="s">
        <v>441</v>
      </c>
      <c r="O86" s="64" t="s">
        <v>442</v>
      </c>
      <c r="P86" s="64" t="s">
        <v>443</v>
      </c>
      <c r="Q86" s="64" t="s">
        <v>870</v>
      </c>
      <c r="R86" s="65" t="s">
        <v>871</v>
      </c>
      <c r="S86" s="1"/>
      <c r="T86" s="84" t="s">
        <v>188</v>
      </c>
      <c r="U86" s="84" t="s">
        <v>872</v>
      </c>
      <c r="V86" s="84" t="s">
        <v>873</v>
      </c>
      <c r="W86" s="84" t="s">
        <v>475</v>
      </c>
      <c r="X86" s="84" t="s">
        <v>475</v>
      </c>
      <c r="Y86" s="84" t="s">
        <v>630</v>
      </c>
      <c r="Z86" s="84" t="s">
        <v>630</v>
      </c>
      <c r="AA86" s="108"/>
      <c r="AB86" s="108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22" customHeight="1">
      <c r="A87" s="66" t="s">
        <v>320</v>
      </c>
      <c r="B87" s="62" t="s">
        <v>874</v>
      </c>
      <c r="C87" s="62" t="s">
        <v>772</v>
      </c>
      <c r="D87" s="62" t="s">
        <v>436</v>
      </c>
      <c r="E87" s="62" t="s">
        <v>793</v>
      </c>
      <c r="F87" s="62" t="s">
        <v>875</v>
      </c>
      <c r="G87" s="62" t="s">
        <v>439</v>
      </c>
      <c r="H87" s="62" t="s">
        <v>876</v>
      </c>
      <c r="I87" s="62">
        <v>40.103584359999999</v>
      </c>
      <c r="J87" s="62">
        <v>-75.011093070000001</v>
      </c>
      <c r="K87" s="62">
        <v>1195</v>
      </c>
      <c r="L87" s="63">
        <v>0.53879999999999995</v>
      </c>
      <c r="M87" s="64">
        <v>3</v>
      </c>
      <c r="N87" s="64" t="s">
        <v>441</v>
      </c>
      <c r="O87" s="64" t="s">
        <v>442</v>
      </c>
      <c r="P87" s="64" t="s">
        <v>443</v>
      </c>
      <c r="Q87" s="64" t="s">
        <v>877</v>
      </c>
      <c r="R87" s="65" t="s">
        <v>878</v>
      </c>
      <c r="S87" s="1"/>
      <c r="T87" s="84" t="s">
        <v>148</v>
      </c>
      <c r="U87" s="84" t="s">
        <v>879</v>
      </c>
      <c r="V87" s="84" t="s">
        <v>880</v>
      </c>
      <c r="W87" s="84" t="s">
        <v>475</v>
      </c>
      <c r="X87" s="84" t="s">
        <v>475</v>
      </c>
      <c r="Y87" s="84" t="s">
        <v>630</v>
      </c>
      <c r="Z87" s="84" t="s">
        <v>630</v>
      </c>
      <c r="AA87" s="108"/>
      <c r="AB87" s="108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22" customHeight="1">
      <c r="A88" s="66" t="s">
        <v>275</v>
      </c>
      <c r="B88" s="62" t="s">
        <v>881</v>
      </c>
      <c r="C88" s="62" t="s">
        <v>772</v>
      </c>
      <c r="D88" s="62" t="s">
        <v>436</v>
      </c>
      <c r="E88" s="62" t="s">
        <v>793</v>
      </c>
      <c r="F88" s="62" t="s">
        <v>882</v>
      </c>
      <c r="G88" s="62" t="s">
        <v>439</v>
      </c>
      <c r="H88" s="62" t="s">
        <v>478</v>
      </c>
      <c r="I88" s="62">
        <v>39.941561999999998</v>
      </c>
      <c r="J88" s="62">
        <v>-75.226446999999993</v>
      </c>
      <c r="K88" s="62">
        <v>1211</v>
      </c>
      <c r="L88" s="63">
        <v>0.90759999999999996</v>
      </c>
      <c r="M88" s="64">
        <v>10</v>
      </c>
      <c r="N88" s="64" t="s">
        <v>441</v>
      </c>
      <c r="O88" s="64" t="s">
        <v>442</v>
      </c>
      <c r="P88" s="64" t="s">
        <v>443</v>
      </c>
      <c r="Q88" s="64" t="s">
        <v>883</v>
      </c>
      <c r="R88" s="65" t="s">
        <v>884</v>
      </c>
      <c r="S88" s="1"/>
      <c r="T88" s="84" t="s">
        <v>100</v>
      </c>
      <c r="U88" s="84" t="s">
        <v>885</v>
      </c>
      <c r="V88" s="84" t="s">
        <v>886</v>
      </c>
      <c r="W88" s="84" t="s">
        <v>475</v>
      </c>
      <c r="X88" s="84" t="s">
        <v>475</v>
      </c>
      <c r="Y88" s="84" t="s">
        <v>837</v>
      </c>
      <c r="Z88" s="84" t="s">
        <v>837</v>
      </c>
      <c r="AA88" s="108"/>
      <c r="AB88" s="108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22" customHeight="1">
      <c r="A89" s="66" t="s">
        <v>391</v>
      </c>
      <c r="B89" s="62" t="s">
        <v>887</v>
      </c>
      <c r="C89" s="62" t="s">
        <v>772</v>
      </c>
      <c r="D89" s="62" t="s">
        <v>436</v>
      </c>
      <c r="E89" s="62" t="s">
        <v>483</v>
      </c>
      <c r="F89" s="62" t="s">
        <v>888</v>
      </c>
      <c r="G89" s="62" t="s">
        <v>439</v>
      </c>
      <c r="H89" s="62" t="s">
        <v>612</v>
      </c>
      <c r="I89" s="62">
        <v>39.940930999999999</v>
      </c>
      <c r="J89" s="62">
        <v>-75.167940000000002</v>
      </c>
      <c r="K89" s="62">
        <v>565</v>
      </c>
      <c r="L89" s="63">
        <v>0.80489999999999995</v>
      </c>
      <c r="M89" s="64">
        <v>13</v>
      </c>
      <c r="N89" s="64" t="s">
        <v>441</v>
      </c>
      <c r="O89" s="64" t="s">
        <v>442</v>
      </c>
      <c r="P89" s="64" t="s">
        <v>443</v>
      </c>
      <c r="Q89" s="64" t="s">
        <v>889</v>
      </c>
      <c r="R89" s="65" t="s">
        <v>890</v>
      </c>
      <c r="S89" s="1"/>
      <c r="T89" s="84" t="s">
        <v>262</v>
      </c>
      <c r="U89" s="84" t="s">
        <v>891</v>
      </c>
      <c r="V89" s="84" t="s">
        <v>892</v>
      </c>
      <c r="W89" s="84" t="s">
        <v>475</v>
      </c>
      <c r="X89" s="84" t="s">
        <v>475</v>
      </c>
      <c r="Y89" s="84" t="s">
        <v>630</v>
      </c>
      <c r="Z89" s="84" t="s">
        <v>630</v>
      </c>
      <c r="AA89" s="108"/>
      <c r="AB89" s="108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22" customHeight="1">
      <c r="A90" s="66" t="s">
        <v>285</v>
      </c>
      <c r="B90" s="62" t="s">
        <v>893</v>
      </c>
      <c r="C90" s="62" t="s">
        <v>772</v>
      </c>
      <c r="D90" s="62" t="s">
        <v>436</v>
      </c>
      <c r="E90" s="62" t="s">
        <v>793</v>
      </c>
      <c r="F90" s="62" t="s">
        <v>894</v>
      </c>
      <c r="G90" s="62" t="s">
        <v>439</v>
      </c>
      <c r="H90" s="62" t="s">
        <v>876</v>
      </c>
      <c r="I90" s="62">
        <v>40.113832000000002</v>
      </c>
      <c r="J90" s="62">
        <v>-75.005657999999997</v>
      </c>
      <c r="K90" s="62">
        <v>1486</v>
      </c>
      <c r="L90" s="63">
        <v>0.41120000000000001</v>
      </c>
      <c r="M90" s="64">
        <v>1</v>
      </c>
      <c r="N90" s="64" t="s">
        <v>441</v>
      </c>
      <c r="O90" s="64" t="s">
        <v>442</v>
      </c>
      <c r="P90" s="64" t="s">
        <v>443</v>
      </c>
      <c r="Q90" s="64" t="s">
        <v>895</v>
      </c>
      <c r="R90" s="65" t="s">
        <v>896</v>
      </c>
      <c r="S90" s="1"/>
      <c r="T90" s="84" t="s">
        <v>258</v>
      </c>
      <c r="U90" s="84" t="s">
        <v>897</v>
      </c>
      <c r="V90" s="84" t="s">
        <v>898</v>
      </c>
      <c r="W90" s="84" t="s">
        <v>475</v>
      </c>
      <c r="X90" s="84" t="s">
        <v>475</v>
      </c>
      <c r="Y90" s="84" t="s">
        <v>630</v>
      </c>
      <c r="Z90" s="84" t="s">
        <v>630</v>
      </c>
      <c r="AA90" s="108"/>
      <c r="AB90" s="108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22" customHeight="1">
      <c r="A91" s="66" t="s">
        <v>417</v>
      </c>
      <c r="B91" s="62" t="s">
        <v>899</v>
      </c>
      <c r="C91" s="62" t="s">
        <v>772</v>
      </c>
      <c r="D91" s="62" t="s">
        <v>436</v>
      </c>
      <c r="E91" s="62" t="s">
        <v>471</v>
      </c>
      <c r="F91" s="62" t="s">
        <v>900</v>
      </c>
      <c r="G91" s="62" t="s">
        <v>439</v>
      </c>
      <c r="H91" s="62" t="s">
        <v>901</v>
      </c>
      <c r="I91" s="62">
        <v>39.967346589999998</v>
      </c>
      <c r="J91" s="62">
        <v>-75.147996610000007</v>
      </c>
      <c r="K91" s="62">
        <v>285</v>
      </c>
      <c r="L91" s="63">
        <v>0.92849999999999999</v>
      </c>
      <c r="M91" s="64">
        <v>11</v>
      </c>
      <c r="N91" s="64" t="s">
        <v>441</v>
      </c>
      <c r="O91" s="64" t="s">
        <v>442</v>
      </c>
      <c r="P91" s="64" t="s">
        <v>443</v>
      </c>
      <c r="Q91" s="64" t="s">
        <v>902</v>
      </c>
      <c r="R91" s="65" t="s">
        <v>903</v>
      </c>
      <c r="S91" s="1"/>
      <c r="T91" s="84" t="s">
        <v>161</v>
      </c>
      <c r="U91" s="84" t="s">
        <v>904</v>
      </c>
      <c r="V91" s="84" t="s">
        <v>905</v>
      </c>
      <c r="W91" s="84" t="s">
        <v>475</v>
      </c>
      <c r="X91" s="84" t="s">
        <v>475</v>
      </c>
      <c r="Y91" s="84" t="s">
        <v>630</v>
      </c>
      <c r="Z91" s="84" t="s">
        <v>630</v>
      </c>
      <c r="AA91" s="108"/>
      <c r="AB91" s="108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22" customHeight="1">
      <c r="A92" s="66" t="s">
        <v>175</v>
      </c>
      <c r="B92" s="62" t="s">
        <v>906</v>
      </c>
      <c r="C92" s="62" t="s">
        <v>772</v>
      </c>
      <c r="D92" s="62" t="s">
        <v>436</v>
      </c>
      <c r="E92" s="62" t="s">
        <v>437</v>
      </c>
      <c r="F92" s="62" t="s">
        <v>907</v>
      </c>
      <c r="G92" s="62" t="s">
        <v>439</v>
      </c>
      <c r="H92" s="62" t="s">
        <v>908</v>
      </c>
      <c r="I92" s="62">
        <v>40.007337</v>
      </c>
      <c r="J92" s="62">
        <v>-75.066610999999995</v>
      </c>
      <c r="K92" s="62">
        <v>1306</v>
      </c>
      <c r="L92" s="63">
        <v>0.60709999999999997</v>
      </c>
      <c r="M92" s="64">
        <v>4</v>
      </c>
      <c r="N92" s="64" t="s">
        <v>441</v>
      </c>
      <c r="O92" s="64" t="s">
        <v>442</v>
      </c>
      <c r="P92" s="64" t="s">
        <v>443</v>
      </c>
      <c r="Q92" s="64" t="s">
        <v>909</v>
      </c>
      <c r="R92" s="65" t="s">
        <v>910</v>
      </c>
      <c r="S92" s="1"/>
      <c r="T92" s="84" t="s">
        <v>92</v>
      </c>
      <c r="U92" s="84" t="s">
        <v>911</v>
      </c>
      <c r="V92" s="84" t="s">
        <v>912</v>
      </c>
      <c r="W92" s="84" t="s">
        <v>475</v>
      </c>
      <c r="X92" s="84" t="s">
        <v>475</v>
      </c>
      <c r="Y92" s="84" t="s">
        <v>630</v>
      </c>
      <c r="Z92" s="84" t="s">
        <v>630</v>
      </c>
      <c r="AA92" s="108"/>
      <c r="AB92" s="108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22" customHeight="1">
      <c r="A93" s="66" t="s">
        <v>263</v>
      </c>
      <c r="B93" s="62" t="s">
        <v>913</v>
      </c>
      <c r="C93" s="62" t="s">
        <v>772</v>
      </c>
      <c r="D93" s="62" t="s">
        <v>436</v>
      </c>
      <c r="E93" s="62" t="s">
        <v>793</v>
      </c>
      <c r="F93" s="62" t="s">
        <v>914</v>
      </c>
      <c r="G93" s="62" t="s">
        <v>439</v>
      </c>
      <c r="H93" s="62" t="s">
        <v>780</v>
      </c>
      <c r="I93" s="62">
        <v>40.005757000000003</v>
      </c>
      <c r="J93" s="62">
        <v>-75.094145999999995</v>
      </c>
      <c r="K93" s="62">
        <v>1520</v>
      </c>
      <c r="L93" s="63">
        <v>0.82220000000000004</v>
      </c>
      <c r="M93" s="64">
        <v>9</v>
      </c>
      <c r="N93" s="64" t="s">
        <v>441</v>
      </c>
      <c r="O93" s="64" t="s">
        <v>442</v>
      </c>
      <c r="P93" s="64" t="s">
        <v>443</v>
      </c>
      <c r="Q93" s="64" t="s">
        <v>915</v>
      </c>
      <c r="R93" s="65" t="s">
        <v>916</v>
      </c>
      <c r="S93" s="1"/>
      <c r="T93" s="84" t="s">
        <v>325</v>
      </c>
      <c r="U93" s="84" t="s">
        <v>917</v>
      </c>
      <c r="V93" s="84" t="s">
        <v>918</v>
      </c>
      <c r="W93" s="84" t="s">
        <v>475</v>
      </c>
      <c r="X93" s="84" t="s">
        <v>475</v>
      </c>
      <c r="Y93" s="84" t="s">
        <v>630</v>
      </c>
      <c r="Z93" s="84" t="s">
        <v>630</v>
      </c>
      <c r="AA93" s="108"/>
      <c r="AB93" s="108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22" customHeight="1">
      <c r="A94" s="66" t="s">
        <v>153</v>
      </c>
      <c r="B94" s="62" t="s">
        <v>919</v>
      </c>
      <c r="C94" s="62" t="s">
        <v>772</v>
      </c>
      <c r="D94" s="62" t="s">
        <v>436</v>
      </c>
      <c r="E94" s="62" t="s">
        <v>793</v>
      </c>
      <c r="F94" s="62" t="s">
        <v>920</v>
      </c>
      <c r="G94" s="62" t="s">
        <v>439</v>
      </c>
      <c r="H94" s="62" t="s">
        <v>758</v>
      </c>
      <c r="I94" s="62">
        <v>40.01478539</v>
      </c>
      <c r="J94" s="62">
        <v>-75.132323959999994</v>
      </c>
      <c r="K94" s="62">
        <v>2246</v>
      </c>
      <c r="L94" s="63">
        <v>0.86819999999999997</v>
      </c>
      <c r="M94" s="64">
        <v>10</v>
      </c>
      <c r="N94" s="64" t="s">
        <v>441</v>
      </c>
      <c r="O94" s="64" t="s">
        <v>442</v>
      </c>
      <c r="P94" s="64" t="s">
        <v>443</v>
      </c>
      <c r="Q94" s="64" t="s">
        <v>921</v>
      </c>
      <c r="R94" s="65" t="s">
        <v>922</v>
      </c>
      <c r="S94" s="1"/>
      <c r="T94" s="84" t="s">
        <v>170</v>
      </c>
      <c r="U94" s="84" t="s">
        <v>923</v>
      </c>
      <c r="V94" s="84" t="s">
        <v>924</v>
      </c>
      <c r="W94" s="84" t="s">
        <v>475</v>
      </c>
      <c r="X94" s="84" t="s">
        <v>475</v>
      </c>
      <c r="Y94" s="84" t="s">
        <v>630</v>
      </c>
      <c r="Z94" s="84" t="s">
        <v>630</v>
      </c>
      <c r="AA94" s="108"/>
      <c r="AB94" s="108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22" customHeight="1">
      <c r="A95" s="66" t="s">
        <v>293</v>
      </c>
      <c r="B95" s="62" t="s">
        <v>925</v>
      </c>
      <c r="C95" s="62" t="s">
        <v>772</v>
      </c>
      <c r="D95" s="62" t="s">
        <v>436</v>
      </c>
      <c r="E95" s="62" t="s">
        <v>793</v>
      </c>
      <c r="F95" s="62" t="s">
        <v>926</v>
      </c>
      <c r="G95" s="62" t="s">
        <v>439</v>
      </c>
      <c r="H95" s="62" t="s">
        <v>927</v>
      </c>
      <c r="I95" s="62">
        <v>40.035069999999997</v>
      </c>
      <c r="J95" s="62">
        <v>-75.024186999999998</v>
      </c>
      <c r="K95" s="62">
        <v>1538</v>
      </c>
      <c r="L95" s="63">
        <v>0.70840000000000003</v>
      </c>
      <c r="M95" s="64">
        <v>2</v>
      </c>
      <c r="N95" s="64" t="s">
        <v>441</v>
      </c>
      <c r="O95" s="64" t="s">
        <v>442</v>
      </c>
      <c r="P95" s="64" t="s">
        <v>443</v>
      </c>
      <c r="Q95" s="64" t="s">
        <v>928</v>
      </c>
      <c r="R95" s="65" t="s">
        <v>929</v>
      </c>
      <c r="S95" s="1"/>
      <c r="T95" s="84" t="s">
        <v>151</v>
      </c>
      <c r="U95" s="84" t="s">
        <v>930</v>
      </c>
      <c r="V95" s="84" t="s">
        <v>931</v>
      </c>
      <c r="W95" s="84" t="s">
        <v>475</v>
      </c>
      <c r="X95" s="84" t="s">
        <v>475</v>
      </c>
      <c r="Y95" s="84" t="s">
        <v>630</v>
      </c>
      <c r="Z95" s="84" t="s">
        <v>630</v>
      </c>
      <c r="AA95" s="108"/>
      <c r="AB95" s="108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22" customHeight="1">
      <c r="A96" s="66" t="s">
        <v>319</v>
      </c>
      <c r="B96" s="62" t="s">
        <v>932</v>
      </c>
      <c r="C96" s="62" t="s">
        <v>772</v>
      </c>
      <c r="D96" s="62" t="s">
        <v>436</v>
      </c>
      <c r="E96" s="62" t="s">
        <v>793</v>
      </c>
      <c r="F96" s="62" t="s">
        <v>933</v>
      </c>
      <c r="G96" s="62" t="s">
        <v>439</v>
      </c>
      <c r="H96" s="62" t="s">
        <v>585</v>
      </c>
      <c r="I96" s="62">
        <v>39.968101410000003</v>
      </c>
      <c r="J96" s="62">
        <v>-75.16067477</v>
      </c>
      <c r="K96" s="62">
        <v>556</v>
      </c>
      <c r="L96" s="63">
        <v>0.99809999999999999</v>
      </c>
      <c r="M96" s="64">
        <v>11</v>
      </c>
      <c r="N96" s="64" t="s">
        <v>441</v>
      </c>
      <c r="O96" s="64" t="s">
        <v>442</v>
      </c>
      <c r="P96" s="64" t="s">
        <v>443</v>
      </c>
      <c r="Q96" s="64" t="s">
        <v>934</v>
      </c>
      <c r="R96" s="65" t="s">
        <v>935</v>
      </c>
      <c r="S96" s="1"/>
      <c r="T96" s="84" t="s">
        <v>184</v>
      </c>
      <c r="U96" s="84" t="s">
        <v>936</v>
      </c>
      <c r="V96" s="84" t="s">
        <v>937</v>
      </c>
      <c r="W96" s="84" t="s">
        <v>475</v>
      </c>
      <c r="X96" s="84" t="s">
        <v>475</v>
      </c>
      <c r="Y96" s="84" t="s">
        <v>630</v>
      </c>
      <c r="Z96" s="84" t="s">
        <v>630</v>
      </c>
      <c r="AA96" s="108"/>
      <c r="AB96" s="108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22" customHeight="1">
      <c r="A97" s="66" t="s">
        <v>330</v>
      </c>
      <c r="B97" s="62" t="s">
        <v>938</v>
      </c>
      <c r="C97" s="62" t="s">
        <v>772</v>
      </c>
      <c r="D97" s="62" t="s">
        <v>436</v>
      </c>
      <c r="E97" s="62" t="s">
        <v>793</v>
      </c>
      <c r="F97" s="62" t="s">
        <v>939</v>
      </c>
      <c r="G97" s="62" t="s">
        <v>439</v>
      </c>
      <c r="H97" s="62" t="s">
        <v>608</v>
      </c>
      <c r="I97" s="62">
        <v>39.917776619999998</v>
      </c>
      <c r="J97" s="62">
        <v>-75.171665770000004</v>
      </c>
      <c r="K97" s="62">
        <v>2484</v>
      </c>
      <c r="L97" s="63">
        <v>0.63009999999999999</v>
      </c>
      <c r="M97" s="64">
        <v>5</v>
      </c>
      <c r="N97" s="64" t="s">
        <v>441</v>
      </c>
      <c r="O97" s="64" t="s">
        <v>442</v>
      </c>
      <c r="P97" s="64" t="s">
        <v>443</v>
      </c>
      <c r="Q97" s="64" t="s">
        <v>940</v>
      </c>
      <c r="R97" s="65" t="s">
        <v>941</v>
      </c>
      <c r="S97" s="1"/>
      <c r="T97" s="84" t="s">
        <v>93</v>
      </c>
      <c r="U97" s="84" t="s">
        <v>942</v>
      </c>
      <c r="V97" s="84" t="s">
        <v>943</v>
      </c>
      <c r="W97" s="84" t="s">
        <v>475</v>
      </c>
      <c r="X97" s="84" t="s">
        <v>475</v>
      </c>
      <c r="Y97" s="84" t="s">
        <v>630</v>
      </c>
      <c r="Z97" s="84" t="s">
        <v>630</v>
      </c>
      <c r="AA97" s="108"/>
      <c r="AB97" s="108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22" customHeight="1">
      <c r="A98" s="66" t="s">
        <v>189</v>
      </c>
      <c r="B98" s="62" t="s">
        <v>944</v>
      </c>
      <c r="C98" s="62" t="s">
        <v>772</v>
      </c>
      <c r="D98" s="62" t="s">
        <v>436</v>
      </c>
      <c r="E98" s="62" t="s">
        <v>483</v>
      </c>
      <c r="F98" s="62" t="s">
        <v>945</v>
      </c>
      <c r="G98" s="62" t="s">
        <v>439</v>
      </c>
      <c r="H98" s="62" t="s">
        <v>574</v>
      </c>
      <c r="I98" s="62">
        <v>39.973359530000003</v>
      </c>
      <c r="J98" s="62">
        <v>-75.215435200000002</v>
      </c>
      <c r="K98" s="62">
        <v>704</v>
      </c>
      <c r="L98" s="63">
        <v>0.73319999999999996</v>
      </c>
      <c r="M98" s="64">
        <v>9</v>
      </c>
      <c r="N98" s="64" t="s">
        <v>441</v>
      </c>
      <c r="O98" s="64" t="s">
        <v>442</v>
      </c>
      <c r="P98" s="64" t="s">
        <v>443</v>
      </c>
      <c r="Q98" s="64" t="s">
        <v>946</v>
      </c>
      <c r="R98" s="65" t="s">
        <v>947</v>
      </c>
      <c r="S98" s="1"/>
      <c r="T98" s="84" t="s">
        <v>185</v>
      </c>
      <c r="U98" s="84" t="s">
        <v>948</v>
      </c>
      <c r="V98" s="84" t="s">
        <v>949</v>
      </c>
      <c r="W98" s="84" t="s">
        <v>475</v>
      </c>
      <c r="X98" s="84" t="s">
        <v>475</v>
      </c>
      <c r="Y98" s="84" t="s">
        <v>630</v>
      </c>
      <c r="Z98" s="84" t="s">
        <v>630</v>
      </c>
      <c r="AA98" s="108"/>
      <c r="AB98" s="108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22" customHeight="1">
      <c r="A99" s="66" t="s">
        <v>210</v>
      </c>
      <c r="B99" s="62" t="s">
        <v>950</v>
      </c>
      <c r="C99" s="62" t="s">
        <v>772</v>
      </c>
      <c r="D99" s="62" t="s">
        <v>436</v>
      </c>
      <c r="E99" s="62" t="s">
        <v>483</v>
      </c>
      <c r="F99" s="62" t="s">
        <v>951</v>
      </c>
      <c r="G99" s="62" t="s">
        <v>439</v>
      </c>
      <c r="H99" s="62" t="s">
        <v>612</v>
      </c>
      <c r="I99" s="62">
        <v>39.944966819999998</v>
      </c>
      <c r="J99" s="62">
        <v>-75.168555979999994</v>
      </c>
      <c r="K99" s="62">
        <v>815</v>
      </c>
      <c r="L99" s="63">
        <v>0.54649999999999999</v>
      </c>
      <c r="M99" s="64">
        <v>10</v>
      </c>
      <c r="N99" s="64" t="s">
        <v>441</v>
      </c>
      <c r="O99" s="64" t="s">
        <v>442</v>
      </c>
      <c r="P99" s="64" t="s">
        <v>443</v>
      </c>
      <c r="Q99" s="64" t="s">
        <v>952</v>
      </c>
      <c r="R99" s="65" t="s">
        <v>953</v>
      </c>
      <c r="S99" s="1"/>
      <c r="T99" s="84" t="s">
        <v>361</v>
      </c>
      <c r="U99" s="84" t="s">
        <v>954</v>
      </c>
      <c r="V99" s="84" t="s">
        <v>955</v>
      </c>
      <c r="W99" s="84" t="s">
        <v>475</v>
      </c>
      <c r="X99" s="84" t="s">
        <v>475</v>
      </c>
      <c r="Y99" s="84" t="s">
        <v>630</v>
      </c>
      <c r="Z99" s="84" t="s">
        <v>630</v>
      </c>
      <c r="AA99" s="108"/>
      <c r="AB99" s="108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22" customHeight="1">
      <c r="A100" s="66" t="s">
        <v>250</v>
      </c>
      <c r="B100" s="62" t="s">
        <v>956</v>
      </c>
      <c r="C100" s="62" t="s">
        <v>772</v>
      </c>
      <c r="D100" s="62" t="s">
        <v>436</v>
      </c>
      <c r="E100" s="62" t="s">
        <v>437</v>
      </c>
      <c r="F100" s="62" t="s">
        <v>957</v>
      </c>
      <c r="G100" s="62" t="s">
        <v>439</v>
      </c>
      <c r="H100" s="62" t="s">
        <v>574</v>
      </c>
      <c r="I100" s="62">
        <v>39.98043019</v>
      </c>
      <c r="J100" s="62">
        <v>-75.220850319999997</v>
      </c>
      <c r="K100" s="62">
        <v>504</v>
      </c>
      <c r="L100" s="63">
        <v>0.59640000000000004</v>
      </c>
      <c r="M100" s="64">
        <v>5</v>
      </c>
      <c r="N100" s="64" t="s">
        <v>441</v>
      </c>
      <c r="O100" s="64" t="s">
        <v>442</v>
      </c>
      <c r="P100" s="64" t="s">
        <v>443</v>
      </c>
      <c r="Q100" s="64" t="s">
        <v>958</v>
      </c>
      <c r="R100" s="65" t="s">
        <v>959</v>
      </c>
      <c r="S100" s="1"/>
      <c r="T100" s="84" t="s">
        <v>355</v>
      </c>
      <c r="U100" s="84" t="s">
        <v>960</v>
      </c>
      <c r="V100" s="84" t="s">
        <v>961</v>
      </c>
      <c r="W100" s="84" t="s">
        <v>475</v>
      </c>
      <c r="X100" s="84" t="s">
        <v>475</v>
      </c>
      <c r="Y100" s="84" t="s">
        <v>630</v>
      </c>
      <c r="Z100" s="84" t="s">
        <v>630</v>
      </c>
      <c r="AA100" s="108"/>
      <c r="AB100" s="108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22" customHeight="1">
      <c r="A101" s="66" t="s">
        <v>398</v>
      </c>
      <c r="B101" s="62" t="s">
        <v>962</v>
      </c>
      <c r="C101" s="62" t="s">
        <v>772</v>
      </c>
      <c r="D101" s="62" t="s">
        <v>436</v>
      </c>
      <c r="E101" s="62" t="s">
        <v>490</v>
      </c>
      <c r="F101" s="62" t="s">
        <v>963</v>
      </c>
      <c r="G101" s="62" t="s">
        <v>439</v>
      </c>
      <c r="H101" s="62" t="s">
        <v>800</v>
      </c>
      <c r="I101" s="62">
        <v>39.970666999999999</v>
      </c>
      <c r="J101" s="62">
        <v>-75.254110999999995</v>
      </c>
      <c r="K101" s="62">
        <v>613</v>
      </c>
      <c r="L101" s="63">
        <v>1</v>
      </c>
      <c r="M101" s="64">
        <v>7</v>
      </c>
      <c r="N101" s="64" t="s">
        <v>441</v>
      </c>
      <c r="O101" s="64" t="s">
        <v>442</v>
      </c>
      <c r="P101" s="64" t="s">
        <v>443</v>
      </c>
      <c r="Q101" s="64" t="s">
        <v>964</v>
      </c>
      <c r="R101" s="65" t="s">
        <v>965</v>
      </c>
      <c r="S101" s="1"/>
      <c r="T101" s="84" t="s">
        <v>134</v>
      </c>
      <c r="U101" s="84" t="s">
        <v>966</v>
      </c>
      <c r="V101" s="84" t="s">
        <v>967</v>
      </c>
      <c r="W101" s="84" t="s">
        <v>475</v>
      </c>
      <c r="X101" s="84" t="s">
        <v>475</v>
      </c>
      <c r="Y101" s="84" t="s">
        <v>630</v>
      </c>
      <c r="Z101" s="84" t="s">
        <v>630</v>
      </c>
      <c r="AA101" s="108"/>
      <c r="AB101" s="108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22" customHeight="1">
      <c r="A102" s="66" t="s">
        <v>322</v>
      </c>
      <c r="B102" s="62" t="s">
        <v>968</v>
      </c>
      <c r="C102" s="62" t="s">
        <v>772</v>
      </c>
      <c r="D102" s="62" t="s">
        <v>436</v>
      </c>
      <c r="E102" s="62" t="s">
        <v>437</v>
      </c>
      <c r="F102" s="62" t="s">
        <v>969</v>
      </c>
      <c r="G102" s="62" t="s">
        <v>439</v>
      </c>
      <c r="H102" s="62" t="s">
        <v>669</v>
      </c>
      <c r="I102" s="62">
        <v>39.956658900000001</v>
      </c>
      <c r="J102" s="62">
        <v>-75.168172900000002</v>
      </c>
      <c r="K102" s="62">
        <v>627</v>
      </c>
      <c r="L102" s="63">
        <v>0.87090000000000001</v>
      </c>
      <c r="M102" s="64">
        <v>7</v>
      </c>
      <c r="N102" s="64" t="s">
        <v>441</v>
      </c>
      <c r="O102" s="64" t="s">
        <v>442</v>
      </c>
      <c r="P102" s="64" t="s">
        <v>443</v>
      </c>
      <c r="Q102" s="64" t="s">
        <v>970</v>
      </c>
      <c r="R102" s="65" t="s">
        <v>971</v>
      </c>
      <c r="S102" s="1"/>
      <c r="T102" s="84" t="s">
        <v>377</v>
      </c>
      <c r="U102" s="84" t="s">
        <v>972</v>
      </c>
      <c r="V102" s="84" t="s">
        <v>973</v>
      </c>
      <c r="W102" s="84" t="s">
        <v>475</v>
      </c>
      <c r="X102" s="84" t="s">
        <v>475</v>
      </c>
      <c r="Y102" s="84" t="s">
        <v>630</v>
      </c>
      <c r="Z102" s="84" t="s">
        <v>630</v>
      </c>
      <c r="AA102" s="108"/>
      <c r="AB102" s="108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22" customHeight="1">
      <c r="A103" s="66" t="s">
        <v>337</v>
      </c>
      <c r="B103" s="62" t="s">
        <v>974</v>
      </c>
      <c r="C103" s="62" t="s">
        <v>772</v>
      </c>
      <c r="D103" s="62" t="s">
        <v>436</v>
      </c>
      <c r="E103" s="62" t="s">
        <v>471</v>
      </c>
      <c r="F103" s="62" t="s">
        <v>975</v>
      </c>
      <c r="G103" s="62" t="s">
        <v>439</v>
      </c>
      <c r="H103" s="62" t="s">
        <v>478</v>
      </c>
      <c r="I103" s="62">
        <v>39.928091870000003</v>
      </c>
      <c r="J103" s="62">
        <v>-75.219267430000002</v>
      </c>
      <c r="K103" s="62">
        <v>309</v>
      </c>
      <c r="L103" s="63">
        <v>1</v>
      </c>
      <c r="M103" s="64">
        <v>7</v>
      </c>
      <c r="N103" s="64" t="s">
        <v>441</v>
      </c>
      <c r="O103" s="64" t="s">
        <v>442</v>
      </c>
      <c r="P103" s="64" t="s">
        <v>443</v>
      </c>
      <c r="Q103" s="64" t="s">
        <v>976</v>
      </c>
      <c r="R103" s="65" t="s">
        <v>977</v>
      </c>
      <c r="S103" s="1"/>
      <c r="T103" s="84" t="s">
        <v>228</v>
      </c>
      <c r="U103" s="84" t="s">
        <v>978</v>
      </c>
      <c r="V103" s="84" t="s">
        <v>979</v>
      </c>
      <c r="W103" s="84" t="s">
        <v>475</v>
      </c>
      <c r="X103" s="84" t="s">
        <v>475</v>
      </c>
      <c r="Y103" s="84" t="s">
        <v>630</v>
      </c>
      <c r="Z103" s="84" t="s">
        <v>630</v>
      </c>
      <c r="AA103" s="108"/>
      <c r="AB103" s="108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22" customHeight="1">
      <c r="A104" s="66" t="s">
        <v>346</v>
      </c>
      <c r="B104" s="62" t="s">
        <v>980</v>
      </c>
      <c r="C104" s="62" t="s">
        <v>772</v>
      </c>
      <c r="D104" s="62" t="s">
        <v>436</v>
      </c>
      <c r="E104" s="62" t="s">
        <v>483</v>
      </c>
      <c r="F104" s="62" t="s">
        <v>981</v>
      </c>
      <c r="G104" s="62" t="s">
        <v>439</v>
      </c>
      <c r="H104" s="62" t="s">
        <v>669</v>
      </c>
      <c r="I104" s="62">
        <v>39.955949220000001</v>
      </c>
      <c r="J104" s="62">
        <v>-75.171550640000007</v>
      </c>
      <c r="K104" s="62">
        <v>681</v>
      </c>
      <c r="L104" s="63">
        <v>0.97470000000000001</v>
      </c>
      <c r="M104" s="64">
        <v>5</v>
      </c>
      <c r="N104" s="64" t="s">
        <v>441</v>
      </c>
      <c r="O104" s="64" t="s">
        <v>442</v>
      </c>
      <c r="P104" s="64" t="s">
        <v>443</v>
      </c>
      <c r="Q104" s="64" t="s">
        <v>982</v>
      </c>
      <c r="R104" s="65" t="s">
        <v>983</v>
      </c>
      <c r="S104" s="1"/>
      <c r="T104" s="84" t="s">
        <v>392</v>
      </c>
      <c r="U104" s="84" t="s">
        <v>984</v>
      </c>
      <c r="V104" s="84" t="s">
        <v>985</v>
      </c>
      <c r="W104" s="84" t="s">
        <v>475</v>
      </c>
      <c r="X104" s="84" t="s">
        <v>475</v>
      </c>
      <c r="Y104" s="84" t="s">
        <v>630</v>
      </c>
      <c r="Z104" s="84" t="s">
        <v>630</v>
      </c>
      <c r="AA104" s="108"/>
      <c r="AB104" s="108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22" customHeight="1">
      <c r="A105" s="66" t="s">
        <v>270</v>
      </c>
      <c r="B105" s="62" t="s">
        <v>986</v>
      </c>
      <c r="C105" s="62" t="s">
        <v>772</v>
      </c>
      <c r="D105" s="62" t="s">
        <v>436</v>
      </c>
      <c r="E105" s="62" t="s">
        <v>594</v>
      </c>
      <c r="F105" s="62" t="s">
        <v>987</v>
      </c>
      <c r="G105" s="62" t="s">
        <v>439</v>
      </c>
      <c r="H105" s="62" t="s">
        <v>638</v>
      </c>
      <c r="I105" s="62">
        <v>39.949505790000003</v>
      </c>
      <c r="J105" s="62">
        <v>-75.147347760000002</v>
      </c>
      <c r="K105" s="62">
        <v>614</v>
      </c>
      <c r="L105" s="63">
        <v>0.8921</v>
      </c>
      <c r="M105" s="64">
        <v>3</v>
      </c>
      <c r="N105" s="64" t="s">
        <v>441</v>
      </c>
      <c r="O105" s="64" t="s">
        <v>442</v>
      </c>
      <c r="P105" s="64" t="s">
        <v>443</v>
      </c>
      <c r="Q105" s="64" t="s">
        <v>988</v>
      </c>
      <c r="R105" s="65" t="s">
        <v>989</v>
      </c>
      <c r="S105" s="1"/>
      <c r="T105" s="84" t="s">
        <v>159</v>
      </c>
      <c r="U105" s="84" t="s">
        <v>990</v>
      </c>
      <c r="V105" s="84" t="s">
        <v>991</v>
      </c>
      <c r="W105" s="84" t="s">
        <v>475</v>
      </c>
      <c r="X105" s="84" t="s">
        <v>475</v>
      </c>
      <c r="Y105" s="84" t="s">
        <v>837</v>
      </c>
      <c r="Z105" s="84" t="s">
        <v>837</v>
      </c>
      <c r="AA105" s="108"/>
      <c r="AB105" s="108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22" customHeight="1">
      <c r="A106" s="66" t="s">
        <v>415</v>
      </c>
      <c r="B106" s="62" t="s">
        <v>992</v>
      </c>
      <c r="C106" s="62" t="s">
        <v>772</v>
      </c>
      <c r="D106" s="62" t="s">
        <v>436</v>
      </c>
      <c r="E106" s="62" t="s">
        <v>483</v>
      </c>
      <c r="F106" s="62" t="s">
        <v>993</v>
      </c>
      <c r="G106" s="62" t="s">
        <v>439</v>
      </c>
      <c r="H106" s="62" t="s">
        <v>994</v>
      </c>
      <c r="I106" s="62">
        <v>40.015372460000002</v>
      </c>
      <c r="J106" s="62">
        <v>-75.174053470000004</v>
      </c>
      <c r="K106" s="62">
        <v>998</v>
      </c>
      <c r="L106" s="63">
        <v>0.72950000000000004</v>
      </c>
      <c r="M106" s="64">
        <v>4</v>
      </c>
      <c r="N106" s="64" t="s">
        <v>441</v>
      </c>
      <c r="O106" s="64" t="s">
        <v>442</v>
      </c>
      <c r="P106" s="64" t="s">
        <v>443</v>
      </c>
      <c r="Q106" s="64" t="s">
        <v>995</v>
      </c>
      <c r="R106" s="65" t="s">
        <v>996</v>
      </c>
      <c r="S106" s="1"/>
      <c r="T106" s="84" t="s">
        <v>137</v>
      </c>
      <c r="U106" s="84" t="s">
        <v>997</v>
      </c>
      <c r="V106" s="84" t="s">
        <v>998</v>
      </c>
      <c r="W106" s="84" t="s">
        <v>475</v>
      </c>
      <c r="X106" s="84" t="s">
        <v>475</v>
      </c>
      <c r="Y106" s="84" t="s">
        <v>837</v>
      </c>
      <c r="Z106" s="84" t="s">
        <v>837</v>
      </c>
      <c r="AA106" s="108"/>
      <c r="AB106" s="108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22" customHeight="1">
      <c r="A107" s="66" t="s">
        <v>164</v>
      </c>
      <c r="B107" s="62" t="s">
        <v>999</v>
      </c>
      <c r="C107" s="62" t="s">
        <v>772</v>
      </c>
      <c r="D107" s="62" t="s">
        <v>436</v>
      </c>
      <c r="E107" s="62" t="s">
        <v>793</v>
      </c>
      <c r="F107" s="62" t="s">
        <v>1000</v>
      </c>
      <c r="G107" s="62" t="s">
        <v>439</v>
      </c>
      <c r="H107" s="62" t="s">
        <v>780</v>
      </c>
      <c r="I107" s="62">
        <v>40.007199909999997</v>
      </c>
      <c r="J107" s="62">
        <v>-75.08240619</v>
      </c>
      <c r="K107" s="62">
        <v>1880</v>
      </c>
      <c r="L107" s="63">
        <v>0.79779999999999995</v>
      </c>
      <c r="M107" s="64">
        <v>7</v>
      </c>
      <c r="N107" s="64" t="s">
        <v>441</v>
      </c>
      <c r="O107" s="64" t="s">
        <v>442</v>
      </c>
      <c r="P107" s="64" t="s">
        <v>443</v>
      </c>
      <c r="Q107" s="64" t="s">
        <v>1001</v>
      </c>
      <c r="R107" s="65" t="s">
        <v>1002</v>
      </c>
      <c r="S107" s="1"/>
      <c r="T107" s="84" t="s">
        <v>118</v>
      </c>
      <c r="U107" s="84" t="s">
        <v>776</v>
      </c>
      <c r="V107" s="84" t="s">
        <v>1003</v>
      </c>
      <c r="W107" s="84" t="s">
        <v>475</v>
      </c>
      <c r="X107" s="84" t="s">
        <v>475</v>
      </c>
      <c r="Y107" s="84" t="s">
        <v>837</v>
      </c>
      <c r="Z107" s="84" t="s">
        <v>837</v>
      </c>
      <c r="AA107" s="108"/>
      <c r="AB107" s="108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22" customHeight="1">
      <c r="A108" s="66" t="s">
        <v>192</v>
      </c>
      <c r="B108" s="62" t="s">
        <v>1004</v>
      </c>
      <c r="C108" s="62" t="s">
        <v>772</v>
      </c>
      <c r="D108" s="62" t="s">
        <v>436</v>
      </c>
      <c r="E108" s="62" t="s">
        <v>483</v>
      </c>
      <c r="F108" s="62" t="s">
        <v>1005</v>
      </c>
      <c r="G108" s="62" t="s">
        <v>439</v>
      </c>
      <c r="H108" s="62" t="s">
        <v>1006</v>
      </c>
      <c r="I108" s="62">
        <v>40.044163779999998</v>
      </c>
      <c r="J108" s="62">
        <v>-75.233858519999998</v>
      </c>
      <c r="K108" s="62">
        <v>716</v>
      </c>
      <c r="L108" s="63">
        <v>0.32290000000000002</v>
      </c>
      <c r="M108" s="64">
        <v>0</v>
      </c>
      <c r="N108" s="64" t="s">
        <v>441</v>
      </c>
      <c r="O108" s="64" t="s">
        <v>442</v>
      </c>
      <c r="P108" s="64" t="s">
        <v>443</v>
      </c>
      <c r="Q108" s="64" t="s">
        <v>1007</v>
      </c>
      <c r="R108" s="65" t="s">
        <v>1008</v>
      </c>
      <c r="S108" s="1"/>
      <c r="T108" s="84" t="s">
        <v>373</v>
      </c>
      <c r="U108" s="84" t="s">
        <v>1009</v>
      </c>
      <c r="V108" s="84" t="s">
        <v>1010</v>
      </c>
      <c r="W108" s="84" t="s">
        <v>475</v>
      </c>
      <c r="X108" s="84" t="s">
        <v>475</v>
      </c>
      <c r="Y108" s="84" t="s">
        <v>837</v>
      </c>
      <c r="Z108" s="84" t="s">
        <v>837</v>
      </c>
      <c r="AA108" s="108"/>
      <c r="AB108" s="108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22" customHeight="1">
      <c r="A109" s="66" t="s">
        <v>264</v>
      </c>
      <c r="B109" s="62" t="s">
        <v>1011</v>
      </c>
      <c r="C109" s="62" t="s">
        <v>772</v>
      </c>
      <c r="D109" s="62" t="s">
        <v>436</v>
      </c>
      <c r="E109" s="62" t="s">
        <v>793</v>
      </c>
      <c r="F109" s="62" t="s">
        <v>1012</v>
      </c>
      <c r="G109" s="62" t="s">
        <v>439</v>
      </c>
      <c r="H109" s="62" t="s">
        <v>908</v>
      </c>
      <c r="I109" s="62">
        <v>40.007862000000003</v>
      </c>
      <c r="J109" s="62">
        <v>-75.068318000000005</v>
      </c>
      <c r="K109" s="62">
        <v>833</v>
      </c>
      <c r="L109" s="63">
        <v>0.88280000000000003</v>
      </c>
      <c r="M109" s="64">
        <v>6</v>
      </c>
      <c r="N109" s="64" t="s">
        <v>441</v>
      </c>
      <c r="O109" s="64" t="s">
        <v>442</v>
      </c>
      <c r="P109" s="64" t="s">
        <v>443</v>
      </c>
      <c r="Q109" s="64" t="s">
        <v>1013</v>
      </c>
      <c r="R109" s="65" t="s">
        <v>1014</v>
      </c>
      <c r="S109" s="1"/>
      <c r="T109" s="84" t="s">
        <v>143</v>
      </c>
      <c r="U109" s="84"/>
      <c r="V109" s="84" t="s">
        <v>1015</v>
      </c>
      <c r="W109" s="84" t="s">
        <v>475</v>
      </c>
      <c r="X109" s="84" t="s">
        <v>475</v>
      </c>
      <c r="Y109" s="84"/>
      <c r="Z109" s="84"/>
      <c r="AA109" s="108"/>
      <c r="AB109" s="108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22" customHeight="1">
      <c r="A110" s="66" t="s">
        <v>117</v>
      </c>
      <c r="B110" s="62" t="s">
        <v>1016</v>
      </c>
      <c r="C110" s="62" t="s">
        <v>772</v>
      </c>
      <c r="D110" s="62" t="s">
        <v>436</v>
      </c>
      <c r="E110" s="62" t="s">
        <v>793</v>
      </c>
      <c r="F110" s="62" t="s">
        <v>1017</v>
      </c>
      <c r="G110" s="62" t="s">
        <v>439</v>
      </c>
      <c r="H110" s="62" t="s">
        <v>456</v>
      </c>
      <c r="I110" s="62">
        <v>39.966964840000003</v>
      </c>
      <c r="J110" s="62">
        <v>-75.204870929999998</v>
      </c>
      <c r="K110" s="62">
        <v>928</v>
      </c>
      <c r="L110" s="63">
        <v>0.78810000000000002</v>
      </c>
      <c r="M110" s="64">
        <v>12</v>
      </c>
      <c r="N110" s="64" t="s">
        <v>441</v>
      </c>
      <c r="O110" s="64" t="s">
        <v>442</v>
      </c>
      <c r="P110" s="64" t="s">
        <v>443</v>
      </c>
      <c r="Q110" s="64" t="s">
        <v>1018</v>
      </c>
      <c r="R110" s="65" t="s">
        <v>1019</v>
      </c>
      <c r="S110" s="1"/>
      <c r="T110" s="84" t="s">
        <v>158</v>
      </c>
      <c r="U110" s="84" t="s">
        <v>1020</v>
      </c>
      <c r="V110" s="84" t="s">
        <v>1021</v>
      </c>
      <c r="W110" s="84" t="s">
        <v>475</v>
      </c>
      <c r="X110" s="84" t="s">
        <v>475</v>
      </c>
      <c r="Y110" s="84" t="s">
        <v>837</v>
      </c>
      <c r="Z110" s="84" t="s">
        <v>837</v>
      </c>
      <c r="AA110" s="108"/>
      <c r="AB110" s="108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22" customHeight="1">
      <c r="A111" s="66" t="s">
        <v>253</v>
      </c>
      <c r="B111" s="62" t="s">
        <v>1022</v>
      </c>
      <c r="C111" s="62" t="s">
        <v>772</v>
      </c>
      <c r="D111" s="62" t="s">
        <v>436</v>
      </c>
      <c r="E111" s="62" t="s">
        <v>483</v>
      </c>
      <c r="F111" s="62" t="s">
        <v>1023</v>
      </c>
      <c r="G111" s="62" t="s">
        <v>439</v>
      </c>
      <c r="H111" s="62" t="s">
        <v>807</v>
      </c>
      <c r="I111" s="62">
        <v>40.002304799999997</v>
      </c>
      <c r="J111" s="62">
        <v>-75.173609499999998</v>
      </c>
      <c r="K111" s="62">
        <v>845</v>
      </c>
      <c r="L111" s="63">
        <v>0.6643</v>
      </c>
      <c r="M111" s="64">
        <v>8</v>
      </c>
      <c r="N111" s="64" t="s">
        <v>441</v>
      </c>
      <c r="O111" s="64" t="s">
        <v>442</v>
      </c>
      <c r="P111" s="64" t="s">
        <v>443</v>
      </c>
      <c r="Q111" s="64" t="s">
        <v>1024</v>
      </c>
      <c r="R111" s="65" t="s">
        <v>1025</v>
      </c>
      <c r="S111" s="1"/>
      <c r="T111" s="84" t="s">
        <v>156</v>
      </c>
      <c r="U111" s="84" t="s">
        <v>1026</v>
      </c>
      <c r="V111" s="84" t="s">
        <v>1027</v>
      </c>
      <c r="W111" s="84" t="s">
        <v>475</v>
      </c>
      <c r="X111" s="84" t="s">
        <v>475</v>
      </c>
      <c r="Y111" s="84" t="s">
        <v>837</v>
      </c>
      <c r="Z111" s="84" t="s">
        <v>837</v>
      </c>
      <c r="AA111" s="108"/>
      <c r="AB111" s="108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22" customHeight="1">
      <c r="A112" s="66" t="s">
        <v>374</v>
      </c>
      <c r="B112" s="62" t="s">
        <v>1028</v>
      </c>
      <c r="C112" s="62" t="s">
        <v>772</v>
      </c>
      <c r="D112" s="62" t="s">
        <v>436</v>
      </c>
      <c r="E112" s="62" t="s">
        <v>483</v>
      </c>
      <c r="F112" s="62" t="s">
        <v>1029</v>
      </c>
      <c r="G112" s="62" t="s">
        <v>439</v>
      </c>
      <c r="H112" s="62" t="s">
        <v>574</v>
      </c>
      <c r="I112" s="62">
        <v>39.977708229999998</v>
      </c>
      <c r="J112" s="62">
        <v>-75.213504850000007</v>
      </c>
      <c r="K112" s="62">
        <v>641</v>
      </c>
      <c r="L112" s="63">
        <v>0.77859999999999996</v>
      </c>
      <c r="M112" s="64">
        <v>6</v>
      </c>
      <c r="N112" s="64" t="s">
        <v>441</v>
      </c>
      <c r="O112" s="64" t="s">
        <v>442</v>
      </c>
      <c r="P112" s="64" t="s">
        <v>443</v>
      </c>
      <c r="Q112" s="64" t="s">
        <v>1030</v>
      </c>
      <c r="R112" s="65" t="s">
        <v>1031</v>
      </c>
      <c r="S112" s="1"/>
      <c r="T112" s="84" t="s">
        <v>372</v>
      </c>
      <c r="U112" s="84" t="s">
        <v>1032</v>
      </c>
      <c r="V112" s="84" t="s">
        <v>1033</v>
      </c>
      <c r="W112" s="84" t="s">
        <v>475</v>
      </c>
      <c r="X112" s="84" t="s">
        <v>475</v>
      </c>
      <c r="Y112" s="84" t="s">
        <v>837</v>
      </c>
      <c r="Z112" s="84" t="s">
        <v>837</v>
      </c>
      <c r="AA112" s="108"/>
      <c r="AB112" s="108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22" customHeight="1">
      <c r="A113" s="66" t="s">
        <v>329</v>
      </c>
      <c r="B113" s="62" t="s">
        <v>1034</v>
      </c>
      <c r="C113" s="62" t="s">
        <v>772</v>
      </c>
      <c r="D113" s="62" t="s">
        <v>436</v>
      </c>
      <c r="E113" s="62" t="s">
        <v>490</v>
      </c>
      <c r="F113" s="62" t="s">
        <v>1035</v>
      </c>
      <c r="G113" s="62" t="s">
        <v>439</v>
      </c>
      <c r="H113" s="62" t="s">
        <v>440</v>
      </c>
      <c r="I113" s="62">
        <v>39.916564370000003</v>
      </c>
      <c r="J113" s="62">
        <v>-75.245153270000003</v>
      </c>
      <c r="K113" s="62">
        <v>249</v>
      </c>
      <c r="L113" s="63">
        <v>0.67059999999999997</v>
      </c>
      <c r="M113" s="64">
        <v>1</v>
      </c>
      <c r="N113" s="64" t="s">
        <v>441</v>
      </c>
      <c r="O113" s="64" t="s">
        <v>442</v>
      </c>
      <c r="P113" s="64" t="s">
        <v>443</v>
      </c>
      <c r="Q113" s="64" t="s">
        <v>1036</v>
      </c>
      <c r="R113" s="65" t="s">
        <v>1037</v>
      </c>
      <c r="S113" s="1"/>
      <c r="T113" s="84" t="s">
        <v>133</v>
      </c>
      <c r="U113" s="84" t="s">
        <v>1038</v>
      </c>
      <c r="V113" s="84" t="s">
        <v>1039</v>
      </c>
      <c r="W113" s="84" t="s">
        <v>475</v>
      </c>
      <c r="X113" s="84" t="s">
        <v>441</v>
      </c>
      <c r="Y113" s="84" t="s">
        <v>630</v>
      </c>
      <c r="Z113" s="84"/>
      <c r="AA113" s="108"/>
      <c r="AB113" s="108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22" customHeight="1">
      <c r="A114" s="66" t="s">
        <v>97</v>
      </c>
      <c r="B114" s="62" t="s">
        <v>1040</v>
      </c>
      <c r="C114" s="62" t="s">
        <v>772</v>
      </c>
      <c r="D114" s="62" t="s">
        <v>436</v>
      </c>
      <c r="E114" s="62" t="s">
        <v>483</v>
      </c>
      <c r="F114" s="62" t="s">
        <v>1041</v>
      </c>
      <c r="G114" s="62" t="s">
        <v>439</v>
      </c>
      <c r="H114" s="62" t="s">
        <v>800</v>
      </c>
      <c r="I114" s="62">
        <v>39.984296000000001</v>
      </c>
      <c r="J114" s="62">
        <v>-75.247860000000003</v>
      </c>
      <c r="K114" s="62">
        <v>617</v>
      </c>
      <c r="L114" s="63">
        <v>0.9274</v>
      </c>
      <c r="M114" s="64">
        <v>4</v>
      </c>
      <c r="N114" s="64" t="s">
        <v>441</v>
      </c>
      <c r="O114" s="64" t="s">
        <v>442</v>
      </c>
      <c r="P114" s="64" t="s">
        <v>443</v>
      </c>
      <c r="Q114" s="64" t="s">
        <v>1042</v>
      </c>
      <c r="R114" s="65" t="s">
        <v>1043</v>
      </c>
      <c r="S114" s="1"/>
      <c r="T114" s="84" t="s">
        <v>197</v>
      </c>
      <c r="U114" s="84" t="s">
        <v>1044</v>
      </c>
      <c r="V114" s="84" t="s">
        <v>1045</v>
      </c>
      <c r="W114" s="84" t="s">
        <v>475</v>
      </c>
      <c r="X114" s="84" t="s">
        <v>441</v>
      </c>
      <c r="Y114" s="84" t="s">
        <v>630</v>
      </c>
      <c r="Z114" s="84"/>
      <c r="AA114" s="108"/>
      <c r="AB114" s="108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22" customHeight="1">
      <c r="A115" s="66" t="s">
        <v>280</v>
      </c>
      <c r="B115" s="62" t="s">
        <v>1046</v>
      </c>
      <c r="C115" s="62" t="s">
        <v>772</v>
      </c>
      <c r="D115" s="62" t="s">
        <v>436</v>
      </c>
      <c r="E115" s="62" t="s">
        <v>594</v>
      </c>
      <c r="F115" s="62" t="s">
        <v>1047</v>
      </c>
      <c r="G115" s="62" t="s">
        <v>439</v>
      </c>
      <c r="H115" s="62" t="s">
        <v>574</v>
      </c>
      <c r="I115" s="62">
        <v>39.975799000000002</v>
      </c>
      <c r="J115" s="62">
        <v>-75.228437</v>
      </c>
      <c r="K115" s="62">
        <v>733</v>
      </c>
      <c r="L115" s="63">
        <v>0.72430000000000005</v>
      </c>
      <c r="M115" s="64">
        <v>10</v>
      </c>
      <c r="N115" s="64" t="s">
        <v>441</v>
      </c>
      <c r="O115" s="64" t="s">
        <v>442</v>
      </c>
      <c r="P115" s="64" t="s">
        <v>443</v>
      </c>
      <c r="Q115" s="64" t="s">
        <v>1048</v>
      </c>
      <c r="R115" s="65" t="s">
        <v>1049</v>
      </c>
      <c r="S115" s="1"/>
      <c r="T115" s="84" t="s">
        <v>418</v>
      </c>
      <c r="U115" s="84"/>
      <c r="V115" s="84" t="s">
        <v>1050</v>
      </c>
      <c r="W115" s="84" t="s">
        <v>475</v>
      </c>
      <c r="X115" s="84" t="s">
        <v>475</v>
      </c>
      <c r="Y115" s="84"/>
      <c r="Z115" s="84"/>
      <c r="AA115" s="108"/>
      <c r="AB115" s="108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22" customHeight="1">
      <c r="A116" s="66" t="s">
        <v>166</v>
      </c>
      <c r="B116" s="62" t="s">
        <v>1051</v>
      </c>
      <c r="C116" s="62" t="s">
        <v>772</v>
      </c>
      <c r="D116" s="62" t="s">
        <v>436</v>
      </c>
      <c r="E116" s="62" t="s">
        <v>483</v>
      </c>
      <c r="F116" s="62" t="s">
        <v>1052</v>
      </c>
      <c r="G116" s="62" t="s">
        <v>439</v>
      </c>
      <c r="H116" s="62" t="s">
        <v>901</v>
      </c>
      <c r="I116" s="62">
        <v>39.958851029999998</v>
      </c>
      <c r="J116" s="62">
        <v>-75.155513650000003</v>
      </c>
      <c r="K116" s="62">
        <v>497</v>
      </c>
      <c r="L116" s="63">
        <v>0.43140000000000001</v>
      </c>
      <c r="M116" s="64">
        <v>11</v>
      </c>
      <c r="N116" s="64" t="s">
        <v>441</v>
      </c>
      <c r="O116" s="64" t="s">
        <v>442</v>
      </c>
      <c r="P116" s="64" t="s">
        <v>443</v>
      </c>
      <c r="Q116" s="64" t="s">
        <v>1053</v>
      </c>
      <c r="R116" s="65" t="s">
        <v>1054</v>
      </c>
      <c r="S116" s="1"/>
      <c r="T116" s="84" t="s">
        <v>131</v>
      </c>
      <c r="U116" s="84" t="s">
        <v>1055</v>
      </c>
      <c r="V116" s="84" t="s">
        <v>1056</v>
      </c>
      <c r="W116" s="84" t="s">
        <v>475</v>
      </c>
      <c r="X116" s="84" t="s">
        <v>441</v>
      </c>
      <c r="Y116" s="84" t="s">
        <v>630</v>
      </c>
      <c r="Z116" s="84"/>
      <c r="AA116" s="108"/>
      <c r="AB116" s="108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22" customHeight="1">
      <c r="A117" s="66" t="s">
        <v>282</v>
      </c>
      <c r="B117" s="62" t="s">
        <v>1057</v>
      </c>
      <c r="C117" s="62" t="s">
        <v>772</v>
      </c>
      <c r="D117" s="62" t="s">
        <v>436</v>
      </c>
      <c r="E117" s="62" t="s">
        <v>793</v>
      </c>
      <c r="F117" s="62" t="s">
        <v>1058</v>
      </c>
      <c r="G117" s="62" t="s">
        <v>439</v>
      </c>
      <c r="H117" s="62" t="s">
        <v>581</v>
      </c>
      <c r="I117" s="62">
        <v>39.914540959999997</v>
      </c>
      <c r="J117" s="62">
        <v>-75.163588309999994</v>
      </c>
      <c r="K117" s="62">
        <v>1269</v>
      </c>
      <c r="L117" s="63">
        <v>0.90980000000000005</v>
      </c>
      <c r="M117" s="64">
        <v>4</v>
      </c>
      <c r="N117" s="64" t="s">
        <v>441</v>
      </c>
      <c r="O117" s="64" t="s">
        <v>442</v>
      </c>
      <c r="P117" s="64" t="s">
        <v>443</v>
      </c>
      <c r="Q117" s="64" t="s">
        <v>1059</v>
      </c>
      <c r="R117" s="65" t="s">
        <v>1060</v>
      </c>
      <c r="S117" s="1"/>
      <c r="T117" s="84" t="s">
        <v>155</v>
      </c>
      <c r="U117" s="84" t="s">
        <v>1061</v>
      </c>
      <c r="V117" s="84" t="s">
        <v>1062</v>
      </c>
      <c r="W117" s="84" t="s">
        <v>475</v>
      </c>
      <c r="X117" s="84" t="s">
        <v>441</v>
      </c>
      <c r="Y117" s="84" t="s">
        <v>630</v>
      </c>
      <c r="Z117" s="84"/>
      <c r="AA117" s="108"/>
      <c r="AB117" s="108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22" customHeight="1">
      <c r="A118" s="66" t="s">
        <v>297</v>
      </c>
      <c r="B118" s="62" t="s">
        <v>1063</v>
      </c>
      <c r="C118" s="62" t="s">
        <v>772</v>
      </c>
      <c r="D118" s="62" t="s">
        <v>436</v>
      </c>
      <c r="E118" s="62" t="s">
        <v>483</v>
      </c>
      <c r="F118" s="62" t="s">
        <v>1064</v>
      </c>
      <c r="G118" s="62" t="s">
        <v>439</v>
      </c>
      <c r="H118" s="62" t="s">
        <v>780</v>
      </c>
      <c r="I118" s="62">
        <v>40.020150059999999</v>
      </c>
      <c r="J118" s="62">
        <v>-75.095238109999997</v>
      </c>
      <c r="K118" s="62">
        <v>801</v>
      </c>
      <c r="L118" s="63">
        <v>0.75060000000000004</v>
      </c>
      <c r="M118" s="64">
        <v>6</v>
      </c>
      <c r="N118" s="64" t="s">
        <v>441</v>
      </c>
      <c r="O118" s="64" t="s">
        <v>442</v>
      </c>
      <c r="P118" s="64" t="s">
        <v>443</v>
      </c>
      <c r="Q118" s="64" t="s">
        <v>1065</v>
      </c>
      <c r="R118" s="65" t="s">
        <v>1066</v>
      </c>
      <c r="S118" s="1"/>
      <c r="T118" s="84" t="s">
        <v>211</v>
      </c>
      <c r="U118" s="84" t="s">
        <v>1067</v>
      </c>
      <c r="V118" s="84" t="s">
        <v>1068</v>
      </c>
      <c r="W118" s="84" t="s">
        <v>475</v>
      </c>
      <c r="X118" s="84" t="s">
        <v>441</v>
      </c>
      <c r="Y118" s="84" t="s">
        <v>630</v>
      </c>
      <c r="Z118" s="84"/>
      <c r="AA118" s="108"/>
      <c r="AB118" s="108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22" customHeight="1">
      <c r="A119" s="66" t="s">
        <v>122</v>
      </c>
      <c r="B119" s="62" t="s">
        <v>1069</v>
      </c>
      <c r="C119" s="62" t="s">
        <v>772</v>
      </c>
      <c r="D119" s="62" t="s">
        <v>436</v>
      </c>
      <c r="E119" s="62" t="s">
        <v>594</v>
      </c>
      <c r="F119" s="62" t="s">
        <v>1070</v>
      </c>
      <c r="G119" s="62" t="s">
        <v>439</v>
      </c>
      <c r="H119" s="62" t="s">
        <v>478</v>
      </c>
      <c r="I119" s="62">
        <v>39.951725580000002</v>
      </c>
      <c r="J119" s="62">
        <v>-75.233748509999998</v>
      </c>
      <c r="K119" s="62">
        <v>768</v>
      </c>
      <c r="L119" s="63">
        <v>0.65510000000000002</v>
      </c>
      <c r="M119" s="64">
        <v>11</v>
      </c>
      <c r="N119" s="64" t="s">
        <v>441</v>
      </c>
      <c r="O119" s="64" t="s">
        <v>442</v>
      </c>
      <c r="P119" s="64" t="s">
        <v>443</v>
      </c>
      <c r="Q119" s="64" t="s">
        <v>1071</v>
      </c>
      <c r="R119" s="65" t="s">
        <v>1072</v>
      </c>
      <c r="S119" s="1"/>
      <c r="T119" s="84" t="s">
        <v>208</v>
      </c>
      <c r="U119" s="84" t="s">
        <v>1073</v>
      </c>
      <c r="V119" s="84" t="s">
        <v>1074</v>
      </c>
      <c r="W119" s="84" t="s">
        <v>475</v>
      </c>
      <c r="X119" s="84" t="s">
        <v>441</v>
      </c>
      <c r="Y119" s="84" t="s">
        <v>630</v>
      </c>
      <c r="Z119" s="84"/>
      <c r="AA119" s="108"/>
      <c r="AB119" s="108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22" customHeight="1">
      <c r="A120" s="66" t="s">
        <v>249</v>
      </c>
      <c r="B120" s="62" t="s">
        <v>1075</v>
      </c>
      <c r="C120" s="62" t="s">
        <v>772</v>
      </c>
      <c r="D120" s="62" t="s">
        <v>436</v>
      </c>
      <c r="E120" s="62" t="s">
        <v>483</v>
      </c>
      <c r="F120" s="62" t="s">
        <v>1076</v>
      </c>
      <c r="G120" s="62" t="s">
        <v>439</v>
      </c>
      <c r="H120" s="62" t="s">
        <v>1077</v>
      </c>
      <c r="I120" s="62">
        <v>40.027604199999999</v>
      </c>
      <c r="J120" s="62">
        <v>-75.043582200000003</v>
      </c>
      <c r="K120" s="62">
        <v>649</v>
      </c>
      <c r="L120" s="63">
        <v>0.72299999999999998</v>
      </c>
      <c r="M120" s="64">
        <v>6</v>
      </c>
      <c r="N120" s="64" t="s">
        <v>441</v>
      </c>
      <c r="O120" s="64" t="s">
        <v>442</v>
      </c>
      <c r="P120" s="64" t="s">
        <v>443</v>
      </c>
      <c r="Q120" s="64" t="s">
        <v>1078</v>
      </c>
      <c r="R120" s="65" t="s">
        <v>1079</v>
      </c>
      <c r="S120" s="1"/>
      <c r="T120" s="84" t="s">
        <v>255</v>
      </c>
      <c r="U120" s="84" t="s">
        <v>1080</v>
      </c>
      <c r="V120" s="84" t="s">
        <v>1081</v>
      </c>
      <c r="W120" s="84" t="s">
        <v>475</v>
      </c>
      <c r="X120" s="84" t="s">
        <v>441</v>
      </c>
      <c r="Y120" s="84" t="s">
        <v>630</v>
      </c>
      <c r="Z120" s="84"/>
      <c r="AA120" s="108"/>
      <c r="AB120" s="108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22" customHeight="1">
      <c r="A121" s="66" t="s">
        <v>362</v>
      </c>
      <c r="B121" s="62" t="s">
        <v>1082</v>
      </c>
      <c r="C121" s="62" t="s">
        <v>772</v>
      </c>
      <c r="D121" s="62" t="s">
        <v>436</v>
      </c>
      <c r="E121" s="62" t="s">
        <v>483</v>
      </c>
      <c r="F121" s="62" t="s">
        <v>1083</v>
      </c>
      <c r="G121" s="62" t="s">
        <v>439</v>
      </c>
      <c r="H121" s="62" t="s">
        <v>440</v>
      </c>
      <c r="I121" s="62">
        <v>39.918098999999998</v>
      </c>
      <c r="J121" s="62">
        <v>-75.242599999999996</v>
      </c>
      <c r="K121" s="62">
        <v>690</v>
      </c>
      <c r="L121" s="63">
        <v>1</v>
      </c>
      <c r="M121" s="64">
        <v>2</v>
      </c>
      <c r="N121" s="64" t="s">
        <v>441</v>
      </c>
      <c r="O121" s="64" t="s">
        <v>442</v>
      </c>
      <c r="P121" s="64" t="s">
        <v>443</v>
      </c>
      <c r="Q121" s="64" t="s">
        <v>1084</v>
      </c>
      <c r="R121" s="65" t="s">
        <v>1085</v>
      </c>
      <c r="S121" s="1"/>
      <c r="T121" s="84" t="s">
        <v>291</v>
      </c>
      <c r="U121" s="84" t="s">
        <v>1086</v>
      </c>
      <c r="V121" s="84" t="s">
        <v>1087</v>
      </c>
      <c r="W121" s="84" t="s">
        <v>475</v>
      </c>
      <c r="X121" s="84" t="s">
        <v>441</v>
      </c>
      <c r="Y121" s="84" t="s">
        <v>630</v>
      </c>
      <c r="Z121" s="84"/>
      <c r="AA121" s="108"/>
      <c r="AB121" s="108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22" customHeight="1">
      <c r="A122" s="66" t="s">
        <v>279</v>
      </c>
      <c r="B122" s="62" t="s">
        <v>1088</v>
      </c>
      <c r="C122" s="62" t="s">
        <v>772</v>
      </c>
      <c r="D122" s="62" t="s">
        <v>436</v>
      </c>
      <c r="E122" s="62" t="s">
        <v>594</v>
      </c>
      <c r="F122" s="62" t="s">
        <v>1089</v>
      </c>
      <c r="G122" s="62" t="s">
        <v>439</v>
      </c>
      <c r="H122" s="62" t="s">
        <v>994</v>
      </c>
      <c r="I122" s="62">
        <v>40.03187441</v>
      </c>
      <c r="J122" s="62">
        <v>-75.180871240000002</v>
      </c>
      <c r="K122" s="62">
        <v>903</v>
      </c>
      <c r="L122" s="63">
        <v>0.80349999999999999</v>
      </c>
      <c r="M122" s="64">
        <v>15</v>
      </c>
      <c r="N122" s="64" t="s">
        <v>441</v>
      </c>
      <c r="O122" s="64" t="s">
        <v>442</v>
      </c>
      <c r="P122" s="64" t="s">
        <v>443</v>
      </c>
      <c r="Q122" s="64" t="s">
        <v>1090</v>
      </c>
      <c r="R122" s="65" t="s">
        <v>1091</v>
      </c>
      <c r="S122" s="1"/>
      <c r="T122" s="84" t="s">
        <v>333</v>
      </c>
      <c r="U122" s="84" t="s">
        <v>1092</v>
      </c>
      <c r="V122" s="84" t="s">
        <v>1093</v>
      </c>
      <c r="W122" s="84" t="s">
        <v>475</v>
      </c>
      <c r="X122" s="84" t="s">
        <v>441</v>
      </c>
      <c r="Y122" s="84" t="s">
        <v>630</v>
      </c>
      <c r="Z122" s="84"/>
      <c r="AA122" s="108"/>
      <c r="AB122" s="108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22" customHeight="1">
      <c r="A123" s="66" t="s">
        <v>310</v>
      </c>
      <c r="B123" s="62" t="s">
        <v>1094</v>
      </c>
      <c r="C123" s="62" t="s">
        <v>772</v>
      </c>
      <c r="D123" s="62" t="s">
        <v>436</v>
      </c>
      <c r="E123" s="62" t="s">
        <v>483</v>
      </c>
      <c r="F123" s="62" t="s">
        <v>1095</v>
      </c>
      <c r="G123" s="62" t="s">
        <v>439</v>
      </c>
      <c r="H123" s="62" t="s">
        <v>1096</v>
      </c>
      <c r="I123" s="62">
        <v>39.994280609999997</v>
      </c>
      <c r="J123" s="62">
        <v>-75.136148829999996</v>
      </c>
      <c r="K123" s="62">
        <v>767</v>
      </c>
      <c r="L123" s="63">
        <v>0.86170000000000002</v>
      </c>
      <c r="M123" s="64">
        <v>12</v>
      </c>
      <c r="N123" s="64" t="s">
        <v>441</v>
      </c>
      <c r="O123" s="64" t="s">
        <v>442</v>
      </c>
      <c r="P123" s="64" t="s">
        <v>443</v>
      </c>
      <c r="Q123" s="64" t="s">
        <v>1097</v>
      </c>
      <c r="R123" s="65" t="s">
        <v>1098</v>
      </c>
      <c r="S123" s="1"/>
      <c r="T123" s="84" t="s">
        <v>397</v>
      </c>
      <c r="U123" s="84" t="s">
        <v>1099</v>
      </c>
      <c r="V123" s="84" t="s">
        <v>1100</v>
      </c>
      <c r="W123" s="84" t="s">
        <v>475</v>
      </c>
      <c r="X123" s="84" t="s">
        <v>441</v>
      </c>
      <c r="Y123" s="84" t="s">
        <v>630</v>
      </c>
      <c r="Z123" s="84"/>
      <c r="AA123" s="108"/>
      <c r="AB123" s="108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22" customHeight="1">
      <c r="A124" s="66" t="s">
        <v>112</v>
      </c>
      <c r="B124" s="62" t="s">
        <v>1101</v>
      </c>
      <c r="C124" s="62" t="s">
        <v>772</v>
      </c>
      <c r="D124" s="62" t="s">
        <v>436</v>
      </c>
      <c r="E124" s="62" t="s">
        <v>483</v>
      </c>
      <c r="F124" s="62" t="s">
        <v>1102</v>
      </c>
      <c r="G124" s="62" t="s">
        <v>439</v>
      </c>
      <c r="H124" s="62" t="s">
        <v>758</v>
      </c>
      <c r="I124" s="62">
        <v>40.013005249999999</v>
      </c>
      <c r="J124" s="62">
        <v>-75.131365639999999</v>
      </c>
      <c r="K124" s="62">
        <v>746</v>
      </c>
      <c r="L124" s="63">
        <v>0.8</v>
      </c>
      <c r="M124" s="64">
        <v>10</v>
      </c>
      <c r="N124" s="64" t="s">
        <v>441</v>
      </c>
      <c r="O124" s="64" t="s">
        <v>442</v>
      </c>
      <c r="P124" s="64" t="s">
        <v>443</v>
      </c>
      <c r="Q124" s="64" t="s">
        <v>1103</v>
      </c>
      <c r="R124" s="65" t="s">
        <v>1104</v>
      </c>
      <c r="S124" s="1"/>
      <c r="T124" s="84" t="s">
        <v>104</v>
      </c>
      <c r="U124" s="84" t="s">
        <v>1105</v>
      </c>
      <c r="V124" s="84" t="s">
        <v>1106</v>
      </c>
      <c r="W124" s="84" t="s">
        <v>475</v>
      </c>
      <c r="X124" s="84" t="s">
        <v>441</v>
      </c>
      <c r="Y124" s="84" t="s">
        <v>630</v>
      </c>
      <c r="Z124" s="84"/>
      <c r="AA124" s="108"/>
      <c r="AB124" s="108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22" customHeight="1">
      <c r="A125" s="66" t="s">
        <v>354</v>
      </c>
      <c r="B125" s="62" t="s">
        <v>1107</v>
      </c>
      <c r="C125" s="62" t="s">
        <v>772</v>
      </c>
      <c r="D125" s="62" t="s">
        <v>436</v>
      </c>
      <c r="E125" s="62" t="s">
        <v>793</v>
      </c>
      <c r="F125" s="62" t="s">
        <v>1108</v>
      </c>
      <c r="G125" s="62" t="s">
        <v>439</v>
      </c>
      <c r="H125" s="62" t="s">
        <v>766</v>
      </c>
      <c r="I125" s="62">
        <v>39.987082000000001</v>
      </c>
      <c r="J125" s="62">
        <v>-75.128641000000002</v>
      </c>
      <c r="K125" s="62">
        <v>647</v>
      </c>
      <c r="L125" s="63">
        <v>0.82069999999999999</v>
      </c>
      <c r="M125" s="64">
        <v>10</v>
      </c>
      <c r="N125" s="64" t="s">
        <v>441</v>
      </c>
      <c r="O125" s="64" t="s">
        <v>442</v>
      </c>
      <c r="P125" s="64" t="s">
        <v>443</v>
      </c>
      <c r="Q125" s="64" t="s">
        <v>1109</v>
      </c>
      <c r="R125" s="65" t="s">
        <v>1110</v>
      </c>
      <c r="S125" s="1"/>
      <c r="T125" s="84" t="s">
        <v>176</v>
      </c>
      <c r="U125" s="84" t="s">
        <v>1111</v>
      </c>
      <c r="V125" s="84" t="s">
        <v>1112</v>
      </c>
      <c r="W125" s="84" t="s">
        <v>475</v>
      </c>
      <c r="X125" s="84" t="s">
        <v>441</v>
      </c>
      <c r="Y125" s="84" t="s">
        <v>630</v>
      </c>
      <c r="Z125" s="84"/>
      <c r="AA125" s="108"/>
      <c r="AB125" s="108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22" customHeight="1">
      <c r="A126" s="66" t="s">
        <v>174</v>
      </c>
      <c r="B126" s="62" t="s">
        <v>1113</v>
      </c>
      <c r="C126" s="62" t="s">
        <v>772</v>
      </c>
      <c r="D126" s="62" t="s">
        <v>436</v>
      </c>
      <c r="E126" s="62" t="s">
        <v>483</v>
      </c>
      <c r="F126" s="62" t="s">
        <v>1114</v>
      </c>
      <c r="G126" s="62" t="s">
        <v>439</v>
      </c>
      <c r="H126" s="62" t="s">
        <v>908</v>
      </c>
      <c r="I126" s="62">
        <v>39.995515990000001</v>
      </c>
      <c r="J126" s="62">
        <v>-75.074724340000003</v>
      </c>
      <c r="K126" s="62">
        <v>958</v>
      </c>
      <c r="L126" s="63">
        <v>0.67669999999999997</v>
      </c>
      <c r="M126" s="64">
        <v>1</v>
      </c>
      <c r="N126" s="64" t="s">
        <v>441</v>
      </c>
      <c r="O126" s="64" t="s">
        <v>442</v>
      </c>
      <c r="P126" s="64" t="s">
        <v>443</v>
      </c>
      <c r="Q126" s="64" t="s">
        <v>1115</v>
      </c>
      <c r="R126" s="65" t="s">
        <v>1116</v>
      </c>
      <c r="S126" s="1"/>
      <c r="T126" s="84" t="s">
        <v>320</v>
      </c>
      <c r="U126" s="84" t="s">
        <v>1117</v>
      </c>
      <c r="V126" s="84" t="s">
        <v>1118</v>
      </c>
      <c r="W126" s="84" t="s">
        <v>475</v>
      </c>
      <c r="X126" s="84" t="s">
        <v>441</v>
      </c>
      <c r="Y126" s="84" t="s">
        <v>630</v>
      </c>
      <c r="Z126" s="84"/>
      <c r="AA126" s="108"/>
      <c r="AB126" s="108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22" customHeight="1">
      <c r="A127" s="66" t="s">
        <v>369</v>
      </c>
      <c r="B127" s="62" t="s">
        <v>48</v>
      </c>
      <c r="C127" s="62" t="s">
        <v>772</v>
      </c>
      <c r="D127" s="62" t="s">
        <v>436</v>
      </c>
      <c r="E127" s="62" t="s">
        <v>793</v>
      </c>
      <c r="F127" s="62" t="s">
        <v>1119</v>
      </c>
      <c r="G127" s="62" t="s">
        <v>439</v>
      </c>
      <c r="H127" s="62" t="s">
        <v>1120</v>
      </c>
      <c r="I127" s="62">
        <v>40.066842219999998</v>
      </c>
      <c r="J127" s="62">
        <v>-75.065983529999997</v>
      </c>
      <c r="K127" s="62">
        <v>1090</v>
      </c>
      <c r="L127" s="63">
        <v>0.72040000000000004</v>
      </c>
      <c r="M127" s="64">
        <v>0</v>
      </c>
      <c r="N127" s="64" t="s">
        <v>441</v>
      </c>
      <c r="O127" s="64" t="s">
        <v>442</v>
      </c>
      <c r="P127" s="64" t="s">
        <v>443</v>
      </c>
      <c r="Q127" s="64" t="s">
        <v>1121</v>
      </c>
      <c r="R127" s="65" t="s">
        <v>1122</v>
      </c>
      <c r="S127" s="1"/>
      <c r="T127" s="84" t="s">
        <v>275</v>
      </c>
      <c r="U127" s="84" t="s">
        <v>1123</v>
      </c>
      <c r="V127" s="84" t="s">
        <v>1124</v>
      </c>
      <c r="W127" s="84" t="s">
        <v>475</v>
      </c>
      <c r="X127" s="84" t="s">
        <v>441</v>
      </c>
      <c r="Y127" s="84" t="s">
        <v>630</v>
      </c>
      <c r="Z127" s="84"/>
      <c r="AA127" s="108"/>
      <c r="AB127" s="108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22" customHeight="1">
      <c r="A128" s="66" t="s">
        <v>276</v>
      </c>
      <c r="B128" s="62" t="s">
        <v>1125</v>
      </c>
      <c r="C128" s="62" t="s">
        <v>772</v>
      </c>
      <c r="D128" s="62" t="s">
        <v>436</v>
      </c>
      <c r="E128" s="62" t="s">
        <v>483</v>
      </c>
      <c r="F128" s="62" t="s">
        <v>1126</v>
      </c>
      <c r="G128" s="62" t="s">
        <v>439</v>
      </c>
      <c r="H128" s="62" t="s">
        <v>478</v>
      </c>
      <c r="I128" s="62">
        <v>39.948524579999997</v>
      </c>
      <c r="J128" s="62">
        <v>-75.235485249999996</v>
      </c>
      <c r="K128" s="62">
        <v>753</v>
      </c>
      <c r="L128" s="63">
        <v>0.99070000000000003</v>
      </c>
      <c r="M128" s="64">
        <v>9</v>
      </c>
      <c r="N128" s="64" t="s">
        <v>441</v>
      </c>
      <c r="O128" s="64" t="s">
        <v>442</v>
      </c>
      <c r="P128" s="64" t="s">
        <v>443</v>
      </c>
      <c r="Q128" s="64" t="s">
        <v>1127</v>
      </c>
      <c r="R128" s="65" t="s">
        <v>1128</v>
      </c>
      <c r="S128" s="1"/>
      <c r="T128" s="84" t="s">
        <v>391</v>
      </c>
      <c r="U128" s="84" t="s">
        <v>1129</v>
      </c>
      <c r="V128" s="84" t="s">
        <v>1130</v>
      </c>
      <c r="W128" s="84" t="s">
        <v>475</v>
      </c>
      <c r="X128" s="84" t="s">
        <v>441</v>
      </c>
      <c r="Y128" s="84" t="s">
        <v>630</v>
      </c>
      <c r="Z128" s="84"/>
      <c r="AA128" s="108"/>
      <c r="AB128" s="108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22" customHeight="1">
      <c r="A129" s="66" t="s">
        <v>277</v>
      </c>
      <c r="B129" s="62" t="s">
        <v>1131</v>
      </c>
      <c r="C129" s="62" t="s">
        <v>772</v>
      </c>
      <c r="D129" s="62" t="s">
        <v>436</v>
      </c>
      <c r="E129" s="62" t="s">
        <v>490</v>
      </c>
      <c r="F129" s="62" t="s">
        <v>1132</v>
      </c>
      <c r="G129" s="62" t="s">
        <v>439</v>
      </c>
      <c r="H129" s="62" t="s">
        <v>574</v>
      </c>
      <c r="I129" s="62">
        <v>39.985901470000002</v>
      </c>
      <c r="J129" s="62">
        <v>-75.231326600000003</v>
      </c>
      <c r="K129" s="62">
        <v>549</v>
      </c>
      <c r="L129" s="63">
        <v>0.88360000000000005</v>
      </c>
      <c r="M129" s="64">
        <v>5</v>
      </c>
      <c r="N129" s="64" t="s">
        <v>441</v>
      </c>
      <c r="O129" s="64" t="s">
        <v>442</v>
      </c>
      <c r="P129" s="64" t="s">
        <v>443</v>
      </c>
      <c r="Q129" s="64" t="s">
        <v>1133</v>
      </c>
      <c r="R129" s="65" t="s">
        <v>1134</v>
      </c>
      <c r="S129" s="1"/>
      <c r="T129" s="84" t="s">
        <v>285</v>
      </c>
      <c r="U129" s="84" t="s">
        <v>1135</v>
      </c>
      <c r="V129" s="84" t="s">
        <v>1136</v>
      </c>
      <c r="W129" s="84" t="s">
        <v>475</v>
      </c>
      <c r="X129" s="84" t="s">
        <v>441</v>
      </c>
      <c r="Y129" s="84" t="s">
        <v>630</v>
      </c>
      <c r="Z129" s="84"/>
      <c r="AA129" s="108"/>
      <c r="AB129" s="108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22" customHeight="1">
      <c r="A130" s="66" t="s">
        <v>281</v>
      </c>
      <c r="B130" s="62" t="s">
        <v>1137</v>
      </c>
      <c r="C130" s="62" t="s">
        <v>772</v>
      </c>
      <c r="D130" s="62" t="s">
        <v>436</v>
      </c>
      <c r="E130" s="62" t="s">
        <v>490</v>
      </c>
      <c r="F130" s="62" t="s">
        <v>1138</v>
      </c>
      <c r="G130" s="62" t="s">
        <v>439</v>
      </c>
      <c r="H130" s="62" t="s">
        <v>780</v>
      </c>
      <c r="I130" s="62">
        <v>40.019786000000003</v>
      </c>
      <c r="J130" s="62">
        <v>-75.073892000000001</v>
      </c>
      <c r="K130" s="62">
        <v>737</v>
      </c>
      <c r="L130" s="63">
        <v>0.86309999999999998</v>
      </c>
      <c r="M130" s="64">
        <v>10</v>
      </c>
      <c r="N130" s="64" t="s">
        <v>441</v>
      </c>
      <c r="O130" s="64" t="s">
        <v>442</v>
      </c>
      <c r="P130" s="64" t="s">
        <v>443</v>
      </c>
      <c r="Q130" s="64" t="s">
        <v>1139</v>
      </c>
      <c r="R130" s="65" t="s">
        <v>1140</v>
      </c>
      <c r="S130" s="1"/>
      <c r="T130" s="84" t="s">
        <v>417</v>
      </c>
      <c r="U130" s="84" t="s">
        <v>1141</v>
      </c>
      <c r="V130" s="84" t="s">
        <v>1142</v>
      </c>
      <c r="W130" s="84" t="s">
        <v>475</v>
      </c>
      <c r="X130" s="84" t="s">
        <v>441</v>
      </c>
      <c r="Y130" s="84" t="s">
        <v>630</v>
      </c>
      <c r="Z130" s="84"/>
      <c r="AA130" s="108"/>
      <c r="AB130" s="108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22" customHeight="1">
      <c r="A131" s="66" t="s">
        <v>273</v>
      </c>
      <c r="B131" s="62" t="s">
        <v>1143</v>
      </c>
      <c r="C131" s="62" t="s">
        <v>772</v>
      </c>
      <c r="D131" s="62" t="s">
        <v>436</v>
      </c>
      <c r="E131" s="62" t="s">
        <v>483</v>
      </c>
      <c r="F131" s="62" t="s">
        <v>1144</v>
      </c>
      <c r="G131" s="62" t="s">
        <v>439</v>
      </c>
      <c r="H131" s="62" t="s">
        <v>626</v>
      </c>
      <c r="I131" s="62">
        <v>39.984615320000003</v>
      </c>
      <c r="J131" s="62">
        <v>-75.168462669999997</v>
      </c>
      <c r="K131" s="62">
        <v>559</v>
      </c>
      <c r="L131" s="63">
        <v>0.99280000000000002</v>
      </c>
      <c r="M131" s="64">
        <v>19</v>
      </c>
      <c r="N131" s="64" t="s">
        <v>441</v>
      </c>
      <c r="O131" s="64" t="s">
        <v>442</v>
      </c>
      <c r="P131" s="64" t="s">
        <v>443</v>
      </c>
      <c r="Q131" s="64" t="s">
        <v>1145</v>
      </c>
      <c r="R131" s="65" t="s">
        <v>1146</v>
      </c>
      <c r="S131" s="1"/>
      <c r="T131" s="84" t="s">
        <v>175</v>
      </c>
      <c r="U131" s="84" t="s">
        <v>1147</v>
      </c>
      <c r="V131" s="84" t="s">
        <v>1148</v>
      </c>
      <c r="W131" s="84" t="s">
        <v>475</v>
      </c>
      <c r="X131" s="84" t="s">
        <v>441</v>
      </c>
      <c r="Y131" s="84" t="s">
        <v>630</v>
      </c>
      <c r="Z131" s="84"/>
      <c r="AA131" s="108"/>
      <c r="AB131" s="108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22" customHeight="1">
      <c r="A132" s="66" t="s">
        <v>272</v>
      </c>
      <c r="B132" s="62" t="s">
        <v>1149</v>
      </c>
      <c r="C132" s="62" t="s">
        <v>772</v>
      </c>
      <c r="D132" s="62" t="s">
        <v>436</v>
      </c>
      <c r="E132" s="62" t="s">
        <v>490</v>
      </c>
      <c r="F132" s="62" t="s">
        <v>1150</v>
      </c>
      <c r="G132" s="62" t="s">
        <v>439</v>
      </c>
      <c r="H132" s="62" t="s">
        <v>1096</v>
      </c>
      <c r="I132" s="62">
        <v>39.995659340000003</v>
      </c>
      <c r="J132" s="62">
        <v>-75.150344189999998</v>
      </c>
      <c r="K132" s="62">
        <v>417</v>
      </c>
      <c r="L132" s="63">
        <v>0.98080000000000001</v>
      </c>
      <c r="M132" s="64">
        <v>14</v>
      </c>
      <c r="N132" s="64" t="s">
        <v>441</v>
      </c>
      <c r="O132" s="64" t="s">
        <v>442</v>
      </c>
      <c r="P132" s="64" t="s">
        <v>443</v>
      </c>
      <c r="Q132" s="64" t="s">
        <v>1151</v>
      </c>
      <c r="R132" s="65" t="s">
        <v>1152</v>
      </c>
      <c r="S132" s="1"/>
      <c r="T132" s="84" t="s">
        <v>263</v>
      </c>
      <c r="U132" s="84" t="s">
        <v>1153</v>
      </c>
      <c r="V132" s="84" t="s">
        <v>1154</v>
      </c>
      <c r="W132" s="84" t="s">
        <v>475</v>
      </c>
      <c r="X132" s="84" t="s">
        <v>441</v>
      </c>
      <c r="Y132" s="84" t="s">
        <v>630</v>
      </c>
      <c r="Z132" s="84"/>
      <c r="AA132" s="108"/>
      <c r="AB132" s="108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22" customHeight="1">
      <c r="A133" s="66" t="s">
        <v>274</v>
      </c>
      <c r="B133" s="62" t="s">
        <v>1155</v>
      </c>
      <c r="C133" s="62" t="s">
        <v>772</v>
      </c>
      <c r="D133" s="62" t="s">
        <v>436</v>
      </c>
      <c r="E133" s="62" t="s">
        <v>594</v>
      </c>
      <c r="F133" s="62" t="s">
        <v>1156</v>
      </c>
      <c r="G133" s="62" t="s">
        <v>439</v>
      </c>
      <c r="H133" s="62" t="s">
        <v>758</v>
      </c>
      <c r="I133" s="62">
        <v>40.014539650000003</v>
      </c>
      <c r="J133" s="62">
        <v>-75.156606850000003</v>
      </c>
      <c r="K133" s="62">
        <v>1097</v>
      </c>
      <c r="L133" s="63">
        <v>0.88470000000000004</v>
      </c>
      <c r="M133" s="64">
        <v>8</v>
      </c>
      <c r="N133" s="64" t="s">
        <v>441</v>
      </c>
      <c r="O133" s="64" t="s">
        <v>442</v>
      </c>
      <c r="P133" s="64" t="s">
        <v>443</v>
      </c>
      <c r="Q133" s="64" t="s">
        <v>1157</v>
      </c>
      <c r="R133" s="65" t="s">
        <v>1158</v>
      </c>
      <c r="S133" s="1"/>
      <c r="T133" s="84" t="s">
        <v>153</v>
      </c>
      <c r="U133" s="84" t="s">
        <v>1159</v>
      </c>
      <c r="V133" s="84" t="s">
        <v>1160</v>
      </c>
      <c r="W133" s="84" t="s">
        <v>475</v>
      </c>
      <c r="X133" s="84" t="s">
        <v>441</v>
      </c>
      <c r="Y133" s="84" t="s">
        <v>630</v>
      </c>
      <c r="Z133" s="84"/>
      <c r="AA133" s="108"/>
      <c r="AB133" s="108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22" customHeight="1">
      <c r="A134" s="66" t="s">
        <v>389</v>
      </c>
      <c r="B134" s="62" t="s">
        <v>1161</v>
      </c>
      <c r="C134" s="62" t="s">
        <v>772</v>
      </c>
      <c r="D134" s="62" t="s">
        <v>436</v>
      </c>
      <c r="E134" s="62" t="s">
        <v>437</v>
      </c>
      <c r="F134" s="62" t="s">
        <v>1162</v>
      </c>
      <c r="G134" s="62" t="s">
        <v>439</v>
      </c>
      <c r="H134" s="62" t="s">
        <v>608</v>
      </c>
      <c r="I134" s="62">
        <v>39.933737000000001</v>
      </c>
      <c r="J134" s="62">
        <v>-75.198589999999996</v>
      </c>
      <c r="K134" s="62">
        <v>606</v>
      </c>
      <c r="L134" s="63">
        <v>0.97829999999999995</v>
      </c>
      <c r="M134" s="64">
        <v>6</v>
      </c>
      <c r="N134" s="64" t="s">
        <v>441</v>
      </c>
      <c r="O134" s="64" t="s">
        <v>442</v>
      </c>
      <c r="P134" s="64" t="s">
        <v>443</v>
      </c>
      <c r="Q134" s="64" t="s">
        <v>1163</v>
      </c>
      <c r="R134" s="65" t="s">
        <v>1164</v>
      </c>
      <c r="S134" s="1"/>
      <c r="T134" s="84" t="s">
        <v>293</v>
      </c>
      <c r="U134" s="84" t="s">
        <v>1165</v>
      </c>
      <c r="V134" s="84" t="s">
        <v>1166</v>
      </c>
      <c r="W134" s="84" t="s">
        <v>475</v>
      </c>
      <c r="X134" s="84" t="s">
        <v>441</v>
      </c>
      <c r="Y134" s="84" t="s">
        <v>630</v>
      </c>
      <c r="Z134" s="84"/>
      <c r="AA134" s="108"/>
      <c r="AB134" s="108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22" customHeight="1">
      <c r="A135" s="66" t="s">
        <v>178</v>
      </c>
      <c r="B135" s="62" t="s">
        <v>1167</v>
      </c>
      <c r="C135" s="62" t="s">
        <v>772</v>
      </c>
      <c r="D135" s="62" t="s">
        <v>436</v>
      </c>
      <c r="E135" s="62" t="s">
        <v>483</v>
      </c>
      <c r="F135" s="62" t="s">
        <v>1168</v>
      </c>
      <c r="G135" s="62" t="s">
        <v>439</v>
      </c>
      <c r="H135" s="62" t="s">
        <v>1169</v>
      </c>
      <c r="I135" s="62">
        <v>40.029549039999999</v>
      </c>
      <c r="J135" s="62">
        <v>-75.138832690000001</v>
      </c>
      <c r="K135" s="62">
        <v>721</v>
      </c>
      <c r="L135" s="63">
        <v>0.91879999999999995</v>
      </c>
      <c r="M135" s="64">
        <v>11</v>
      </c>
      <c r="N135" s="64" t="s">
        <v>441</v>
      </c>
      <c r="O135" s="64" t="s">
        <v>442</v>
      </c>
      <c r="P135" s="64" t="s">
        <v>443</v>
      </c>
      <c r="Q135" s="64" t="s">
        <v>1170</v>
      </c>
      <c r="R135" s="65" t="s">
        <v>1171</v>
      </c>
      <c r="S135" s="1"/>
      <c r="T135" s="84" t="s">
        <v>319</v>
      </c>
      <c r="U135" s="84" t="s">
        <v>1172</v>
      </c>
      <c r="V135" s="84" t="s">
        <v>1173</v>
      </c>
      <c r="W135" s="84" t="s">
        <v>475</v>
      </c>
      <c r="X135" s="84" t="s">
        <v>441</v>
      </c>
      <c r="Y135" s="84" t="s">
        <v>630</v>
      </c>
      <c r="Z135" s="84"/>
      <c r="AA135" s="108"/>
      <c r="AB135" s="108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22" customHeight="1">
      <c r="A136" s="66" t="s">
        <v>271</v>
      </c>
      <c r="B136" s="62" t="s">
        <v>1174</v>
      </c>
      <c r="C136" s="62" t="s">
        <v>772</v>
      </c>
      <c r="D136" s="62" t="s">
        <v>90</v>
      </c>
      <c r="E136" s="62" t="s">
        <v>483</v>
      </c>
      <c r="F136" s="62" t="s">
        <v>1175</v>
      </c>
      <c r="G136" s="62" t="s">
        <v>439</v>
      </c>
      <c r="H136" s="62" t="s">
        <v>758</v>
      </c>
      <c r="I136" s="62">
        <v>40.010278239999998</v>
      </c>
      <c r="J136" s="62">
        <v>-75.159084550000003</v>
      </c>
      <c r="K136" s="62">
        <v>699</v>
      </c>
      <c r="L136" s="63">
        <v>0.94140000000000001</v>
      </c>
      <c r="M136" s="64">
        <v>5</v>
      </c>
      <c r="N136" s="64" t="s">
        <v>441</v>
      </c>
      <c r="O136" s="64" t="s">
        <v>442</v>
      </c>
      <c r="P136" s="64" t="s">
        <v>443</v>
      </c>
      <c r="Q136" s="64" t="s">
        <v>1176</v>
      </c>
      <c r="R136" s="65" t="s">
        <v>1177</v>
      </c>
      <c r="S136" s="1"/>
      <c r="T136" s="84" t="s">
        <v>330</v>
      </c>
      <c r="U136" s="84" t="s">
        <v>1178</v>
      </c>
      <c r="V136" s="84" t="s">
        <v>1179</v>
      </c>
      <c r="W136" s="84" t="s">
        <v>475</v>
      </c>
      <c r="X136" s="84" t="s">
        <v>441</v>
      </c>
      <c r="Y136" s="84" t="s">
        <v>630</v>
      </c>
      <c r="Z136" s="84"/>
      <c r="AA136" s="108"/>
      <c r="AB136" s="108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22" customHeight="1">
      <c r="A137" s="66" t="s">
        <v>390</v>
      </c>
      <c r="B137" s="62" t="s">
        <v>1180</v>
      </c>
      <c r="C137" s="62" t="s">
        <v>772</v>
      </c>
      <c r="D137" s="62" t="s">
        <v>436</v>
      </c>
      <c r="E137" s="62" t="s">
        <v>483</v>
      </c>
      <c r="F137" s="62" t="s">
        <v>1181</v>
      </c>
      <c r="G137" s="62" t="s">
        <v>439</v>
      </c>
      <c r="H137" s="62" t="s">
        <v>785</v>
      </c>
      <c r="I137" s="62">
        <v>40.034042769999999</v>
      </c>
      <c r="J137" s="62">
        <v>-75.105864920000002</v>
      </c>
      <c r="K137" s="62">
        <v>652</v>
      </c>
      <c r="L137" s="63">
        <v>0.81569999999999998</v>
      </c>
      <c r="M137" s="64">
        <v>6</v>
      </c>
      <c r="N137" s="64" t="s">
        <v>441</v>
      </c>
      <c r="O137" s="64" t="s">
        <v>442</v>
      </c>
      <c r="P137" s="64" t="s">
        <v>443</v>
      </c>
      <c r="Q137" s="64" t="s">
        <v>1182</v>
      </c>
      <c r="R137" s="65" t="s">
        <v>1183</v>
      </c>
      <c r="S137" s="1"/>
      <c r="T137" s="84" t="s">
        <v>189</v>
      </c>
      <c r="U137" s="84" t="s">
        <v>1184</v>
      </c>
      <c r="V137" s="84" t="s">
        <v>1185</v>
      </c>
      <c r="W137" s="84" t="s">
        <v>475</v>
      </c>
      <c r="X137" s="84" t="s">
        <v>441</v>
      </c>
      <c r="Y137" s="84" t="s">
        <v>630</v>
      </c>
      <c r="Z137" s="84"/>
      <c r="AA137" s="108"/>
      <c r="AB137" s="108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22" customHeight="1">
      <c r="A138" s="66" t="s">
        <v>376</v>
      </c>
      <c r="B138" s="62" t="s">
        <v>1186</v>
      </c>
      <c r="C138" s="62" t="s">
        <v>772</v>
      </c>
      <c r="D138" s="62" t="s">
        <v>436</v>
      </c>
      <c r="E138" s="62" t="s">
        <v>483</v>
      </c>
      <c r="F138" s="62" t="s">
        <v>1187</v>
      </c>
      <c r="G138" s="62" t="s">
        <v>439</v>
      </c>
      <c r="H138" s="62" t="s">
        <v>780</v>
      </c>
      <c r="I138" s="62">
        <v>40.02423246</v>
      </c>
      <c r="J138" s="62">
        <v>-75.085996309999999</v>
      </c>
      <c r="K138" s="62">
        <v>837</v>
      </c>
      <c r="L138" s="63">
        <v>0.84319999999999995</v>
      </c>
      <c r="M138" s="64">
        <v>7</v>
      </c>
      <c r="N138" s="64" t="s">
        <v>441</v>
      </c>
      <c r="O138" s="64" t="s">
        <v>442</v>
      </c>
      <c r="P138" s="64" t="s">
        <v>443</v>
      </c>
      <c r="Q138" s="64" t="s">
        <v>1188</v>
      </c>
      <c r="R138" s="65" t="s">
        <v>1189</v>
      </c>
      <c r="S138" s="1"/>
      <c r="T138" s="84" t="s">
        <v>210</v>
      </c>
      <c r="U138" s="84" t="s">
        <v>1190</v>
      </c>
      <c r="V138" s="84" t="s">
        <v>1191</v>
      </c>
      <c r="W138" s="84" t="s">
        <v>475</v>
      </c>
      <c r="X138" s="84" t="s">
        <v>441</v>
      </c>
      <c r="Y138" s="84" t="s">
        <v>630</v>
      </c>
      <c r="Z138" s="84"/>
      <c r="AA138" s="108"/>
      <c r="AB138" s="108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22" customHeight="1">
      <c r="A139" s="66" t="s">
        <v>388</v>
      </c>
      <c r="B139" s="62" t="s">
        <v>1192</v>
      </c>
      <c r="C139" s="62" t="s">
        <v>772</v>
      </c>
      <c r="D139" s="62" t="s">
        <v>436</v>
      </c>
      <c r="E139" s="62" t="s">
        <v>483</v>
      </c>
      <c r="F139" s="62" t="s">
        <v>1193</v>
      </c>
      <c r="G139" s="62" t="s">
        <v>439</v>
      </c>
      <c r="H139" s="62" t="s">
        <v>612</v>
      </c>
      <c r="I139" s="62">
        <v>39.935499</v>
      </c>
      <c r="J139" s="62">
        <v>-75.197771000000003</v>
      </c>
      <c r="K139" s="62">
        <v>473</v>
      </c>
      <c r="L139" s="63">
        <v>0.83220000000000005</v>
      </c>
      <c r="M139" s="64">
        <v>8</v>
      </c>
      <c r="N139" s="64" t="s">
        <v>441</v>
      </c>
      <c r="O139" s="64" t="s">
        <v>442</v>
      </c>
      <c r="P139" s="64" t="s">
        <v>443</v>
      </c>
      <c r="Q139" s="64" t="s">
        <v>1194</v>
      </c>
      <c r="R139" s="65" t="s">
        <v>1195</v>
      </c>
      <c r="S139" s="1"/>
      <c r="T139" s="84" t="s">
        <v>250</v>
      </c>
      <c r="U139" s="84"/>
      <c r="V139" s="84" t="s">
        <v>1196</v>
      </c>
      <c r="W139" s="84" t="s">
        <v>475</v>
      </c>
      <c r="X139" s="84" t="s">
        <v>441</v>
      </c>
      <c r="Y139" s="84" t="s">
        <v>630</v>
      </c>
      <c r="Z139" s="84"/>
      <c r="AA139" s="108"/>
      <c r="AB139" s="108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22" customHeight="1">
      <c r="A140" s="66" t="s">
        <v>278</v>
      </c>
      <c r="B140" s="62" t="s">
        <v>1197</v>
      </c>
      <c r="C140" s="62" t="s">
        <v>772</v>
      </c>
      <c r="D140" s="62" t="s">
        <v>90</v>
      </c>
      <c r="E140" s="62" t="s">
        <v>483</v>
      </c>
      <c r="F140" s="62" t="s">
        <v>1198</v>
      </c>
      <c r="G140" s="62" t="s">
        <v>439</v>
      </c>
      <c r="H140" s="62" t="s">
        <v>832</v>
      </c>
      <c r="I140" s="62">
        <v>40.048208000000002</v>
      </c>
      <c r="J140" s="62">
        <v>-75.161423999999997</v>
      </c>
      <c r="K140" s="62">
        <v>688</v>
      </c>
      <c r="L140" s="63">
        <v>0.86019999999999996</v>
      </c>
      <c r="M140" s="64">
        <v>17</v>
      </c>
      <c r="N140" s="64" t="s">
        <v>441</v>
      </c>
      <c r="O140" s="64" t="s">
        <v>442</v>
      </c>
      <c r="P140" s="64" t="s">
        <v>443</v>
      </c>
      <c r="Q140" s="64" t="s">
        <v>1199</v>
      </c>
      <c r="R140" s="65" t="s">
        <v>1200</v>
      </c>
      <c r="S140" s="1"/>
      <c r="T140" s="84" t="s">
        <v>398</v>
      </c>
      <c r="U140" s="84" t="s">
        <v>1201</v>
      </c>
      <c r="V140" s="84" t="s">
        <v>1202</v>
      </c>
      <c r="W140" s="84" t="s">
        <v>475</v>
      </c>
      <c r="X140" s="84" t="s">
        <v>441</v>
      </c>
      <c r="Y140" s="84" t="s">
        <v>630</v>
      </c>
      <c r="Z140" s="84"/>
      <c r="AA140" s="108"/>
      <c r="AB140" s="108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22" customHeight="1">
      <c r="A141" s="66" t="s">
        <v>283</v>
      </c>
      <c r="B141" s="62" t="s">
        <v>1203</v>
      </c>
      <c r="C141" s="62" t="s">
        <v>772</v>
      </c>
      <c r="D141" s="62" t="s">
        <v>436</v>
      </c>
      <c r="E141" s="62" t="s">
        <v>490</v>
      </c>
      <c r="F141" s="62" t="s">
        <v>1204</v>
      </c>
      <c r="G141" s="62" t="s">
        <v>439</v>
      </c>
      <c r="H141" s="62" t="s">
        <v>994</v>
      </c>
      <c r="I141" s="62">
        <v>40.032881459999999</v>
      </c>
      <c r="J141" s="62">
        <v>-75.16672063</v>
      </c>
      <c r="K141" s="62">
        <v>505</v>
      </c>
      <c r="L141" s="63">
        <v>0.998</v>
      </c>
      <c r="M141" s="64">
        <v>19</v>
      </c>
      <c r="N141" s="64" t="s">
        <v>441</v>
      </c>
      <c r="O141" s="64" t="s">
        <v>442</v>
      </c>
      <c r="P141" s="64" t="s">
        <v>443</v>
      </c>
      <c r="Q141" s="64" t="s">
        <v>1205</v>
      </c>
      <c r="R141" s="65" t="s">
        <v>1206</v>
      </c>
      <c r="S141" s="1"/>
      <c r="T141" s="84" t="s">
        <v>322</v>
      </c>
      <c r="U141" s="84" t="s">
        <v>1207</v>
      </c>
      <c r="V141" s="84" t="s">
        <v>1208</v>
      </c>
      <c r="W141" s="84" t="s">
        <v>475</v>
      </c>
      <c r="X141" s="84" t="s">
        <v>441</v>
      </c>
      <c r="Y141" s="84" t="s">
        <v>630</v>
      </c>
      <c r="Z141" s="84"/>
      <c r="AA141" s="108"/>
      <c r="AB141" s="108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22" customHeight="1">
      <c r="A142" s="66" t="s">
        <v>190</v>
      </c>
      <c r="B142" s="62" t="s">
        <v>1209</v>
      </c>
      <c r="C142" s="62" t="s">
        <v>772</v>
      </c>
      <c r="D142" s="62" t="s">
        <v>436</v>
      </c>
      <c r="E142" s="62" t="s">
        <v>483</v>
      </c>
      <c r="F142" s="62" t="s">
        <v>1210</v>
      </c>
      <c r="G142" s="62" t="s">
        <v>439</v>
      </c>
      <c r="H142" s="62" t="s">
        <v>478</v>
      </c>
      <c r="I142" s="62">
        <v>39.953326910000001</v>
      </c>
      <c r="J142" s="62">
        <v>-75.226858329999999</v>
      </c>
      <c r="K142" s="62">
        <v>611</v>
      </c>
      <c r="L142" s="63">
        <v>0.82499999999999996</v>
      </c>
      <c r="M142" s="64">
        <v>11</v>
      </c>
      <c r="N142" s="64" t="s">
        <v>441</v>
      </c>
      <c r="O142" s="64" t="s">
        <v>442</v>
      </c>
      <c r="P142" s="64" t="s">
        <v>443</v>
      </c>
      <c r="Q142" s="64" t="s">
        <v>105</v>
      </c>
      <c r="R142" s="65" t="s">
        <v>1211</v>
      </c>
      <c r="S142" s="1"/>
      <c r="T142" s="84" t="s">
        <v>337</v>
      </c>
      <c r="U142" s="84" t="s">
        <v>1212</v>
      </c>
      <c r="V142" s="84" t="s">
        <v>1213</v>
      </c>
      <c r="W142" s="84" t="s">
        <v>475</v>
      </c>
      <c r="X142" s="84" t="s">
        <v>441</v>
      </c>
      <c r="Y142" s="84" t="s">
        <v>630</v>
      </c>
      <c r="Z142" s="84"/>
      <c r="AA142" s="108"/>
      <c r="AB142" s="108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22" customHeight="1">
      <c r="A143" s="66" t="s">
        <v>252</v>
      </c>
      <c r="B143" s="62" t="s">
        <v>1214</v>
      </c>
      <c r="C143" s="62" t="s">
        <v>772</v>
      </c>
      <c r="D143" s="62" t="s">
        <v>90</v>
      </c>
      <c r="E143" s="62" t="s">
        <v>490</v>
      </c>
      <c r="F143" s="62" t="s">
        <v>1215</v>
      </c>
      <c r="G143" s="62" t="s">
        <v>439</v>
      </c>
      <c r="H143" s="62" t="s">
        <v>450</v>
      </c>
      <c r="I143" s="62">
        <v>39.959724000000001</v>
      </c>
      <c r="J143" s="62">
        <v>-75.214591049999996</v>
      </c>
      <c r="K143" s="62">
        <v>476</v>
      </c>
      <c r="L143" s="63">
        <v>0.5635</v>
      </c>
      <c r="M143" s="64">
        <v>15</v>
      </c>
      <c r="N143" s="64" t="s">
        <v>441</v>
      </c>
      <c r="O143" s="64" t="s">
        <v>442</v>
      </c>
      <c r="P143" s="64" t="s">
        <v>443</v>
      </c>
      <c r="Q143" s="64" t="s">
        <v>1216</v>
      </c>
      <c r="R143" s="65" t="s">
        <v>1217</v>
      </c>
      <c r="S143" s="1"/>
      <c r="T143" s="84" t="s">
        <v>346</v>
      </c>
      <c r="U143" s="84" t="s">
        <v>1218</v>
      </c>
      <c r="V143" s="84" t="s">
        <v>1219</v>
      </c>
      <c r="W143" s="84" t="s">
        <v>475</v>
      </c>
      <c r="X143" s="84" t="s">
        <v>441</v>
      </c>
      <c r="Y143" s="84" t="s">
        <v>630</v>
      </c>
      <c r="Z143" s="84"/>
      <c r="AA143" s="108"/>
      <c r="AB143" s="108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22" customHeight="1">
      <c r="A144" s="66" t="s">
        <v>251</v>
      </c>
      <c r="B144" s="62" t="s">
        <v>1220</v>
      </c>
      <c r="C144" s="62" t="s">
        <v>772</v>
      </c>
      <c r="D144" s="62" t="s">
        <v>436</v>
      </c>
      <c r="E144" s="62" t="s">
        <v>490</v>
      </c>
      <c r="F144" s="62" t="s">
        <v>1221</v>
      </c>
      <c r="G144" s="62" t="s">
        <v>439</v>
      </c>
      <c r="H144" s="62" t="s">
        <v>807</v>
      </c>
      <c r="I144" s="62">
        <v>39.991930000000004</v>
      </c>
      <c r="J144" s="62">
        <v>-75.158212000000006</v>
      </c>
      <c r="K144" s="62">
        <v>705</v>
      </c>
      <c r="L144" s="63">
        <v>0.59040000000000004</v>
      </c>
      <c r="M144" s="64">
        <v>16</v>
      </c>
      <c r="N144" s="64" t="s">
        <v>441</v>
      </c>
      <c r="O144" s="64" t="s">
        <v>442</v>
      </c>
      <c r="P144" s="64" t="s">
        <v>443</v>
      </c>
      <c r="Q144" s="64" t="s">
        <v>1222</v>
      </c>
      <c r="R144" s="65" t="s">
        <v>1223</v>
      </c>
      <c r="S144" s="1"/>
      <c r="T144" s="84" t="s">
        <v>270</v>
      </c>
      <c r="U144" s="84" t="s">
        <v>1224</v>
      </c>
      <c r="V144" s="84" t="s">
        <v>1225</v>
      </c>
      <c r="W144" s="84" t="s">
        <v>475</v>
      </c>
      <c r="X144" s="84" t="s">
        <v>441</v>
      </c>
      <c r="Y144" s="84" t="s">
        <v>630</v>
      </c>
      <c r="Z144" s="84"/>
      <c r="AA144" s="108"/>
      <c r="AB144" s="108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22" customHeight="1">
      <c r="A145" s="66" t="s">
        <v>139</v>
      </c>
      <c r="B145" s="62" t="s">
        <v>1226</v>
      </c>
      <c r="C145" s="62" t="s">
        <v>772</v>
      </c>
      <c r="D145" s="62" t="s">
        <v>436</v>
      </c>
      <c r="E145" s="62" t="s">
        <v>490</v>
      </c>
      <c r="F145" s="62" t="s">
        <v>1227</v>
      </c>
      <c r="G145" s="62" t="s">
        <v>439</v>
      </c>
      <c r="H145" s="62" t="s">
        <v>1228</v>
      </c>
      <c r="I145" s="62">
        <v>39.998066000000001</v>
      </c>
      <c r="J145" s="62">
        <v>-75.101664</v>
      </c>
      <c r="K145" s="62">
        <v>343</v>
      </c>
      <c r="L145" s="63">
        <v>0.90739999999999998</v>
      </c>
      <c r="M145" s="64">
        <v>7</v>
      </c>
      <c r="N145" s="64" t="s">
        <v>441</v>
      </c>
      <c r="O145" s="64" t="s">
        <v>442</v>
      </c>
      <c r="P145" s="64" t="s">
        <v>443</v>
      </c>
      <c r="Q145" s="64" t="s">
        <v>1229</v>
      </c>
      <c r="R145" s="65" t="s">
        <v>1230</v>
      </c>
      <c r="S145" s="1"/>
      <c r="T145" s="84" t="s">
        <v>415</v>
      </c>
      <c r="U145" s="84" t="s">
        <v>1231</v>
      </c>
      <c r="V145" s="84" t="s">
        <v>1232</v>
      </c>
      <c r="W145" s="84" t="s">
        <v>475</v>
      </c>
      <c r="X145" s="84" t="s">
        <v>441</v>
      </c>
      <c r="Y145" s="84" t="s">
        <v>630</v>
      </c>
      <c r="Z145" s="84"/>
      <c r="AA145" s="108"/>
      <c r="AB145" s="108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22" customHeight="1">
      <c r="A146" s="66" t="s">
        <v>284</v>
      </c>
      <c r="B146" s="62" t="s">
        <v>1233</v>
      </c>
      <c r="C146" s="62" t="s">
        <v>772</v>
      </c>
      <c r="D146" s="62" t="s">
        <v>436</v>
      </c>
      <c r="E146" s="62" t="s">
        <v>490</v>
      </c>
      <c r="F146" s="62" t="s">
        <v>1234</v>
      </c>
      <c r="G146" s="62" t="s">
        <v>439</v>
      </c>
      <c r="H146" s="62" t="s">
        <v>758</v>
      </c>
      <c r="I146" s="62">
        <v>40.013457000000002</v>
      </c>
      <c r="J146" s="62">
        <v>-75.156127999999995</v>
      </c>
      <c r="K146" s="62">
        <v>602</v>
      </c>
      <c r="L146" s="63">
        <v>0.91520000000000001</v>
      </c>
      <c r="M146" s="64">
        <v>9</v>
      </c>
      <c r="N146" s="64" t="s">
        <v>441</v>
      </c>
      <c r="O146" s="64" t="s">
        <v>442</v>
      </c>
      <c r="P146" s="64" t="s">
        <v>443</v>
      </c>
      <c r="Q146" s="64" t="s">
        <v>1235</v>
      </c>
      <c r="R146" s="65" t="s">
        <v>1236</v>
      </c>
      <c r="S146" s="1"/>
      <c r="T146" s="84" t="s">
        <v>164</v>
      </c>
      <c r="U146" s="84" t="s">
        <v>1237</v>
      </c>
      <c r="V146" s="84" t="s">
        <v>1238</v>
      </c>
      <c r="W146" s="84" t="s">
        <v>475</v>
      </c>
      <c r="X146" s="84" t="s">
        <v>441</v>
      </c>
      <c r="Y146" s="84" t="s">
        <v>630</v>
      </c>
      <c r="Z146" s="84"/>
      <c r="AA146" s="108"/>
      <c r="AB146" s="108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22" customHeight="1">
      <c r="A147" s="66" t="s">
        <v>268</v>
      </c>
      <c r="B147" s="62" t="s">
        <v>1239</v>
      </c>
      <c r="C147" s="62" t="s">
        <v>772</v>
      </c>
      <c r="D147" s="62" t="s">
        <v>436</v>
      </c>
      <c r="E147" s="62" t="s">
        <v>1240</v>
      </c>
      <c r="F147" s="62" t="s">
        <v>1241</v>
      </c>
      <c r="G147" s="62" t="s">
        <v>439</v>
      </c>
      <c r="H147" s="62" t="s">
        <v>1077</v>
      </c>
      <c r="I147" s="62">
        <v>40.017476000000002</v>
      </c>
      <c r="J147" s="62">
        <v>-75.044371999999996</v>
      </c>
      <c r="K147" s="62">
        <v>1903</v>
      </c>
      <c r="L147" s="63">
        <v>0.54510000000000003</v>
      </c>
      <c r="M147" s="64">
        <v>3</v>
      </c>
      <c r="N147" s="64" t="s">
        <v>441</v>
      </c>
      <c r="O147" s="64" t="s">
        <v>442</v>
      </c>
      <c r="P147" s="64" t="s">
        <v>443</v>
      </c>
      <c r="Q147" s="64" t="s">
        <v>336</v>
      </c>
      <c r="R147" s="65" t="s">
        <v>1242</v>
      </c>
      <c r="S147" s="1"/>
      <c r="T147" s="84" t="s">
        <v>192</v>
      </c>
      <c r="U147" s="84" t="s">
        <v>1243</v>
      </c>
      <c r="V147" s="84" t="s">
        <v>1244</v>
      </c>
      <c r="W147" s="84" t="s">
        <v>475</v>
      </c>
      <c r="X147" s="84" t="s">
        <v>441</v>
      </c>
      <c r="Y147" s="84" t="s">
        <v>630</v>
      </c>
      <c r="Z147" s="84"/>
      <c r="AA147" s="108"/>
      <c r="AB147" s="108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22" customHeight="1">
      <c r="A148" s="66" t="s">
        <v>371</v>
      </c>
      <c r="B148" s="62" t="s">
        <v>1245</v>
      </c>
      <c r="C148" s="62" t="s">
        <v>772</v>
      </c>
      <c r="D148" s="62" t="s">
        <v>436</v>
      </c>
      <c r="E148" s="62" t="s">
        <v>437</v>
      </c>
      <c r="F148" s="62" t="s">
        <v>1246</v>
      </c>
      <c r="G148" s="62" t="s">
        <v>439</v>
      </c>
      <c r="H148" s="62" t="s">
        <v>807</v>
      </c>
      <c r="I148" s="62">
        <v>39.986868999999999</v>
      </c>
      <c r="J148" s="62">
        <v>-75.155669000000003</v>
      </c>
      <c r="K148" s="62">
        <v>565</v>
      </c>
      <c r="L148" s="63">
        <v>0.79320000000000002</v>
      </c>
      <c r="M148" s="64">
        <v>16</v>
      </c>
      <c r="N148" s="64" t="s">
        <v>441</v>
      </c>
      <c r="O148" s="64" t="s">
        <v>442</v>
      </c>
      <c r="P148" s="64" t="s">
        <v>443</v>
      </c>
      <c r="Q148" s="64" t="s">
        <v>1247</v>
      </c>
      <c r="R148" s="65" t="s">
        <v>1248</v>
      </c>
      <c r="S148" s="1"/>
      <c r="T148" s="84" t="s">
        <v>264</v>
      </c>
      <c r="U148" s="84" t="s">
        <v>1249</v>
      </c>
      <c r="V148" s="84" t="s">
        <v>1250</v>
      </c>
      <c r="W148" s="84" t="s">
        <v>475</v>
      </c>
      <c r="X148" s="84" t="s">
        <v>441</v>
      </c>
      <c r="Y148" s="84" t="s">
        <v>630</v>
      </c>
      <c r="Z148" s="84"/>
      <c r="AA148" s="108"/>
      <c r="AB148" s="108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22" customHeight="1">
      <c r="A149" s="66" t="s">
        <v>209</v>
      </c>
      <c r="B149" s="62" t="s">
        <v>1251</v>
      </c>
      <c r="C149" s="62" t="s">
        <v>772</v>
      </c>
      <c r="D149" s="62" t="s">
        <v>436</v>
      </c>
      <c r="E149" s="62" t="s">
        <v>483</v>
      </c>
      <c r="F149" s="62" t="s">
        <v>1252</v>
      </c>
      <c r="G149" s="62" t="s">
        <v>439</v>
      </c>
      <c r="H149" s="62" t="s">
        <v>478</v>
      </c>
      <c r="I149" s="62">
        <v>39.937313660000001</v>
      </c>
      <c r="J149" s="62">
        <v>-75.226140360000002</v>
      </c>
      <c r="K149" s="62">
        <v>833</v>
      </c>
      <c r="L149" s="63">
        <v>0.874</v>
      </c>
      <c r="M149" s="64">
        <v>10</v>
      </c>
      <c r="N149" s="64" t="s">
        <v>441</v>
      </c>
      <c r="O149" s="64" t="s">
        <v>442</v>
      </c>
      <c r="P149" s="64" t="s">
        <v>443</v>
      </c>
      <c r="Q149" s="64" t="s">
        <v>1253</v>
      </c>
      <c r="R149" s="65" t="s">
        <v>1254</v>
      </c>
      <c r="S149" s="1"/>
      <c r="T149" s="84" t="s">
        <v>117</v>
      </c>
      <c r="U149" s="84" t="s">
        <v>1255</v>
      </c>
      <c r="V149" s="84" t="s">
        <v>1256</v>
      </c>
      <c r="W149" s="84" t="s">
        <v>475</v>
      </c>
      <c r="X149" s="84" t="s">
        <v>441</v>
      </c>
      <c r="Y149" s="84" t="s">
        <v>630</v>
      </c>
      <c r="Z149" s="84"/>
      <c r="AA149" s="108"/>
      <c r="AB149" s="108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22" customHeight="1">
      <c r="A150" s="66" t="s">
        <v>254</v>
      </c>
      <c r="B150" s="62" t="s">
        <v>1257</v>
      </c>
      <c r="C150" s="62" t="s">
        <v>772</v>
      </c>
      <c r="D150" s="62" t="s">
        <v>436</v>
      </c>
      <c r="E150" s="62" t="s">
        <v>490</v>
      </c>
      <c r="F150" s="62" t="s">
        <v>957</v>
      </c>
      <c r="G150" s="62" t="s">
        <v>439</v>
      </c>
      <c r="H150" s="62" t="s">
        <v>574</v>
      </c>
      <c r="I150" s="62">
        <v>39.979687300000002</v>
      </c>
      <c r="J150" s="62">
        <v>-75.221085299999999</v>
      </c>
      <c r="K150" s="62">
        <v>823</v>
      </c>
      <c r="L150" s="63"/>
      <c r="M150" s="64">
        <v>5</v>
      </c>
      <c r="N150" s="64" t="s">
        <v>441</v>
      </c>
      <c r="O150" s="64" t="s">
        <v>442</v>
      </c>
      <c r="P150" s="64" t="s">
        <v>443</v>
      </c>
      <c r="Q150" s="64" t="s">
        <v>1258</v>
      </c>
      <c r="R150" s="65" t="s">
        <v>1259</v>
      </c>
      <c r="S150" s="1"/>
      <c r="T150" s="84" t="s">
        <v>253</v>
      </c>
      <c r="U150" s="84" t="s">
        <v>1260</v>
      </c>
      <c r="V150" s="84" t="s">
        <v>1261</v>
      </c>
      <c r="W150" s="84" t="s">
        <v>475</v>
      </c>
      <c r="X150" s="84" t="s">
        <v>441</v>
      </c>
      <c r="Y150" s="84" t="s">
        <v>630</v>
      </c>
      <c r="Z150" s="84"/>
      <c r="AA150" s="108"/>
      <c r="AB150" s="108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22" customHeight="1">
      <c r="A151" s="66" t="s">
        <v>269</v>
      </c>
      <c r="B151" s="62" t="s">
        <v>1262</v>
      </c>
      <c r="C151" s="62" t="s">
        <v>772</v>
      </c>
      <c r="D151" s="62" t="s">
        <v>436</v>
      </c>
      <c r="E151" s="62" t="s">
        <v>490</v>
      </c>
      <c r="F151" s="62" t="s">
        <v>1263</v>
      </c>
      <c r="G151" s="62" t="s">
        <v>439</v>
      </c>
      <c r="H151" s="62" t="s">
        <v>1264</v>
      </c>
      <c r="I151" s="62">
        <v>40.109575</v>
      </c>
      <c r="J151" s="62">
        <v>-74.991670999999997</v>
      </c>
      <c r="K151" s="62">
        <v>1328</v>
      </c>
      <c r="L151" s="63">
        <v>0.68469999999999998</v>
      </c>
      <c r="M151" s="64">
        <v>1</v>
      </c>
      <c r="N151" s="64" t="s">
        <v>441</v>
      </c>
      <c r="O151" s="64" t="s">
        <v>442</v>
      </c>
      <c r="P151" s="64" t="s">
        <v>443</v>
      </c>
      <c r="Q151" s="64" t="s">
        <v>1265</v>
      </c>
      <c r="R151" s="65" t="s">
        <v>1266</v>
      </c>
      <c r="S151" s="1"/>
      <c r="T151" s="84" t="s">
        <v>374</v>
      </c>
      <c r="U151" s="84" t="s">
        <v>1267</v>
      </c>
      <c r="V151" s="84" t="s">
        <v>1268</v>
      </c>
      <c r="W151" s="84" t="s">
        <v>475</v>
      </c>
      <c r="X151" s="84" t="s">
        <v>441</v>
      </c>
      <c r="Y151" s="84" t="s">
        <v>630</v>
      </c>
      <c r="Z151" s="84"/>
      <c r="AA151" s="108"/>
      <c r="AB151" s="108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22" customHeight="1">
      <c r="A152" s="66" t="s">
        <v>323</v>
      </c>
      <c r="B152" s="62" t="s">
        <v>1269</v>
      </c>
      <c r="C152" s="62" t="s">
        <v>772</v>
      </c>
      <c r="D152" s="62" t="s">
        <v>436</v>
      </c>
      <c r="E152" s="62" t="s">
        <v>490</v>
      </c>
      <c r="F152" s="62" t="s">
        <v>1270</v>
      </c>
      <c r="G152" s="62" t="s">
        <v>439</v>
      </c>
      <c r="H152" s="62" t="s">
        <v>1271</v>
      </c>
      <c r="I152" s="62">
        <v>40.012045000000001</v>
      </c>
      <c r="J152" s="62">
        <v>-75.184376</v>
      </c>
      <c r="K152" s="62">
        <v>614</v>
      </c>
      <c r="L152" s="63">
        <v>0.78690000000000004</v>
      </c>
      <c r="M152" s="64">
        <v>3</v>
      </c>
      <c r="N152" s="64" t="s">
        <v>441</v>
      </c>
      <c r="O152" s="64" t="s">
        <v>442</v>
      </c>
      <c r="P152" s="64" t="s">
        <v>443</v>
      </c>
      <c r="Q152" s="64" t="s">
        <v>1272</v>
      </c>
      <c r="R152" s="65" t="s">
        <v>1273</v>
      </c>
      <c r="S152" s="1"/>
      <c r="T152" s="84" t="s">
        <v>329</v>
      </c>
      <c r="U152" s="84" t="s">
        <v>1274</v>
      </c>
      <c r="V152" s="84" t="s">
        <v>1275</v>
      </c>
      <c r="W152" s="84" t="s">
        <v>475</v>
      </c>
      <c r="X152" s="84" t="s">
        <v>441</v>
      </c>
      <c r="Y152" s="84" t="s">
        <v>630</v>
      </c>
      <c r="Z152" s="84"/>
      <c r="AA152" s="108"/>
      <c r="AB152" s="108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22" customHeight="1">
      <c r="A153" s="66" t="s">
        <v>149</v>
      </c>
      <c r="B153" s="62" t="s">
        <v>1276</v>
      </c>
      <c r="C153" s="62" t="s">
        <v>623</v>
      </c>
      <c r="D153" s="62" t="s">
        <v>88</v>
      </c>
      <c r="E153" s="62" t="s">
        <v>624</v>
      </c>
      <c r="F153" s="62" t="s">
        <v>1277</v>
      </c>
      <c r="G153" s="62" t="s">
        <v>439</v>
      </c>
      <c r="H153" s="62" t="s">
        <v>1228</v>
      </c>
      <c r="I153" s="62">
        <v>39.995608949999998</v>
      </c>
      <c r="J153" s="62">
        <v>-75.106616990000006</v>
      </c>
      <c r="K153" s="62">
        <v>146</v>
      </c>
      <c r="L153" s="63"/>
      <c r="M153" s="64">
        <v>7</v>
      </c>
      <c r="N153" s="64" t="s">
        <v>441</v>
      </c>
      <c r="O153" s="64" t="s">
        <v>442</v>
      </c>
      <c r="P153" s="64" t="s">
        <v>443</v>
      </c>
      <c r="Q153" s="64" t="s">
        <v>627</v>
      </c>
      <c r="R153" s="65" t="s">
        <v>445</v>
      </c>
      <c r="S153" s="1"/>
      <c r="T153" s="84" t="s">
        <v>97</v>
      </c>
      <c r="U153" s="84" t="s">
        <v>1278</v>
      </c>
      <c r="V153" s="84" t="s">
        <v>1279</v>
      </c>
      <c r="W153" s="84" t="s">
        <v>475</v>
      </c>
      <c r="X153" s="84" t="s">
        <v>441</v>
      </c>
      <c r="Y153" s="84" t="s">
        <v>630</v>
      </c>
      <c r="Z153" s="84"/>
      <c r="AA153" s="108"/>
      <c r="AB153" s="108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22" customHeight="1">
      <c r="A154" s="66" t="s">
        <v>302</v>
      </c>
      <c r="B154" s="62" t="s">
        <v>1280</v>
      </c>
      <c r="C154" s="62" t="s">
        <v>623</v>
      </c>
      <c r="D154" s="62" t="s">
        <v>88</v>
      </c>
      <c r="E154" s="62" t="s">
        <v>624</v>
      </c>
      <c r="F154" s="62" t="s">
        <v>1281</v>
      </c>
      <c r="G154" s="62" t="s">
        <v>439</v>
      </c>
      <c r="H154" s="62" t="s">
        <v>440</v>
      </c>
      <c r="I154" s="62">
        <v>39.922515910000001</v>
      </c>
      <c r="J154" s="62">
        <v>-75.229084929999999</v>
      </c>
      <c r="K154" s="62">
        <v>102</v>
      </c>
      <c r="L154" s="63"/>
      <c r="M154" s="64">
        <v>5</v>
      </c>
      <c r="N154" s="64" t="s">
        <v>441</v>
      </c>
      <c r="O154" s="64" t="s">
        <v>442</v>
      </c>
      <c r="P154" s="64" t="s">
        <v>443</v>
      </c>
      <c r="Q154" s="64" t="s">
        <v>627</v>
      </c>
      <c r="R154" s="65" t="s">
        <v>445</v>
      </c>
      <c r="S154" s="1"/>
      <c r="T154" s="84" t="s">
        <v>280</v>
      </c>
      <c r="U154" s="84" t="s">
        <v>1282</v>
      </c>
      <c r="V154" s="84" t="s">
        <v>1283</v>
      </c>
      <c r="W154" s="84" t="s">
        <v>475</v>
      </c>
      <c r="X154" s="84" t="s">
        <v>441</v>
      </c>
      <c r="Y154" s="84" t="s">
        <v>630</v>
      </c>
      <c r="Z154" s="84"/>
      <c r="AA154" s="108"/>
      <c r="AB154" s="108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22" customHeight="1">
      <c r="A155" s="66" t="s">
        <v>96</v>
      </c>
      <c r="B155" s="62" t="s">
        <v>1284</v>
      </c>
      <c r="C155" s="62" t="s">
        <v>623</v>
      </c>
      <c r="D155" s="62" t="s">
        <v>88</v>
      </c>
      <c r="E155" s="62" t="s">
        <v>624</v>
      </c>
      <c r="F155" s="62" t="s">
        <v>757</v>
      </c>
      <c r="G155" s="62" t="s">
        <v>439</v>
      </c>
      <c r="H155" s="62" t="s">
        <v>758</v>
      </c>
      <c r="I155" s="62">
        <v>40.014255249999998</v>
      </c>
      <c r="J155" s="62">
        <v>-75.125996790000002</v>
      </c>
      <c r="K155" s="62">
        <v>46</v>
      </c>
      <c r="L155" s="63"/>
      <c r="M155" s="64">
        <v>10</v>
      </c>
      <c r="N155" s="64" t="s">
        <v>441</v>
      </c>
      <c r="O155" s="64" t="s">
        <v>442</v>
      </c>
      <c r="P155" s="64" t="s">
        <v>443</v>
      </c>
      <c r="Q155" s="64" t="s">
        <v>627</v>
      </c>
      <c r="R155" s="65" t="s">
        <v>445</v>
      </c>
      <c r="S155" s="1"/>
      <c r="T155" s="84" t="s">
        <v>166</v>
      </c>
      <c r="U155" s="84" t="s">
        <v>1285</v>
      </c>
      <c r="V155" s="84" t="s">
        <v>1286</v>
      </c>
      <c r="W155" s="84" t="s">
        <v>475</v>
      </c>
      <c r="X155" s="84" t="s">
        <v>441</v>
      </c>
      <c r="Y155" s="84" t="s">
        <v>630</v>
      </c>
      <c r="Z155" s="84"/>
      <c r="AA155" s="108"/>
      <c r="AB155" s="108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22" customHeight="1">
      <c r="A156" s="66" t="s">
        <v>296</v>
      </c>
      <c r="B156" s="62" t="s">
        <v>1287</v>
      </c>
      <c r="C156" s="62" t="s">
        <v>435</v>
      </c>
      <c r="D156" s="62" t="s">
        <v>88</v>
      </c>
      <c r="E156" s="62" t="s">
        <v>624</v>
      </c>
      <c r="F156" s="62" t="s">
        <v>1288</v>
      </c>
      <c r="G156" s="62" t="s">
        <v>439</v>
      </c>
      <c r="H156" s="62" t="s">
        <v>1120</v>
      </c>
      <c r="I156" s="62">
        <v>40.055681</v>
      </c>
      <c r="J156" s="62">
        <v>-75.071168</v>
      </c>
      <c r="K156" s="62">
        <v>185</v>
      </c>
      <c r="L156" s="63"/>
      <c r="M156" s="64">
        <v>0</v>
      </c>
      <c r="N156" s="64" t="s">
        <v>441</v>
      </c>
      <c r="O156" s="64" t="s">
        <v>442</v>
      </c>
      <c r="P156" s="64" t="s">
        <v>443</v>
      </c>
      <c r="Q156" s="64" t="s">
        <v>627</v>
      </c>
      <c r="R156" s="65" t="s">
        <v>445</v>
      </c>
      <c r="S156" s="1"/>
      <c r="T156" s="84" t="s">
        <v>282</v>
      </c>
      <c r="U156" s="84" t="s">
        <v>1289</v>
      </c>
      <c r="V156" s="84" t="s">
        <v>1290</v>
      </c>
      <c r="W156" s="84" t="s">
        <v>475</v>
      </c>
      <c r="X156" s="84" t="s">
        <v>441</v>
      </c>
      <c r="Y156" s="84" t="s">
        <v>630</v>
      </c>
      <c r="Z156" s="84"/>
      <c r="AA156" s="108"/>
      <c r="AB156" s="108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22" customHeight="1">
      <c r="A157" s="66" t="s">
        <v>360</v>
      </c>
      <c r="B157" s="62" t="s">
        <v>1291</v>
      </c>
      <c r="C157" s="62" t="s">
        <v>435</v>
      </c>
      <c r="D157" s="62" t="s">
        <v>88</v>
      </c>
      <c r="E157" s="62" t="s">
        <v>624</v>
      </c>
      <c r="F157" s="62" t="s">
        <v>580</v>
      </c>
      <c r="G157" s="62" t="s">
        <v>439</v>
      </c>
      <c r="H157" s="62" t="s">
        <v>581</v>
      </c>
      <c r="I157" s="62">
        <v>39.923898700000002</v>
      </c>
      <c r="J157" s="62">
        <v>-75.169106499999998</v>
      </c>
      <c r="K157" s="62">
        <v>121</v>
      </c>
      <c r="L157" s="63"/>
      <c r="M157" s="64">
        <v>10</v>
      </c>
      <c r="N157" s="64" t="s">
        <v>441</v>
      </c>
      <c r="O157" s="64" t="s">
        <v>442</v>
      </c>
      <c r="P157" s="64" t="s">
        <v>443</v>
      </c>
      <c r="Q157" s="64" t="s">
        <v>627</v>
      </c>
      <c r="R157" s="65" t="s">
        <v>445</v>
      </c>
      <c r="S157" s="1"/>
      <c r="T157" s="84" t="s">
        <v>297</v>
      </c>
      <c r="U157" s="84" t="s">
        <v>1292</v>
      </c>
      <c r="V157" s="84" t="s">
        <v>1293</v>
      </c>
      <c r="W157" s="84" t="s">
        <v>475</v>
      </c>
      <c r="X157" s="84" t="s">
        <v>441</v>
      </c>
      <c r="Y157" s="84" t="s">
        <v>630</v>
      </c>
      <c r="Z157" s="84"/>
      <c r="AA157" s="108"/>
      <c r="AB157" s="108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22" customHeight="1">
      <c r="A158" s="66" t="s">
        <v>309</v>
      </c>
      <c r="B158" s="62" t="s">
        <v>1294</v>
      </c>
      <c r="C158" s="62" t="s">
        <v>435</v>
      </c>
      <c r="D158" s="62" t="s">
        <v>436</v>
      </c>
      <c r="E158" s="62" t="s">
        <v>437</v>
      </c>
      <c r="F158" s="62" t="s">
        <v>1295</v>
      </c>
      <c r="G158" s="62" t="s">
        <v>439</v>
      </c>
      <c r="H158" s="62" t="s">
        <v>574</v>
      </c>
      <c r="I158" s="62">
        <v>39.981028000000002</v>
      </c>
      <c r="J158" s="62">
        <v>-75.238556000000003</v>
      </c>
      <c r="K158" s="62">
        <v>466</v>
      </c>
      <c r="L158" s="63">
        <v>0.82320000000000004</v>
      </c>
      <c r="M158" s="64">
        <v>8</v>
      </c>
      <c r="N158" s="64" t="s">
        <v>441</v>
      </c>
      <c r="O158" s="64" t="s">
        <v>442</v>
      </c>
      <c r="P158" s="64" t="s">
        <v>443</v>
      </c>
      <c r="Q158" s="64" t="s">
        <v>1296</v>
      </c>
      <c r="R158" s="65" t="s">
        <v>445</v>
      </c>
      <c r="S158" s="1"/>
      <c r="T158" s="84" t="s">
        <v>122</v>
      </c>
      <c r="U158" s="84" t="s">
        <v>1297</v>
      </c>
      <c r="V158" s="84" t="s">
        <v>1298</v>
      </c>
      <c r="W158" s="84" t="s">
        <v>475</v>
      </c>
      <c r="X158" s="84" t="s">
        <v>441</v>
      </c>
      <c r="Y158" s="84" t="s">
        <v>630</v>
      </c>
      <c r="Z158" s="84"/>
      <c r="AA158" s="108"/>
      <c r="AB158" s="108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22" customHeight="1">
      <c r="A159" s="66" t="s">
        <v>125</v>
      </c>
      <c r="B159" s="62" t="s">
        <v>1299</v>
      </c>
      <c r="C159" s="62" t="s">
        <v>435</v>
      </c>
      <c r="D159" s="62" t="s">
        <v>436</v>
      </c>
      <c r="E159" s="62" t="s">
        <v>594</v>
      </c>
      <c r="F159" s="62" t="s">
        <v>1300</v>
      </c>
      <c r="G159" s="62" t="s">
        <v>439</v>
      </c>
      <c r="H159" s="62" t="s">
        <v>626</v>
      </c>
      <c r="I159" s="62">
        <v>39.983418090000001</v>
      </c>
      <c r="J159" s="62">
        <v>-75.161277889999994</v>
      </c>
      <c r="K159" s="62">
        <v>906</v>
      </c>
      <c r="L159" s="63">
        <v>0.5444</v>
      </c>
      <c r="M159" s="64">
        <v>13</v>
      </c>
      <c r="N159" s="64" t="s">
        <v>441</v>
      </c>
      <c r="O159" s="64" t="s">
        <v>442</v>
      </c>
      <c r="P159" s="64" t="s">
        <v>443</v>
      </c>
      <c r="Q159" s="64" t="s">
        <v>1301</v>
      </c>
      <c r="R159" s="65" t="s">
        <v>445</v>
      </c>
      <c r="S159" s="1"/>
      <c r="T159" s="84" t="s">
        <v>249</v>
      </c>
      <c r="U159" s="84" t="s">
        <v>1302</v>
      </c>
      <c r="V159" s="84" t="s">
        <v>1303</v>
      </c>
      <c r="W159" s="84" t="s">
        <v>475</v>
      </c>
      <c r="X159" s="84" t="s">
        <v>441</v>
      </c>
      <c r="Y159" s="84" t="s">
        <v>630</v>
      </c>
      <c r="Z159" s="84"/>
      <c r="AA159" s="108"/>
      <c r="AB159" s="108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22" customHeight="1">
      <c r="A160" s="66" t="s">
        <v>292</v>
      </c>
      <c r="B160" s="62" t="s">
        <v>1304</v>
      </c>
      <c r="C160" s="62" t="s">
        <v>435</v>
      </c>
      <c r="D160" s="62" t="s">
        <v>436</v>
      </c>
      <c r="E160" s="62" t="s">
        <v>437</v>
      </c>
      <c r="F160" s="62" t="s">
        <v>1305</v>
      </c>
      <c r="G160" s="62" t="s">
        <v>439</v>
      </c>
      <c r="H160" s="62" t="s">
        <v>807</v>
      </c>
      <c r="I160" s="62">
        <v>39.995429299999998</v>
      </c>
      <c r="J160" s="62">
        <v>-75.166793339999998</v>
      </c>
      <c r="K160" s="62">
        <v>535</v>
      </c>
      <c r="L160" s="63">
        <v>0.90639999999999998</v>
      </c>
      <c r="M160" s="64">
        <v>14</v>
      </c>
      <c r="N160" s="64" t="s">
        <v>441</v>
      </c>
      <c r="O160" s="64" t="s">
        <v>442</v>
      </c>
      <c r="P160" s="64" t="s">
        <v>443</v>
      </c>
      <c r="Q160" s="64" t="s">
        <v>1306</v>
      </c>
      <c r="R160" s="65" t="s">
        <v>445</v>
      </c>
      <c r="S160" s="1"/>
      <c r="T160" s="84" t="s">
        <v>362</v>
      </c>
      <c r="U160" s="84" t="s">
        <v>1307</v>
      </c>
      <c r="V160" s="84" t="s">
        <v>1308</v>
      </c>
      <c r="W160" s="84" t="s">
        <v>475</v>
      </c>
      <c r="X160" s="84" t="s">
        <v>441</v>
      </c>
      <c r="Y160" s="84" t="s">
        <v>630</v>
      </c>
      <c r="Z160" s="84"/>
      <c r="AA160" s="108"/>
      <c r="AB160" s="108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22" customHeight="1">
      <c r="A161" s="66" t="s">
        <v>367</v>
      </c>
      <c r="B161" s="62" t="s">
        <v>1309</v>
      </c>
      <c r="C161" s="62" t="s">
        <v>435</v>
      </c>
      <c r="D161" s="62" t="s">
        <v>436</v>
      </c>
      <c r="E161" s="62" t="s">
        <v>437</v>
      </c>
      <c r="F161" s="62" t="s">
        <v>1310</v>
      </c>
      <c r="G161" s="62" t="s">
        <v>439</v>
      </c>
      <c r="H161" s="62" t="s">
        <v>626</v>
      </c>
      <c r="I161" s="62">
        <v>39.990743709999997</v>
      </c>
      <c r="J161" s="62">
        <v>-75.184024640000004</v>
      </c>
      <c r="K161" s="62">
        <v>275</v>
      </c>
      <c r="L161" s="63">
        <v>0.87350000000000005</v>
      </c>
      <c r="M161" s="64">
        <v>12</v>
      </c>
      <c r="N161" s="64" t="s">
        <v>441</v>
      </c>
      <c r="O161" s="64" t="s">
        <v>442</v>
      </c>
      <c r="P161" s="64" t="s">
        <v>443</v>
      </c>
      <c r="Q161" s="64" t="s">
        <v>1311</v>
      </c>
      <c r="R161" s="65" t="s">
        <v>445</v>
      </c>
      <c r="S161" s="1"/>
      <c r="T161" s="84" t="s">
        <v>279</v>
      </c>
      <c r="U161" s="84" t="s">
        <v>1312</v>
      </c>
      <c r="V161" s="84" t="s">
        <v>1313</v>
      </c>
      <c r="W161" s="84" t="s">
        <v>475</v>
      </c>
      <c r="X161" s="84" t="s">
        <v>441</v>
      </c>
      <c r="Y161" s="84" t="s">
        <v>630</v>
      </c>
      <c r="Z161" s="84"/>
      <c r="AA161" s="108"/>
      <c r="AB161" s="108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22" customHeight="1">
      <c r="A162" s="66" t="s">
        <v>215</v>
      </c>
      <c r="B162" s="62" t="s">
        <v>1314</v>
      </c>
      <c r="C162" s="62" t="s">
        <v>435</v>
      </c>
      <c r="D162" s="62" t="s">
        <v>436</v>
      </c>
      <c r="E162" s="62" t="s">
        <v>483</v>
      </c>
      <c r="F162" s="62" t="s">
        <v>1315</v>
      </c>
      <c r="G162" s="62" t="s">
        <v>439</v>
      </c>
      <c r="H162" s="62" t="s">
        <v>626</v>
      </c>
      <c r="I162" s="62">
        <v>39.985212969999999</v>
      </c>
      <c r="J162" s="62">
        <v>-75.182938870000001</v>
      </c>
      <c r="K162" s="62">
        <v>299</v>
      </c>
      <c r="L162" s="63">
        <v>0.89439999999999997</v>
      </c>
      <c r="M162" s="64">
        <v>11</v>
      </c>
      <c r="N162" s="64" t="s">
        <v>441</v>
      </c>
      <c r="O162" s="64" t="s">
        <v>442</v>
      </c>
      <c r="P162" s="64" t="s">
        <v>443</v>
      </c>
      <c r="Q162" s="64" t="s">
        <v>1316</v>
      </c>
      <c r="R162" s="65" t="s">
        <v>445</v>
      </c>
      <c r="S162" s="1"/>
      <c r="T162" s="84" t="s">
        <v>310</v>
      </c>
      <c r="U162" s="84" t="s">
        <v>1317</v>
      </c>
      <c r="V162" s="84" t="s">
        <v>1318</v>
      </c>
      <c r="W162" s="84" t="s">
        <v>475</v>
      </c>
      <c r="X162" s="84" t="s">
        <v>441</v>
      </c>
      <c r="Y162" s="84" t="s">
        <v>630</v>
      </c>
      <c r="Z162" s="84"/>
      <c r="AA162" s="108"/>
      <c r="AB162" s="108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22" customHeight="1">
      <c r="A163" s="66" t="s">
        <v>259</v>
      </c>
      <c r="B163" s="62" t="s">
        <v>1319</v>
      </c>
      <c r="C163" s="62" t="s">
        <v>435</v>
      </c>
      <c r="D163" s="62" t="s">
        <v>436</v>
      </c>
      <c r="E163" s="62" t="s">
        <v>483</v>
      </c>
      <c r="F163" s="62" t="s">
        <v>1320</v>
      </c>
      <c r="G163" s="62" t="s">
        <v>439</v>
      </c>
      <c r="H163" s="62" t="s">
        <v>800</v>
      </c>
      <c r="I163" s="62">
        <v>39.975518739999998</v>
      </c>
      <c r="J163" s="62">
        <v>-75.250774430000007</v>
      </c>
      <c r="K163" s="62">
        <v>363</v>
      </c>
      <c r="L163" s="63">
        <v>0.74790000000000001</v>
      </c>
      <c r="M163" s="64">
        <v>6</v>
      </c>
      <c r="N163" s="64" t="s">
        <v>441</v>
      </c>
      <c r="O163" s="64" t="s">
        <v>442</v>
      </c>
      <c r="P163" s="64" t="s">
        <v>443</v>
      </c>
      <c r="Q163" s="64" t="s">
        <v>1321</v>
      </c>
      <c r="R163" s="65" t="s">
        <v>445</v>
      </c>
      <c r="S163" s="1"/>
      <c r="T163" s="84" t="s">
        <v>112</v>
      </c>
      <c r="U163" s="84"/>
      <c r="V163" s="84" t="s">
        <v>1322</v>
      </c>
      <c r="W163" s="84" t="s">
        <v>475</v>
      </c>
      <c r="X163" s="84" t="s">
        <v>441</v>
      </c>
      <c r="Y163" s="84" t="s">
        <v>630</v>
      </c>
      <c r="Z163" s="84"/>
      <c r="AA163" s="108"/>
      <c r="AB163" s="108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22" customHeight="1">
      <c r="A164" s="66" t="s">
        <v>405</v>
      </c>
      <c r="B164" s="62" t="s">
        <v>1323</v>
      </c>
      <c r="C164" s="62" t="s">
        <v>435</v>
      </c>
      <c r="D164" s="62" t="s">
        <v>436</v>
      </c>
      <c r="E164" s="62" t="s">
        <v>483</v>
      </c>
      <c r="F164" s="62" t="s">
        <v>1324</v>
      </c>
      <c r="G164" s="62" t="s">
        <v>439</v>
      </c>
      <c r="H164" s="62" t="s">
        <v>626</v>
      </c>
      <c r="I164" s="62">
        <v>39.986730000000001</v>
      </c>
      <c r="J164" s="62">
        <v>-75.173787000000004</v>
      </c>
      <c r="K164" s="62">
        <v>306</v>
      </c>
      <c r="L164" s="63">
        <v>0.96379999999999999</v>
      </c>
      <c r="M164" s="64">
        <v>18</v>
      </c>
      <c r="N164" s="64" t="s">
        <v>441</v>
      </c>
      <c r="O164" s="64" t="s">
        <v>442</v>
      </c>
      <c r="P164" s="64" t="s">
        <v>443</v>
      </c>
      <c r="Q164" s="64" t="s">
        <v>1325</v>
      </c>
      <c r="R164" s="65" t="s">
        <v>445</v>
      </c>
      <c r="S164" s="1"/>
      <c r="T164" s="84" t="s">
        <v>354</v>
      </c>
      <c r="U164" s="84"/>
      <c r="V164" s="84" t="s">
        <v>1326</v>
      </c>
      <c r="W164" s="84" t="s">
        <v>475</v>
      </c>
      <c r="X164" s="84" t="s">
        <v>441</v>
      </c>
      <c r="Y164" s="84" t="s">
        <v>630</v>
      </c>
      <c r="Z164" s="84"/>
      <c r="AA164" s="108"/>
      <c r="AB164" s="108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22" customHeight="1">
      <c r="A165" s="66" t="s">
        <v>351</v>
      </c>
      <c r="B165" s="62" t="s">
        <v>1327</v>
      </c>
      <c r="C165" s="62" t="s">
        <v>435</v>
      </c>
      <c r="D165" s="62" t="s">
        <v>436</v>
      </c>
      <c r="E165" s="62" t="s">
        <v>483</v>
      </c>
      <c r="F165" s="62" t="s">
        <v>1328</v>
      </c>
      <c r="G165" s="62" t="s">
        <v>439</v>
      </c>
      <c r="H165" s="62" t="s">
        <v>574</v>
      </c>
      <c r="I165" s="62">
        <v>39.992057629999998</v>
      </c>
      <c r="J165" s="62">
        <v>-75.237540280000005</v>
      </c>
      <c r="K165" s="62">
        <v>236</v>
      </c>
      <c r="L165" s="63">
        <v>0.72030000000000005</v>
      </c>
      <c r="M165" s="64">
        <v>3</v>
      </c>
      <c r="N165" s="64" t="s">
        <v>441</v>
      </c>
      <c r="O165" s="64" t="s">
        <v>442</v>
      </c>
      <c r="P165" s="64" t="s">
        <v>443</v>
      </c>
      <c r="Q165" s="64" t="s">
        <v>1329</v>
      </c>
      <c r="R165" s="65" t="s">
        <v>445</v>
      </c>
      <c r="S165" s="1"/>
      <c r="T165" s="84" t="s">
        <v>174</v>
      </c>
      <c r="U165" s="84"/>
      <c r="V165" s="84" t="s">
        <v>1330</v>
      </c>
      <c r="W165" s="84" t="s">
        <v>475</v>
      </c>
      <c r="X165" s="84" t="s">
        <v>441</v>
      </c>
      <c r="Y165" s="84" t="s">
        <v>630</v>
      </c>
      <c r="Z165" s="84"/>
      <c r="AA165" s="108"/>
      <c r="AB165" s="108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22" customHeight="1">
      <c r="A166" s="66" t="s">
        <v>145</v>
      </c>
      <c r="B166" s="62" t="s">
        <v>1331</v>
      </c>
      <c r="C166" s="62" t="s">
        <v>435</v>
      </c>
      <c r="D166" s="62" t="s">
        <v>436</v>
      </c>
      <c r="E166" s="62" t="s">
        <v>483</v>
      </c>
      <c r="F166" s="62" t="s">
        <v>1332</v>
      </c>
      <c r="G166" s="62" t="s">
        <v>439</v>
      </c>
      <c r="H166" s="62" t="s">
        <v>574</v>
      </c>
      <c r="I166" s="62">
        <v>39.977851999999999</v>
      </c>
      <c r="J166" s="62">
        <v>-75.229726999999997</v>
      </c>
      <c r="K166" s="62">
        <v>219</v>
      </c>
      <c r="L166" s="63">
        <v>0.91110000000000002</v>
      </c>
      <c r="M166" s="64">
        <v>11</v>
      </c>
      <c r="N166" s="64" t="s">
        <v>441</v>
      </c>
      <c r="O166" s="64" t="s">
        <v>442</v>
      </c>
      <c r="P166" s="64" t="s">
        <v>443</v>
      </c>
      <c r="Q166" s="64" t="s">
        <v>1333</v>
      </c>
      <c r="R166" s="65" t="s">
        <v>445</v>
      </c>
      <c r="S166" s="1"/>
      <c r="T166" s="84" t="s">
        <v>369</v>
      </c>
      <c r="U166" s="84"/>
      <c r="V166" s="84" t="s">
        <v>1334</v>
      </c>
      <c r="W166" s="84" t="s">
        <v>475</v>
      </c>
      <c r="X166" s="84" t="s">
        <v>441</v>
      </c>
      <c r="Y166" s="84" t="s">
        <v>630</v>
      </c>
      <c r="Z166" s="84"/>
      <c r="AA166" s="108"/>
      <c r="AB166" s="108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22" customHeight="1">
      <c r="A167" s="66" t="s">
        <v>341</v>
      </c>
      <c r="B167" s="62" t="s">
        <v>1335</v>
      </c>
      <c r="C167" s="62" t="s">
        <v>435</v>
      </c>
      <c r="D167" s="62" t="s">
        <v>436</v>
      </c>
      <c r="E167" s="62" t="s">
        <v>483</v>
      </c>
      <c r="F167" s="62" t="s">
        <v>1336</v>
      </c>
      <c r="G167" s="62" t="s">
        <v>439</v>
      </c>
      <c r="H167" s="62" t="s">
        <v>800</v>
      </c>
      <c r="I167" s="62">
        <v>39.975465</v>
      </c>
      <c r="J167" s="62">
        <v>-75.266328999999999</v>
      </c>
      <c r="K167" s="62">
        <v>362</v>
      </c>
      <c r="L167" s="63">
        <v>0.83550000000000002</v>
      </c>
      <c r="M167" s="64">
        <v>0</v>
      </c>
      <c r="N167" s="64" t="s">
        <v>441</v>
      </c>
      <c r="O167" s="64" t="s">
        <v>442</v>
      </c>
      <c r="P167" s="64" t="s">
        <v>443</v>
      </c>
      <c r="Q167" s="64" t="s">
        <v>1337</v>
      </c>
      <c r="R167" s="65" t="s">
        <v>445</v>
      </c>
      <c r="S167" s="1"/>
      <c r="T167" s="84" t="s">
        <v>276</v>
      </c>
      <c r="U167" s="84" t="s">
        <v>1338</v>
      </c>
      <c r="V167" s="84" t="s">
        <v>1339</v>
      </c>
      <c r="W167" s="84" t="s">
        <v>475</v>
      </c>
      <c r="X167" s="84" t="s">
        <v>441</v>
      </c>
      <c r="Y167" s="84" t="s">
        <v>630</v>
      </c>
      <c r="Z167" s="84"/>
      <c r="AA167" s="108"/>
      <c r="AB167" s="108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22" customHeight="1">
      <c r="A168" s="66" t="s">
        <v>142</v>
      </c>
      <c r="B168" s="62" t="s">
        <v>1340</v>
      </c>
      <c r="C168" s="62" t="s">
        <v>435</v>
      </c>
      <c r="D168" s="62" t="s">
        <v>436</v>
      </c>
      <c r="E168" s="62" t="s">
        <v>483</v>
      </c>
      <c r="F168" s="62" t="s">
        <v>1341</v>
      </c>
      <c r="G168" s="62" t="s">
        <v>439</v>
      </c>
      <c r="H168" s="62" t="s">
        <v>807</v>
      </c>
      <c r="I168" s="62">
        <v>40.00275594</v>
      </c>
      <c r="J168" s="62">
        <v>-75.17812979</v>
      </c>
      <c r="K168" s="62">
        <v>350</v>
      </c>
      <c r="L168" s="63">
        <v>0.92479999999999996</v>
      </c>
      <c r="M168" s="64">
        <v>9</v>
      </c>
      <c r="N168" s="64" t="s">
        <v>441</v>
      </c>
      <c r="O168" s="64" t="s">
        <v>442</v>
      </c>
      <c r="P168" s="64" t="s">
        <v>443</v>
      </c>
      <c r="Q168" s="64" t="s">
        <v>1342</v>
      </c>
      <c r="R168" s="65" t="s">
        <v>445</v>
      </c>
      <c r="S168" s="1"/>
      <c r="T168" s="84" t="s">
        <v>277</v>
      </c>
      <c r="U168" s="84" t="s">
        <v>1343</v>
      </c>
      <c r="V168" s="84" t="s">
        <v>1344</v>
      </c>
      <c r="W168" s="84" t="s">
        <v>475</v>
      </c>
      <c r="X168" s="84" t="s">
        <v>441</v>
      </c>
      <c r="Y168" s="84" t="s">
        <v>630</v>
      </c>
      <c r="Z168" s="84"/>
      <c r="AA168" s="108"/>
      <c r="AB168" s="108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22" customHeight="1">
      <c r="A169" s="66" t="s">
        <v>244</v>
      </c>
      <c r="B169" s="62" t="s">
        <v>1345</v>
      </c>
      <c r="C169" s="62" t="s">
        <v>435</v>
      </c>
      <c r="D169" s="62" t="s">
        <v>436</v>
      </c>
      <c r="E169" s="62" t="s">
        <v>483</v>
      </c>
      <c r="F169" s="62" t="s">
        <v>1346</v>
      </c>
      <c r="G169" s="62" t="s">
        <v>439</v>
      </c>
      <c r="H169" s="62" t="s">
        <v>758</v>
      </c>
      <c r="I169" s="62">
        <v>40.004939999999998</v>
      </c>
      <c r="J169" s="62">
        <v>-75.154240999999999</v>
      </c>
      <c r="K169" s="62">
        <v>271</v>
      </c>
      <c r="L169" s="63">
        <v>0.91249999999999998</v>
      </c>
      <c r="M169" s="64">
        <v>10</v>
      </c>
      <c r="N169" s="64" t="s">
        <v>441</v>
      </c>
      <c r="O169" s="64" t="s">
        <v>442</v>
      </c>
      <c r="P169" s="64" t="s">
        <v>443</v>
      </c>
      <c r="Q169" s="64" t="s">
        <v>1347</v>
      </c>
      <c r="R169" s="65" t="s">
        <v>445</v>
      </c>
      <c r="S169" s="1"/>
      <c r="T169" s="84" t="s">
        <v>281</v>
      </c>
      <c r="U169" s="84" t="s">
        <v>1348</v>
      </c>
      <c r="V169" s="84" t="s">
        <v>1349</v>
      </c>
      <c r="W169" s="84" t="s">
        <v>475</v>
      </c>
      <c r="X169" s="84" t="s">
        <v>441</v>
      </c>
      <c r="Y169" s="84" t="s">
        <v>630</v>
      </c>
      <c r="Z169" s="84"/>
      <c r="AA169" s="108"/>
      <c r="AB169" s="108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22" customHeight="1">
      <c r="A170" s="66" t="s">
        <v>308</v>
      </c>
      <c r="B170" s="62" t="s">
        <v>1350</v>
      </c>
      <c r="C170" s="62" t="s">
        <v>435</v>
      </c>
      <c r="D170" s="62" t="s">
        <v>436</v>
      </c>
      <c r="E170" s="62" t="s">
        <v>483</v>
      </c>
      <c r="F170" s="62" t="s">
        <v>1351</v>
      </c>
      <c r="G170" s="62" t="s">
        <v>439</v>
      </c>
      <c r="H170" s="62" t="s">
        <v>800</v>
      </c>
      <c r="I170" s="62">
        <v>39.982258059999999</v>
      </c>
      <c r="J170" s="62">
        <v>-75.245846110000002</v>
      </c>
      <c r="K170" s="62">
        <v>215</v>
      </c>
      <c r="L170" s="63">
        <v>0.85580000000000001</v>
      </c>
      <c r="M170" s="64">
        <v>6</v>
      </c>
      <c r="N170" s="64" t="s">
        <v>441</v>
      </c>
      <c r="O170" s="64" t="s">
        <v>442</v>
      </c>
      <c r="P170" s="64" t="s">
        <v>443</v>
      </c>
      <c r="Q170" s="64" t="s">
        <v>1352</v>
      </c>
      <c r="R170" s="65" t="s">
        <v>445</v>
      </c>
      <c r="S170" s="1"/>
      <c r="T170" s="84" t="s">
        <v>273</v>
      </c>
      <c r="U170" s="84" t="s">
        <v>1353</v>
      </c>
      <c r="V170" s="84" t="s">
        <v>1354</v>
      </c>
      <c r="W170" s="84" t="s">
        <v>475</v>
      </c>
      <c r="X170" s="84" t="s">
        <v>441</v>
      </c>
      <c r="Y170" s="84" t="s">
        <v>630</v>
      </c>
      <c r="Z170" s="84"/>
      <c r="AA170" s="108"/>
      <c r="AB170" s="108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22" customHeight="1">
      <c r="A171" s="66" t="s">
        <v>385</v>
      </c>
      <c r="B171" s="62" t="s">
        <v>1355</v>
      </c>
      <c r="C171" s="62" t="s">
        <v>435</v>
      </c>
      <c r="D171" s="62" t="s">
        <v>436</v>
      </c>
      <c r="E171" s="62" t="s">
        <v>490</v>
      </c>
      <c r="F171" s="62" t="s">
        <v>1356</v>
      </c>
      <c r="G171" s="62" t="s">
        <v>439</v>
      </c>
      <c r="H171" s="62" t="s">
        <v>807</v>
      </c>
      <c r="I171" s="62">
        <v>39.998838999999997</v>
      </c>
      <c r="J171" s="62">
        <v>-75.168424000000002</v>
      </c>
      <c r="K171" s="62">
        <v>292</v>
      </c>
      <c r="L171" s="63">
        <v>0.9375</v>
      </c>
      <c r="M171" s="64">
        <v>12</v>
      </c>
      <c r="N171" s="64" t="s">
        <v>441</v>
      </c>
      <c r="O171" s="64" t="s">
        <v>442</v>
      </c>
      <c r="P171" s="64" t="s">
        <v>443</v>
      </c>
      <c r="Q171" s="64" t="s">
        <v>1357</v>
      </c>
      <c r="R171" s="65" t="s">
        <v>445</v>
      </c>
      <c r="S171" s="1"/>
      <c r="T171" s="84" t="s">
        <v>272</v>
      </c>
      <c r="U171" s="84"/>
      <c r="V171" s="84" t="s">
        <v>1358</v>
      </c>
      <c r="W171" s="84" t="s">
        <v>475</v>
      </c>
      <c r="X171" s="84" t="s">
        <v>441</v>
      </c>
      <c r="Y171" s="84" t="s">
        <v>630</v>
      </c>
      <c r="Z171" s="84"/>
      <c r="AA171" s="108"/>
      <c r="AB171" s="108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22" customHeight="1">
      <c r="A172" s="66" t="s">
        <v>141</v>
      </c>
      <c r="B172" s="62" t="s">
        <v>1359</v>
      </c>
      <c r="C172" s="62" t="s">
        <v>435</v>
      </c>
      <c r="D172" s="62" t="s">
        <v>436</v>
      </c>
      <c r="E172" s="62" t="s">
        <v>483</v>
      </c>
      <c r="F172" s="62" t="s">
        <v>1360</v>
      </c>
      <c r="G172" s="62" t="s">
        <v>439</v>
      </c>
      <c r="H172" s="62" t="s">
        <v>807</v>
      </c>
      <c r="I172" s="62">
        <v>39.997576969999997</v>
      </c>
      <c r="J172" s="62">
        <v>-75.183459630000002</v>
      </c>
      <c r="K172" s="62">
        <v>274</v>
      </c>
      <c r="L172" s="63">
        <v>0.90620000000000001</v>
      </c>
      <c r="M172" s="64">
        <v>10</v>
      </c>
      <c r="N172" s="64" t="s">
        <v>441</v>
      </c>
      <c r="O172" s="64" t="s">
        <v>442</v>
      </c>
      <c r="P172" s="64" t="s">
        <v>443</v>
      </c>
      <c r="Q172" s="64" t="s">
        <v>1361</v>
      </c>
      <c r="R172" s="65" t="s">
        <v>445</v>
      </c>
      <c r="S172" s="1"/>
      <c r="T172" s="84" t="s">
        <v>274</v>
      </c>
      <c r="U172" s="84"/>
      <c r="V172" s="84" t="s">
        <v>1362</v>
      </c>
      <c r="W172" s="84" t="s">
        <v>475</v>
      </c>
      <c r="X172" s="84" t="s">
        <v>441</v>
      </c>
      <c r="Y172" s="84" t="s">
        <v>630</v>
      </c>
      <c r="Z172" s="84"/>
      <c r="AA172" s="108"/>
      <c r="AB172" s="108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22" customHeight="1">
      <c r="A173" s="66" t="s">
        <v>370</v>
      </c>
      <c r="B173" s="62" t="s">
        <v>1363</v>
      </c>
      <c r="C173" s="62" t="s">
        <v>435</v>
      </c>
      <c r="D173" s="62" t="s">
        <v>436</v>
      </c>
      <c r="E173" s="62" t="s">
        <v>483</v>
      </c>
      <c r="F173" s="62" t="s">
        <v>1364</v>
      </c>
      <c r="G173" s="62" t="s">
        <v>439</v>
      </c>
      <c r="H173" s="62" t="s">
        <v>626</v>
      </c>
      <c r="I173" s="62">
        <v>39.98520302</v>
      </c>
      <c r="J173" s="62">
        <v>-75.158301069999993</v>
      </c>
      <c r="K173" s="62">
        <v>402</v>
      </c>
      <c r="L173" s="63">
        <v>0.90469999999999995</v>
      </c>
      <c r="M173" s="64">
        <v>14</v>
      </c>
      <c r="N173" s="64" t="s">
        <v>441</v>
      </c>
      <c r="O173" s="64" t="s">
        <v>442</v>
      </c>
      <c r="P173" s="64" t="s">
        <v>443</v>
      </c>
      <c r="Q173" s="64" t="s">
        <v>1365</v>
      </c>
      <c r="R173" s="65" t="s">
        <v>445</v>
      </c>
      <c r="S173" s="1"/>
      <c r="T173" s="84" t="s">
        <v>389</v>
      </c>
      <c r="U173" s="84"/>
      <c r="V173" s="84" t="s">
        <v>1366</v>
      </c>
      <c r="W173" s="84" t="s">
        <v>475</v>
      </c>
      <c r="X173" s="84" t="s">
        <v>441</v>
      </c>
      <c r="Y173" s="84" t="s">
        <v>630</v>
      </c>
      <c r="Z173" s="84"/>
      <c r="AA173" s="108"/>
      <c r="AB173" s="108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22" customHeight="1">
      <c r="A174" s="66" t="s">
        <v>338</v>
      </c>
      <c r="B174" s="62" t="s">
        <v>1367</v>
      </c>
      <c r="C174" s="62" t="s">
        <v>435</v>
      </c>
      <c r="D174" s="62" t="s">
        <v>436</v>
      </c>
      <c r="E174" s="62" t="s">
        <v>490</v>
      </c>
      <c r="F174" s="62" t="s">
        <v>1368</v>
      </c>
      <c r="G174" s="62" t="s">
        <v>439</v>
      </c>
      <c r="H174" s="62" t="s">
        <v>807</v>
      </c>
      <c r="I174" s="62">
        <v>39.990439629999997</v>
      </c>
      <c r="J174" s="62">
        <v>-75.176998119999993</v>
      </c>
      <c r="K174" s="62">
        <v>201</v>
      </c>
      <c r="L174" s="63">
        <v>0.90900000000000003</v>
      </c>
      <c r="M174" s="64">
        <v>16</v>
      </c>
      <c r="N174" s="64" t="s">
        <v>441</v>
      </c>
      <c r="O174" s="64" t="s">
        <v>442</v>
      </c>
      <c r="P174" s="64" t="s">
        <v>443</v>
      </c>
      <c r="Q174" s="64" t="s">
        <v>1369</v>
      </c>
      <c r="R174" s="65" t="s">
        <v>445</v>
      </c>
      <c r="S174" s="1"/>
      <c r="T174" s="84" t="s">
        <v>178</v>
      </c>
      <c r="U174" s="84"/>
      <c r="V174" s="84" t="s">
        <v>1370</v>
      </c>
      <c r="W174" s="84" t="s">
        <v>475</v>
      </c>
      <c r="X174" s="84" t="s">
        <v>441</v>
      </c>
      <c r="Y174" s="84" t="s">
        <v>630</v>
      </c>
      <c r="Z174" s="84"/>
      <c r="AA174" s="108"/>
      <c r="AB174" s="108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22" customHeight="1">
      <c r="A175" s="66" t="s">
        <v>307</v>
      </c>
      <c r="B175" s="62" t="s">
        <v>1371</v>
      </c>
      <c r="C175" s="62" t="s">
        <v>435</v>
      </c>
      <c r="D175" s="62" t="s">
        <v>436</v>
      </c>
      <c r="E175" s="62" t="s">
        <v>483</v>
      </c>
      <c r="F175" s="62" t="s">
        <v>1372</v>
      </c>
      <c r="G175" s="62" t="s">
        <v>439</v>
      </c>
      <c r="H175" s="62" t="s">
        <v>800</v>
      </c>
      <c r="I175" s="62">
        <v>39.974299520000002</v>
      </c>
      <c r="J175" s="62">
        <v>-75.25401239</v>
      </c>
      <c r="K175" s="62">
        <v>226</v>
      </c>
      <c r="L175" s="63">
        <v>0.71109999999999995</v>
      </c>
      <c r="M175" s="64">
        <v>6</v>
      </c>
      <c r="N175" s="64" t="s">
        <v>441</v>
      </c>
      <c r="O175" s="64" t="s">
        <v>442</v>
      </c>
      <c r="P175" s="64" t="s">
        <v>443</v>
      </c>
      <c r="Q175" s="64" t="s">
        <v>1373</v>
      </c>
      <c r="R175" s="65" t="s">
        <v>445</v>
      </c>
      <c r="S175" s="1"/>
      <c r="T175" s="84" t="s">
        <v>271</v>
      </c>
      <c r="U175" s="84"/>
      <c r="V175" s="84" t="s">
        <v>1374</v>
      </c>
      <c r="W175" s="84" t="s">
        <v>475</v>
      </c>
      <c r="X175" s="84" t="s">
        <v>475</v>
      </c>
      <c r="Y175" s="84"/>
      <c r="Z175" s="84"/>
      <c r="AA175" s="108"/>
      <c r="AB175" s="108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22" customHeight="1">
      <c r="A176" s="66" t="s">
        <v>194</v>
      </c>
      <c r="B176" s="62" t="s">
        <v>1375</v>
      </c>
      <c r="C176" s="62" t="s">
        <v>435</v>
      </c>
      <c r="D176" s="62" t="s">
        <v>436</v>
      </c>
      <c r="E176" s="62" t="s">
        <v>483</v>
      </c>
      <c r="F176" s="62" t="s">
        <v>1376</v>
      </c>
      <c r="G176" s="62" t="s">
        <v>439</v>
      </c>
      <c r="H176" s="62" t="s">
        <v>574</v>
      </c>
      <c r="I176" s="62">
        <v>39.973811320000003</v>
      </c>
      <c r="J176" s="62">
        <v>-75.235831730000001</v>
      </c>
      <c r="K176" s="62">
        <v>490</v>
      </c>
      <c r="L176" s="63">
        <v>0.89890000000000003</v>
      </c>
      <c r="M176" s="64">
        <v>12</v>
      </c>
      <c r="N176" s="64" t="s">
        <v>441</v>
      </c>
      <c r="O176" s="64" t="s">
        <v>442</v>
      </c>
      <c r="P176" s="64" t="s">
        <v>443</v>
      </c>
      <c r="Q176" s="64" t="s">
        <v>1377</v>
      </c>
      <c r="R176" s="65" t="s">
        <v>445</v>
      </c>
      <c r="S176" s="1"/>
      <c r="T176" s="84" t="s">
        <v>390</v>
      </c>
      <c r="U176" s="84"/>
      <c r="V176" s="84" t="s">
        <v>1378</v>
      </c>
      <c r="W176" s="84" t="s">
        <v>475</v>
      </c>
      <c r="X176" s="84" t="s">
        <v>441</v>
      </c>
      <c r="Y176" s="84" t="s">
        <v>630</v>
      </c>
      <c r="Z176" s="84"/>
      <c r="AA176" s="108"/>
      <c r="AB176" s="108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22" customHeight="1">
      <c r="A177" s="66" t="s">
        <v>144</v>
      </c>
      <c r="B177" s="62" t="s">
        <v>1379</v>
      </c>
      <c r="C177" s="62" t="s">
        <v>435</v>
      </c>
      <c r="D177" s="62" t="s">
        <v>436</v>
      </c>
      <c r="E177" s="62" t="s">
        <v>483</v>
      </c>
      <c r="F177" s="62" t="s">
        <v>1380</v>
      </c>
      <c r="G177" s="62" t="s">
        <v>439</v>
      </c>
      <c r="H177" s="62" t="s">
        <v>626</v>
      </c>
      <c r="I177" s="62">
        <v>39.984475940000003</v>
      </c>
      <c r="J177" s="62">
        <v>-75.180164559999994</v>
      </c>
      <c r="K177" s="62">
        <v>184</v>
      </c>
      <c r="L177" s="63">
        <v>0.94230000000000003</v>
      </c>
      <c r="M177" s="64">
        <v>14</v>
      </c>
      <c r="N177" s="64" t="s">
        <v>441</v>
      </c>
      <c r="O177" s="64" t="s">
        <v>442</v>
      </c>
      <c r="P177" s="64" t="s">
        <v>443</v>
      </c>
      <c r="Q177" s="64" t="s">
        <v>1381</v>
      </c>
      <c r="R177" s="65" t="s">
        <v>445</v>
      </c>
      <c r="S177" s="1"/>
      <c r="T177" s="84" t="s">
        <v>376</v>
      </c>
      <c r="U177" s="84" t="s">
        <v>1382</v>
      </c>
      <c r="V177" s="84" t="s">
        <v>1383</v>
      </c>
      <c r="W177" s="84" t="s">
        <v>475</v>
      </c>
      <c r="X177" s="84" t="s">
        <v>441</v>
      </c>
      <c r="Y177" s="84" t="s">
        <v>630</v>
      </c>
      <c r="Z177" s="84"/>
      <c r="AA177" s="108"/>
      <c r="AB177" s="108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22" customHeight="1">
      <c r="A178" s="66" t="s">
        <v>404</v>
      </c>
      <c r="B178" s="62" t="s">
        <v>1384</v>
      </c>
      <c r="C178" s="62" t="s">
        <v>435</v>
      </c>
      <c r="D178" s="62" t="s">
        <v>436</v>
      </c>
      <c r="E178" s="62" t="s">
        <v>483</v>
      </c>
      <c r="F178" s="62" t="s">
        <v>1385</v>
      </c>
      <c r="G178" s="62" t="s">
        <v>439</v>
      </c>
      <c r="H178" s="62" t="s">
        <v>626</v>
      </c>
      <c r="I178" s="62">
        <v>39.980391730000001</v>
      </c>
      <c r="J178" s="62">
        <v>-75.180326890000003</v>
      </c>
      <c r="K178" s="62">
        <v>205</v>
      </c>
      <c r="L178" s="63">
        <v>0.91149999999999998</v>
      </c>
      <c r="M178" s="64">
        <v>11</v>
      </c>
      <c r="N178" s="64" t="s">
        <v>441</v>
      </c>
      <c r="O178" s="64" t="s">
        <v>442</v>
      </c>
      <c r="P178" s="64" t="s">
        <v>443</v>
      </c>
      <c r="Q178" s="64" t="s">
        <v>1386</v>
      </c>
      <c r="R178" s="65" t="s">
        <v>445</v>
      </c>
      <c r="S178" s="1"/>
      <c r="T178" s="84" t="s">
        <v>388</v>
      </c>
      <c r="U178" s="84"/>
      <c r="V178" s="84" t="s">
        <v>1387</v>
      </c>
      <c r="W178" s="84" t="s">
        <v>475</v>
      </c>
      <c r="X178" s="84" t="s">
        <v>441</v>
      </c>
      <c r="Y178" s="84" t="s">
        <v>630</v>
      </c>
      <c r="Z178" s="84"/>
      <c r="AA178" s="108"/>
      <c r="AB178" s="108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22" customHeight="1">
      <c r="A179" s="66" t="s">
        <v>180</v>
      </c>
      <c r="B179" s="62" t="s">
        <v>1388</v>
      </c>
      <c r="C179" s="62" t="s">
        <v>435</v>
      </c>
      <c r="D179" s="62" t="s">
        <v>436</v>
      </c>
      <c r="E179" s="62" t="s">
        <v>483</v>
      </c>
      <c r="F179" s="62" t="s">
        <v>1389</v>
      </c>
      <c r="G179" s="62" t="s">
        <v>439</v>
      </c>
      <c r="H179" s="62" t="s">
        <v>626</v>
      </c>
      <c r="I179" s="62">
        <v>39.978586999999997</v>
      </c>
      <c r="J179" s="62">
        <v>-75.164717999999993</v>
      </c>
      <c r="K179" s="62">
        <v>256</v>
      </c>
      <c r="L179" s="63">
        <v>0.89890000000000003</v>
      </c>
      <c r="M179" s="64">
        <v>15</v>
      </c>
      <c r="N179" s="64" t="s">
        <v>441</v>
      </c>
      <c r="O179" s="64" t="s">
        <v>442</v>
      </c>
      <c r="P179" s="64" t="s">
        <v>443</v>
      </c>
      <c r="Q179" s="64" t="s">
        <v>1390</v>
      </c>
      <c r="R179" s="65" t="s">
        <v>445</v>
      </c>
      <c r="S179" s="1"/>
      <c r="T179" s="84" t="s">
        <v>278</v>
      </c>
      <c r="U179" s="84"/>
      <c r="V179" s="84" t="s">
        <v>1391</v>
      </c>
      <c r="W179" s="84" t="s">
        <v>475</v>
      </c>
      <c r="X179" s="84" t="s">
        <v>475</v>
      </c>
      <c r="Y179" s="84"/>
      <c r="Z179" s="84"/>
      <c r="AA179" s="108"/>
      <c r="AB179" s="108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22" customHeight="1">
      <c r="A180" s="66" t="s">
        <v>381</v>
      </c>
      <c r="B180" s="62" t="s">
        <v>1392</v>
      </c>
      <c r="C180" s="62" t="s">
        <v>435</v>
      </c>
      <c r="D180" s="62" t="s">
        <v>436</v>
      </c>
      <c r="E180" s="62" t="s">
        <v>437</v>
      </c>
      <c r="F180" s="62" t="s">
        <v>1393</v>
      </c>
      <c r="G180" s="62" t="s">
        <v>439</v>
      </c>
      <c r="H180" s="62" t="s">
        <v>758</v>
      </c>
      <c r="I180" s="62">
        <v>40.01116485</v>
      </c>
      <c r="J180" s="62">
        <v>-75.128637909999995</v>
      </c>
      <c r="K180" s="62">
        <v>1022</v>
      </c>
      <c r="L180" s="63">
        <v>0.84179999999999999</v>
      </c>
      <c r="M180" s="64">
        <v>11</v>
      </c>
      <c r="N180" s="64" t="s">
        <v>441</v>
      </c>
      <c r="O180" s="64" t="s">
        <v>442</v>
      </c>
      <c r="P180" s="64" t="s">
        <v>443</v>
      </c>
      <c r="Q180" s="64" t="s">
        <v>1394</v>
      </c>
      <c r="R180" s="65" t="s">
        <v>445</v>
      </c>
      <c r="S180" s="1"/>
      <c r="T180" s="84" t="s">
        <v>283</v>
      </c>
      <c r="U180" s="84"/>
      <c r="V180" s="84" t="s">
        <v>1395</v>
      </c>
      <c r="W180" s="84" t="s">
        <v>475</v>
      </c>
      <c r="X180" s="84" t="s">
        <v>441</v>
      </c>
      <c r="Y180" s="84" t="s">
        <v>630</v>
      </c>
      <c r="Z180" s="84"/>
      <c r="AA180" s="108"/>
      <c r="AB180" s="108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22" customHeight="1">
      <c r="A181" s="66" t="s">
        <v>328</v>
      </c>
      <c r="B181" s="62" t="s">
        <v>1396</v>
      </c>
      <c r="C181" s="62" t="s">
        <v>435</v>
      </c>
      <c r="D181" s="62" t="s">
        <v>436</v>
      </c>
      <c r="E181" s="62" t="s">
        <v>437</v>
      </c>
      <c r="F181" s="62" t="s">
        <v>1397</v>
      </c>
      <c r="G181" s="62" t="s">
        <v>439</v>
      </c>
      <c r="H181" s="62" t="s">
        <v>1398</v>
      </c>
      <c r="I181" s="62">
        <v>39.984709590000001</v>
      </c>
      <c r="J181" s="62">
        <v>-75.154434010000003</v>
      </c>
      <c r="K181" s="62">
        <v>264</v>
      </c>
      <c r="L181" s="63">
        <v>0.8972</v>
      </c>
      <c r="M181" s="64">
        <v>14</v>
      </c>
      <c r="N181" s="64" t="s">
        <v>441</v>
      </c>
      <c r="O181" s="64" t="s">
        <v>442</v>
      </c>
      <c r="P181" s="64" t="s">
        <v>443</v>
      </c>
      <c r="Q181" s="64" t="s">
        <v>1399</v>
      </c>
      <c r="R181" s="65" t="s">
        <v>445</v>
      </c>
      <c r="S181" s="1"/>
      <c r="T181" s="84" t="s">
        <v>190</v>
      </c>
      <c r="U181" s="84"/>
      <c r="V181" s="84" t="s">
        <v>1400</v>
      </c>
      <c r="W181" s="84" t="s">
        <v>475</v>
      </c>
      <c r="X181" s="84" t="s">
        <v>441</v>
      </c>
      <c r="Y181" s="84" t="s">
        <v>630</v>
      </c>
      <c r="Z181" s="84"/>
      <c r="AA181" s="108"/>
      <c r="AB181" s="108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22" customHeight="1">
      <c r="A182" s="66" t="s">
        <v>239</v>
      </c>
      <c r="B182" s="62" t="s">
        <v>1401</v>
      </c>
      <c r="C182" s="62" t="s">
        <v>435</v>
      </c>
      <c r="D182" s="62" t="s">
        <v>436</v>
      </c>
      <c r="E182" s="62" t="s">
        <v>437</v>
      </c>
      <c r="F182" s="62" t="s">
        <v>1402</v>
      </c>
      <c r="G182" s="62" t="s">
        <v>439</v>
      </c>
      <c r="H182" s="62" t="s">
        <v>1228</v>
      </c>
      <c r="I182" s="62">
        <v>39.992146859999998</v>
      </c>
      <c r="J182" s="62">
        <v>-75.112135730000006</v>
      </c>
      <c r="K182" s="62">
        <v>676</v>
      </c>
      <c r="L182" s="63">
        <v>0.87949999999999995</v>
      </c>
      <c r="M182" s="64">
        <v>9</v>
      </c>
      <c r="N182" s="64" t="s">
        <v>441</v>
      </c>
      <c r="O182" s="64" t="s">
        <v>442</v>
      </c>
      <c r="P182" s="64" t="s">
        <v>443</v>
      </c>
      <c r="Q182" s="64" t="s">
        <v>1403</v>
      </c>
      <c r="R182" s="65" t="s">
        <v>445</v>
      </c>
      <c r="S182" s="1"/>
      <c r="T182" s="84" t="s">
        <v>252</v>
      </c>
      <c r="U182" s="84" t="s">
        <v>1404</v>
      </c>
      <c r="V182" s="84" t="s">
        <v>1405</v>
      </c>
      <c r="W182" s="84" t="s">
        <v>475</v>
      </c>
      <c r="X182" s="84" t="s">
        <v>441</v>
      </c>
      <c r="Y182" s="84"/>
      <c r="Z182" s="84"/>
      <c r="AA182" s="108"/>
      <c r="AB182" s="108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22" customHeight="1">
      <c r="A183" s="66" t="s">
        <v>312</v>
      </c>
      <c r="B183" s="62" t="s">
        <v>1406</v>
      </c>
      <c r="C183" s="62" t="s">
        <v>435</v>
      </c>
      <c r="D183" s="62" t="s">
        <v>436</v>
      </c>
      <c r="E183" s="62" t="s">
        <v>437</v>
      </c>
      <c r="F183" s="62" t="s">
        <v>1407</v>
      </c>
      <c r="G183" s="62" t="s">
        <v>439</v>
      </c>
      <c r="H183" s="62" t="s">
        <v>832</v>
      </c>
      <c r="I183" s="62">
        <v>40.056640739999999</v>
      </c>
      <c r="J183" s="62">
        <v>-75.164574529999996</v>
      </c>
      <c r="K183" s="62">
        <v>248</v>
      </c>
      <c r="L183" s="63">
        <v>0.73750000000000004</v>
      </c>
      <c r="M183" s="64">
        <v>12</v>
      </c>
      <c r="N183" s="64" t="s">
        <v>441</v>
      </c>
      <c r="O183" s="64" t="s">
        <v>442</v>
      </c>
      <c r="P183" s="64" t="s">
        <v>443</v>
      </c>
      <c r="Q183" s="64" t="s">
        <v>1408</v>
      </c>
      <c r="R183" s="65" t="s">
        <v>445</v>
      </c>
      <c r="S183" s="1"/>
      <c r="T183" s="84" t="s">
        <v>251</v>
      </c>
      <c r="U183" s="84"/>
      <c r="V183" s="84" t="s">
        <v>1409</v>
      </c>
      <c r="W183" s="84" t="s">
        <v>475</v>
      </c>
      <c r="X183" s="84" t="s">
        <v>441</v>
      </c>
      <c r="Y183" s="84" t="s">
        <v>630</v>
      </c>
      <c r="Z183" s="84"/>
      <c r="AA183" s="108"/>
      <c r="AB183" s="108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22" customHeight="1">
      <c r="A184" s="66" t="s">
        <v>311</v>
      </c>
      <c r="B184" s="62" t="s">
        <v>1410</v>
      </c>
      <c r="C184" s="62" t="s">
        <v>435</v>
      </c>
      <c r="D184" s="62" t="s">
        <v>436</v>
      </c>
      <c r="E184" s="62" t="s">
        <v>437</v>
      </c>
      <c r="F184" s="62" t="s">
        <v>1411</v>
      </c>
      <c r="G184" s="62" t="s">
        <v>439</v>
      </c>
      <c r="H184" s="62" t="s">
        <v>901</v>
      </c>
      <c r="I184" s="62">
        <v>39.963005010000003</v>
      </c>
      <c r="J184" s="62">
        <v>-75.159286499999993</v>
      </c>
      <c r="K184" s="62">
        <v>449</v>
      </c>
      <c r="L184" s="63">
        <v>0.68079999999999996</v>
      </c>
      <c r="M184" s="64">
        <v>10</v>
      </c>
      <c r="N184" s="64" t="s">
        <v>441</v>
      </c>
      <c r="O184" s="64" t="s">
        <v>442</v>
      </c>
      <c r="P184" s="64" t="s">
        <v>443</v>
      </c>
      <c r="Q184" s="64" t="s">
        <v>1412</v>
      </c>
      <c r="R184" s="65" t="s">
        <v>445</v>
      </c>
      <c r="S184" s="1"/>
      <c r="T184" s="84" t="s">
        <v>139</v>
      </c>
      <c r="U184" s="84"/>
      <c r="V184" s="84" t="s">
        <v>1413</v>
      </c>
      <c r="W184" s="84" t="s">
        <v>475</v>
      </c>
      <c r="X184" s="84" t="s">
        <v>441</v>
      </c>
      <c r="Y184" s="84" t="s">
        <v>630</v>
      </c>
      <c r="Z184" s="84"/>
      <c r="AA184" s="108"/>
      <c r="AB184" s="108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22" customHeight="1">
      <c r="A185" s="66" t="s">
        <v>313</v>
      </c>
      <c r="B185" s="62" t="s">
        <v>1414</v>
      </c>
      <c r="C185" s="62" t="s">
        <v>435</v>
      </c>
      <c r="D185" s="62" t="s">
        <v>436</v>
      </c>
      <c r="E185" s="62" t="s">
        <v>437</v>
      </c>
      <c r="F185" s="62" t="s">
        <v>577</v>
      </c>
      <c r="G185" s="62" t="s">
        <v>439</v>
      </c>
      <c r="H185" s="62" t="s">
        <v>450</v>
      </c>
      <c r="I185" s="62">
        <v>39.964253790000001</v>
      </c>
      <c r="J185" s="62">
        <v>-75.215467039999993</v>
      </c>
      <c r="K185" s="62">
        <v>140</v>
      </c>
      <c r="L185" s="63">
        <v>0.76419999999999999</v>
      </c>
      <c r="M185" s="64">
        <v>14</v>
      </c>
      <c r="N185" s="64" t="s">
        <v>441</v>
      </c>
      <c r="O185" s="64" t="s">
        <v>442</v>
      </c>
      <c r="P185" s="64" t="s">
        <v>443</v>
      </c>
      <c r="Q185" s="64" t="s">
        <v>1415</v>
      </c>
      <c r="R185" s="65" t="s">
        <v>445</v>
      </c>
      <c r="S185" s="1"/>
      <c r="T185" s="84" t="s">
        <v>284</v>
      </c>
      <c r="U185" s="84"/>
      <c r="V185" s="84" t="s">
        <v>1416</v>
      </c>
      <c r="W185" s="84" t="s">
        <v>475</v>
      </c>
      <c r="X185" s="84" t="s">
        <v>441</v>
      </c>
      <c r="Y185" s="84" t="s">
        <v>630</v>
      </c>
      <c r="Z185" s="84"/>
      <c r="AA185" s="108"/>
      <c r="AB185" s="108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22" customHeight="1">
      <c r="A186" s="66" t="s">
        <v>414</v>
      </c>
      <c r="B186" s="62" t="s">
        <v>1417</v>
      </c>
      <c r="C186" s="62" t="s">
        <v>435</v>
      </c>
      <c r="D186" s="62" t="s">
        <v>436</v>
      </c>
      <c r="E186" s="62" t="s">
        <v>437</v>
      </c>
      <c r="F186" s="62" t="s">
        <v>1418</v>
      </c>
      <c r="G186" s="62" t="s">
        <v>439</v>
      </c>
      <c r="H186" s="62" t="s">
        <v>901</v>
      </c>
      <c r="I186" s="62">
        <v>39.967930260000003</v>
      </c>
      <c r="J186" s="62">
        <v>-75.143434429999999</v>
      </c>
      <c r="K186" s="62">
        <v>523</v>
      </c>
      <c r="L186" s="63">
        <v>0.70679999999999998</v>
      </c>
      <c r="M186" s="64">
        <v>10</v>
      </c>
      <c r="N186" s="64" t="s">
        <v>441</v>
      </c>
      <c r="O186" s="64" t="s">
        <v>442</v>
      </c>
      <c r="P186" s="64" t="s">
        <v>443</v>
      </c>
      <c r="Q186" s="64" t="s">
        <v>1419</v>
      </c>
      <c r="R186" s="65" t="s">
        <v>445</v>
      </c>
      <c r="S186" s="1"/>
      <c r="T186" s="84" t="s">
        <v>268</v>
      </c>
      <c r="U186" s="84"/>
      <c r="V186" s="84" t="s">
        <v>1420</v>
      </c>
      <c r="W186" s="84" t="s">
        <v>475</v>
      </c>
      <c r="X186" s="84" t="s">
        <v>441</v>
      </c>
      <c r="Y186" s="84" t="s">
        <v>630</v>
      </c>
      <c r="Z186" s="84"/>
      <c r="AA186" s="108"/>
      <c r="AB186" s="108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22" customHeight="1">
      <c r="A187" s="66" t="s">
        <v>316</v>
      </c>
      <c r="B187" s="62" t="s">
        <v>1421</v>
      </c>
      <c r="C187" s="62" t="s">
        <v>435</v>
      </c>
      <c r="D187" s="62" t="s">
        <v>436</v>
      </c>
      <c r="E187" s="62" t="s">
        <v>594</v>
      </c>
      <c r="F187" s="62" t="s">
        <v>1422</v>
      </c>
      <c r="G187" s="62" t="s">
        <v>439</v>
      </c>
      <c r="H187" s="62" t="s">
        <v>766</v>
      </c>
      <c r="I187" s="62">
        <v>39.972727110000001</v>
      </c>
      <c r="J187" s="62">
        <v>-75.127870079999994</v>
      </c>
      <c r="K187" s="62">
        <v>345</v>
      </c>
      <c r="L187" s="63">
        <v>0.79149999999999998</v>
      </c>
      <c r="M187" s="64">
        <v>4</v>
      </c>
      <c r="N187" s="64" t="s">
        <v>441</v>
      </c>
      <c r="O187" s="64" t="s">
        <v>442</v>
      </c>
      <c r="P187" s="64" t="s">
        <v>443</v>
      </c>
      <c r="Q187" s="64" t="s">
        <v>1423</v>
      </c>
      <c r="R187" s="65" t="s">
        <v>445</v>
      </c>
      <c r="S187" s="1"/>
      <c r="T187" s="84" t="s">
        <v>371</v>
      </c>
      <c r="U187" s="84"/>
      <c r="V187" s="84" t="s">
        <v>1424</v>
      </c>
      <c r="W187" s="84" t="s">
        <v>475</v>
      </c>
      <c r="X187" s="84" t="s">
        <v>441</v>
      </c>
      <c r="Y187" s="84" t="s">
        <v>630</v>
      </c>
      <c r="Z187" s="84"/>
      <c r="AA187" s="108"/>
      <c r="AB187" s="108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22" customHeight="1">
      <c r="A188" s="66" t="s">
        <v>240</v>
      </c>
      <c r="B188" s="62" t="s">
        <v>1425</v>
      </c>
      <c r="C188" s="62" t="s">
        <v>435</v>
      </c>
      <c r="D188" s="62" t="s">
        <v>436</v>
      </c>
      <c r="E188" s="62" t="s">
        <v>483</v>
      </c>
      <c r="F188" s="62" t="s">
        <v>1426</v>
      </c>
      <c r="G188" s="62" t="s">
        <v>439</v>
      </c>
      <c r="H188" s="62" t="s">
        <v>1096</v>
      </c>
      <c r="I188" s="62">
        <v>39.992751640000002</v>
      </c>
      <c r="J188" s="62">
        <v>-75.13862743</v>
      </c>
      <c r="K188" s="62">
        <v>512</v>
      </c>
      <c r="L188" s="63">
        <v>0.90029999999999999</v>
      </c>
      <c r="M188" s="64">
        <v>14</v>
      </c>
      <c r="N188" s="64" t="s">
        <v>441</v>
      </c>
      <c r="O188" s="64" t="s">
        <v>442</v>
      </c>
      <c r="P188" s="64" t="s">
        <v>443</v>
      </c>
      <c r="Q188" s="64" t="s">
        <v>1427</v>
      </c>
      <c r="R188" s="65" t="s">
        <v>445</v>
      </c>
      <c r="S188" s="1"/>
      <c r="T188" s="84" t="s">
        <v>209</v>
      </c>
      <c r="U188" s="84"/>
      <c r="V188" s="84" t="s">
        <v>1428</v>
      </c>
      <c r="W188" s="84" t="s">
        <v>475</v>
      </c>
      <c r="X188" s="84" t="s">
        <v>441</v>
      </c>
      <c r="Y188" s="84" t="s">
        <v>630</v>
      </c>
      <c r="Z188" s="84"/>
      <c r="AA188" s="108"/>
      <c r="AB188" s="108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22" customHeight="1">
      <c r="A189" s="66" t="s">
        <v>393</v>
      </c>
      <c r="B189" s="62" t="s">
        <v>1429</v>
      </c>
      <c r="C189" s="62" t="s">
        <v>435</v>
      </c>
      <c r="D189" s="62" t="s">
        <v>436</v>
      </c>
      <c r="E189" s="62" t="s">
        <v>437</v>
      </c>
      <c r="F189" s="62" t="s">
        <v>1430</v>
      </c>
      <c r="G189" s="62" t="s">
        <v>439</v>
      </c>
      <c r="H189" s="62" t="s">
        <v>626</v>
      </c>
      <c r="I189" s="62">
        <v>39.976325000000003</v>
      </c>
      <c r="J189" s="62">
        <v>-75.174186000000006</v>
      </c>
      <c r="K189" s="62">
        <v>335</v>
      </c>
      <c r="L189" s="63">
        <v>0.86060000000000003</v>
      </c>
      <c r="M189" s="64">
        <v>11</v>
      </c>
      <c r="N189" s="64" t="s">
        <v>441</v>
      </c>
      <c r="O189" s="64" t="s">
        <v>442</v>
      </c>
      <c r="P189" s="64" t="s">
        <v>443</v>
      </c>
      <c r="Q189" s="64" t="s">
        <v>407</v>
      </c>
      <c r="R189" s="65" t="s">
        <v>445</v>
      </c>
      <c r="S189" s="1"/>
      <c r="T189" s="84" t="s">
        <v>254</v>
      </c>
      <c r="U189" s="84" t="s">
        <v>1431</v>
      </c>
      <c r="V189" s="84" t="s">
        <v>1432</v>
      </c>
      <c r="W189" s="84" t="s">
        <v>475</v>
      </c>
      <c r="X189" s="84" t="s">
        <v>441</v>
      </c>
      <c r="Y189" s="84" t="s">
        <v>630</v>
      </c>
      <c r="Z189" s="84"/>
      <c r="AA189" s="108"/>
      <c r="AB189" s="108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22" customHeight="1">
      <c r="A190" s="66" t="s">
        <v>101</v>
      </c>
      <c r="B190" s="62" t="s">
        <v>1433</v>
      </c>
      <c r="C190" s="62" t="s">
        <v>435</v>
      </c>
      <c r="D190" s="62" t="s">
        <v>436</v>
      </c>
      <c r="E190" s="62" t="s">
        <v>483</v>
      </c>
      <c r="F190" s="62" t="s">
        <v>1434</v>
      </c>
      <c r="G190" s="62" t="s">
        <v>439</v>
      </c>
      <c r="H190" s="62" t="s">
        <v>766</v>
      </c>
      <c r="I190" s="62">
        <v>39.972326610000003</v>
      </c>
      <c r="J190" s="62">
        <v>-75.129309890000002</v>
      </c>
      <c r="K190" s="62">
        <v>451</v>
      </c>
      <c r="L190" s="63">
        <v>0.31259999999999999</v>
      </c>
      <c r="M190" s="64">
        <v>3</v>
      </c>
      <c r="N190" s="64" t="s">
        <v>441</v>
      </c>
      <c r="O190" s="64" t="s">
        <v>442</v>
      </c>
      <c r="P190" s="64" t="s">
        <v>443</v>
      </c>
      <c r="Q190" s="64" t="s">
        <v>1435</v>
      </c>
      <c r="R190" s="65" t="s">
        <v>445</v>
      </c>
      <c r="S190" s="1"/>
      <c r="T190" s="84" t="s">
        <v>269</v>
      </c>
      <c r="U190" s="84"/>
      <c r="V190" s="84" t="s">
        <v>1436</v>
      </c>
      <c r="W190" s="84" t="s">
        <v>475</v>
      </c>
      <c r="X190" s="84" t="s">
        <v>441</v>
      </c>
      <c r="Y190" s="84" t="s">
        <v>630</v>
      </c>
      <c r="Z190" s="84"/>
      <c r="AA190" s="108"/>
      <c r="AB190" s="108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22" customHeight="1">
      <c r="A191" s="66" t="s">
        <v>198</v>
      </c>
      <c r="B191" s="62" t="s">
        <v>1437</v>
      </c>
      <c r="C191" s="62" t="s">
        <v>435</v>
      </c>
      <c r="D191" s="62" t="s">
        <v>436</v>
      </c>
      <c r="E191" s="62" t="s">
        <v>483</v>
      </c>
      <c r="F191" s="62" t="s">
        <v>1438</v>
      </c>
      <c r="G191" s="62" t="s">
        <v>439</v>
      </c>
      <c r="H191" s="62" t="s">
        <v>766</v>
      </c>
      <c r="I191" s="62">
        <v>39.98661748</v>
      </c>
      <c r="J191" s="62">
        <v>-75.127256740000007</v>
      </c>
      <c r="K191" s="62">
        <v>319</v>
      </c>
      <c r="L191" s="63">
        <v>0.82750000000000001</v>
      </c>
      <c r="M191" s="64">
        <v>10</v>
      </c>
      <c r="N191" s="64" t="s">
        <v>441</v>
      </c>
      <c r="O191" s="64" t="s">
        <v>442</v>
      </c>
      <c r="P191" s="64" t="s">
        <v>443</v>
      </c>
      <c r="Q191" s="64" t="s">
        <v>1439</v>
      </c>
      <c r="R191" s="65" t="s">
        <v>445</v>
      </c>
      <c r="S191" s="1"/>
      <c r="T191" s="84" t="s">
        <v>323</v>
      </c>
      <c r="U191" s="84"/>
      <c r="V191" s="84" t="s">
        <v>1440</v>
      </c>
      <c r="W191" s="84" t="s">
        <v>475</v>
      </c>
      <c r="X191" s="84" t="s">
        <v>441</v>
      </c>
      <c r="Y191" s="84" t="s">
        <v>630</v>
      </c>
      <c r="Z191" s="84"/>
      <c r="AA191" s="108"/>
      <c r="AB191" s="108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22" customHeight="1">
      <c r="A192" s="66" t="s">
        <v>347</v>
      </c>
      <c r="B192" s="62" t="s">
        <v>1441</v>
      </c>
      <c r="C192" s="62" t="s">
        <v>435</v>
      </c>
      <c r="D192" s="62" t="s">
        <v>436</v>
      </c>
      <c r="E192" s="62" t="s">
        <v>471</v>
      </c>
      <c r="F192" s="62" t="s">
        <v>1442</v>
      </c>
      <c r="G192" s="62" t="s">
        <v>439</v>
      </c>
      <c r="H192" s="62" t="s">
        <v>1228</v>
      </c>
      <c r="I192" s="62">
        <v>39.99471406</v>
      </c>
      <c r="J192" s="62">
        <v>-75.115273830000007</v>
      </c>
      <c r="K192" s="62">
        <v>109</v>
      </c>
      <c r="L192" s="63">
        <v>0.86909999999999998</v>
      </c>
      <c r="M192" s="64">
        <v>12</v>
      </c>
      <c r="N192" s="64" t="s">
        <v>441</v>
      </c>
      <c r="O192" s="64" t="s">
        <v>442</v>
      </c>
      <c r="P192" s="64" t="s">
        <v>443</v>
      </c>
      <c r="Q192" s="64" t="s">
        <v>1443</v>
      </c>
      <c r="R192" s="65" t="s">
        <v>445</v>
      </c>
      <c r="S192" s="1"/>
      <c r="T192" s="84" t="s">
        <v>149</v>
      </c>
      <c r="U192" s="84" t="s">
        <v>1444</v>
      </c>
      <c r="V192" s="84" t="s">
        <v>1445</v>
      </c>
      <c r="W192" s="84" t="s">
        <v>475</v>
      </c>
      <c r="X192" s="84" t="s">
        <v>475</v>
      </c>
      <c r="Y192" s="84" t="s">
        <v>837</v>
      </c>
      <c r="Z192" s="84" t="s">
        <v>837</v>
      </c>
      <c r="AA192" s="108"/>
      <c r="AB192" s="108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22" customHeight="1">
      <c r="A193" s="66" t="s">
        <v>314</v>
      </c>
      <c r="B193" s="62" t="s">
        <v>1446</v>
      </c>
      <c r="C193" s="62" t="s">
        <v>435</v>
      </c>
      <c r="D193" s="62" t="s">
        <v>436</v>
      </c>
      <c r="E193" s="62" t="s">
        <v>483</v>
      </c>
      <c r="F193" s="62" t="s">
        <v>1447</v>
      </c>
      <c r="G193" s="62" t="s">
        <v>439</v>
      </c>
      <c r="H193" s="62" t="s">
        <v>1398</v>
      </c>
      <c r="I193" s="62">
        <v>39.979487730000002</v>
      </c>
      <c r="J193" s="62">
        <v>-75.15416974</v>
      </c>
      <c r="K193" s="62">
        <v>223</v>
      </c>
      <c r="L193" s="63">
        <v>0.89729999999999999</v>
      </c>
      <c r="M193" s="64">
        <v>17</v>
      </c>
      <c r="N193" s="64" t="s">
        <v>441</v>
      </c>
      <c r="O193" s="64" t="s">
        <v>442</v>
      </c>
      <c r="P193" s="64" t="s">
        <v>443</v>
      </c>
      <c r="Q193" s="64" t="s">
        <v>1448</v>
      </c>
      <c r="R193" s="65" t="s">
        <v>445</v>
      </c>
      <c r="S193" s="1"/>
      <c r="T193" s="84" t="s">
        <v>302</v>
      </c>
      <c r="U193" s="84" t="s">
        <v>1449</v>
      </c>
      <c r="V193" s="84" t="s">
        <v>1450</v>
      </c>
      <c r="W193" s="84" t="s">
        <v>475</v>
      </c>
      <c r="X193" s="84" t="s">
        <v>475</v>
      </c>
      <c r="Y193" s="84" t="s">
        <v>837</v>
      </c>
      <c r="Z193" s="84" t="s">
        <v>837</v>
      </c>
      <c r="AA193" s="108"/>
      <c r="AB193" s="108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22" customHeight="1">
      <c r="A194" s="66" t="s">
        <v>260</v>
      </c>
      <c r="B194" s="62" t="s">
        <v>1451</v>
      </c>
      <c r="C194" s="62" t="s">
        <v>435</v>
      </c>
      <c r="D194" s="62" t="s">
        <v>436</v>
      </c>
      <c r="E194" s="62" t="s">
        <v>490</v>
      </c>
      <c r="F194" s="62" t="s">
        <v>1452</v>
      </c>
      <c r="G194" s="62" t="s">
        <v>439</v>
      </c>
      <c r="H194" s="62" t="s">
        <v>1228</v>
      </c>
      <c r="I194" s="62">
        <v>39.997017999999997</v>
      </c>
      <c r="J194" s="62">
        <v>-75.121274</v>
      </c>
      <c r="K194" s="62">
        <v>431</v>
      </c>
      <c r="L194" s="63">
        <v>0.90690000000000004</v>
      </c>
      <c r="M194" s="64">
        <v>10</v>
      </c>
      <c r="N194" s="64" t="s">
        <v>441</v>
      </c>
      <c r="O194" s="64" t="s">
        <v>442</v>
      </c>
      <c r="P194" s="64" t="s">
        <v>443</v>
      </c>
      <c r="Q194" s="64" t="s">
        <v>1453</v>
      </c>
      <c r="R194" s="65" t="s">
        <v>445</v>
      </c>
      <c r="S194" s="1"/>
      <c r="T194" s="84" t="s">
        <v>96</v>
      </c>
      <c r="U194" s="84" t="s">
        <v>1454</v>
      </c>
      <c r="V194" s="84" t="s">
        <v>1455</v>
      </c>
      <c r="W194" s="84" t="s">
        <v>475</v>
      </c>
      <c r="X194" s="84" t="s">
        <v>475</v>
      </c>
      <c r="Y194" s="84" t="s">
        <v>837</v>
      </c>
      <c r="Z194" s="84" t="s">
        <v>837</v>
      </c>
      <c r="AA194" s="108"/>
      <c r="AB194" s="108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22" customHeight="1">
      <c r="A195" s="66" t="s">
        <v>207</v>
      </c>
      <c r="B195" s="62" t="s">
        <v>1456</v>
      </c>
      <c r="C195" s="62" t="s">
        <v>435</v>
      </c>
      <c r="D195" s="62" t="s">
        <v>436</v>
      </c>
      <c r="E195" s="62" t="s">
        <v>490</v>
      </c>
      <c r="F195" s="62" t="s">
        <v>1457</v>
      </c>
      <c r="G195" s="62" t="s">
        <v>439</v>
      </c>
      <c r="H195" s="62" t="s">
        <v>766</v>
      </c>
      <c r="I195" s="62">
        <v>39.98096374</v>
      </c>
      <c r="J195" s="62">
        <v>-75.126855109999994</v>
      </c>
      <c r="K195" s="62">
        <v>372</v>
      </c>
      <c r="L195" s="63">
        <v>0.57679999999999998</v>
      </c>
      <c r="M195" s="64">
        <v>5</v>
      </c>
      <c r="N195" s="64" t="s">
        <v>441</v>
      </c>
      <c r="O195" s="64" t="s">
        <v>442</v>
      </c>
      <c r="P195" s="64" t="s">
        <v>443</v>
      </c>
      <c r="Q195" s="64" t="s">
        <v>1458</v>
      </c>
      <c r="R195" s="65" t="s">
        <v>445</v>
      </c>
      <c r="S195" s="1"/>
      <c r="T195" s="84" t="s">
        <v>296</v>
      </c>
      <c r="U195" s="84" t="s">
        <v>1459</v>
      </c>
      <c r="V195" s="84" t="s">
        <v>1003</v>
      </c>
      <c r="W195" s="84" t="s">
        <v>475</v>
      </c>
      <c r="X195" s="84" t="s">
        <v>475</v>
      </c>
      <c r="Y195" s="84" t="s">
        <v>837</v>
      </c>
      <c r="Z195" s="84" t="s">
        <v>837</v>
      </c>
      <c r="AA195" s="108"/>
      <c r="AB195" s="108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22" customHeight="1">
      <c r="A196" s="66" t="s">
        <v>226</v>
      </c>
      <c r="B196" s="62" t="s">
        <v>1460</v>
      </c>
      <c r="C196" s="62" t="s">
        <v>435</v>
      </c>
      <c r="D196" s="62" t="s">
        <v>436</v>
      </c>
      <c r="E196" s="62" t="s">
        <v>483</v>
      </c>
      <c r="F196" s="62" t="s">
        <v>1461</v>
      </c>
      <c r="G196" s="62" t="s">
        <v>439</v>
      </c>
      <c r="H196" s="62" t="s">
        <v>1096</v>
      </c>
      <c r="I196" s="62">
        <v>39.989422279999999</v>
      </c>
      <c r="J196" s="62">
        <v>-75.144777410000003</v>
      </c>
      <c r="K196" s="62">
        <v>337</v>
      </c>
      <c r="L196" s="63">
        <v>0.88649999999999995</v>
      </c>
      <c r="M196" s="64">
        <v>15</v>
      </c>
      <c r="N196" s="64" t="s">
        <v>441</v>
      </c>
      <c r="O196" s="64" t="s">
        <v>442</v>
      </c>
      <c r="P196" s="64" t="s">
        <v>443</v>
      </c>
      <c r="Q196" s="64" t="s">
        <v>1462</v>
      </c>
      <c r="R196" s="65" t="s">
        <v>445</v>
      </c>
      <c r="S196" s="1"/>
      <c r="T196" s="84" t="s">
        <v>360</v>
      </c>
      <c r="U196" s="84" t="s">
        <v>769</v>
      </c>
      <c r="V196" s="84" t="s">
        <v>1003</v>
      </c>
      <c r="W196" s="84" t="s">
        <v>475</v>
      </c>
      <c r="X196" s="84" t="s">
        <v>475</v>
      </c>
      <c r="Y196" s="84" t="s">
        <v>837</v>
      </c>
      <c r="Z196" s="84" t="s">
        <v>837</v>
      </c>
      <c r="AA196" s="108"/>
      <c r="AB196" s="108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22" customHeight="1">
      <c r="A197" s="66" t="s">
        <v>406</v>
      </c>
      <c r="B197" s="62" t="s">
        <v>1463</v>
      </c>
      <c r="C197" s="62" t="s">
        <v>435</v>
      </c>
      <c r="D197" s="62" t="s">
        <v>436</v>
      </c>
      <c r="E197" s="62" t="s">
        <v>483</v>
      </c>
      <c r="F197" s="62" t="s">
        <v>1464</v>
      </c>
      <c r="G197" s="62" t="s">
        <v>439</v>
      </c>
      <c r="H197" s="62" t="s">
        <v>1096</v>
      </c>
      <c r="I197" s="62">
        <v>39.987250279999998</v>
      </c>
      <c r="J197" s="62">
        <v>-75.131763559999996</v>
      </c>
      <c r="K197" s="62">
        <v>357</v>
      </c>
      <c r="L197" s="63">
        <v>0.90310000000000001</v>
      </c>
      <c r="M197" s="64">
        <v>12</v>
      </c>
      <c r="N197" s="64" t="s">
        <v>441</v>
      </c>
      <c r="O197" s="64" t="s">
        <v>442</v>
      </c>
      <c r="P197" s="64" t="s">
        <v>443</v>
      </c>
      <c r="Q197" s="64" t="s">
        <v>1465</v>
      </c>
      <c r="R197" s="65" t="s">
        <v>445</v>
      </c>
      <c r="S197" s="1"/>
      <c r="T197" s="84" t="s">
        <v>309</v>
      </c>
      <c r="U197" s="84" t="s">
        <v>1466</v>
      </c>
      <c r="V197" s="84" t="s">
        <v>1467</v>
      </c>
      <c r="W197" s="84" t="s">
        <v>475</v>
      </c>
      <c r="X197" s="84" t="s">
        <v>475</v>
      </c>
      <c r="Y197" s="84" t="s">
        <v>630</v>
      </c>
      <c r="Z197" s="84" t="s">
        <v>630</v>
      </c>
      <c r="AA197" s="108"/>
      <c r="AB197" s="108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22" customHeight="1">
      <c r="A198" s="66" t="s">
        <v>219</v>
      </c>
      <c r="B198" s="62" t="s">
        <v>1468</v>
      </c>
      <c r="C198" s="62" t="s">
        <v>435</v>
      </c>
      <c r="D198" s="62" t="s">
        <v>436</v>
      </c>
      <c r="E198" s="62" t="s">
        <v>483</v>
      </c>
      <c r="F198" s="62" t="s">
        <v>1469</v>
      </c>
      <c r="G198" s="62" t="s">
        <v>439</v>
      </c>
      <c r="H198" s="62" t="s">
        <v>1398</v>
      </c>
      <c r="I198" s="62">
        <v>39.972723999999999</v>
      </c>
      <c r="J198" s="62">
        <v>-75.145854</v>
      </c>
      <c r="K198" s="62">
        <v>237</v>
      </c>
      <c r="L198" s="63">
        <v>0.8649</v>
      </c>
      <c r="M198" s="64">
        <v>13</v>
      </c>
      <c r="N198" s="64" t="s">
        <v>441</v>
      </c>
      <c r="O198" s="64" t="s">
        <v>442</v>
      </c>
      <c r="P198" s="64" t="s">
        <v>443</v>
      </c>
      <c r="Q198" s="64" t="s">
        <v>1470</v>
      </c>
      <c r="R198" s="65" t="s">
        <v>445</v>
      </c>
      <c r="S198" s="1"/>
      <c r="T198" s="84" t="s">
        <v>125</v>
      </c>
      <c r="U198" s="84" t="s">
        <v>1471</v>
      </c>
      <c r="V198" s="84" t="s">
        <v>1472</v>
      </c>
      <c r="W198" s="84" t="s">
        <v>475</v>
      </c>
      <c r="X198" s="84" t="s">
        <v>475</v>
      </c>
      <c r="Y198" s="84" t="s">
        <v>630</v>
      </c>
      <c r="Z198" s="84" t="s">
        <v>630</v>
      </c>
      <c r="AA198" s="108"/>
      <c r="AB198" s="108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22" customHeight="1">
      <c r="A199" s="66" t="s">
        <v>411</v>
      </c>
      <c r="B199" s="62" t="s">
        <v>1473</v>
      </c>
      <c r="C199" s="62" t="s">
        <v>435</v>
      </c>
      <c r="D199" s="62" t="s">
        <v>436</v>
      </c>
      <c r="E199" s="62" t="s">
        <v>483</v>
      </c>
      <c r="F199" s="62" t="s">
        <v>1474</v>
      </c>
      <c r="G199" s="62" t="s">
        <v>439</v>
      </c>
      <c r="H199" s="62" t="s">
        <v>1398</v>
      </c>
      <c r="I199" s="62">
        <v>39.9827686</v>
      </c>
      <c r="J199" s="62">
        <v>-75.141655279999995</v>
      </c>
      <c r="K199" s="62">
        <v>275</v>
      </c>
      <c r="L199" s="63">
        <v>0.88849999999999996</v>
      </c>
      <c r="M199" s="64">
        <v>14</v>
      </c>
      <c r="N199" s="64" t="s">
        <v>441</v>
      </c>
      <c r="O199" s="64" t="s">
        <v>442</v>
      </c>
      <c r="P199" s="64" t="s">
        <v>443</v>
      </c>
      <c r="Q199" s="64" t="s">
        <v>1475</v>
      </c>
      <c r="R199" s="65" t="s">
        <v>445</v>
      </c>
      <c r="S199" s="1"/>
      <c r="T199" s="84" t="s">
        <v>292</v>
      </c>
      <c r="U199" s="84" t="s">
        <v>1476</v>
      </c>
      <c r="V199" s="84" t="s">
        <v>1477</v>
      </c>
      <c r="W199" s="84" t="s">
        <v>475</v>
      </c>
      <c r="X199" s="84" t="s">
        <v>475</v>
      </c>
      <c r="Y199" s="84" t="s">
        <v>630</v>
      </c>
      <c r="Z199" s="84" t="s">
        <v>630</v>
      </c>
      <c r="AA199" s="108"/>
      <c r="AB199" s="108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22" customHeight="1">
      <c r="A200" s="66" t="s">
        <v>232</v>
      </c>
      <c r="B200" s="62" t="s">
        <v>1478</v>
      </c>
      <c r="C200" s="62" t="s">
        <v>435</v>
      </c>
      <c r="D200" s="62" t="s">
        <v>436</v>
      </c>
      <c r="E200" s="62" t="s">
        <v>490</v>
      </c>
      <c r="F200" s="62" t="s">
        <v>1479</v>
      </c>
      <c r="G200" s="62" t="s">
        <v>439</v>
      </c>
      <c r="H200" s="62" t="s">
        <v>1398</v>
      </c>
      <c r="I200" s="62">
        <v>39.974393620000001</v>
      </c>
      <c r="J200" s="62">
        <v>-75.134984619999997</v>
      </c>
      <c r="K200" s="62">
        <v>212</v>
      </c>
      <c r="L200" s="63">
        <v>0.57809999999999995</v>
      </c>
      <c r="M200" s="64">
        <v>7</v>
      </c>
      <c r="N200" s="64" t="s">
        <v>441</v>
      </c>
      <c r="O200" s="64" t="s">
        <v>442</v>
      </c>
      <c r="P200" s="64" t="s">
        <v>443</v>
      </c>
      <c r="Q200" s="64" t="s">
        <v>1480</v>
      </c>
      <c r="R200" s="65" t="s">
        <v>445</v>
      </c>
      <c r="S200" s="1"/>
      <c r="T200" s="84" t="s">
        <v>367</v>
      </c>
      <c r="U200" s="84" t="s">
        <v>1481</v>
      </c>
      <c r="V200" s="84" t="s">
        <v>1482</v>
      </c>
      <c r="W200" s="84" t="s">
        <v>475</v>
      </c>
      <c r="X200" s="84" t="s">
        <v>475</v>
      </c>
      <c r="Y200" s="84" t="s">
        <v>630</v>
      </c>
      <c r="Z200" s="84" t="s">
        <v>630</v>
      </c>
      <c r="AA200" s="108"/>
      <c r="AB200" s="108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22" customHeight="1">
      <c r="A201" s="66" t="s">
        <v>332</v>
      </c>
      <c r="B201" s="62" t="s">
        <v>1483</v>
      </c>
      <c r="C201" s="62" t="s">
        <v>435</v>
      </c>
      <c r="D201" s="62" t="s">
        <v>436</v>
      </c>
      <c r="E201" s="62" t="s">
        <v>483</v>
      </c>
      <c r="F201" s="62" t="s">
        <v>1484</v>
      </c>
      <c r="G201" s="62" t="s">
        <v>439</v>
      </c>
      <c r="H201" s="62" t="s">
        <v>1096</v>
      </c>
      <c r="I201" s="62">
        <v>39.996907010000001</v>
      </c>
      <c r="J201" s="62">
        <v>-75.141076459999994</v>
      </c>
      <c r="K201" s="62">
        <v>341</v>
      </c>
      <c r="L201" s="63">
        <v>0.90259999999999996</v>
      </c>
      <c r="M201" s="64">
        <v>13</v>
      </c>
      <c r="N201" s="64" t="s">
        <v>441</v>
      </c>
      <c r="O201" s="64" t="s">
        <v>442</v>
      </c>
      <c r="P201" s="64" t="s">
        <v>443</v>
      </c>
      <c r="Q201" s="64" t="s">
        <v>1485</v>
      </c>
      <c r="R201" s="65" t="s">
        <v>445</v>
      </c>
      <c r="S201" s="1"/>
      <c r="T201" s="84" t="s">
        <v>215</v>
      </c>
      <c r="U201" s="84" t="s">
        <v>1486</v>
      </c>
      <c r="V201" s="84" t="s">
        <v>1487</v>
      </c>
      <c r="W201" s="84" t="s">
        <v>475</v>
      </c>
      <c r="X201" s="84" t="s">
        <v>475</v>
      </c>
      <c r="Y201" s="84" t="s">
        <v>630</v>
      </c>
      <c r="Z201" s="84" t="s">
        <v>630</v>
      </c>
      <c r="AA201" s="108"/>
      <c r="AB201" s="108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22" customHeight="1">
      <c r="A202" s="66" t="s">
        <v>339</v>
      </c>
      <c r="B202" s="62" t="s">
        <v>1488</v>
      </c>
      <c r="C202" s="62" t="s">
        <v>435</v>
      </c>
      <c r="D202" s="62" t="s">
        <v>436</v>
      </c>
      <c r="E202" s="62" t="s">
        <v>490</v>
      </c>
      <c r="F202" s="62" t="s">
        <v>1489</v>
      </c>
      <c r="G202" s="62" t="s">
        <v>439</v>
      </c>
      <c r="H202" s="62" t="s">
        <v>1228</v>
      </c>
      <c r="I202" s="62">
        <v>39.983496000000002</v>
      </c>
      <c r="J202" s="62">
        <v>-75.110490999999996</v>
      </c>
      <c r="K202" s="62">
        <v>332</v>
      </c>
      <c r="L202" s="63">
        <v>0.81920000000000004</v>
      </c>
      <c r="M202" s="64">
        <v>6</v>
      </c>
      <c r="N202" s="64" t="s">
        <v>441</v>
      </c>
      <c r="O202" s="64" t="s">
        <v>442</v>
      </c>
      <c r="P202" s="64" t="s">
        <v>443</v>
      </c>
      <c r="Q202" s="64" t="s">
        <v>1490</v>
      </c>
      <c r="R202" s="65" t="s">
        <v>445</v>
      </c>
      <c r="S202" s="1"/>
      <c r="T202" s="84" t="s">
        <v>259</v>
      </c>
      <c r="U202" s="84" t="s">
        <v>1491</v>
      </c>
      <c r="V202" s="84" t="s">
        <v>1492</v>
      </c>
      <c r="W202" s="84" t="s">
        <v>475</v>
      </c>
      <c r="X202" s="84" t="s">
        <v>475</v>
      </c>
      <c r="Y202" s="84" t="s">
        <v>630</v>
      </c>
      <c r="Z202" s="84" t="s">
        <v>630</v>
      </c>
      <c r="AA202" s="108"/>
      <c r="AB202" s="108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22" customHeight="1">
      <c r="A203" s="66" t="s">
        <v>212</v>
      </c>
      <c r="B203" s="62" t="s">
        <v>1493</v>
      </c>
      <c r="C203" s="62" t="s">
        <v>435</v>
      </c>
      <c r="D203" s="62" t="s">
        <v>436</v>
      </c>
      <c r="E203" s="62" t="s">
        <v>490</v>
      </c>
      <c r="F203" s="62" t="s">
        <v>1494</v>
      </c>
      <c r="G203" s="62" t="s">
        <v>439</v>
      </c>
      <c r="H203" s="62" t="s">
        <v>1096</v>
      </c>
      <c r="I203" s="62">
        <v>39.993651</v>
      </c>
      <c r="J203" s="62">
        <v>-75.131630000000001</v>
      </c>
      <c r="K203" s="62">
        <v>107</v>
      </c>
      <c r="L203" s="63">
        <v>0.95320000000000005</v>
      </c>
      <c r="M203" s="64">
        <v>12</v>
      </c>
      <c r="N203" s="64" t="s">
        <v>441</v>
      </c>
      <c r="O203" s="64" t="s">
        <v>442</v>
      </c>
      <c r="P203" s="64" t="s">
        <v>443</v>
      </c>
      <c r="Q203" s="64" t="s">
        <v>1495</v>
      </c>
      <c r="R203" s="65" t="s">
        <v>445</v>
      </c>
      <c r="S203" s="1"/>
      <c r="T203" s="84" t="s">
        <v>405</v>
      </c>
      <c r="U203" s="84" t="s">
        <v>1496</v>
      </c>
      <c r="V203" s="84" t="s">
        <v>1497</v>
      </c>
      <c r="W203" s="84" t="s">
        <v>475</v>
      </c>
      <c r="X203" s="84" t="s">
        <v>475</v>
      </c>
      <c r="Y203" s="84" t="s">
        <v>630</v>
      </c>
      <c r="Z203" s="84" t="s">
        <v>630</v>
      </c>
      <c r="AA203" s="108"/>
      <c r="AB203" s="108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22" customHeight="1">
      <c r="A204" s="66" t="s">
        <v>234</v>
      </c>
      <c r="B204" s="62" t="s">
        <v>1498</v>
      </c>
      <c r="C204" s="62" t="s">
        <v>435</v>
      </c>
      <c r="D204" s="62" t="s">
        <v>436</v>
      </c>
      <c r="E204" s="62" t="s">
        <v>483</v>
      </c>
      <c r="F204" s="62" t="s">
        <v>1499</v>
      </c>
      <c r="G204" s="62" t="s">
        <v>439</v>
      </c>
      <c r="H204" s="62" t="s">
        <v>1096</v>
      </c>
      <c r="I204" s="62">
        <v>39.986534380000002</v>
      </c>
      <c r="J204" s="62">
        <v>-75.139418689999999</v>
      </c>
      <c r="K204" s="62">
        <v>185</v>
      </c>
      <c r="L204" s="63">
        <v>0.90269999999999995</v>
      </c>
      <c r="M204" s="64">
        <v>13</v>
      </c>
      <c r="N204" s="64" t="s">
        <v>441</v>
      </c>
      <c r="O204" s="64" t="s">
        <v>442</v>
      </c>
      <c r="P204" s="64" t="s">
        <v>443</v>
      </c>
      <c r="Q204" s="64" t="s">
        <v>1500</v>
      </c>
      <c r="R204" s="65" t="s">
        <v>445</v>
      </c>
      <c r="S204" s="1"/>
      <c r="T204" s="84" t="s">
        <v>351</v>
      </c>
      <c r="U204" s="84" t="s">
        <v>1501</v>
      </c>
      <c r="V204" s="84" t="s">
        <v>1502</v>
      </c>
      <c r="W204" s="84" t="s">
        <v>475</v>
      </c>
      <c r="X204" s="84" t="s">
        <v>475</v>
      </c>
      <c r="Y204" s="84" t="s">
        <v>630</v>
      </c>
      <c r="Z204" s="84" t="s">
        <v>630</v>
      </c>
      <c r="AA204" s="108"/>
      <c r="AB204" s="108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22" customHeight="1">
      <c r="A205" s="66" t="s">
        <v>106</v>
      </c>
      <c r="B205" s="62" t="s">
        <v>1503</v>
      </c>
      <c r="C205" s="62" t="s">
        <v>435</v>
      </c>
      <c r="D205" s="62" t="s">
        <v>436</v>
      </c>
      <c r="E205" s="62" t="s">
        <v>471</v>
      </c>
      <c r="F205" s="62" t="s">
        <v>1504</v>
      </c>
      <c r="G205" s="62" t="s">
        <v>439</v>
      </c>
      <c r="H205" s="62" t="s">
        <v>1228</v>
      </c>
      <c r="I205" s="62">
        <v>39.985299959999999</v>
      </c>
      <c r="J205" s="62">
        <v>-75.097181849999998</v>
      </c>
      <c r="K205" s="62">
        <v>208</v>
      </c>
      <c r="L205" s="63">
        <v>0.86339999999999995</v>
      </c>
      <c r="M205" s="64">
        <v>4</v>
      </c>
      <c r="N205" s="64" t="s">
        <v>441</v>
      </c>
      <c r="O205" s="64" t="s">
        <v>442</v>
      </c>
      <c r="P205" s="64" t="s">
        <v>443</v>
      </c>
      <c r="Q205" s="64" t="s">
        <v>1505</v>
      </c>
      <c r="R205" s="65" t="s">
        <v>445</v>
      </c>
      <c r="S205" s="1"/>
      <c r="T205" s="84" t="s">
        <v>145</v>
      </c>
      <c r="U205" s="84" t="s">
        <v>1506</v>
      </c>
      <c r="V205" s="84" t="s">
        <v>1507</v>
      </c>
      <c r="W205" s="84" t="s">
        <v>475</v>
      </c>
      <c r="X205" s="84" t="s">
        <v>475</v>
      </c>
      <c r="Y205" s="84" t="s">
        <v>630</v>
      </c>
      <c r="Z205" s="84" t="s">
        <v>630</v>
      </c>
      <c r="AA205" s="108"/>
      <c r="AB205" s="108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22" customHeight="1">
      <c r="A206" s="66" t="s">
        <v>168</v>
      </c>
      <c r="B206" s="62" t="s">
        <v>1508</v>
      </c>
      <c r="C206" s="62" t="s">
        <v>435</v>
      </c>
      <c r="D206" s="62" t="s">
        <v>436</v>
      </c>
      <c r="E206" s="62" t="s">
        <v>490</v>
      </c>
      <c r="F206" s="62" t="s">
        <v>1509</v>
      </c>
      <c r="G206" s="62" t="s">
        <v>439</v>
      </c>
      <c r="H206" s="62" t="s">
        <v>1228</v>
      </c>
      <c r="I206" s="62">
        <v>39.993065000000001</v>
      </c>
      <c r="J206" s="62">
        <v>-75.115907000000007</v>
      </c>
      <c r="K206" s="62">
        <v>352</v>
      </c>
      <c r="L206" s="63">
        <v>0.93420000000000003</v>
      </c>
      <c r="M206" s="64">
        <v>12</v>
      </c>
      <c r="N206" s="64" t="s">
        <v>441</v>
      </c>
      <c r="O206" s="64" t="s">
        <v>442</v>
      </c>
      <c r="P206" s="64" t="s">
        <v>443</v>
      </c>
      <c r="Q206" s="64" t="s">
        <v>1510</v>
      </c>
      <c r="R206" s="65" t="s">
        <v>445</v>
      </c>
      <c r="S206" s="1"/>
      <c r="T206" s="84" t="s">
        <v>341</v>
      </c>
      <c r="U206" s="84" t="s">
        <v>1511</v>
      </c>
      <c r="V206" s="84" t="s">
        <v>1512</v>
      </c>
      <c r="W206" s="84" t="s">
        <v>475</v>
      </c>
      <c r="X206" s="84" t="s">
        <v>475</v>
      </c>
      <c r="Y206" s="84" t="s">
        <v>630</v>
      </c>
      <c r="Z206" s="84" t="s">
        <v>630</v>
      </c>
      <c r="AA206" s="108"/>
      <c r="AB206" s="108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22" customHeight="1">
      <c r="A207" s="66" t="s">
        <v>403</v>
      </c>
      <c r="B207" s="62" t="s">
        <v>1513</v>
      </c>
      <c r="C207" s="62" t="s">
        <v>435</v>
      </c>
      <c r="D207" s="62" t="s">
        <v>436</v>
      </c>
      <c r="E207" s="62" t="s">
        <v>490</v>
      </c>
      <c r="F207" s="62" t="s">
        <v>1514</v>
      </c>
      <c r="G207" s="62" t="s">
        <v>439</v>
      </c>
      <c r="H207" s="62" t="s">
        <v>758</v>
      </c>
      <c r="I207" s="62">
        <v>40.002606569999998</v>
      </c>
      <c r="J207" s="62">
        <v>-75.130362969999993</v>
      </c>
      <c r="K207" s="62">
        <v>317</v>
      </c>
      <c r="L207" s="63">
        <v>0.90280000000000005</v>
      </c>
      <c r="M207" s="64">
        <v>13</v>
      </c>
      <c r="N207" s="64" t="s">
        <v>441</v>
      </c>
      <c r="O207" s="64" t="s">
        <v>442</v>
      </c>
      <c r="P207" s="64" t="s">
        <v>443</v>
      </c>
      <c r="Q207" s="64" t="s">
        <v>1515</v>
      </c>
      <c r="R207" s="65" t="s">
        <v>445</v>
      </c>
      <c r="S207" s="1"/>
      <c r="T207" s="84" t="s">
        <v>142</v>
      </c>
      <c r="U207" s="84" t="s">
        <v>1516</v>
      </c>
      <c r="V207" s="84" t="s">
        <v>1517</v>
      </c>
      <c r="W207" s="84" t="s">
        <v>475</v>
      </c>
      <c r="X207" s="84" t="s">
        <v>475</v>
      </c>
      <c r="Y207" s="84" t="s">
        <v>630</v>
      </c>
      <c r="Z207" s="84" t="s">
        <v>630</v>
      </c>
      <c r="AA207" s="108"/>
      <c r="AB207" s="108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22" customHeight="1">
      <c r="A208" s="66" t="s">
        <v>182</v>
      </c>
      <c r="B208" s="62" t="s">
        <v>1518</v>
      </c>
      <c r="C208" s="62" t="s">
        <v>435</v>
      </c>
      <c r="D208" s="62" t="s">
        <v>436</v>
      </c>
      <c r="E208" s="62" t="s">
        <v>483</v>
      </c>
      <c r="F208" s="62" t="s">
        <v>1519</v>
      </c>
      <c r="G208" s="62" t="s">
        <v>439</v>
      </c>
      <c r="H208" s="62" t="s">
        <v>901</v>
      </c>
      <c r="I208" s="62">
        <v>39.963857529999999</v>
      </c>
      <c r="J208" s="62">
        <v>-75.148129350000005</v>
      </c>
      <c r="K208" s="62">
        <v>193</v>
      </c>
      <c r="L208" s="63">
        <v>0.90669999999999995</v>
      </c>
      <c r="M208" s="64">
        <v>11</v>
      </c>
      <c r="N208" s="64" t="s">
        <v>441</v>
      </c>
      <c r="O208" s="64" t="s">
        <v>442</v>
      </c>
      <c r="P208" s="64" t="s">
        <v>443</v>
      </c>
      <c r="Q208" s="64" t="s">
        <v>1520</v>
      </c>
      <c r="R208" s="65" t="s">
        <v>445</v>
      </c>
      <c r="S208" s="1"/>
      <c r="T208" s="84" t="s">
        <v>244</v>
      </c>
      <c r="U208" s="84" t="s">
        <v>1521</v>
      </c>
      <c r="V208" s="84" t="s">
        <v>1522</v>
      </c>
      <c r="W208" s="84" t="s">
        <v>475</v>
      </c>
      <c r="X208" s="84" t="s">
        <v>475</v>
      </c>
      <c r="Y208" s="84" t="s">
        <v>630</v>
      </c>
      <c r="Z208" s="84" t="s">
        <v>630</v>
      </c>
      <c r="AA208" s="108"/>
      <c r="AB208" s="108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22" customHeight="1">
      <c r="A209" s="66" t="s">
        <v>127</v>
      </c>
      <c r="B209" s="62" t="s">
        <v>1523</v>
      </c>
      <c r="C209" s="62" t="s">
        <v>435</v>
      </c>
      <c r="D209" s="62" t="s">
        <v>436</v>
      </c>
      <c r="E209" s="62" t="s">
        <v>490</v>
      </c>
      <c r="F209" s="62" t="s">
        <v>1524</v>
      </c>
      <c r="G209" s="62" t="s">
        <v>439</v>
      </c>
      <c r="H209" s="62" t="s">
        <v>758</v>
      </c>
      <c r="I209" s="62">
        <v>40.017825999999999</v>
      </c>
      <c r="J209" s="62">
        <v>-75.135245999999995</v>
      </c>
      <c r="K209" s="62">
        <v>250</v>
      </c>
      <c r="L209" s="63">
        <v>0.84</v>
      </c>
      <c r="M209" s="64">
        <v>12</v>
      </c>
      <c r="N209" s="64" t="s">
        <v>441</v>
      </c>
      <c r="O209" s="64" t="s">
        <v>442</v>
      </c>
      <c r="P209" s="64" t="s">
        <v>443</v>
      </c>
      <c r="Q209" s="64" t="s">
        <v>1525</v>
      </c>
      <c r="R209" s="65" t="s">
        <v>445</v>
      </c>
      <c r="S209" s="1"/>
      <c r="T209" s="84" t="s">
        <v>308</v>
      </c>
      <c r="U209" s="84" t="s">
        <v>1526</v>
      </c>
      <c r="V209" s="84" t="s">
        <v>1527</v>
      </c>
      <c r="W209" s="84" t="s">
        <v>475</v>
      </c>
      <c r="X209" s="84" t="s">
        <v>475</v>
      </c>
      <c r="Y209" s="84" t="s">
        <v>630</v>
      </c>
      <c r="Z209" s="84" t="s">
        <v>630</v>
      </c>
      <c r="AA209" s="108"/>
      <c r="AB209" s="108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22" customHeight="1">
      <c r="A210" s="66" t="s">
        <v>387</v>
      </c>
      <c r="B210" s="62" t="s">
        <v>1528</v>
      </c>
      <c r="C210" s="62" t="s">
        <v>435</v>
      </c>
      <c r="D210" s="62" t="s">
        <v>436</v>
      </c>
      <c r="E210" s="62" t="s">
        <v>483</v>
      </c>
      <c r="F210" s="62" t="s">
        <v>1529</v>
      </c>
      <c r="G210" s="62" t="s">
        <v>439</v>
      </c>
      <c r="H210" s="62" t="s">
        <v>785</v>
      </c>
      <c r="I210" s="62">
        <v>40.029381549999997</v>
      </c>
      <c r="J210" s="62">
        <v>-75.134163319999999</v>
      </c>
      <c r="K210" s="62">
        <v>551</v>
      </c>
      <c r="L210" s="63">
        <v>0.85880000000000001</v>
      </c>
      <c r="M210" s="64">
        <v>12</v>
      </c>
      <c r="N210" s="64" t="s">
        <v>441</v>
      </c>
      <c r="O210" s="64" t="s">
        <v>442</v>
      </c>
      <c r="P210" s="64" t="s">
        <v>443</v>
      </c>
      <c r="Q210" s="64" t="s">
        <v>1530</v>
      </c>
      <c r="R210" s="65" t="s">
        <v>445</v>
      </c>
      <c r="S210" s="1"/>
      <c r="T210" s="84" t="s">
        <v>385</v>
      </c>
      <c r="U210" s="84" t="s">
        <v>1531</v>
      </c>
      <c r="V210" s="84" t="s">
        <v>1532</v>
      </c>
      <c r="W210" s="84" t="s">
        <v>475</v>
      </c>
      <c r="X210" s="84" t="s">
        <v>475</v>
      </c>
      <c r="Y210" s="84" t="s">
        <v>630</v>
      </c>
      <c r="Z210" s="84" t="s">
        <v>630</v>
      </c>
      <c r="AA210" s="108"/>
      <c r="AB210" s="108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22" customHeight="1">
      <c r="A211" s="66" t="s">
        <v>248</v>
      </c>
      <c r="B211" s="62" t="s">
        <v>1533</v>
      </c>
      <c r="C211" s="62" t="s">
        <v>435</v>
      </c>
      <c r="D211" s="62" t="s">
        <v>436</v>
      </c>
      <c r="E211" s="62" t="s">
        <v>437</v>
      </c>
      <c r="F211" s="62" t="s">
        <v>1534</v>
      </c>
      <c r="G211" s="62" t="s">
        <v>439</v>
      </c>
      <c r="H211" s="62" t="s">
        <v>1398</v>
      </c>
      <c r="I211" s="62">
        <v>39.977949559999999</v>
      </c>
      <c r="J211" s="62">
        <v>-75.133053200000006</v>
      </c>
      <c r="K211" s="62">
        <v>504</v>
      </c>
      <c r="L211" s="63">
        <v>0.84330000000000005</v>
      </c>
      <c r="M211" s="64">
        <v>8</v>
      </c>
      <c r="N211" s="64" t="s">
        <v>441</v>
      </c>
      <c r="O211" s="64" t="s">
        <v>442</v>
      </c>
      <c r="P211" s="64" t="s">
        <v>443</v>
      </c>
      <c r="Q211" s="64" t="s">
        <v>1535</v>
      </c>
      <c r="R211" s="65" t="s">
        <v>445</v>
      </c>
      <c r="S211" s="1"/>
      <c r="T211" s="84" t="s">
        <v>141</v>
      </c>
      <c r="U211" s="84" t="s">
        <v>1536</v>
      </c>
      <c r="V211" s="84" t="s">
        <v>1537</v>
      </c>
      <c r="W211" s="84" t="s">
        <v>475</v>
      </c>
      <c r="X211" s="84" t="s">
        <v>475</v>
      </c>
      <c r="Y211" s="84" t="s">
        <v>630</v>
      </c>
      <c r="Z211" s="84" t="s">
        <v>630</v>
      </c>
      <c r="AA211" s="108"/>
      <c r="AB211" s="108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22" customHeight="1">
      <c r="A212" s="66" t="s">
        <v>191</v>
      </c>
      <c r="B212" s="62" t="s">
        <v>1538</v>
      </c>
      <c r="C212" s="62" t="s">
        <v>435</v>
      </c>
      <c r="D212" s="62" t="s">
        <v>436</v>
      </c>
      <c r="E212" s="62" t="s">
        <v>490</v>
      </c>
      <c r="F212" s="62" t="s">
        <v>1539</v>
      </c>
      <c r="G212" s="62" t="s">
        <v>439</v>
      </c>
      <c r="H212" s="62" t="s">
        <v>1228</v>
      </c>
      <c r="I212" s="62">
        <v>39.999747249999999</v>
      </c>
      <c r="J212" s="62">
        <v>-75.11478572</v>
      </c>
      <c r="K212" s="62">
        <v>438</v>
      </c>
      <c r="L212" s="63">
        <v>0.89490000000000003</v>
      </c>
      <c r="M212" s="64">
        <v>10</v>
      </c>
      <c r="N212" s="64" t="s">
        <v>441</v>
      </c>
      <c r="O212" s="64" t="s">
        <v>442</v>
      </c>
      <c r="P212" s="64" t="s">
        <v>443</v>
      </c>
      <c r="Q212" s="64" t="s">
        <v>1540</v>
      </c>
      <c r="R212" s="65" t="s">
        <v>445</v>
      </c>
      <c r="S212" s="1"/>
      <c r="T212" s="84" t="s">
        <v>370</v>
      </c>
      <c r="U212" s="84" t="s">
        <v>1541</v>
      </c>
      <c r="V212" s="84" t="s">
        <v>1542</v>
      </c>
      <c r="W212" s="84" t="s">
        <v>475</v>
      </c>
      <c r="X212" s="84" t="s">
        <v>475</v>
      </c>
      <c r="Y212" s="84" t="s">
        <v>630</v>
      </c>
      <c r="Z212" s="84" t="s">
        <v>630</v>
      </c>
      <c r="AA212" s="108"/>
      <c r="AB212" s="108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22" customHeight="1">
      <c r="A213" s="66" t="s">
        <v>246</v>
      </c>
      <c r="B213" s="62" t="s">
        <v>1543</v>
      </c>
      <c r="C213" s="62" t="s">
        <v>435</v>
      </c>
      <c r="D213" s="62" t="s">
        <v>436</v>
      </c>
      <c r="E213" s="62" t="s">
        <v>437</v>
      </c>
      <c r="F213" s="62" t="s">
        <v>1544</v>
      </c>
      <c r="G213" s="62" t="s">
        <v>439</v>
      </c>
      <c r="H213" s="62" t="s">
        <v>766</v>
      </c>
      <c r="I213" s="62">
        <v>39.985025999999998</v>
      </c>
      <c r="J213" s="62">
        <v>-75.128685000000004</v>
      </c>
      <c r="K213" s="62">
        <v>461</v>
      </c>
      <c r="L213" s="63">
        <v>0.86939999999999995</v>
      </c>
      <c r="M213" s="64">
        <v>9</v>
      </c>
      <c r="N213" s="64" t="s">
        <v>441</v>
      </c>
      <c r="O213" s="64" t="s">
        <v>442</v>
      </c>
      <c r="P213" s="64" t="s">
        <v>443</v>
      </c>
      <c r="Q213" s="64" t="s">
        <v>1545</v>
      </c>
      <c r="R213" s="65" t="s">
        <v>445</v>
      </c>
      <c r="S213" s="1"/>
      <c r="T213" s="84" t="s">
        <v>338</v>
      </c>
      <c r="U213" s="84" t="s">
        <v>1546</v>
      </c>
      <c r="V213" s="84" t="s">
        <v>1547</v>
      </c>
      <c r="W213" s="84" t="s">
        <v>475</v>
      </c>
      <c r="X213" s="84" t="s">
        <v>475</v>
      </c>
      <c r="Y213" s="84" t="s">
        <v>630</v>
      </c>
      <c r="Z213" s="84" t="s">
        <v>630</v>
      </c>
      <c r="AA213" s="108"/>
      <c r="AB213" s="108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22" customHeight="1">
      <c r="A214" s="66" t="s">
        <v>363</v>
      </c>
      <c r="B214" s="62" t="s">
        <v>1548</v>
      </c>
      <c r="C214" s="62" t="s">
        <v>435</v>
      </c>
      <c r="D214" s="62" t="s">
        <v>436</v>
      </c>
      <c r="E214" s="62" t="s">
        <v>483</v>
      </c>
      <c r="F214" s="62" t="s">
        <v>1549</v>
      </c>
      <c r="G214" s="62" t="s">
        <v>439</v>
      </c>
      <c r="H214" s="62" t="s">
        <v>901</v>
      </c>
      <c r="I214" s="62">
        <v>39.965161549999998</v>
      </c>
      <c r="J214" s="62">
        <v>-75.15614042</v>
      </c>
      <c r="K214" s="62">
        <v>247</v>
      </c>
      <c r="L214" s="63">
        <v>0.85770000000000002</v>
      </c>
      <c r="M214" s="64">
        <v>10</v>
      </c>
      <c r="N214" s="64" t="s">
        <v>441</v>
      </c>
      <c r="O214" s="64" t="s">
        <v>442</v>
      </c>
      <c r="P214" s="64" t="s">
        <v>443</v>
      </c>
      <c r="Q214" s="64" t="s">
        <v>1550</v>
      </c>
      <c r="R214" s="65" t="s">
        <v>445</v>
      </c>
      <c r="S214" s="1"/>
      <c r="T214" s="84" t="s">
        <v>307</v>
      </c>
      <c r="U214" s="84" t="s">
        <v>1551</v>
      </c>
      <c r="V214" s="84" t="s">
        <v>1552</v>
      </c>
      <c r="W214" s="84" t="s">
        <v>475</v>
      </c>
      <c r="X214" s="84" t="s">
        <v>475</v>
      </c>
      <c r="Y214" s="84" t="s">
        <v>630</v>
      </c>
      <c r="Z214" s="84" t="s">
        <v>630</v>
      </c>
      <c r="AA214" s="108"/>
      <c r="AB214" s="108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22" customHeight="1">
      <c r="A215" s="66" t="s">
        <v>223</v>
      </c>
      <c r="B215" s="62" t="s">
        <v>1553</v>
      </c>
      <c r="C215" s="62" t="s">
        <v>435</v>
      </c>
      <c r="D215" s="62" t="s">
        <v>436</v>
      </c>
      <c r="E215" s="62" t="s">
        <v>471</v>
      </c>
      <c r="F215" s="62" t="s">
        <v>1554</v>
      </c>
      <c r="G215" s="62" t="s">
        <v>439</v>
      </c>
      <c r="H215" s="62" t="s">
        <v>1228</v>
      </c>
      <c r="I215" s="62">
        <v>39.998068940000003</v>
      </c>
      <c r="J215" s="62">
        <v>-75.125466630000005</v>
      </c>
      <c r="K215" s="62">
        <v>511</v>
      </c>
      <c r="L215" s="63">
        <v>0.88739999999999997</v>
      </c>
      <c r="M215" s="64">
        <v>12</v>
      </c>
      <c r="N215" s="64" t="s">
        <v>441</v>
      </c>
      <c r="O215" s="64" t="s">
        <v>442</v>
      </c>
      <c r="P215" s="64" t="s">
        <v>443</v>
      </c>
      <c r="Q215" s="64" t="s">
        <v>1555</v>
      </c>
      <c r="R215" s="65" t="s">
        <v>445</v>
      </c>
      <c r="S215" s="1"/>
      <c r="T215" s="84" t="s">
        <v>194</v>
      </c>
      <c r="U215" s="84" t="s">
        <v>1556</v>
      </c>
      <c r="V215" s="84" t="s">
        <v>1557</v>
      </c>
      <c r="W215" s="84" t="s">
        <v>475</v>
      </c>
      <c r="X215" s="84" t="s">
        <v>475</v>
      </c>
      <c r="Y215" s="84" t="s">
        <v>630</v>
      </c>
      <c r="Z215" s="84" t="s">
        <v>630</v>
      </c>
      <c r="AA215" s="108"/>
      <c r="AB215" s="108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22" customHeight="1">
      <c r="A216" s="66" t="s">
        <v>366</v>
      </c>
      <c r="B216" s="62" t="s">
        <v>1558</v>
      </c>
      <c r="C216" s="62" t="s">
        <v>623</v>
      </c>
      <c r="D216" s="62" t="s">
        <v>88</v>
      </c>
      <c r="E216" s="62" t="s">
        <v>624</v>
      </c>
      <c r="F216" s="62" t="s">
        <v>1554</v>
      </c>
      <c r="G216" s="62" t="s">
        <v>439</v>
      </c>
      <c r="H216" s="62" t="s">
        <v>1228</v>
      </c>
      <c r="I216" s="62">
        <v>39.998995639999997</v>
      </c>
      <c r="J216" s="62">
        <v>-75.125383170000006</v>
      </c>
      <c r="K216" s="62">
        <v>13</v>
      </c>
      <c r="L216" s="63">
        <v>0.88739999999999997</v>
      </c>
      <c r="M216" s="64">
        <v>12</v>
      </c>
      <c r="N216" s="64" t="s">
        <v>441</v>
      </c>
      <c r="O216" s="64" t="s">
        <v>442</v>
      </c>
      <c r="P216" s="64" t="s">
        <v>443</v>
      </c>
      <c r="Q216" s="64" t="s">
        <v>1555</v>
      </c>
      <c r="R216" s="65" t="s">
        <v>445</v>
      </c>
      <c r="S216" s="1"/>
      <c r="T216" s="84" t="s">
        <v>144</v>
      </c>
      <c r="U216" s="84" t="s">
        <v>1559</v>
      </c>
      <c r="V216" s="84" t="s">
        <v>1560</v>
      </c>
      <c r="W216" s="84" t="s">
        <v>475</v>
      </c>
      <c r="X216" s="84" t="s">
        <v>475</v>
      </c>
      <c r="Y216" s="84" t="s">
        <v>630</v>
      </c>
      <c r="Z216" s="84" t="s">
        <v>630</v>
      </c>
      <c r="AA216" s="108"/>
      <c r="AB216" s="108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22" customHeight="1">
      <c r="A217" s="66" t="s">
        <v>229</v>
      </c>
      <c r="B217" s="62" t="s">
        <v>1561</v>
      </c>
      <c r="C217" s="62" t="s">
        <v>435</v>
      </c>
      <c r="D217" s="62" t="s">
        <v>436</v>
      </c>
      <c r="E217" s="62" t="s">
        <v>490</v>
      </c>
      <c r="F217" s="62" t="s">
        <v>1562</v>
      </c>
      <c r="G217" s="62" t="s">
        <v>439</v>
      </c>
      <c r="H217" s="62" t="s">
        <v>1228</v>
      </c>
      <c r="I217" s="62">
        <v>39.996198999999997</v>
      </c>
      <c r="J217" s="62">
        <v>-75.104516000000004</v>
      </c>
      <c r="K217" s="62">
        <v>413</v>
      </c>
      <c r="L217" s="63">
        <v>0.89970000000000006</v>
      </c>
      <c r="M217" s="64">
        <v>7</v>
      </c>
      <c r="N217" s="64" t="s">
        <v>441</v>
      </c>
      <c r="O217" s="64" t="s">
        <v>442</v>
      </c>
      <c r="P217" s="64" t="s">
        <v>443</v>
      </c>
      <c r="Q217" s="64" t="s">
        <v>1563</v>
      </c>
      <c r="R217" s="65" t="s">
        <v>445</v>
      </c>
      <c r="S217" s="1"/>
      <c r="T217" s="84" t="s">
        <v>404</v>
      </c>
      <c r="U217" s="84" t="s">
        <v>1564</v>
      </c>
      <c r="V217" s="84" t="s">
        <v>1565</v>
      </c>
      <c r="W217" s="84" t="s">
        <v>475</v>
      </c>
      <c r="X217" s="84" t="s">
        <v>475</v>
      </c>
      <c r="Y217" s="84" t="s">
        <v>630</v>
      </c>
      <c r="Z217" s="84" t="s">
        <v>630</v>
      </c>
      <c r="AA217" s="108"/>
      <c r="AB217" s="108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22" customHeight="1">
      <c r="A218" s="66" t="s">
        <v>124</v>
      </c>
      <c r="B218" s="62" t="s">
        <v>1566</v>
      </c>
      <c r="C218" s="62" t="s">
        <v>435</v>
      </c>
      <c r="D218" s="62" t="s">
        <v>436</v>
      </c>
      <c r="E218" s="62" t="s">
        <v>437</v>
      </c>
      <c r="F218" s="62" t="s">
        <v>1567</v>
      </c>
      <c r="G218" s="62" t="s">
        <v>439</v>
      </c>
      <c r="H218" s="62" t="s">
        <v>832</v>
      </c>
      <c r="I218" s="62">
        <v>40.053631000000003</v>
      </c>
      <c r="J218" s="62">
        <v>-75.152480999999995</v>
      </c>
      <c r="K218" s="62">
        <v>344</v>
      </c>
      <c r="L218" s="63">
        <v>0.84589999999999999</v>
      </c>
      <c r="M218" s="64">
        <v>13</v>
      </c>
      <c r="N218" s="64" t="s">
        <v>441</v>
      </c>
      <c r="O218" s="64" t="s">
        <v>442</v>
      </c>
      <c r="P218" s="64" t="s">
        <v>443</v>
      </c>
      <c r="Q218" s="64" t="s">
        <v>1568</v>
      </c>
      <c r="R218" s="65" t="s">
        <v>445</v>
      </c>
      <c r="S218" s="1"/>
      <c r="T218" s="84" t="s">
        <v>180</v>
      </c>
      <c r="U218" s="84" t="s">
        <v>1569</v>
      </c>
      <c r="V218" s="84" t="s">
        <v>1570</v>
      </c>
      <c r="W218" s="84" t="s">
        <v>475</v>
      </c>
      <c r="X218" s="84" t="s">
        <v>475</v>
      </c>
      <c r="Y218" s="84" t="s">
        <v>630</v>
      </c>
      <c r="Z218" s="84" t="s">
        <v>630</v>
      </c>
      <c r="AA218" s="108"/>
      <c r="AB218" s="108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22" customHeight="1">
      <c r="A219" s="66" t="s">
        <v>378</v>
      </c>
      <c r="B219" s="62" t="s">
        <v>1571</v>
      </c>
      <c r="C219" s="62" t="s">
        <v>435</v>
      </c>
      <c r="D219" s="62" t="s">
        <v>436</v>
      </c>
      <c r="E219" s="62" t="s">
        <v>437</v>
      </c>
      <c r="F219" s="62" t="s">
        <v>1572</v>
      </c>
      <c r="G219" s="62" t="s">
        <v>439</v>
      </c>
      <c r="H219" s="62" t="s">
        <v>1398</v>
      </c>
      <c r="I219" s="62">
        <v>39.981983</v>
      </c>
      <c r="J219" s="62">
        <v>-75.146255999999994</v>
      </c>
      <c r="K219" s="62">
        <v>164</v>
      </c>
      <c r="L219" s="63">
        <v>0.91349999999999998</v>
      </c>
      <c r="M219" s="64">
        <v>16</v>
      </c>
      <c r="N219" s="64" t="s">
        <v>441</v>
      </c>
      <c r="O219" s="64" t="s">
        <v>442</v>
      </c>
      <c r="P219" s="64" t="s">
        <v>443</v>
      </c>
      <c r="Q219" s="64" t="s">
        <v>1573</v>
      </c>
      <c r="R219" s="65" t="s">
        <v>445</v>
      </c>
      <c r="S219" s="1"/>
      <c r="T219" s="84" t="s">
        <v>381</v>
      </c>
      <c r="U219" s="84" t="s">
        <v>1574</v>
      </c>
      <c r="V219" s="84" t="s">
        <v>1575</v>
      </c>
      <c r="W219" s="84" t="s">
        <v>475</v>
      </c>
      <c r="X219" s="84" t="s">
        <v>475</v>
      </c>
      <c r="Y219" s="84" t="s">
        <v>630</v>
      </c>
      <c r="Z219" s="84" t="s">
        <v>630</v>
      </c>
      <c r="AA219" s="108"/>
      <c r="AB219" s="108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22" customHeight="1">
      <c r="A220" s="66" t="s">
        <v>375</v>
      </c>
      <c r="B220" s="62" t="s">
        <v>1576</v>
      </c>
      <c r="C220" s="62" t="s">
        <v>435</v>
      </c>
      <c r="D220" s="62" t="s">
        <v>436</v>
      </c>
      <c r="E220" s="62" t="s">
        <v>437</v>
      </c>
      <c r="F220" s="62" t="s">
        <v>1577</v>
      </c>
      <c r="G220" s="62" t="s">
        <v>439</v>
      </c>
      <c r="H220" s="62" t="s">
        <v>758</v>
      </c>
      <c r="I220" s="62">
        <v>40.006819</v>
      </c>
      <c r="J220" s="62">
        <v>-75.129735999999994</v>
      </c>
      <c r="K220" s="62">
        <v>229</v>
      </c>
      <c r="L220" s="63">
        <v>0.82299999999999995</v>
      </c>
      <c r="M220" s="64">
        <v>9</v>
      </c>
      <c r="N220" s="64" t="s">
        <v>441</v>
      </c>
      <c r="O220" s="64" t="s">
        <v>442</v>
      </c>
      <c r="P220" s="64" t="s">
        <v>443</v>
      </c>
      <c r="Q220" s="64" t="s">
        <v>1578</v>
      </c>
      <c r="R220" s="65" t="s">
        <v>445</v>
      </c>
      <c r="S220" s="1"/>
      <c r="T220" s="84" t="s">
        <v>328</v>
      </c>
      <c r="U220" s="84" t="s">
        <v>1579</v>
      </c>
      <c r="V220" s="84" t="s">
        <v>1580</v>
      </c>
      <c r="W220" s="84" t="s">
        <v>475</v>
      </c>
      <c r="X220" s="84" t="s">
        <v>475</v>
      </c>
      <c r="Y220" s="84" t="s">
        <v>630</v>
      </c>
      <c r="Z220" s="84" t="s">
        <v>630</v>
      </c>
      <c r="AA220" s="108"/>
      <c r="AB220" s="108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22" customHeight="1">
      <c r="A221" s="66" t="s">
        <v>205</v>
      </c>
      <c r="B221" s="62" t="s">
        <v>1581</v>
      </c>
      <c r="C221" s="62" t="s">
        <v>435</v>
      </c>
      <c r="D221" s="62" t="s">
        <v>436</v>
      </c>
      <c r="E221" s="62" t="s">
        <v>483</v>
      </c>
      <c r="F221" s="62" t="s">
        <v>1582</v>
      </c>
      <c r="G221" s="62" t="s">
        <v>439</v>
      </c>
      <c r="H221" s="62" t="s">
        <v>758</v>
      </c>
      <c r="I221" s="62">
        <v>40.00098011</v>
      </c>
      <c r="J221" s="62">
        <v>-75.135389579999995</v>
      </c>
      <c r="K221" s="62">
        <v>482</v>
      </c>
      <c r="L221" s="63">
        <v>0.92110000000000003</v>
      </c>
      <c r="M221" s="64">
        <v>14</v>
      </c>
      <c r="N221" s="64" t="s">
        <v>441</v>
      </c>
      <c r="O221" s="64" t="s">
        <v>442</v>
      </c>
      <c r="P221" s="64" t="s">
        <v>443</v>
      </c>
      <c r="Q221" s="64" t="s">
        <v>1583</v>
      </c>
      <c r="R221" s="65" t="s">
        <v>445</v>
      </c>
      <c r="S221" s="1"/>
      <c r="T221" s="84" t="s">
        <v>239</v>
      </c>
      <c r="U221" s="84" t="s">
        <v>1584</v>
      </c>
      <c r="V221" s="84" t="s">
        <v>1585</v>
      </c>
      <c r="W221" s="84" t="s">
        <v>475</v>
      </c>
      <c r="X221" s="84" t="s">
        <v>475</v>
      </c>
      <c r="Y221" s="84" t="s">
        <v>630</v>
      </c>
      <c r="Z221" s="84" t="s">
        <v>630</v>
      </c>
      <c r="AA221" s="108"/>
      <c r="AB221" s="108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22" customHeight="1">
      <c r="A222" s="66" t="s">
        <v>247</v>
      </c>
      <c r="B222" s="62" t="s">
        <v>1586</v>
      </c>
      <c r="C222" s="62" t="s">
        <v>435</v>
      </c>
      <c r="D222" s="62" t="s">
        <v>436</v>
      </c>
      <c r="E222" s="62" t="s">
        <v>437</v>
      </c>
      <c r="F222" s="62" t="s">
        <v>1587</v>
      </c>
      <c r="G222" s="62" t="s">
        <v>439</v>
      </c>
      <c r="H222" s="62" t="s">
        <v>1588</v>
      </c>
      <c r="I222" s="62">
        <v>40.045606999999997</v>
      </c>
      <c r="J222" s="62">
        <v>-75.044206000000003</v>
      </c>
      <c r="K222" s="62">
        <v>447</v>
      </c>
      <c r="L222" s="63">
        <v>0.85189999999999999</v>
      </c>
      <c r="M222" s="64">
        <v>2</v>
      </c>
      <c r="N222" s="64" t="s">
        <v>441</v>
      </c>
      <c r="O222" s="64" t="s">
        <v>442</v>
      </c>
      <c r="P222" s="64" t="s">
        <v>443</v>
      </c>
      <c r="Q222" s="64" t="s">
        <v>1589</v>
      </c>
      <c r="R222" s="65" t="s">
        <v>445</v>
      </c>
      <c r="S222" s="1"/>
      <c r="T222" s="84" t="s">
        <v>312</v>
      </c>
      <c r="U222" s="84" t="s">
        <v>1590</v>
      </c>
      <c r="V222" s="84" t="s">
        <v>1591</v>
      </c>
      <c r="W222" s="84" t="s">
        <v>475</v>
      </c>
      <c r="X222" s="84" t="s">
        <v>475</v>
      </c>
      <c r="Y222" s="84" t="s">
        <v>630</v>
      </c>
      <c r="Z222" s="84" t="s">
        <v>630</v>
      </c>
      <c r="AA222" s="108"/>
      <c r="AB222" s="108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22" customHeight="1">
      <c r="A223" s="66" t="s">
        <v>287</v>
      </c>
      <c r="B223" s="62" t="s">
        <v>1592</v>
      </c>
      <c r="C223" s="62" t="s">
        <v>435</v>
      </c>
      <c r="D223" s="62" t="s">
        <v>88</v>
      </c>
      <c r="E223" s="62" t="s">
        <v>471</v>
      </c>
      <c r="F223" s="62" t="s">
        <v>1593</v>
      </c>
      <c r="G223" s="62" t="s">
        <v>439</v>
      </c>
      <c r="H223" s="62" t="s">
        <v>1228</v>
      </c>
      <c r="I223" s="62">
        <v>39.98588986</v>
      </c>
      <c r="J223" s="62">
        <v>-75.112859490000005</v>
      </c>
      <c r="K223" s="62"/>
      <c r="L223" s="63"/>
      <c r="M223" s="64">
        <v>9</v>
      </c>
      <c r="N223" s="64" t="s">
        <v>441</v>
      </c>
      <c r="O223" s="64" t="s">
        <v>442</v>
      </c>
      <c r="P223" s="64" t="s">
        <v>443</v>
      </c>
      <c r="Q223" s="64" t="s">
        <v>1594</v>
      </c>
      <c r="R223" s="65" t="s">
        <v>445</v>
      </c>
      <c r="S223" s="1"/>
      <c r="T223" s="84" t="s">
        <v>311</v>
      </c>
      <c r="U223" s="84" t="s">
        <v>1595</v>
      </c>
      <c r="V223" s="84" t="s">
        <v>1596</v>
      </c>
      <c r="W223" s="84" t="s">
        <v>475</v>
      </c>
      <c r="X223" s="84" t="s">
        <v>475</v>
      </c>
      <c r="Y223" s="84" t="s">
        <v>630</v>
      </c>
      <c r="Z223" s="84" t="s">
        <v>630</v>
      </c>
      <c r="AA223" s="108"/>
      <c r="AB223" s="108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22" customHeight="1">
      <c r="A224" s="66" t="s">
        <v>128</v>
      </c>
      <c r="B224" s="62" t="s">
        <v>1597</v>
      </c>
      <c r="C224" s="62" t="s">
        <v>435</v>
      </c>
      <c r="D224" s="62" t="s">
        <v>436</v>
      </c>
      <c r="E224" s="62" t="s">
        <v>437</v>
      </c>
      <c r="F224" s="62" t="s">
        <v>1598</v>
      </c>
      <c r="G224" s="62" t="s">
        <v>439</v>
      </c>
      <c r="H224" s="62" t="s">
        <v>1169</v>
      </c>
      <c r="I224" s="62">
        <v>40.037285099999998</v>
      </c>
      <c r="J224" s="62">
        <v>-75.150748250000007</v>
      </c>
      <c r="K224" s="62">
        <v>2343</v>
      </c>
      <c r="L224" s="63">
        <v>0.52729999999999999</v>
      </c>
      <c r="M224" s="64">
        <v>12</v>
      </c>
      <c r="N224" s="64" t="s">
        <v>441</v>
      </c>
      <c r="O224" s="64" t="s">
        <v>442</v>
      </c>
      <c r="P224" s="64" t="s">
        <v>443</v>
      </c>
      <c r="Q224" s="64" t="s">
        <v>1599</v>
      </c>
      <c r="R224" s="65" t="s">
        <v>445</v>
      </c>
      <c r="S224" s="1"/>
      <c r="T224" s="84" t="s">
        <v>313</v>
      </c>
      <c r="U224" s="84" t="s">
        <v>1600</v>
      </c>
      <c r="V224" s="84" t="s">
        <v>1601</v>
      </c>
      <c r="W224" s="84" t="s">
        <v>475</v>
      </c>
      <c r="X224" s="84" t="s">
        <v>475</v>
      </c>
      <c r="Y224" s="84" t="s">
        <v>630</v>
      </c>
      <c r="Z224" s="84" t="s">
        <v>630</v>
      </c>
      <c r="AA224" s="108"/>
      <c r="AB224" s="108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22" customHeight="1">
      <c r="A225" s="66" t="s">
        <v>344</v>
      </c>
      <c r="B225" s="62" t="s">
        <v>1602</v>
      </c>
      <c r="C225" s="62" t="s">
        <v>435</v>
      </c>
      <c r="D225" s="62" t="s">
        <v>436</v>
      </c>
      <c r="E225" s="62" t="s">
        <v>437</v>
      </c>
      <c r="F225" s="62" t="s">
        <v>1603</v>
      </c>
      <c r="G225" s="62" t="s">
        <v>439</v>
      </c>
      <c r="H225" s="62" t="s">
        <v>1006</v>
      </c>
      <c r="I225" s="62">
        <v>40.038024790000001</v>
      </c>
      <c r="J225" s="62">
        <v>-75.222833570000006</v>
      </c>
      <c r="K225" s="62">
        <v>529</v>
      </c>
      <c r="L225" s="63">
        <v>0.77939999999999998</v>
      </c>
      <c r="M225" s="64">
        <v>1</v>
      </c>
      <c r="N225" s="64" t="s">
        <v>441</v>
      </c>
      <c r="O225" s="64" t="s">
        <v>442</v>
      </c>
      <c r="P225" s="64" t="s">
        <v>443</v>
      </c>
      <c r="Q225" s="64" t="s">
        <v>1604</v>
      </c>
      <c r="R225" s="65" t="s">
        <v>445</v>
      </c>
      <c r="S225" s="1"/>
      <c r="T225" s="84" t="s">
        <v>414</v>
      </c>
      <c r="U225" s="84" t="s">
        <v>1605</v>
      </c>
      <c r="V225" s="84" t="s">
        <v>1606</v>
      </c>
      <c r="W225" s="84" t="s">
        <v>475</v>
      </c>
      <c r="X225" s="84" t="s">
        <v>475</v>
      </c>
      <c r="Y225" s="84" t="s">
        <v>630</v>
      </c>
      <c r="Z225" s="84" t="s">
        <v>630</v>
      </c>
      <c r="AA225" s="108"/>
      <c r="AB225" s="108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22" customHeight="1">
      <c r="A226" s="66" t="s">
        <v>394</v>
      </c>
      <c r="B226" s="62" t="s">
        <v>1607</v>
      </c>
      <c r="C226" s="62" t="s">
        <v>435</v>
      </c>
      <c r="D226" s="62" t="s">
        <v>436</v>
      </c>
      <c r="E226" s="62" t="s">
        <v>437</v>
      </c>
      <c r="F226" s="62" t="s">
        <v>1608</v>
      </c>
      <c r="G226" s="62" t="s">
        <v>439</v>
      </c>
      <c r="H226" s="62" t="s">
        <v>1006</v>
      </c>
      <c r="I226" s="62">
        <v>40.04902036</v>
      </c>
      <c r="J226" s="62">
        <v>-75.21981676</v>
      </c>
      <c r="K226" s="62">
        <v>406</v>
      </c>
      <c r="L226" s="63">
        <v>0.67400000000000004</v>
      </c>
      <c r="M226" s="64">
        <v>0</v>
      </c>
      <c r="N226" s="64" t="s">
        <v>441</v>
      </c>
      <c r="O226" s="64" t="s">
        <v>442</v>
      </c>
      <c r="P226" s="64" t="s">
        <v>443</v>
      </c>
      <c r="Q226" s="64" t="s">
        <v>1609</v>
      </c>
      <c r="R226" s="65" t="s">
        <v>445</v>
      </c>
      <c r="S226" s="1"/>
      <c r="T226" s="84" t="s">
        <v>316</v>
      </c>
      <c r="U226" s="84" t="s">
        <v>1610</v>
      </c>
      <c r="V226" s="84" t="s">
        <v>1611</v>
      </c>
      <c r="W226" s="84" t="s">
        <v>475</v>
      </c>
      <c r="X226" s="84" t="s">
        <v>475</v>
      </c>
      <c r="Y226" s="84" t="s">
        <v>630</v>
      </c>
      <c r="Z226" s="84" t="s">
        <v>630</v>
      </c>
      <c r="AA226" s="108"/>
      <c r="AB226" s="108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22" customHeight="1">
      <c r="A227" s="66" t="s">
        <v>324</v>
      </c>
      <c r="B227" s="62" t="s">
        <v>1612</v>
      </c>
      <c r="C227" s="62" t="s">
        <v>435</v>
      </c>
      <c r="D227" s="62" t="s">
        <v>436</v>
      </c>
      <c r="E227" s="62" t="s">
        <v>437</v>
      </c>
      <c r="F227" s="62" t="s">
        <v>1613</v>
      </c>
      <c r="G227" s="62" t="s">
        <v>439</v>
      </c>
      <c r="H227" s="62" t="s">
        <v>1169</v>
      </c>
      <c r="I227" s="62">
        <v>40.038314200000002</v>
      </c>
      <c r="J227" s="62">
        <v>-75.146055599999997</v>
      </c>
      <c r="K227" s="62">
        <v>592</v>
      </c>
      <c r="L227" s="63">
        <v>0.68710000000000004</v>
      </c>
      <c r="M227" s="64">
        <v>9</v>
      </c>
      <c r="N227" s="64" t="s">
        <v>441</v>
      </c>
      <c r="O227" s="64" t="s">
        <v>442</v>
      </c>
      <c r="P227" s="64" t="s">
        <v>443</v>
      </c>
      <c r="Q227" s="64" t="s">
        <v>1614</v>
      </c>
      <c r="R227" s="65" t="s">
        <v>445</v>
      </c>
      <c r="S227" s="1"/>
      <c r="T227" s="84" t="s">
        <v>240</v>
      </c>
      <c r="U227" s="84" t="s">
        <v>1615</v>
      </c>
      <c r="V227" s="84" t="s">
        <v>1616</v>
      </c>
      <c r="W227" s="84" t="s">
        <v>475</v>
      </c>
      <c r="X227" s="84" t="s">
        <v>475</v>
      </c>
      <c r="Y227" s="84" t="s">
        <v>630</v>
      </c>
      <c r="Z227" s="84" t="s">
        <v>630</v>
      </c>
      <c r="AA227" s="108"/>
      <c r="AB227" s="108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22" customHeight="1">
      <c r="A228" s="66" t="s">
        <v>266</v>
      </c>
      <c r="B228" s="62" t="s">
        <v>1617</v>
      </c>
      <c r="C228" s="62" t="s">
        <v>435</v>
      </c>
      <c r="D228" s="62" t="s">
        <v>436</v>
      </c>
      <c r="E228" s="62" t="s">
        <v>437</v>
      </c>
      <c r="F228" s="62" t="s">
        <v>1618</v>
      </c>
      <c r="G228" s="62" t="s">
        <v>439</v>
      </c>
      <c r="H228" s="62" t="s">
        <v>832</v>
      </c>
      <c r="I228" s="62">
        <v>40.05756238</v>
      </c>
      <c r="J228" s="62">
        <v>-75.162171839999999</v>
      </c>
      <c r="K228" s="62">
        <v>604</v>
      </c>
      <c r="L228" s="63">
        <v>0.80659999999999998</v>
      </c>
      <c r="M228" s="64">
        <v>9</v>
      </c>
      <c r="N228" s="64" t="s">
        <v>441</v>
      </c>
      <c r="O228" s="64" t="s">
        <v>442</v>
      </c>
      <c r="P228" s="64" t="s">
        <v>443</v>
      </c>
      <c r="Q228" s="64" t="s">
        <v>1619</v>
      </c>
      <c r="R228" s="65" t="s">
        <v>445</v>
      </c>
      <c r="S228" s="1"/>
      <c r="T228" s="84" t="s">
        <v>393</v>
      </c>
      <c r="U228" s="84"/>
      <c r="V228" s="84" t="s">
        <v>1620</v>
      </c>
      <c r="W228" s="84" t="s">
        <v>475</v>
      </c>
      <c r="X228" s="84" t="s">
        <v>475</v>
      </c>
      <c r="Y228" s="84" t="s">
        <v>630</v>
      </c>
      <c r="Z228" s="84" t="s">
        <v>630</v>
      </c>
      <c r="AA228" s="108"/>
      <c r="AB228" s="108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22" customHeight="1">
      <c r="A229" s="66" t="s">
        <v>87</v>
      </c>
      <c r="B229" s="62" t="s">
        <v>1621</v>
      </c>
      <c r="C229" s="62" t="s">
        <v>435</v>
      </c>
      <c r="D229" s="62" t="s">
        <v>436</v>
      </c>
      <c r="E229" s="62" t="s">
        <v>437</v>
      </c>
      <c r="F229" s="62" t="s">
        <v>1622</v>
      </c>
      <c r="G229" s="62" t="s">
        <v>439</v>
      </c>
      <c r="H229" s="62" t="s">
        <v>1271</v>
      </c>
      <c r="I229" s="62">
        <v>40.008504000000002</v>
      </c>
      <c r="J229" s="62">
        <v>-75.179608999999999</v>
      </c>
      <c r="K229" s="62">
        <v>403</v>
      </c>
      <c r="L229" s="63">
        <v>0.89470000000000005</v>
      </c>
      <c r="M229" s="64">
        <v>6</v>
      </c>
      <c r="N229" s="64" t="s">
        <v>441</v>
      </c>
      <c r="O229" s="64" t="s">
        <v>442</v>
      </c>
      <c r="P229" s="64" t="s">
        <v>443</v>
      </c>
      <c r="Q229" s="64" t="s">
        <v>1623</v>
      </c>
      <c r="R229" s="65" t="s">
        <v>445</v>
      </c>
      <c r="S229" s="1"/>
      <c r="T229" s="84" t="s">
        <v>101</v>
      </c>
      <c r="U229" s="84" t="s">
        <v>1624</v>
      </c>
      <c r="V229" s="84" t="s">
        <v>1625</v>
      </c>
      <c r="W229" s="84" t="s">
        <v>475</v>
      </c>
      <c r="X229" s="84" t="s">
        <v>475</v>
      </c>
      <c r="Y229" s="84" t="s">
        <v>630</v>
      </c>
      <c r="Z229" s="84" t="s">
        <v>630</v>
      </c>
      <c r="AA229" s="108"/>
      <c r="AB229" s="108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22" customHeight="1">
      <c r="A230" s="66" t="s">
        <v>109</v>
      </c>
      <c r="B230" s="62" t="s">
        <v>1626</v>
      </c>
      <c r="C230" s="62" t="s">
        <v>435</v>
      </c>
      <c r="D230" s="62" t="s">
        <v>436</v>
      </c>
      <c r="E230" s="62" t="s">
        <v>483</v>
      </c>
      <c r="F230" s="62" t="s">
        <v>1627</v>
      </c>
      <c r="G230" s="62" t="s">
        <v>439</v>
      </c>
      <c r="H230" s="62" t="s">
        <v>832</v>
      </c>
      <c r="I230" s="62">
        <v>40.058406820000002</v>
      </c>
      <c r="J230" s="62">
        <v>-75.168334639999998</v>
      </c>
      <c r="K230" s="62">
        <v>289</v>
      </c>
      <c r="L230" s="63">
        <v>0.82499999999999996</v>
      </c>
      <c r="M230" s="64">
        <v>10</v>
      </c>
      <c r="N230" s="64" t="s">
        <v>441</v>
      </c>
      <c r="O230" s="64" t="s">
        <v>442</v>
      </c>
      <c r="P230" s="64" t="s">
        <v>443</v>
      </c>
      <c r="Q230" s="64" t="s">
        <v>1628</v>
      </c>
      <c r="R230" s="65" t="s">
        <v>445</v>
      </c>
      <c r="S230" s="1"/>
      <c r="T230" s="84" t="s">
        <v>198</v>
      </c>
      <c r="U230" s="84" t="s">
        <v>1629</v>
      </c>
      <c r="V230" s="84" t="s">
        <v>1630</v>
      </c>
      <c r="W230" s="84" t="s">
        <v>475</v>
      </c>
      <c r="X230" s="84" t="s">
        <v>475</v>
      </c>
      <c r="Y230" s="84" t="s">
        <v>630</v>
      </c>
      <c r="Z230" s="84" t="s">
        <v>630</v>
      </c>
      <c r="AA230" s="108"/>
      <c r="AB230" s="108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22" customHeight="1">
      <c r="A231" s="66" t="s">
        <v>173</v>
      </c>
      <c r="B231" s="62" t="s">
        <v>1631</v>
      </c>
      <c r="C231" s="62" t="s">
        <v>435</v>
      </c>
      <c r="D231" s="62" t="s">
        <v>436</v>
      </c>
      <c r="E231" s="62" t="s">
        <v>483</v>
      </c>
      <c r="F231" s="62" t="s">
        <v>1632</v>
      </c>
      <c r="G231" s="62" t="s">
        <v>439</v>
      </c>
      <c r="H231" s="62" t="s">
        <v>1633</v>
      </c>
      <c r="I231" s="62">
        <v>40.071725499999999</v>
      </c>
      <c r="J231" s="62">
        <v>-75.169249500000006</v>
      </c>
      <c r="K231" s="62">
        <v>376</v>
      </c>
      <c r="L231" s="63">
        <v>0.79059999999999997</v>
      </c>
      <c r="M231" s="64">
        <v>4</v>
      </c>
      <c r="N231" s="64" t="s">
        <v>441</v>
      </c>
      <c r="O231" s="64" t="s">
        <v>442</v>
      </c>
      <c r="P231" s="64" t="s">
        <v>443</v>
      </c>
      <c r="Q231" s="64" t="s">
        <v>1634</v>
      </c>
      <c r="R231" s="65" t="s">
        <v>445</v>
      </c>
      <c r="S231" s="1"/>
      <c r="T231" s="84" t="s">
        <v>347</v>
      </c>
      <c r="U231" s="84" t="s">
        <v>1635</v>
      </c>
      <c r="V231" s="84" t="s">
        <v>1636</v>
      </c>
      <c r="W231" s="84" t="s">
        <v>475</v>
      </c>
      <c r="X231" s="84" t="s">
        <v>475</v>
      </c>
      <c r="Y231" s="84" t="s">
        <v>630</v>
      </c>
      <c r="Z231" s="84" t="s">
        <v>630</v>
      </c>
      <c r="AA231" s="108"/>
      <c r="AB231" s="108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22" customHeight="1">
      <c r="A232" s="66" t="s">
        <v>150</v>
      </c>
      <c r="B232" s="62" t="s">
        <v>1637</v>
      </c>
      <c r="C232" s="62" t="s">
        <v>435</v>
      </c>
      <c r="D232" s="62" t="s">
        <v>436</v>
      </c>
      <c r="E232" s="62" t="s">
        <v>490</v>
      </c>
      <c r="F232" s="62" t="s">
        <v>1638</v>
      </c>
      <c r="G232" s="62" t="s">
        <v>439</v>
      </c>
      <c r="H232" s="62" t="s">
        <v>1639</v>
      </c>
      <c r="I232" s="62">
        <v>40.05436289</v>
      </c>
      <c r="J232" s="62">
        <v>-75.177905730000006</v>
      </c>
      <c r="K232" s="62">
        <v>261</v>
      </c>
      <c r="L232" s="63">
        <v>0.87319999999999998</v>
      </c>
      <c r="M232" s="64">
        <v>13</v>
      </c>
      <c r="N232" s="64" t="s">
        <v>441</v>
      </c>
      <c r="O232" s="64" t="s">
        <v>442</v>
      </c>
      <c r="P232" s="64" t="s">
        <v>443</v>
      </c>
      <c r="Q232" s="64" t="s">
        <v>1640</v>
      </c>
      <c r="R232" s="65" t="s">
        <v>445</v>
      </c>
      <c r="S232" s="1"/>
      <c r="T232" s="84" t="s">
        <v>314</v>
      </c>
      <c r="U232" s="84" t="s">
        <v>1641</v>
      </c>
      <c r="V232" s="84" t="s">
        <v>1642</v>
      </c>
      <c r="W232" s="84" t="s">
        <v>475</v>
      </c>
      <c r="X232" s="84" t="s">
        <v>475</v>
      </c>
      <c r="Y232" s="84" t="s">
        <v>630</v>
      </c>
      <c r="Z232" s="84" t="s">
        <v>630</v>
      </c>
      <c r="AA232" s="108"/>
      <c r="AB232" s="108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22" customHeight="1">
      <c r="A233" s="66" t="s">
        <v>165</v>
      </c>
      <c r="B233" s="62" t="s">
        <v>1643</v>
      </c>
      <c r="C233" s="62" t="s">
        <v>435</v>
      </c>
      <c r="D233" s="62" t="s">
        <v>436</v>
      </c>
      <c r="E233" s="62" t="s">
        <v>483</v>
      </c>
      <c r="F233" s="62" t="s">
        <v>1644</v>
      </c>
      <c r="G233" s="62" t="s">
        <v>439</v>
      </c>
      <c r="H233" s="62" t="s">
        <v>994</v>
      </c>
      <c r="I233" s="62">
        <v>40.02610052</v>
      </c>
      <c r="J233" s="62">
        <v>-75.166337330000005</v>
      </c>
      <c r="K233" s="62">
        <v>177</v>
      </c>
      <c r="L233" s="63">
        <v>0.84740000000000004</v>
      </c>
      <c r="M233" s="64">
        <v>14</v>
      </c>
      <c r="N233" s="64" t="s">
        <v>441</v>
      </c>
      <c r="O233" s="64" t="s">
        <v>442</v>
      </c>
      <c r="P233" s="64" t="s">
        <v>443</v>
      </c>
      <c r="Q233" s="64" t="s">
        <v>1645</v>
      </c>
      <c r="R233" s="65" t="s">
        <v>445</v>
      </c>
      <c r="S233" s="1"/>
      <c r="T233" s="84" t="s">
        <v>260</v>
      </c>
      <c r="U233" s="84" t="s">
        <v>1646</v>
      </c>
      <c r="V233" s="84" t="s">
        <v>1647</v>
      </c>
      <c r="W233" s="84" t="s">
        <v>475</v>
      </c>
      <c r="X233" s="84" t="s">
        <v>475</v>
      </c>
      <c r="Y233" s="84" t="s">
        <v>630</v>
      </c>
      <c r="Z233" s="84" t="s">
        <v>630</v>
      </c>
      <c r="AA233" s="108"/>
      <c r="AB233" s="108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22" customHeight="1">
      <c r="A234" s="66" t="s">
        <v>130</v>
      </c>
      <c r="B234" s="62" t="s">
        <v>1648</v>
      </c>
      <c r="C234" s="62" t="s">
        <v>435</v>
      </c>
      <c r="D234" s="62" t="s">
        <v>436</v>
      </c>
      <c r="E234" s="62" t="s">
        <v>483</v>
      </c>
      <c r="F234" s="62" t="s">
        <v>1649</v>
      </c>
      <c r="G234" s="62" t="s">
        <v>439</v>
      </c>
      <c r="H234" s="62" t="s">
        <v>1639</v>
      </c>
      <c r="I234" s="62">
        <v>40.046257709999999</v>
      </c>
      <c r="J234" s="62">
        <v>-75.19658776</v>
      </c>
      <c r="K234" s="62">
        <v>550</v>
      </c>
      <c r="L234" s="63">
        <v>0.41270000000000001</v>
      </c>
      <c r="M234" s="64">
        <v>3</v>
      </c>
      <c r="N234" s="64" t="s">
        <v>441</v>
      </c>
      <c r="O234" s="64" t="s">
        <v>442</v>
      </c>
      <c r="P234" s="64" t="s">
        <v>443</v>
      </c>
      <c r="Q234" s="64" t="s">
        <v>1650</v>
      </c>
      <c r="R234" s="65" t="s">
        <v>445</v>
      </c>
      <c r="S234" s="1"/>
      <c r="T234" s="84" t="s">
        <v>207</v>
      </c>
      <c r="U234" s="84" t="s">
        <v>1651</v>
      </c>
      <c r="V234" s="84" t="s">
        <v>1652</v>
      </c>
      <c r="W234" s="84" t="s">
        <v>475</v>
      </c>
      <c r="X234" s="84" t="s">
        <v>475</v>
      </c>
      <c r="Y234" s="84" t="s">
        <v>630</v>
      </c>
      <c r="Z234" s="84" t="s">
        <v>630</v>
      </c>
      <c r="AA234" s="108"/>
      <c r="AB234" s="108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22" customHeight="1">
      <c r="A235" s="66" t="s">
        <v>200</v>
      </c>
      <c r="B235" s="62" t="s">
        <v>1653</v>
      </c>
      <c r="C235" s="62" t="s">
        <v>435</v>
      </c>
      <c r="D235" s="62" t="s">
        <v>436</v>
      </c>
      <c r="E235" s="62" t="s">
        <v>483</v>
      </c>
      <c r="F235" s="62" t="s">
        <v>1654</v>
      </c>
      <c r="G235" s="62" t="s">
        <v>439</v>
      </c>
      <c r="H235" s="62" t="s">
        <v>1639</v>
      </c>
      <c r="I235" s="62">
        <v>40.059002999999997</v>
      </c>
      <c r="J235" s="62">
        <v>-75.195083999999994</v>
      </c>
      <c r="K235" s="62">
        <v>473</v>
      </c>
      <c r="L235" s="63">
        <v>0.50949999999999995</v>
      </c>
      <c r="M235" s="64">
        <v>2</v>
      </c>
      <c r="N235" s="64" t="s">
        <v>441</v>
      </c>
      <c r="O235" s="64" t="s">
        <v>442</v>
      </c>
      <c r="P235" s="64" t="s">
        <v>443</v>
      </c>
      <c r="Q235" s="64" t="s">
        <v>1655</v>
      </c>
      <c r="R235" s="65" t="s">
        <v>445</v>
      </c>
      <c r="S235" s="1"/>
      <c r="T235" s="84" t="s">
        <v>226</v>
      </c>
      <c r="U235" s="84" t="s">
        <v>1656</v>
      </c>
      <c r="V235" s="84" t="s">
        <v>1657</v>
      </c>
      <c r="W235" s="84" t="s">
        <v>475</v>
      </c>
      <c r="X235" s="84" t="s">
        <v>475</v>
      </c>
      <c r="Y235" s="84" t="s">
        <v>630</v>
      </c>
      <c r="Z235" s="84" t="s">
        <v>630</v>
      </c>
      <c r="AA235" s="108"/>
      <c r="AB235" s="108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22" customHeight="1">
      <c r="A236" s="66" t="s">
        <v>233</v>
      </c>
      <c r="B236" s="62" t="s">
        <v>1658</v>
      </c>
      <c r="C236" s="62" t="s">
        <v>435</v>
      </c>
      <c r="D236" s="62" t="s">
        <v>436</v>
      </c>
      <c r="E236" s="62" t="s">
        <v>483</v>
      </c>
      <c r="F236" s="62" t="s">
        <v>1659</v>
      </c>
      <c r="G236" s="62" t="s">
        <v>439</v>
      </c>
      <c r="H236" s="62" t="s">
        <v>1660</v>
      </c>
      <c r="I236" s="62">
        <v>40.074408869999999</v>
      </c>
      <c r="J236" s="62">
        <v>-75.203561620000002</v>
      </c>
      <c r="K236" s="62">
        <v>380</v>
      </c>
      <c r="L236" s="63">
        <v>0.60780000000000001</v>
      </c>
      <c r="M236" s="64">
        <v>0</v>
      </c>
      <c r="N236" s="64" t="s">
        <v>441</v>
      </c>
      <c r="O236" s="64" t="s">
        <v>442</v>
      </c>
      <c r="P236" s="64" t="s">
        <v>443</v>
      </c>
      <c r="Q236" s="64" t="s">
        <v>1661</v>
      </c>
      <c r="R236" s="65" t="s">
        <v>445</v>
      </c>
      <c r="S236" s="1"/>
      <c r="T236" s="84" t="s">
        <v>406</v>
      </c>
      <c r="U236" s="84" t="s">
        <v>1662</v>
      </c>
      <c r="V236" s="84" t="s">
        <v>1663</v>
      </c>
      <c r="W236" s="84" t="s">
        <v>475</v>
      </c>
      <c r="X236" s="84" t="s">
        <v>475</v>
      </c>
      <c r="Y236" s="84" t="s">
        <v>630</v>
      </c>
      <c r="Z236" s="84" t="s">
        <v>630</v>
      </c>
      <c r="AA236" s="108"/>
      <c r="AB236" s="108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 ht="22" customHeight="1">
      <c r="A237" s="66" t="s">
        <v>217</v>
      </c>
      <c r="B237" s="62" t="s">
        <v>1664</v>
      </c>
      <c r="C237" s="62" t="s">
        <v>435</v>
      </c>
      <c r="D237" s="62" t="s">
        <v>436</v>
      </c>
      <c r="E237" s="62" t="s">
        <v>490</v>
      </c>
      <c r="F237" s="62" t="s">
        <v>1665</v>
      </c>
      <c r="G237" s="62" t="s">
        <v>439</v>
      </c>
      <c r="H237" s="62" t="s">
        <v>1169</v>
      </c>
      <c r="I237" s="62">
        <v>40.030853059999998</v>
      </c>
      <c r="J237" s="62">
        <v>-75.152059949999995</v>
      </c>
      <c r="K237" s="62">
        <v>223</v>
      </c>
      <c r="L237" s="63">
        <v>0.90229999999999999</v>
      </c>
      <c r="M237" s="64">
        <v>8</v>
      </c>
      <c r="N237" s="64" t="s">
        <v>441</v>
      </c>
      <c r="O237" s="64" t="s">
        <v>442</v>
      </c>
      <c r="P237" s="64" t="s">
        <v>443</v>
      </c>
      <c r="Q237" s="64" t="s">
        <v>1666</v>
      </c>
      <c r="R237" s="65" t="s">
        <v>445</v>
      </c>
      <c r="S237" s="1"/>
      <c r="T237" s="84" t="s">
        <v>219</v>
      </c>
      <c r="U237" s="84" t="s">
        <v>1667</v>
      </c>
      <c r="V237" s="84" t="s">
        <v>1668</v>
      </c>
      <c r="W237" s="84" t="s">
        <v>475</v>
      </c>
      <c r="X237" s="84" t="s">
        <v>475</v>
      </c>
      <c r="Y237" s="84" t="s">
        <v>630</v>
      </c>
      <c r="Z237" s="84" t="s">
        <v>630</v>
      </c>
      <c r="AA237" s="108"/>
      <c r="AB237" s="108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 ht="22" customHeight="1">
      <c r="A238" s="66" t="s">
        <v>227</v>
      </c>
      <c r="B238" s="62" t="s">
        <v>1669</v>
      </c>
      <c r="C238" s="62" t="s">
        <v>435</v>
      </c>
      <c r="D238" s="62" t="s">
        <v>436</v>
      </c>
      <c r="E238" s="62" t="s">
        <v>483</v>
      </c>
      <c r="F238" s="62" t="s">
        <v>1670</v>
      </c>
      <c r="G238" s="62" t="s">
        <v>439</v>
      </c>
      <c r="H238" s="62" t="s">
        <v>1633</v>
      </c>
      <c r="I238" s="62">
        <v>40.081626679999999</v>
      </c>
      <c r="J238" s="62">
        <v>-75.175337479999996</v>
      </c>
      <c r="K238" s="62">
        <v>217</v>
      </c>
      <c r="L238" s="63">
        <v>0.75570000000000004</v>
      </c>
      <c r="M238" s="64">
        <v>0</v>
      </c>
      <c r="N238" s="64" t="s">
        <v>441</v>
      </c>
      <c r="O238" s="64" t="s">
        <v>442</v>
      </c>
      <c r="P238" s="64" t="s">
        <v>443</v>
      </c>
      <c r="Q238" s="64" t="s">
        <v>1671</v>
      </c>
      <c r="R238" s="65" t="s">
        <v>445</v>
      </c>
      <c r="S238" s="1"/>
      <c r="T238" s="84" t="s">
        <v>411</v>
      </c>
      <c r="U238" s="84" t="s">
        <v>1672</v>
      </c>
      <c r="V238" s="84" t="s">
        <v>1673</v>
      </c>
      <c r="W238" s="84" t="s">
        <v>475</v>
      </c>
      <c r="X238" s="84" t="s">
        <v>475</v>
      </c>
      <c r="Y238" s="84" t="s">
        <v>630</v>
      </c>
      <c r="Z238" s="84" t="s">
        <v>630</v>
      </c>
      <c r="AA238" s="108"/>
      <c r="AB238" s="108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ht="22" customHeight="1">
      <c r="A239" s="66" t="s">
        <v>386</v>
      </c>
      <c r="B239" s="62" t="s">
        <v>1674</v>
      </c>
      <c r="C239" s="62" t="s">
        <v>435</v>
      </c>
      <c r="D239" s="62" t="s">
        <v>436</v>
      </c>
      <c r="E239" s="62" t="s">
        <v>483</v>
      </c>
      <c r="F239" s="62" t="s">
        <v>1675</v>
      </c>
      <c r="G239" s="62" t="s">
        <v>439</v>
      </c>
      <c r="H239" s="62" t="s">
        <v>1271</v>
      </c>
      <c r="I239" s="62">
        <v>40.013570430000001</v>
      </c>
      <c r="J239" s="62">
        <v>-75.191288040000003</v>
      </c>
      <c r="K239" s="62">
        <v>396</v>
      </c>
      <c r="L239" s="63">
        <v>0.60370000000000001</v>
      </c>
      <c r="M239" s="64">
        <v>3</v>
      </c>
      <c r="N239" s="64" t="s">
        <v>441</v>
      </c>
      <c r="O239" s="64" t="s">
        <v>442</v>
      </c>
      <c r="P239" s="64" t="s">
        <v>443</v>
      </c>
      <c r="Q239" s="64" t="s">
        <v>1676</v>
      </c>
      <c r="R239" s="65" t="s">
        <v>445</v>
      </c>
      <c r="S239" s="1"/>
      <c r="T239" s="84" t="s">
        <v>232</v>
      </c>
      <c r="U239" s="84" t="s">
        <v>1677</v>
      </c>
      <c r="V239" s="84" t="s">
        <v>1678</v>
      </c>
      <c r="W239" s="84" t="s">
        <v>475</v>
      </c>
      <c r="X239" s="84" t="s">
        <v>475</v>
      </c>
      <c r="Y239" s="84" t="s">
        <v>630</v>
      </c>
      <c r="Z239" s="84" t="s">
        <v>630</v>
      </c>
      <c r="AA239" s="108"/>
      <c r="AB239" s="108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 ht="22" customHeight="1">
      <c r="A240" s="66" t="s">
        <v>237</v>
      </c>
      <c r="B240" s="62" t="s">
        <v>1679</v>
      </c>
      <c r="C240" s="62" t="s">
        <v>435</v>
      </c>
      <c r="D240" s="62" t="s">
        <v>436</v>
      </c>
      <c r="E240" s="62" t="s">
        <v>490</v>
      </c>
      <c r="F240" s="62" t="s">
        <v>1680</v>
      </c>
      <c r="G240" s="62" t="s">
        <v>439</v>
      </c>
      <c r="H240" s="62" t="s">
        <v>1169</v>
      </c>
      <c r="I240" s="62">
        <v>40.043518059999997</v>
      </c>
      <c r="J240" s="62">
        <v>-75.152086629999999</v>
      </c>
      <c r="K240" s="62">
        <v>249</v>
      </c>
      <c r="L240" s="63">
        <v>0.88439999999999996</v>
      </c>
      <c r="M240" s="64">
        <v>13</v>
      </c>
      <c r="N240" s="64" t="s">
        <v>441</v>
      </c>
      <c r="O240" s="64" t="s">
        <v>442</v>
      </c>
      <c r="P240" s="64" t="s">
        <v>443</v>
      </c>
      <c r="Q240" s="64" t="s">
        <v>1681</v>
      </c>
      <c r="R240" s="65" t="s">
        <v>445</v>
      </c>
      <c r="S240" s="1"/>
      <c r="T240" s="84" t="s">
        <v>332</v>
      </c>
      <c r="U240" s="84" t="s">
        <v>1682</v>
      </c>
      <c r="V240" s="84" t="s">
        <v>1683</v>
      </c>
      <c r="W240" s="84" t="s">
        <v>475</v>
      </c>
      <c r="X240" s="84" t="s">
        <v>475</v>
      </c>
      <c r="Y240" s="84" t="s">
        <v>630</v>
      </c>
      <c r="Z240" s="84" t="s">
        <v>630</v>
      </c>
      <c r="AA240" s="108"/>
      <c r="AB240" s="108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ht="22" customHeight="1">
      <c r="A241" s="66" t="s">
        <v>352</v>
      </c>
      <c r="B241" s="62" t="s">
        <v>1684</v>
      </c>
      <c r="C241" s="62" t="s">
        <v>435</v>
      </c>
      <c r="D241" s="62" t="s">
        <v>436</v>
      </c>
      <c r="E241" s="62" t="s">
        <v>483</v>
      </c>
      <c r="F241" s="62" t="s">
        <v>1685</v>
      </c>
      <c r="G241" s="62" t="s">
        <v>439</v>
      </c>
      <c r="H241" s="62" t="s">
        <v>832</v>
      </c>
      <c r="I241" s="62">
        <v>40.065270320000003</v>
      </c>
      <c r="J241" s="62">
        <v>-75.159794599999998</v>
      </c>
      <c r="K241" s="62">
        <v>302</v>
      </c>
      <c r="L241" s="63">
        <v>0.86929999999999996</v>
      </c>
      <c r="M241" s="64">
        <v>6</v>
      </c>
      <c r="N241" s="64" t="s">
        <v>441</v>
      </c>
      <c r="O241" s="64" t="s">
        <v>442</v>
      </c>
      <c r="P241" s="64" t="s">
        <v>443</v>
      </c>
      <c r="Q241" s="64" t="s">
        <v>1686</v>
      </c>
      <c r="R241" s="65" t="s">
        <v>445</v>
      </c>
      <c r="S241" s="1"/>
      <c r="T241" s="84" t="s">
        <v>339</v>
      </c>
      <c r="U241" s="84" t="s">
        <v>1687</v>
      </c>
      <c r="V241" s="84" t="s">
        <v>1688</v>
      </c>
      <c r="W241" s="84" t="s">
        <v>475</v>
      </c>
      <c r="X241" s="84" t="s">
        <v>475</v>
      </c>
      <c r="Y241" s="84" t="s">
        <v>630</v>
      </c>
      <c r="Z241" s="84" t="s">
        <v>630</v>
      </c>
      <c r="AA241" s="108"/>
      <c r="AB241" s="108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 ht="22" customHeight="1">
      <c r="A242" s="66" t="s">
        <v>380</v>
      </c>
      <c r="B242" s="62" t="s">
        <v>1689</v>
      </c>
      <c r="C242" s="62" t="s">
        <v>435</v>
      </c>
      <c r="D242" s="62" t="s">
        <v>436</v>
      </c>
      <c r="E242" s="62" t="s">
        <v>483</v>
      </c>
      <c r="F242" s="62" t="s">
        <v>1690</v>
      </c>
      <c r="G242" s="62" t="s">
        <v>439</v>
      </c>
      <c r="H242" s="62" t="s">
        <v>994</v>
      </c>
      <c r="I242" s="62">
        <v>40.048562619999998</v>
      </c>
      <c r="J242" s="62">
        <v>-75.175290790000005</v>
      </c>
      <c r="K242" s="62">
        <v>407</v>
      </c>
      <c r="L242" s="63">
        <v>0.91579999999999995</v>
      </c>
      <c r="M242" s="64">
        <v>18</v>
      </c>
      <c r="N242" s="64" t="s">
        <v>441</v>
      </c>
      <c r="O242" s="64" t="s">
        <v>442</v>
      </c>
      <c r="P242" s="64" t="s">
        <v>443</v>
      </c>
      <c r="Q242" s="64" t="s">
        <v>1691</v>
      </c>
      <c r="R242" s="65" t="s">
        <v>445</v>
      </c>
      <c r="S242" s="1"/>
      <c r="T242" s="84" t="s">
        <v>212</v>
      </c>
      <c r="U242" s="84" t="s">
        <v>1692</v>
      </c>
      <c r="V242" s="84" t="s">
        <v>1693</v>
      </c>
      <c r="W242" s="84" t="s">
        <v>475</v>
      </c>
      <c r="X242" s="84" t="s">
        <v>475</v>
      </c>
      <c r="Y242" s="84" t="s">
        <v>630</v>
      </c>
      <c r="Z242" s="84" t="s">
        <v>630</v>
      </c>
      <c r="AA242" s="108"/>
      <c r="AB242" s="108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 ht="22" customHeight="1">
      <c r="A243" s="66" t="s">
        <v>357</v>
      </c>
      <c r="B243" s="62" t="s">
        <v>1694</v>
      </c>
      <c r="C243" s="62" t="s">
        <v>435</v>
      </c>
      <c r="D243" s="62" t="s">
        <v>436</v>
      </c>
      <c r="E243" s="62" t="s">
        <v>483</v>
      </c>
      <c r="F243" s="62" t="s">
        <v>1695</v>
      </c>
      <c r="G243" s="62" t="s">
        <v>439</v>
      </c>
      <c r="H243" s="62" t="s">
        <v>1006</v>
      </c>
      <c r="I243" s="62">
        <v>40.051478000000003</v>
      </c>
      <c r="J243" s="62">
        <v>-75.238543000000007</v>
      </c>
      <c r="K243" s="62">
        <v>457</v>
      </c>
      <c r="L243" s="63">
        <v>0.62839999999999996</v>
      </c>
      <c r="M243" s="64">
        <v>0</v>
      </c>
      <c r="N243" s="64" t="s">
        <v>441</v>
      </c>
      <c r="O243" s="64" t="s">
        <v>442</v>
      </c>
      <c r="P243" s="64" t="s">
        <v>443</v>
      </c>
      <c r="Q243" s="64" t="s">
        <v>1696</v>
      </c>
      <c r="R243" s="65" t="s">
        <v>445</v>
      </c>
      <c r="S243" s="1"/>
      <c r="T243" s="84" t="s">
        <v>234</v>
      </c>
      <c r="U243" s="84" t="s">
        <v>1697</v>
      </c>
      <c r="V243" s="84" t="s">
        <v>1698</v>
      </c>
      <c r="W243" s="84" t="s">
        <v>475</v>
      </c>
      <c r="X243" s="84" t="s">
        <v>475</v>
      </c>
      <c r="Y243" s="84" t="s">
        <v>630</v>
      </c>
      <c r="Z243" s="84" t="s">
        <v>630</v>
      </c>
      <c r="AA243" s="108"/>
      <c r="AB243" s="108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ht="22" customHeight="1">
      <c r="A244" s="66" t="s">
        <v>146</v>
      </c>
      <c r="B244" s="62" t="s">
        <v>1699</v>
      </c>
      <c r="C244" s="62" t="s">
        <v>435</v>
      </c>
      <c r="D244" s="62" t="s">
        <v>436</v>
      </c>
      <c r="E244" s="62" t="s">
        <v>483</v>
      </c>
      <c r="F244" s="62" t="s">
        <v>1700</v>
      </c>
      <c r="G244" s="62" t="s">
        <v>439</v>
      </c>
      <c r="H244" s="62" t="s">
        <v>758</v>
      </c>
      <c r="I244" s="62">
        <v>40.018795019999999</v>
      </c>
      <c r="J244" s="62">
        <v>-75.15689064</v>
      </c>
      <c r="K244" s="62">
        <v>331</v>
      </c>
      <c r="L244" s="63">
        <v>0.90159999999999996</v>
      </c>
      <c r="M244" s="64">
        <v>7</v>
      </c>
      <c r="N244" s="64" t="s">
        <v>441</v>
      </c>
      <c r="O244" s="64" t="s">
        <v>442</v>
      </c>
      <c r="P244" s="64" t="s">
        <v>443</v>
      </c>
      <c r="Q244" s="64" t="s">
        <v>1701</v>
      </c>
      <c r="R244" s="65" t="s">
        <v>445</v>
      </c>
      <c r="S244" s="1"/>
      <c r="T244" s="84" t="s">
        <v>106</v>
      </c>
      <c r="U244" s="84" t="s">
        <v>1702</v>
      </c>
      <c r="V244" s="84" t="s">
        <v>1703</v>
      </c>
      <c r="W244" s="84" t="s">
        <v>475</v>
      </c>
      <c r="X244" s="84" t="s">
        <v>475</v>
      </c>
      <c r="Y244" s="84" t="s">
        <v>630</v>
      </c>
      <c r="Z244" s="84" t="s">
        <v>630</v>
      </c>
      <c r="AA244" s="108"/>
      <c r="AB244" s="108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 ht="22" customHeight="1">
      <c r="A245" s="66" t="s">
        <v>400</v>
      </c>
      <c r="B245" s="62" t="s">
        <v>1704</v>
      </c>
      <c r="C245" s="62" t="s">
        <v>435</v>
      </c>
      <c r="D245" s="62" t="s">
        <v>436</v>
      </c>
      <c r="E245" s="62" t="s">
        <v>793</v>
      </c>
      <c r="F245" s="62" t="s">
        <v>1705</v>
      </c>
      <c r="G245" s="62" t="s">
        <v>439</v>
      </c>
      <c r="H245" s="62" t="s">
        <v>1169</v>
      </c>
      <c r="I245" s="62">
        <v>40.036706000000002</v>
      </c>
      <c r="J245" s="62">
        <v>-75.146597999999997</v>
      </c>
      <c r="K245" s="62">
        <v>138</v>
      </c>
      <c r="L245" s="63">
        <v>0.79849999999999999</v>
      </c>
      <c r="M245" s="64">
        <v>9</v>
      </c>
      <c r="N245" s="64" t="s">
        <v>441</v>
      </c>
      <c r="O245" s="64" t="s">
        <v>442</v>
      </c>
      <c r="P245" s="64" t="s">
        <v>443</v>
      </c>
      <c r="Q245" s="64" t="s">
        <v>1706</v>
      </c>
      <c r="R245" s="65" t="s">
        <v>445</v>
      </c>
      <c r="S245" s="1"/>
      <c r="T245" s="84" t="s">
        <v>168</v>
      </c>
      <c r="U245" s="84" t="s">
        <v>1707</v>
      </c>
      <c r="V245" s="84" t="s">
        <v>1708</v>
      </c>
      <c r="W245" s="84" t="s">
        <v>475</v>
      </c>
      <c r="X245" s="84" t="s">
        <v>475</v>
      </c>
      <c r="Y245" s="84" t="s">
        <v>630</v>
      </c>
      <c r="Z245" s="84" t="s">
        <v>630</v>
      </c>
      <c r="AA245" s="108"/>
      <c r="AB245" s="108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ht="22" customHeight="1">
      <c r="A246" s="66" t="s">
        <v>135</v>
      </c>
      <c r="B246" s="62" t="s">
        <v>1709</v>
      </c>
      <c r="C246" s="62" t="s">
        <v>435</v>
      </c>
      <c r="D246" s="62" t="s">
        <v>436</v>
      </c>
      <c r="E246" s="62" t="s">
        <v>483</v>
      </c>
      <c r="F246" s="62" t="s">
        <v>1710</v>
      </c>
      <c r="G246" s="62" t="s">
        <v>439</v>
      </c>
      <c r="H246" s="62" t="s">
        <v>1006</v>
      </c>
      <c r="I246" s="62">
        <v>40.022472</v>
      </c>
      <c r="J246" s="62">
        <v>-75.206801999999996</v>
      </c>
      <c r="K246" s="62">
        <v>426</v>
      </c>
      <c r="L246" s="63">
        <v>0.47399999999999998</v>
      </c>
      <c r="M246" s="64">
        <v>1</v>
      </c>
      <c r="N246" s="64" t="s">
        <v>441</v>
      </c>
      <c r="O246" s="64" t="s">
        <v>442</v>
      </c>
      <c r="P246" s="64" t="s">
        <v>443</v>
      </c>
      <c r="Q246" s="64" t="s">
        <v>1711</v>
      </c>
      <c r="R246" s="65" t="s">
        <v>445</v>
      </c>
      <c r="S246" s="1"/>
      <c r="T246" s="84" t="s">
        <v>403</v>
      </c>
      <c r="U246" s="84" t="s">
        <v>1712</v>
      </c>
      <c r="V246" s="84" t="s">
        <v>1713</v>
      </c>
      <c r="W246" s="84" t="s">
        <v>475</v>
      </c>
      <c r="X246" s="84" t="s">
        <v>475</v>
      </c>
      <c r="Y246" s="84" t="s">
        <v>630</v>
      </c>
      <c r="Z246" s="84" t="s">
        <v>630</v>
      </c>
      <c r="AA246" s="108"/>
      <c r="AB246" s="108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ht="22" customHeight="1">
      <c r="A247" s="66" t="s">
        <v>110</v>
      </c>
      <c r="B247" s="62" t="s">
        <v>1714</v>
      </c>
      <c r="C247" s="62" t="s">
        <v>435</v>
      </c>
      <c r="D247" s="62" t="s">
        <v>436</v>
      </c>
      <c r="E247" s="62" t="s">
        <v>483</v>
      </c>
      <c r="F247" s="62" t="s">
        <v>1715</v>
      </c>
      <c r="G247" s="62" t="s">
        <v>439</v>
      </c>
      <c r="H247" s="62" t="s">
        <v>994</v>
      </c>
      <c r="I247" s="62">
        <v>40.037084129999997</v>
      </c>
      <c r="J247" s="62">
        <v>-75.189613640000005</v>
      </c>
      <c r="K247" s="62">
        <v>366</v>
      </c>
      <c r="L247" s="63">
        <v>0.63280000000000003</v>
      </c>
      <c r="M247" s="64">
        <v>12</v>
      </c>
      <c r="N247" s="64" t="s">
        <v>441</v>
      </c>
      <c r="O247" s="64" t="s">
        <v>442</v>
      </c>
      <c r="P247" s="64" t="s">
        <v>443</v>
      </c>
      <c r="Q247" s="64" t="s">
        <v>1716</v>
      </c>
      <c r="R247" s="65" t="s">
        <v>445</v>
      </c>
      <c r="S247" s="1"/>
      <c r="T247" s="84" t="s">
        <v>182</v>
      </c>
      <c r="U247" s="84" t="s">
        <v>1717</v>
      </c>
      <c r="V247" s="84" t="s">
        <v>1718</v>
      </c>
      <c r="W247" s="84" t="s">
        <v>475</v>
      </c>
      <c r="X247" s="84" t="s">
        <v>475</v>
      </c>
      <c r="Y247" s="84" t="s">
        <v>630</v>
      </c>
      <c r="Z247" s="84" t="s">
        <v>630</v>
      </c>
      <c r="AA247" s="108"/>
      <c r="AB247" s="108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 ht="22" customHeight="1">
      <c r="A248" s="66" t="s">
        <v>214</v>
      </c>
      <c r="B248" s="62" t="s">
        <v>1719</v>
      </c>
      <c r="C248" s="62" t="s">
        <v>435</v>
      </c>
      <c r="D248" s="62" t="s">
        <v>436</v>
      </c>
      <c r="E248" s="62" t="s">
        <v>483</v>
      </c>
      <c r="F248" s="62" t="s">
        <v>1720</v>
      </c>
      <c r="G248" s="62" t="s">
        <v>439</v>
      </c>
      <c r="H248" s="62" t="s">
        <v>1721</v>
      </c>
      <c r="I248" s="62">
        <v>40.031475360000002</v>
      </c>
      <c r="J248" s="62">
        <v>-75.230671630000003</v>
      </c>
      <c r="K248" s="62">
        <v>253</v>
      </c>
      <c r="L248" s="63">
        <v>0.49009999999999998</v>
      </c>
      <c r="M248" s="64">
        <v>1</v>
      </c>
      <c r="N248" s="64" t="s">
        <v>441</v>
      </c>
      <c r="O248" s="64" t="s">
        <v>442</v>
      </c>
      <c r="P248" s="64" t="s">
        <v>443</v>
      </c>
      <c r="Q248" s="64" t="s">
        <v>1722</v>
      </c>
      <c r="R248" s="65" t="s">
        <v>445</v>
      </c>
      <c r="S248" s="1"/>
      <c r="T248" s="84" t="s">
        <v>127</v>
      </c>
      <c r="U248" s="84" t="s">
        <v>1723</v>
      </c>
      <c r="V248" s="84" t="s">
        <v>1724</v>
      </c>
      <c r="W248" s="84" t="s">
        <v>475</v>
      </c>
      <c r="X248" s="84" t="s">
        <v>475</v>
      </c>
      <c r="Y248" s="84" t="s">
        <v>630</v>
      </c>
      <c r="Z248" s="84" t="s">
        <v>630</v>
      </c>
      <c r="AA248" s="108"/>
      <c r="AB248" s="108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ht="22" customHeight="1">
      <c r="A249" s="66" t="s">
        <v>204</v>
      </c>
      <c r="B249" s="62" t="s">
        <v>1725</v>
      </c>
      <c r="C249" s="62" t="s">
        <v>435</v>
      </c>
      <c r="D249" s="62" t="s">
        <v>436</v>
      </c>
      <c r="E249" s="62" t="s">
        <v>594</v>
      </c>
      <c r="F249" s="62" t="s">
        <v>1726</v>
      </c>
      <c r="G249" s="62" t="s">
        <v>439</v>
      </c>
      <c r="H249" s="62" t="s">
        <v>1633</v>
      </c>
      <c r="I249" s="62">
        <v>40.071311000000001</v>
      </c>
      <c r="J249" s="62">
        <v>-75.175303</v>
      </c>
      <c r="K249" s="62">
        <v>650</v>
      </c>
      <c r="L249" s="63">
        <v>0.67810000000000004</v>
      </c>
      <c r="M249" s="64">
        <v>3</v>
      </c>
      <c r="N249" s="64" t="s">
        <v>441</v>
      </c>
      <c r="O249" s="64" t="s">
        <v>442</v>
      </c>
      <c r="P249" s="64" t="s">
        <v>443</v>
      </c>
      <c r="Q249" s="64" t="s">
        <v>1727</v>
      </c>
      <c r="R249" s="65" t="s">
        <v>445</v>
      </c>
      <c r="S249" s="1"/>
      <c r="T249" s="84" t="s">
        <v>387</v>
      </c>
      <c r="U249" s="84" t="s">
        <v>1728</v>
      </c>
      <c r="V249" s="84" t="s">
        <v>1729</v>
      </c>
      <c r="W249" s="84" t="s">
        <v>475</v>
      </c>
      <c r="X249" s="84" t="s">
        <v>475</v>
      </c>
      <c r="Y249" s="84" t="s">
        <v>630</v>
      </c>
      <c r="Z249" s="84" t="s">
        <v>630</v>
      </c>
      <c r="AA249" s="108"/>
      <c r="AB249" s="108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ht="22" customHeight="1">
      <c r="A250" s="66" t="s">
        <v>222</v>
      </c>
      <c r="B250" s="62" t="s">
        <v>1730</v>
      </c>
      <c r="C250" s="62" t="s">
        <v>435</v>
      </c>
      <c r="D250" s="62" t="s">
        <v>436</v>
      </c>
      <c r="E250" s="62" t="s">
        <v>490</v>
      </c>
      <c r="F250" s="62" t="s">
        <v>1731</v>
      </c>
      <c r="G250" s="62" t="s">
        <v>439</v>
      </c>
      <c r="H250" s="62" t="s">
        <v>994</v>
      </c>
      <c r="I250" s="62">
        <v>40.024791430000001</v>
      </c>
      <c r="J250" s="62">
        <v>-75.171186800000001</v>
      </c>
      <c r="K250" s="62">
        <v>346</v>
      </c>
      <c r="L250" s="63">
        <v>0.86990000000000001</v>
      </c>
      <c r="M250" s="64">
        <v>11</v>
      </c>
      <c r="N250" s="64" t="s">
        <v>441</v>
      </c>
      <c r="O250" s="64" t="s">
        <v>442</v>
      </c>
      <c r="P250" s="64" t="s">
        <v>443</v>
      </c>
      <c r="Q250" s="64" t="s">
        <v>1732</v>
      </c>
      <c r="R250" s="65" t="s">
        <v>445</v>
      </c>
      <c r="S250" s="1"/>
      <c r="T250" s="84" t="s">
        <v>248</v>
      </c>
      <c r="U250" s="84" t="s">
        <v>1733</v>
      </c>
      <c r="V250" s="84" t="s">
        <v>1734</v>
      </c>
      <c r="W250" s="84" t="s">
        <v>475</v>
      </c>
      <c r="X250" s="84" t="s">
        <v>475</v>
      </c>
      <c r="Y250" s="84" t="s">
        <v>630</v>
      </c>
      <c r="Z250" s="84" t="s">
        <v>630</v>
      </c>
      <c r="AA250" s="108"/>
      <c r="AB250" s="108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ht="22" customHeight="1">
      <c r="A251" s="66" t="s">
        <v>94</v>
      </c>
      <c r="B251" s="62" t="s">
        <v>1735</v>
      </c>
      <c r="C251" s="62" t="s">
        <v>435</v>
      </c>
      <c r="D251" s="62" t="s">
        <v>436</v>
      </c>
      <c r="E251" s="62" t="s">
        <v>471</v>
      </c>
      <c r="F251" s="62" t="s">
        <v>1736</v>
      </c>
      <c r="G251" s="62" t="s">
        <v>439</v>
      </c>
      <c r="H251" s="62" t="s">
        <v>1006</v>
      </c>
      <c r="I251" s="62">
        <v>40.031545430000001</v>
      </c>
      <c r="J251" s="62">
        <v>-75.213176090000005</v>
      </c>
      <c r="K251" s="62">
        <v>136</v>
      </c>
      <c r="L251" s="63">
        <v>0.77200000000000002</v>
      </c>
      <c r="M251" s="64">
        <v>1</v>
      </c>
      <c r="N251" s="64" t="s">
        <v>441</v>
      </c>
      <c r="O251" s="64" t="s">
        <v>442</v>
      </c>
      <c r="P251" s="64" t="s">
        <v>443</v>
      </c>
      <c r="Q251" s="64" t="s">
        <v>1737</v>
      </c>
      <c r="R251" s="65" t="s">
        <v>445</v>
      </c>
      <c r="S251" s="1"/>
      <c r="T251" s="84" t="s">
        <v>191</v>
      </c>
      <c r="U251" s="84" t="s">
        <v>1738</v>
      </c>
      <c r="V251" s="84" t="s">
        <v>1739</v>
      </c>
      <c r="W251" s="84" t="s">
        <v>475</v>
      </c>
      <c r="X251" s="84" t="s">
        <v>475</v>
      </c>
      <c r="Y251" s="84" t="s">
        <v>630</v>
      </c>
      <c r="Z251" s="84" t="s">
        <v>630</v>
      </c>
      <c r="AA251" s="108"/>
      <c r="AB251" s="108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 ht="22" customHeight="1">
      <c r="A252" s="66" t="s">
        <v>256</v>
      </c>
      <c r="B252" s="62" t="s">
        <v>1740</v>
      </c>
      <c r="C252" s="62" t="s">
        <v>435</v>
      </c>
      <c r="D252" s="62" t="s">
        <v>436</v>
      </c>
      <c r="E252" s="62" t="s">
        <v>437</v>
      </c>
      <c r="F252" s="62" t="s">
        <v>1741</v>
      </c>
      <c r="G252" s="62" t="s">
        <v>439</v>
      </c>
      <c r="H252" s="62" t="s">
        <v>1006</v>
      </c>
      <c r="I252" s="62">
        <v>40.061532710000002</v>
      </c>
      <c r="J252" s="62">
        <v>-75.252955940000007</v>
      </c>
      <c r="K252" s="62">
        <v>225</v>
      </c>
      <c r="L252" s="63">
        <v>0.64</v>
      </c>
      <c r="M252" s="64">
        <v>0</v>
      </c>
      <c r="N252" s="64" t="s">
        <v>441</v>
      </c>
      <c r="O252" s="64" t="s">
        <v>442</v>
      </c>
      <c r="P252" s="64" t="s">
        <v>443</v>
      </c>
      <c r="Q252" s="64" t="s">
        <v>1742</v>
      </c>
      <c r="R252" s="65" t="s">
        <v>445</v>
      </c>
      <c r="S252" s="1"/>
      <c r="T252" s="84" t="s">
        <v>246</v>
      </c>
      <c r="U252" s="84" t="s">
        <v>1743</v>
      </c>
      <c r="V252" s="84" t="s">
        <v>1744</v>
      </c>
      <c r="W252" s="84" t="s">
        <v>475</v>
      </c>
      <c r="X252" s="84" t="s">
        <v>475</v>
      </c>
      <c r="Y252" s="84" t="s">
        <v>630</v>
      </c>
      <c r="Z252" s="84" t="s">
        <v>630</v>
      </c>
      <c r="AA252" s="108"/>
      <c r="AB252" s="108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ht="22" customHeight="1">
      <c r="A253" s="66" t="s">
        <v>171</v>
      </c>
      <c r="B253" s="62" t="s">
        <v>1745</v>
      </c>
      <c r="C253" s="62" t="s">
        <v>435</v>
      </c>
      <c r="D253" s="62" t="s">
        <v>436</v>
      </c>
      <c r="E253" s="62" t="s">
        <v>437</v>
      </c>
      <c r="F253" s="62" t="s">
        <v>1746</v>
      </c>
      <c r="G253" s="62" t="s">
        <v>439</v>
      </c>
      <c r="H253" s="62" t="s">
        <v>780</v>
      </c>
      <c r="I253" s="62">
        <v>40.021602000000001</v>
      </c>
      <c r="J253" s="62">
        <v>-75.084823</v>
      </c>
      <c r="K253" s="62">
        <v>908</v>
      </c>
      <c r="L253" s="63">
        <v>0.80400000000000005</v>
      </c>
      <c r="M253" s="64">
        <v>7</v>
      </c>
      <c r="N253" s="64" t="s">
        <v>441</v>
      </c>
      <c r="O253" s="64" t="s">
        <v>442</v>
      </c>
      <c r="P253" s="64" t="s">
        <v>443</v>
      </c>
      <c r="Q253" s="64" t="s">
        <v>296</v>
      </c>
      <c r="R253" s="65" t="s">
        <v>445</v>
      </c>
      <c r="S253" s="1"/>
      <c r="T253" s="84" t="s">
        <v>363</v>
      </c>
      <c r="U253" s="84" t="s">
        <v>1747</v>
      </c>
      <c r="V253" s="84" t="s">
        <v>1748</v>
      </c>
      <c r="W253" s="84" t="s">
        <v>475</v>
      </c>
      <c r="X253" s="84" t="s">
        <v>475</v>
      </c>
      <c r="Y253" s="84" t="s">
        <v>630</v>
      </c>
      <c r="Z253" s="84" t="s">
        <v>630</v>
      </c>
      <c r="AA253" s="108"/>
      <c r="AB253" s="108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ht="22" customHeight="1">
      <c r="A254" s="66" t="s">
        <v>300</v>
      </c>
      <c r="B254" s="62" t="s">
        <v>1749</v>
      </c>
      <c r="C254" s="62" t="s">
        <v>435</v>
      </c>
      <c r="D254" s="62" t="s">
        <v>436</v>
      </c>
      <c r="E254" s="62" t="s">
        <v>437</v>
      </c>
      <c r="F254" s="62" t="s">
        <v>1750</v>
      </c>
      <c r="G254" s="62" t="s">
        <v>439</v>
      </c>
      <c r="H254" s="62" t="s">
        <v>785</v>
      </c>
      <c r="I254" s="62">
        <v>40.028771999999996</v>
      </c>
      <c r="J254" s="62">
        <v>-75.123807999999997</v>
      </c>
      <c r="K254" s="62">
        <v>1036</v>
      </c>
      <c r="L254" s="63">
        <v>0.79879999999999995</v>
      </c>
      <c r="M254" s="64">
        <v>8</v>
      </c>
      <c r="N254" s="64" t="s">
        <v>441</v>
      </c>
      <c r="O254" s="64" t="s">
        <v>442</v>
      </c>
      <c r="P254" s="64" t="s">
        <v>443</v>
      </c>
      <c r="Q254" s="64" t="s">
        <v>1751</v>
      </c>
      <c r="R254" s="65" t="s">
        <v>445</v>
      </c>
      <c r="S254" s="1"/>
      <c r="T254" s="84" t="s">
        <v>223</v>
      </c>
      <c r="U254" s="84" t="s">
        <v>1752</v>
      </c>
      <c r="V254" s="84" t="s">
        <v>1753</v>
      </c>
      <c r="W254" s="84" t="s">
        <v>475</v>
      </c>
      <c r="X254" s="84" t="s">
        <v>475</v>
      </c>
      <c r="Y254" s="84" t="s">
        <v>630</v>
      </c>
      <c r="Z254" s="84" t="s">
        <v>630</v>
      </c>
      <c r="AA254" s="108"/>
      <c r="AB254" s="108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ht="22" customHeight="1">
      <c r="A255" s="66" t="s">
        <v>301</v>
      </c>
      <c r="B255" s="62" t="s">
        <v>1754</v>
      </c>
      <c r="C255" s="62" t="s">
        <v>623</v>
      </c>
      <c r="D255" s="62" t="s">
        <v>88</v>
      </c>
      <c r="E255" s="62" t="s">
        <v>624</v>
      </c>
      <c r="F255" s="62" t="s">
        <v>1750</v>
      </c>
      <c r="G255" s="62" t="s">
        <v>439</v>
      </c>
      <c r="H255" s="62" t="s">
        <v>785</v>
      </c>
      <c r="I255" s="62">
        <v>40.029119940000001</v>
      </c>
      <c r="J255" s="62">
        <v>-75.123751709999993</v>
      </c>
      <c r="K255" s="62">
        <v>17</v>
      </c>
      <c r="L255" s="63">
        <v>0.79879999999999995</v>
      </c>
      <c r="M255" s="64">
        <v>8</v>
      </c>
      <c r="N255" s="64" t="s">
        <v>441</v>
      </c>
      <c r="O255" s="64" t="s">
        <v>442</v>
      </c>
      <c r="P255" s="64" t="s">
        <v>443</v>
      </c>
      <c r="Q255" s="64" t="s">
        <v>1751</v>
      </c>
      <c r="R255" s="65" t="s">
        <v>445</v>
      </c>
      <c r="S255" s="1"/>
      <c r="T255" s="84" t="s">
        <v>366</v>
      </c>
      <c r="U255" s="84"/>
      <c r="V255" s="84" t="s">
        <v>1755</v>
      </c>
      <c r="W255" s="84" t="s">
        <v>475</v>
      </c>
      <c r="X255" s="84" t="s">
        <v>475</v>
      </c>
      <c r="Y255" s="84" t="s">
        <v>837</v>
      </c>
      <c r="Z255" s="84" t="s">
        <v>837</v>
      </c>
      <c r="AA255" s="108"/>
      <c r="AB255" s="108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 ht="22" customHeight="1">
      <c r="A256" s="66" t="s">
        <v>321</v>
      </c>
      <c r="B256" s="62" t="s">
        <v>1756</v>
      </c>
      <c r="C256" s="62" t="s">
        <v>623</v>
      </c>
      <c r="D256" s="62" t="s">
        <v>88</v>
      </c>
      <c r="E256" s="62" t="s">
        <v>624</v>
      </c>
      <c r="F256" s="62" t="s">
        <v>1757</v>
      </c>
      <c r="G256" s="62" t="s">
        <v>439</v>
      </c>
      <c r="H256" s="62" t="s">
        <v>785</v>
      </c>
      <c r="I256" s="62">
        <v>40.028771999999996</v>
      </c>
      <c r="J256" s="62">
        <v>-75.123807999999997</v>
      </c>
      <c r="K256" s="62">
        <v>46</v>
      </c>
      <c r="L256" s="63"/>
      <c r="M256" s="64">
        <v>8</v>
      </c>
      <c r="N256" s="64" t="s">
        <v>441</v>
      </c>
      <c r="O256" s="64" t="s">
        <v>442</v>
      </c>
      <c r="P256" s="64" t="s">
        <v>443</v>
      </c>
      <c r="Q256" s="64" t="s">
        <v>767</v>
      </c>
      <c r="R256" s="65" t="s">
        <v>445</v>
      </c>
      <c r="S256" s="1"/>
      <c r="T256" s="84" t="s">
        <v>229</v>
      </c>
      <c r="U256" s="84" t="s">
        <v>1758</v>
      </c>
      <c r="V256" s="84" t="s">
        <v>1759</v>
      </c>
      <c r="W256" s="84" t="s">
        <v>475</v>
      </c>
      <c r="X256" s="84" t="s">
        <v>475</v>
      </c>
      <c r="Y256" s="84" t="s">
        <v>630</v>
      </c>
      <c r="Z256" s="84" t="s">
        <v>630</v>
      </c>
      <c r="AA256" s="108"/>
      <c r="AB256" s="108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 ht="22" customHeight="1">
      <c r="A257" s="66" t="s">
        <v>221</v>
      </c>
      <c r="B257" s="62" t="s">
        <v>1760</v>
      </c>
      <c r="C257" s="62" t="s">
        <v>435</v>
      </c>
      <c r="D257" s="62" t="s">
        <v>436</v>
      </c>
      <c r="E257" s="62" t="s">
        <v>483</v>
      </c>
      <c r="F257" s="62" t="s">
        <v>1761</v>
      </c>
      <c r="G257" s="62" t="s">
        <v>439</v>
      </c>
      <c r="H257" s="62" t="s">
        <v>1169</v>
      </c>
      <c r="I257" s="62">
        <v>40.025525999999999</v>
      </c>
      <c r="J257" s="62">
        <v>-75.146073999999999</v>
      </c>
      <c r="K257" s="62">
        <v>386</v>
      </c>
      <c r="L257" s="63">
        <v>0.88600000000000001</v>
      </c>
      <c r="M257" s="64">
        <v>10</v>
      </c>
      <c r="N257" s="64" t="s">
        <v>441</v>
      </c>
      <c r="O257" s="64" t="s">
        <v>442</v>
      </c>
      <c r="P257" s="64" t="s">
        <v>443</v>
      </c>
      <c r="Q257" s="64" t="s">
        <v>1762</v>
      </c>
      <c r="R257" s="65" t="s">
        <v>445</v>
      </c>
      <c r="S257" s="1"/>
      <c r="T257" s="84" t="s">
        <v>124</v>
      </c>
      <c r="U257" s="84" t="s">
        <v>1763</v>
      </c>
      <c r="V257" s="84" t="s">
        <v>1764</v>
      </c>
      <c r="W257" s="84" t="s">
        <v>475</v>
      </c>
      <c r="X257" s="84" t="s">
        <v>475</v>
      </c>
      <c r="Y257" s="84" t="s">
        <v>630</v>
      </c>
      <c r="Z257" s="84" t="s">
        <v>630</v>
      </c>
      <c r="AA257" s="108"/>
      <c r="AB257" s="108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ht="22" customHeight="1">
      <c r="A258" s="66" t="s">
        <v>395</v>
      </c>
      <c r="B258" s="62" t="s">
        <v>1765</v>
      </c>
      <c r="C258" s="62" t="s">
        <v>435</v>
      </c>
      <c r="D258" s="62" t="s">
        <v>436</v>
      </c>
      <c r="E258" s="62" t="s">
        <v>471</v>
      </c>
      <c r="F258" s="62" t="s">
        <v>1766</v>
      </c>
      <c r="G258" s="62" t="s">
        <v>439</v>
      </c>
      <c r="H258" s="62" t="s">
        <v>780</v>
      </c>
      <c r="I258" s="62">
        <v>40.012916939999997</v>
      </c>
      <c r="J258" s="62">
        <v>-75.074560809999994</v>
      </c>
      <c r="K258" s="62">
        <v>522</v>
      </c>
      <c r="L258" s="63">
        <v>0.87709999999999999</v>
      </c>
      <c r="M258" s="64">
        <v>9</v>
      </c>
      <c r="N258" s="64" t="s">
        <v>441</v>
      </c>
      <c r="O258" s="64" t="s">
        <v>442</v>
      </c>
      <c r="P258" s="64" t="s">
        <v>443</v>
      </c>
      <c r="Q258" s="64" t="s">
        <v>1767</v>
      </c>
      <c r="R258" s="65" t="s">
        <v>445</v>
      </c>
      <c r="S258" s="1"/>
      <c r="T258" s="84" t="s">
        <v>378</v>
      </c>
      <c r="U258" s="84" t="s">
        <v>1768</v>
      </c>
      <c r="V258" s="84" t="s">
        <v>1769</v>
      </c>
      <c r="W258" s="84" t="s">
        <v>475</v>
      </c>
      <c r="X258" s="84" t="s">
        <v>475</v>
      </c>
      <c r="Y258" s="84" t="s">
        <v>630</v>
      </c>
      <c r="Z258" s="84" t="s">
        <v>630</v>
      </c>
      <c r="AA258" s="108"/>
      <c r="AB258" s="108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 ht="22" customHeight="1">
      <c r="A259" s="66" t="s">
        <v>350</v>
      </c>
      <c r="B259" s="62" t="s">
        <v>1770</v>
      </c>
      <c r="C259" s="62" t="s">
        <v>435</v>
      </c>
      <c r="D259" s="62" t="s">
        <v>436</v>
      </c>
      <c r="E259" s="62" t="s">
        <v>437</v>
      </c>
      <c r="F259" s="62" t="s">
        <v>1771</v>
      </c>
      <c r="G259" s="62" t="s">
        <v>439</v>
      </c>
      <c r="H259" s="62" t="s">
        <v>780</v>
      </c>
      <c r="I259" s="62">
        <v>40.035646460000002</v>
      </c>
      <c r="J259" s="62">
        <v>-75.091094040000002</v>
      </c>
      <c r="K259" s="62">
        <v>1228</v>
      </c>
      <c r="L259" s="63">
        <v>0.77959999999999996</v>
      </c>
      <c r="M259" s="64">
        <v>6</v>
      </c>
      <c r="N259" s="64" t="s">
        <v>441</v>
      </c>
      <c r="O259" s="64" t="s">
        <v>442</v>
      </c>
      <c r="P259" s="64" t="s">
        <v>443</v>
      </c>
      <c r="Q259" s="64" t="s">
        <v>1772</v>
      </c>
      <c r="R259" s="65" t="s">
        <v>445</v>
      </c>
      <c r="S259" s="1"/>
      <c r="T259" s="84" t="s">
        <v>375</v>
      </c>
      <c r="U259" s="84" t="s">
        <v>1773</v>
      </c>
      <c r="V259" s="84" t="s">
        <v>1774</v>
      </c>
      <c r="W259" s="84" t="s">
        <v>475</v>
      </c>
      <c r="X259" s="84" t="s">
        <v>475</v>
      </c>
      <c r="Y259" s="84" t="s">
        <v>630</v>
      </c>
      <c r="Z259" s="84" t="s">
        <v>630</v>
      </c>
      <c r="AA259" s="108"/>
      <c r="AB259" s="108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ht="22" customHeight="1">
      <c r="A260" s="66" t="s">
        <v>181</v>
      </c>
      <c r="B260" s="62" t="s">
        <v>1775</v>
      </c>
      <c r="C260" s="62" t="s">
        <v>435</v>
      </c>
      <c r="D260" s="62" t="s">
        <v>436</v>
      </c>
      <c r="E260" s="62" t="s">
        <v>471</v>
      </c>
      <c r="F260" s="62" t="s">
        <v>1776</v>
      </c>
      <c r="G260" s="62" t="s">
        <v>439</v>
      </c>
      <c r="H260" s="62" t="s">
        <v>1777</v>
      </c>
      <c r="I260" s="62">
        <v>40.051747480000003</v>
      </c>
      <c r="J260" s="62">
        <v>-75.147679620000005</v>
      </c>
      <c r="K260" s="62">
        <v>294</v>
      </c>
      <c r="L260" s="63">
        <v>0.87029999999999996</v>
      </c>
      <c r="M260" s="64">
        <v>11</v>
      </c>
      <c r="N260" s="64" t="s">
        <v>441</v>
      </c>
      <c r="O260" s="64" t="s">
        <v>442</v>
      </c>
      <c r="P260" s="64" t="s">
        <v>443</v>
      </c>
      <c r="Q260" s="64" t="s">
        <v>1778</v>
      </c>
      <c r="R260" s="65" t="s">
        <v>445</v>
      </c>
      <c r="S260" s="1"/>
      <c r="T260" s="84" t="s">
        <v>205</v>
      </c>
      <c r="U260" s="84" t="s">
        <v>1779</v>
      </c>
      <c r="V260" s="84" t="s">
        <v>1780</v>
      </c>
      <c r="W260" s="84" t="s">
        <v>475</v>
      </c>
      <c r="X260" s="84" t="s">
        <v>475</v>
      </c>
      <c r="Y260" s="84" t="s">
        <v>630</v>
      </c>
      <c r="Z260" s="84" t="s">
        <v>630</v>
      </c>
      <c r="AA260" s="108"/>
      <c r="AB260" s="108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ht="22" customHeight="1">
      <c r="A261" s="66" t="s">
        <v>243</v>
      </c>
      <c r="B261" s="62" t="s">
        <v>1781</v>
      </c>
      <c r="C261" s="62" t="s">
        <v>435</v>
      </c>
      <c r="D261" s="62" t="s">
        <v>436</v>
      </c>
      <c r="E261" s="62" t="s">
        <v>483</v>
      </c>
      <c r="F261" s="62" t="s">
        <v>1782</v>
      </c>
      <c r="G261" s="62" t="s">
        <v>439</v>
      </c>
      <c r="H261" s="62" t="s">
        <v>780</v>
      </c>
      <c r="I261" s="62">
        <v>40.012841219999999</v>
      </c>
      <c r="J261" s="62">
        <v>-75.111029209999998</v>
      </c>
      <c r="K261" s="62">
        <v>784</v>
      </c>
      <c r="L261" s="63">
        <v>0.87990000000000002</v>
      </c>
      <c r="M261" s="64">
        <v>3</v>
      </c>
      <c r="N261" s="64" t="s">
        <v>441</v>
      </c>
      <c r="O261" s="64" t="s">
        <v>442</v>
      </c>
      <c r="P261" s="64" t="s">
        <v>443</v>
      </c>
      <c r="Q261" s="64" t="s">
        <v>1783</v>
      </c>
      <c r="R261" s="65" t="s">
        <v>445</v>
      </c>
      <c r="S261" s="1"/>
      <c r="T261" s="84" t="s">
        <v>247</v>
      </c>
      <c r="U261" s="84" t="s">
        <v>1784</v>
      </c>
      <c r="V261" s="84" t="s">
        <v>1785</v>
      </c>
      <c r="W261" s="84" t="s">
        <v>475</v>
      </c>
      <c r="X261" s="84" t="s">
        <v>475</v>
      </c>
      <c r="Y261" s="84" t="s">
        <v>630</v>
      </c>
      <c r="Z261" s="84" t="s">
        <v>630</v>
      </c>
      <c r="AA261" s="108"/>
      <c r="AB261" s="108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ht="22" customHeight="1">
      <c r="A262" s="66" t="s">
        <v>132</v>
      </c>
      <c r="B262" s="62" t="s">
        <v>1786</v>
      </c>
      <c r="C262" s="62" t="s">
        <v>435</v>
      </c>
      <c r="D262" s="62" t="s">
        <v>436</v>
      </c>
      <c r="E262" s="62" t="s">
        <v>490</v>
      </c>
      <c r="F262" s="62" t="s">
        <v>1787</v>
      </c>
      <c r="G262" s="62" t="s">
        <v>439</v>
      </c>
      <c r="H262" s="62" t="s">
        <v>785</v>
      </c>
      <c r="I262" s="62">
        <v>40.019340100000001</v>
      </c>
      <c r="J262" s="62">
        <v>-75.119501880000001</v>
      </c>
      <c r="K262" s="62">
        <v>423</v>
      </c>
      <c r="L262" s="63">
        <v>0.82969999999999999</v>
      </c>
      <c r="M262" s="64">
        <v>7</v>
      </c>
      <c r="N262" s="64" t="s">
        <v>441</v>
      </c>
      <c r="O262" s="64" t="s">
        <v>442</v>
      </c>
      <c r="P262" s="64" t="s">
        <v>443</v>
      </c>
      <c r="Q262" s="64" t="s">
        <v>1788</v>
      </c>
      <c r="R262" s="65" t="s">
        <v>445</v>
      </c>
      <c r="S262" s="1"/>
      <c r="T262" s="84" t="s">
        <v>287</v>
      </c>
      <c r="U262" s="84" t="s">
        <v>1789</v>
      </c>
      <c r="V262" s="84" t="s">
        <v>1790</v>
      </c>
      <c r="W262" s="84" t="s">
        <v>475</v>
      </c>
      <c r="X262" s="84" t="s">
        <v>475</v>
      </c>
      <c r="Y262" s="84" t="s">
        <v>837</v>
      </c>
      <c r="Z262" s="84" t="s">
        <v>837</v>
      </c>
      <c r="AA262" s="108"/>
      <c r="AB262" s="108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ht="22" customHeight="1">
      <c r="A263" s="66" t="s">
        <v>257</v>
      </c>
      <c r="B263" s="62" t="s">
        <v>1791</v>
      </c>
      <c r="C263" s="62" t="s">
        <v>435</v>
      </c>
      <c r="D263" s="62" t="s">
        <v>436</v>
      </c>
      <c r="E263" s="62" t="s">
        <v>490</v>
      </c>
      <c r="F263" s="62" t="s">
        <v>1792</v>
      </c>
      <c r="G263" s="62" t="s">
        <v>439</v>
      </c>
      <c r="H263" s="62" t="s">
        <v>1120</v>
      </c>
      <c r="I263" s="62">
        <v>40.038957000000003</v>
      </c>
      <c r="J263" s="62">
        <v>-75.084142</v>
      </c>
      <c r="K263" s="62">
        <v>652</v>
      </c>
      <c r="L263" s="63">
        <v>0.76359999999999995</v>
      </c>
      <c r="M263" s="64">
        <v>4</v>
      </c>
      <c r="N263" s="64" t="s">
        <v>441</v>
      </c>
      <c r="O263" s="64" t="s">
        <v>442</v>
      </c>
      <c r="P263" s="64" t="s">
        <v>443</v>
      </c>
      <c r="Q263" s="64" t="s">
        <v>1793</v>
      </c>
      <c r="R263" s="65" t="s">
        <v>445</v>
      </c>
      <c r="S263" s="1"/>
      <c r="T263" s="84" t="s">
        <v>128</v>
      </c>
      <c r="U263" s="84" t="s">
        <v>1794</v>
      </c>
      <c r="V263" s="84" t="s">
        <v>1795</v>
      </c>
      <c r="W263" s="84" t="s">
        <v>475</v>
      </c>
      <c r="X263" s="84" t="s">
        <v>475</v>
      </c>
      <c r="Y263" s="84" t="s">
        <v>630</v>
      </c>
      <c r="Z263" s="84" t="s">
        <v>630</v>
      </c>
      <c r="AA263" s="108"/>
      <c r="AB263" s="108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ht="22" customHeight="1">
      <c r="A264" s="66" t="s">
        <v>152</v>
      </c>
      <c r="B264" s="62" t="s">
        <v>1796</v>
      </c>
      <c r="C264" s="62" t="s">
        <v>435</v>
      </c>
      <c r="D264" s="62" t="s">
        <v>436</v>
      </c>
      <c r="E264" s="62" t="s">
        <v>490</v>
      </c>
      <c r="F264" s="62" t="s">
        <v>1797</v>
      </c>
      <c r="G264" s="62" t="s">
        <v>439</v>
      </c>
      <c r="H264" s="62" t="s">
        <v>1777</v>
      </c>
      <c r="I264" s="62">
        <v>40.054726090000003</v>
      </c>
      <c r="J264" s="62">
        <v>-75.138941070000001</v>
      </c>
      <c r="K264" s="62">
        <v>252</v>
      </c>
      <c r="L264" s="63">
        <v>0.80069999999999997</v>
      </c>
      <c r="M264" s="64">
        <v>7</v>
      </c>
      <c r="N264" s="64" t="s">
        <v>441</v>
      </c>
      <c r="O264" s="64" t="s">
        <v>442</v>
      </c>
      <c r="P264" s="64" t="s">
        <v>443</v>
      </c>
      <c r="Q264" s="64" t="s">
        <v>1798</v>
      </c>
      <c r="R264" s="65" t="s">
        <v>445</v>
      </c>
      <c r="S264" s="1"/>
      <c r="T264" s="84" t="s">
        <v>344</v>
      </c>
      <c r="U264" s="84" t="s">
        <v>1799</v>
      </c>
      <c r="V264" s="84" t="s">
        <v>1800</v>
      </c>
      <c r="W264" s="84" t="s">
        <v>475</v>
      </c>
      <c r="X264" s="84" t="s">
        <v>475</v>
      </c>
      <c r="Y264" s="84" t="s">
        <v>630</v>
      </c>
      <c r="Z264" s="84" t="s">
        <v>630</v>
      </c>
      <c r="AA264" s="108"/>
      <c r="AB264" s="108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ht="22" customHeight="1">
      <c r="A265" s="66" t="s">
        <v>384</v>
      </c>
      <c r="B265" s="62" t="s">
        <v>1801</v>
      </c>
      <c r="C265" s="62" t="s">
        <v>435</v>
      </c>
      <c r="D265" s="62" t="s">
        <v>436</v>
      </c>
      <c r="E265" s="62" t="s">
        <v>483</v>
      </c>
      <c r="F265" s="62" t="s">
        <v>1802</v>
      </c>
      <c r="G265" s="62" t="s">
        <v>439</v>
      </c>
      <c r="H265" s="62" t="s">
        <v>785</v>
      </c>
      <c r="I265" s="62">
        <v>40.043607999999999</v>
      </c>
      <c r="J265" s="62">
        <v>-75.119175999999996</v>
      </c>
      <c r="K265" s="62">
        <v>577</v>
      </c>
      <c r="L265" s="63">
        <v>0.82809999999999995</v>
      </c>
      <c r="M265" s="64">
        <v>5</v>
      </c>
      <c r="N265" s="64" t="s">
        <v>441</v>
      </c>
      <c r="O265" s="64" t="s">
        <v>442</v>
      </c>
      <c r="P265" s="64" t="s">
        <v>443</v>
      </c>
      <c r="Q265" s="64" t="s">
        <v>1803</v>
      </c>
      <c r="R265" s="65" t="s">
        <v>445</v>
      </c>
      <c r="S265" s="1"/>
      <c r="T265" s="84" t="s">
        <v>394</v>
      </c>
      <c r="U265" s="84" t="s">
        <v>1804</v>
      </c>
      <c r="V265" s="84" t="s">
        <v>1805</v>
      </c>
      <c r="W265" s="84" t="s">
        <v>475</v>
      </c>
      <c r="X265" s="84" t="s">
        <v>475</v>
      </c>
      <c r="Y265" s="84" t="s">
        <v>630</v>
      </c>
      <c r="Z265" s="84" t="s">
        <v>630</v>
      </c>
      <c r="AA265" s="108"/>
      <c r="AB265" s="108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ht="22" customHeight="1">
      <c r="A266" s="66" t="s">
        <v>120</v>
      </c>
      <c r="B266" s="62" t="s">
        <v>1806</v>
      </c>
      <c r="C266" s="62" t="s">
        <v>435</v>
      </c>
      <c r="D266" s="62" t="s">
        <v>436</v>
      </c>
      <c r="E266" s="62" t="s">
        <v>483</v>
      </c>
      <c r="F266" s="62" t="s">
        <v>1807</v>
      </c>
      <c r="G266" s="62" t="s">
        <v>439</v>
      </c>
      <c r="H266" s="62" t="s">
        <v>785</v>
      </c>
      <c r="I266" s="62">
        <v>40.042152129999998</v>
      </c>
      <c r="J266" s="62">
        <v>-75.104988590000005</v>
      </c>
      <c r="K266" s="62">
        <v>567</v>
      </c>
      <c r="L266" s="63">
        <v>0.83889999999999998</v>
      </c>
      <c r="M266" s="64">
        <v>5</v>
      </c>
      <c r="N266" s="64" t="s">
        <v>441</v>
      </c>
      <c r="O266" s="64" t="s">
        <v>442</v>
      </c>
      <c r="P266" s="64" t="s">
        <v>443</v>
      </c>
      <c r="Q266" s="64" t="s">
        <v>1808</v>
      </c>
      <c r="R266" s="65" t="s">
        <v>445</v>
      </c>
      <c r="S266" s="1"/>
      <c r="T266" s="84" t="s">
        <v>324</v>
      </c>
      <c r="U266" s="84" t="s">
        <v>1809</v>
      </c>
      <c r="V266" s="84" t="s">
        <v>1810</v>
      </c>
      <c r="W266" s="84" t="s">
        <v>475</v>
      </c>
      <c r="X266" s="84" t="s">
        <v>475</v>
      </c>
      <c r="Y266" s="84" t="s">
        <v>630</v>
      </c>
      <c r="Z266" s="84" t="s">
        <v>630</v>
      </c>
      <c r="AA266" s="108"/>
      <c r="AB266" s="108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ht="22" customHeight="1">
      <c r="A267" s="66" t="s">
        <v>103</v>
      </c>
      <c r="B267" s="62" t="s">
        <v>1811</v>
      </c>
      <c r="C267" s="62" t="s">
        <v>435</v>
      </c>
      <c r="D267" s="62" t="s">
        <v>436</v>
      </c>
      <c r="E267" s="62" t="s">
        <v>483</v>
      </c>
      <c r="F267" s="62" t="s">
        <v>1812</v>
      </c>
      <c r="G267" s="62" t="s">
        <v>439</v>
      </c>
      <c r="H267" s="62" t="s">
        <v>780</v>
      </c>
      <c r="I267" s="62">
        <v>40.011752000000001</v>
      </c>
      <c r="J267" s="62">
        <v>-75.085111999999995</v>
      </c>
      <c r="K267" s="62">
        <v>370</v>
      </c>
      <c r="L267" s="63">
        <v>0.86639999999999995</v>
      </c>
      <c r="M267" s="64">
        <v>7</v>
      </c>
      <c r="N267" s="64" t="s">
        <v>441</v>
      </c>
      <c r="O267" s="64" t="s">
        <v>442</v>
      </c>
      <c r="P267" s="64" t="s">
        <v>443</v>
      </c>
      <c r="Q267" s="64" t="s">
        <v>1813</v>
      </c>
      <c r="R267" s="65" t="s">
        <v>445</v>
      </c>
      <c r="S267" s="1"/>
      <c r="T267" s="84" t="s">
        <v>266</v>
      </c>
      <c r="U267" s="84" t="s">
        <v>1814</v>
      </c>
      <c r="V267" s="84" t="s">
        <v>1815</v>
      </c>
      <c r="W267" s="84" t="s">
        <v>475</v>
      </c>
      <c r="X267" s="84" t="s">
        <v>475</v>
      </c>
      <c r="Y267" s="84" t="s">
        <v>630</v>
      </c>
      <c r="Z267" s="84" t="s">
        <v>630</v>
      </c>
      <c r="AA267" s="108"/>
      <c r="AB267" s="108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 ht="22" customHeight="1">
      <c r="A268" s="66" t="s">
        <v>169</v>
      </c>
      <c r="B268" s="62" t="s">
        <v>1816</v>
      </c>
      <c r="C268" s="62" t="s">
        <v>435</v>
      </c>
      <c r="D268" s="62" t="s">
        <v>436</v>
      </c>
      <c r="E268" s="62" t="s">
        <v>483</v>
      </c>
      <c r="F268" s="62" t="s">
        <v>1817</v>
      </c>
      <c r="G268" s="62" t="s">
        <v>439</v>
      </c>
      <c r="H268" s="62" t="s">
        <v>780</v>
      </c>
      <c r="I268" s="62">
        <v>40.007710590000002</v>
      </c>
      <c r="J268" s="62">
        <v>-75.102745110000001</v>
      </c>
      <c r="K268" s="62">
        <v>547</v>
      </c>
      <c r="L268" s="63">
        <v>0.86580000000000001</v>
      </c>
      <c r="M268" s="64">
        <v>8</v>
      </c>
      <c r="N268" s="64" t="s">
        <v>441</v>
      </c>
      <c r="O268" s="64" t="s">
        <v>442</v>
      </c>
      <c r="P268" s="64" t="s">
        <v>443</v>
      </c>
      <c r="Q268" s="64" t="s">
        <v>1818</v>
      </c>
      <c r="R268" s="65" t="s">
        <v>445</v>
      </c>
      <c r="S268" s="1"/>
      <c r="T268" s="84" t="s">
        <v>87</v>
      </c>
      <c r="U268" s="84" t="s">
        <v>1819</v>
      </c>
      <c r="V268" s="84" t="s">
        <v>1820</v>
      </c>
      <c r="W268" s="84" t="s">
        <v>475</v>
      </c>
      <c r="X268" s="84" t="s">
        <v>475</v>
      </c>
      <c r="Y268" s="84" t="s">
        <v>630</v>
      </c>
      <c r="Z268" s="84" t="s">
        <v>630</v>
      </c>
      <c r="AA268" s="108"/>
      <c r="AB268" s="108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 ht="22" customHeight="1">
      <c r="A269" s="66" t="s">
        <v>162</v>
      </c>
      <c r="B269" s="62" t="s">
        <v>1821</v>
      </c>
      <c r="C269" s="62" t="s">
        <v>435</v>
      </c>
      <c r="D269" s="62" t="s">
        <v>436</v>
      </c>
      <c r="E269" s="62" t="s">
        <v>490</v>
      </c>
      <c r="F269" s="62" t="s">
        <v>1822</v>
      </c>
      <c r="G269" s="62" t="s">
        <v>439</v>
      </c>
      <c r="H269" s="62" t="s">
        <v>785</v>
      </c>
      <c r="I269" s="62">
        <v>40.020340019999999</v>
      </c>
      <c r="J269" s="62">
        <v>-75.121025639999999</v>
      </c>
      <c r="K269" s="62">
        <v>483</v>
      </c>
      <c r="L269" s="63">
        <v>0.85</v>
      </c>
      <c r="M269" s="64">
        <v>7</v>
      </c>
      <c r="N269" s="64" t="s">
        <v>441</v>
      </c>
      <c r="O269" s="64" t="s">
        <v>442</v>
      </c>
      <c r="P269" s="64" t="s">
        <v>443</v>
      </c>
      <c r="Q269" s="64" t="s">
        <v>1823</v>
      </c>
      <c r="R269" s="65" t="s">
        <v>445</v>
      </c>
      <c r="S269" s="1"/>
      <c r="T269" s="84" t="s">
        <v>109</v>
      </c>
      <c r="U269" s="84" t="s">
        <v>1824</v>
      </c>
      <c r="V269" s="84" t="s">
        <v>1825</v>
      </c>
      <c r="W269" s="84" t="s">
        <v>475</v>
      </c>
      <c r="X269" s="84" t="s">
        <v>475</v>
      </c>
      <c r="Y269" s="84" t="s">
        <v>630</v>
      </c>
      <c r="Z269" s="84" t="s">
        <v>630</v>
      </c>
      <c r="AA269" s="108"/>
      <c r="AB269" s="108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 ht="22" customHeight="1">
      <c r="A270" s="66" t="s">
        <v>242</v>
      </c>
      <c r="B270" s="62" t="s">
        <v>1826</v>
      </c>
      <c r="C270" s="62" t="s">
        <v>435</v>
      </c>
      <c r="D270" s="62" t="s">
        <v>436</v>
      </c>
      <c r="E270" s="62" t="s">
        <v>490</v>
      </c>
      <c r="F270" s="62" t="s">
        <v>1827</v>
      </c>
      <c r="G270" s="62" t="s">
        <v>439</v>
      </c>
      <c r="H270" s="62" t="s">
        <v>1169</v>
      </c>
      <c r="I270" s="62">
        <v>40.041131870000001</v>
      </c>
      <c r="J270" s="62">
        <v>-75.142111310000004</v>
      </c>
      <c r="K270" s="62">
        <v>225</v>
      </c>
      <c r="L270" s="63">
        <v>0.81979999999999997</v>
      </c>
      <c r="M270" s="64">
        <v>8</v>
      </c>
      <c r="N270" s="64" t="s">
        <v>441</v>
      </c>
      <c r="O270" s="64" t="s">
        <v>442</v>
      </c>
      <c r="P270" s="64" t="s">
        <v>443</v>
      </c>
      <c r="Q270" s="64" t="s">
        <v>1828</v>
      </c>
      <c r="R270" s="65" t="s">
        <v>445</v>
      </c>
      <c r="S270" s="1"/>
      <c r="T270" s="84" t="s">
        <v>173</v>
      </c>
      <c r="U270" s="84" t="s">
        <v>1829</v>
      </c>
      <c r="V270" s="84" t="s">
        <v>1830</v>
      </c>
      <c r="W270" s="84" t="s">
        <v>475</v>
      </c>
      <c r="X270" s="84" t="s">
        <v>475</v>
      </c>
      <c r="Y270" s="84" t="s">
        <v>630</v>
      </c>
      <c r="Z270" s="84" t="s">
        <v>630</v>
      </c>
      <c r="AA270" s="108"/>
      <c r="AB270" s="108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ht="22" customHeight="1">
      <c r="A271" s="66" t="s">
        <v>201</v>
      </c>
      <c r="B271" s="62" t="s">
        <v>1831</v>
      </c>
      <c r="C271" s="62" t="s">
        <v>435</v>
      </c>
      <c r="D271" s="62" t="s">
        <v>436</v>
      </c>
      <c r="E271" s="62" t="s">
        <v>490</v>
      </c>
      <c r="F271" s="62" t="s">
        <v>1832</v>
      </c>
      <c r="G271" s="62" t="s">
        <v>439</v>
      </c>
      <c r="H271" s="62" t="s">
        <v>1077</v>
      </c>
      <c r="I271" s="62">
        <v>40.020648000000001</v>
      </c>
      <c r="J271" s="62">
        <v>-75.058976000000001</v>
      </c>
      <c r="K271" s="62">
        <v>513</v>
      </c>
      <c r="L271" s="63">
        <v>0.82750000000000001</v>
      </c>
      <c r="M271" s="64">
        <v>3</v>
      </c>
      <c r="N271" s="64" t="s">
        <v>441</v>
      </c>
      <c r="O271" s="64" t="s">
        <v>442</v>
      </c>
      <c r="P271" s="64" t="s">
        <v>443</v>
      </c>
      <c r="Q271" s="64" t="s">
        <v>1833</v>
      </c>
      <c r="R271" s="65" t="s">
        <v>445</v>
      </c>
      <c r="S271" s="1"/>
      <c r="T271" s="84" t="s">
        <v>150</v>
      </c>
      <c r="U271" s="84" t="s">
        <v>1834</v>
      </c>
      <c r="V271" s="84" t="s">
        <v>1835</v>
      </c>
      <c r="W271" s="84" t="s">
        <v>475</v>
      </c>
      <c r="X271" s="84" t="s">
        <v>475</v>
      </c>
      <c r="Y271" s="84" t="s">
        <v>630</v>
      </c>
      <c r="Z271" s="84" t="s">
        <v>630</v>
      </c>
      <c r="AA271" s="108"/>
      <c r="AB271" s="108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ht="22" customHeight="1">
      <c r="A272" s="66" t="s">
        <v>218</v>
      </c>
      <c r="B272" s="62" t="s">
        <v>1836</v>
      </c>
      <c r="C272" s="62" t="s">
        <v>435</v>
      </c>
      <c r="D272" s="62" t="s">
        <v>436</v>
      </c>
      <c r="E272" s="62" t="s">
        <v>490</v>
      </c>
      <c r="F272" s="62" t="s">
        <v>1837</v>
      </c>
      <c r="G272" s="62" t="s">
        <v>439</v>
      </c>
      <c r="H272" s="62" t="s">
        <v>785</v>
      </c>
      <c r="I272" s="62">
        <v>40.040865779999997</v>
      </c>
      <c r="J272" s="62">
        <v>-75.128719630000006</v>
      </c>
      <c r="K272" s="62">
        <v>430</v>
      </c>
      <c r="L272" s="63">
        <v>0.87680000000000002</v>
      </c>
      <c r="M272" s="64">
        <v>4</v>
      </c>
      <c r="N272" s="64" t="s">
        <v>441</v>
      </c>
      <c r="O272" s="64" t="s">
        <v>442</v>
      </c>
      <c r="P272" s="64" t="s">
        <v>443</v>
      </c>
      <c r="Q272" s="64" t="s">
        <v>1838</v>
      </c>
      <c r="R272" s="65" t="s">
        <v>445</v>
      </c>
      <c r="S272" s="1"/>
      <c r="T272" s="84" t="s">
        <v>165</v>
      </c>
      <c r="U272" s="84" t="s">
        <v>1839</v>
      </c>
      <c r="V272" s="84" t="s">
        <v>1840</v>
      </c>
      <c r="W272" s="84" t="s">
        <v>475</v>
      </c>
      <c r="X272" s="84" t="s">
        <v>475</v>
      </c>
      <c r="Y272" s="84" t="s">
        <v>630</v>
      </c>
      <c r="Z272" s="84" t="s">
        <v>630</v>
      </c>
      <c r="AA272" s="108"/>
      <c r="AB272" s="108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 ht="22" customHeight="1">
      <c r="A273" s="66" t="s">
        <v>231</v>
      </c>
      <c r="B273" s="62" t="s">
        <v>1841</v>
      </c>
      <c r="C273" s="62" t="s">
        <v>435</v>
      </c>
      <c r="D273" s="62" t="s">
        <v>436</v>
      </c>
      <c r="E273" s="62" t="s">
        <v>490</v>
      </c>
      <c r="F273" s="62" t="s">
        <v>1842</v>
      </c>
      <c r="G273" s="62" t="s">
        <v>439</v>
      </c>
      <c r="H273" s="62" t="s">
        <v>780</v>
      </c>
      <c r="I273" s="62">
        <v>40.014546000000003</v>
      </c>
      <c r="J273" s="62">
        <v>-75.087158000000002</v>
      </c>
      <c r="K273" s="62">
        <v>243</v>
      </c>
      <c r="L273" s="63">
        <v>0.86409999999999998</v>
      </c>
      <c r="M273" s="64">
        <v>7</v>
      </c>
      <c r="N273" s="64" t="s">
        <v>441</v>
      </c>
      <c r="O273" s="64" t="s">
        <v>442</v>
      </c>
      <c r="P273" s="64" t="s">
        <v>443</v>
      </c>
      <c r="Q273" s="64" t="s">
        <v>1843</v>
      </c>
      <c r="R273" s="65" t="s">
        <v>445</v>
      </c>
      <c r="S273" s="1"/>
      <c r="T273" s="84" t="s">
        <v>130</v>
      </c>
      <c r="U273" s="84" t="s">
        <v>1844</v>
      </c>
      <c r="V273" s="84" t="s">
        <v>1845</v>
      </c>
      <c r="W273" s="84" t="s">
        <v>475</v>
      </c>
      <c r="X273" s="84" t="s">
        <v>475</v>
      </c>
      <c r="Y273" s="84" t="s">
        <v>630</v>
      </c>
      <c r="Z273" s="84" t="s">
        <v>630</v>
      </c>
      <c r="AA273" s="108"/>
      <c r="AB273" s="108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 ht="22" customHeight="1">
      <c r="A274" s="66" t="s">
        <v>193</v>
      </c>
      <c r="B274" s="62" t="s">
        <v>1846</v>
      </c>
      <c r="C274" s="62" t="s">
        <v>435</v>
      </c>
      <c r="D274" s="62" t="s">
        <v>436</v>
      </c>
      <c r="E274" s="62" t="s">
        <v>471</v>
      </c>
      <c r="F274" s="62" t="s">
        <v>784</v>
      </c>
      <c r="G274" s="62" t="s">
        <v>439</v>
      </c>
      <c r="H274" s="62" t="s">
        <v>785</v>
      </c>
      <c r="I274" s="62">
        <v>40.035479000000002</v>
      </c>
      <c r="J274" s="62">
        <v>-75.117969000000002</v>
      </c>
      <c r="K274" s="62">
        <v>332</v>
      </c>
      <c r="L274" s="63">
        <v>0.86760000000000004</v>
      </c>
      <c r="M274" s="64">
        <v>6</v>
      </c>
      <c r="N274" s="64" t="s">
        <v>441</v>
      </c>
      <c r="O274" s="64" t="s">
        <v>442</v>
      </c>
      <c r="P274" s="64" t="s">
        <v>443</v>
      </c>
      <c r="Q274" s="64" t="s">
        <v>1847</v>
      </c>
      <c r="R274" s="65" t="s">
        <v>445</v>
      </c>
      <c r="S274" s="1"/>
      <c r="T274" s="84" t="s">
        <v>200</v>
      </c>
      <c r="U274" s="84" t="s">
        <v>1848</v>
      </c>
      <c r="V274" s="84" t="s">
        <v>1849</v>
      </c>
      <c r="W274" s="84" t="s">
        <v>475</v>
      </c>
      <c r="X274" s="84" t="s">
        <v>475</v>
      </c>
      <c r="Y274" s="84" t="s">
        <v>630</v>
      </c>
      <c r="Z274" s="84" t="s">
        <v>630</v>
      </c>
      <c r="AA274" s="108"/>
      <c r="AB274" s="108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 ht="22" customHeight="1">
      <c r="A275" s="66" t="s">
        <v>102</v>
      </c>
      <c r="B275" s="62" t="s">
        <v>1850</v>
      </c>
      <c r="C275" s="62" t="s">
        <v>435</v>
      </c>
      <c r="D275" s="62" t="s">
        <v>436</v>
      </c>
      <c r="E275" s="62" t="s">
        <v>490</v>
      </c>
      <c r="F275" s="62" t="s">
        <v>1851</v>
      </c>
      <c r="G275" s="62" t="s">
        <v>439</v>
      </c>
      <c r="H275" s="62" t="s">
        <v>758</v>
      </c>
      <c r="I275" s="62">
        <v>40.015177999999999</v>
      </c>
      <c r="J275" s="62">
        <v>-75.137574000000001</v>
      </c>
      <c r="K275" s="62">
        <v>353</v>
      </c>
      <c r="L275" s="63">
        <v>0.8821</v>
      </c>
      <c r="M275" s="64">
        <v>12</v>
      </c>
      <c r="N275" s="64" t="s">
        <v>441</v>
      </c>
      <c r="O275" s="64" t="s">
        <v>442</v>
      </c>
      <c r="P275" s="64" t="s">
        <v>443</v>
      </c>
      <c r="Q275" s="64" t="s">
        <v>1852</v>
      </c>
      <c r="R275" s="65" t="s">
        <v>445</v>
      </c>
      <c r="S275" s="1"/>
      <c r="T275" s="84" t="s">
        <v>233</v>
      </c>
      <c r="U275" s="84" t="s">
        <v>1853</v>
      </c>
      <c r="V275" s="84" t="s">
        <v>1854</v>
      </c>
      <c r="W275" s="84" t="s">
        <v>475</v>
      </c>
      <c r="X275" s="84" t="s">
        <v>475</v>
      </c>
      <c r="Y275" s="84" t="s">
        <v>630</v>
      </c>
      <c r="Z275" s="84" t="s">
        <v>630</v>
      </c>
      <c r="AA275" s="108"/>
      <c r="AB275" s="108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ht="22" customHeight="1">
      <c r="A276" s="66" t="s">
        <v>108</v>
      </c>
      <c r="B276" s="62" t="s">
        <v>1855</v>
      </c>
      <c r="C276" s="62" t="s">
        <v>435</v>
      </c>
      <c r="D276" s="62" t="s">
        <v>436</v>
      </c>
      <c r="E276" s="62" t="s">
        <v>483</v>
      </c>
      <c r="F276" s="62" t="s">
        <v>1856</v>
      </c>
      <c r="G276" s="62" t="s">
        <v>439</v>
      </c>
      <c r="H276" s="62" t="s">
        <v>785</v>
      </c>
      <c r="I276" s="62">
        <v>40.028437289999999</v>
      </c>
      <c r="J276" s="62">
        <v>-75.129411259999998</v>
      </c>
      <c r="K276" s="62">
        <v>484</v>
      </c>
      <c r="L276" s="63">
        <v>0.8357</v>
      </c>
      <c r="M276" s="64">
        <v>9</v>
      </c>
      <c r="N276" s="64" t="s">
        <v>441</v>
      </c>
      <c r="O276" s="64" t="s">
        <v>442</v>
      </c>
      <c r="P276" s="64" t="s">
        <v>443</v>
      </c>
      <c r="Q276" s="64" t="s">
        <v>1857</v>
      </c>
      <c r="R276" s="65" t="s">
        <v>445</v>
      </c>
      <c r="S276" s="1"/>
      <c r="T276" s="84" t="s">
        <v>217</v>
      </c>
      <c r="U276" s="84" t="s">
        <v>1858</v>
      </c>
      <c r="V276" s="84" t="s">
        <v>1859</v>
      </c>
      <c r="W276" s="84" t="s">
        <v>475</v>
      </c>
      <c r="X276" s="84" t="s">
        <v>475</v>
      </c>
      <c r="Y276" s="84" t="s">
        <v>630</v>
      </c>
      <c r="Z276" s="84" t="s">
        <v>630</v>
      </c>
      <c r="AA276" s="108"/>
      <c r="AB276" s="108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 ht="22" customHeight="1">
      <c r="A277" s="66" t="s">
        <v>299</v>
      </c>
      <c r="B277" s="62" t="s">
        <v>1860</v>
      </c>
      <c r="C277" s="62" t="s">
        <v>435</v>
      </c>
      <c r="D277" s="62" t="s">
        <v>436</v>
      </c>
      <c r="E277" s="62" t="s">
        <v>483</v>
      </c>
      <c r="F277" s="62" t="s">
        <v>1861</v>
      </c>
      <c r="G277" s="62" t="s">
        <v>439</v>
      </c>
      <c r="H277" s="62" t="s">
        <v>785</v>
      </c>
      <c r="I277" s="62">
        <v>40.030586720000002</v>
      </c>
      <c r="J277" s="62">
        <v>-75.121343539999998</v>
      </c>
      <c r="K277" s="62">
        <v>666</v>
      </c>
      <c r="L277" s="63">
        <v>0.82469999999999999</v>
      </c>
      <c r="M277" s="64">
        <v>8</v>
      </c>
      <c r="N277" s="64" t="s">
        <v>441</v>
      </c>
      <c r="O277" s="64" t="s">
        <v>442</v>
      </c>
      <c r="P277" s="64" t="s">
        <v>443</v>
      </c>
      <c r="Q277" s="64" t="s">
        <v>1862</v>
      </c>
      <c r="R277" s="65" t="s">
        <v>445</v>
      </c>
      <c r="S277" s="1"/>
      <c r="T277" s="84" t="s">
        <v>227</v>
      </c>
      <c r="U277" s="84" t="s">
        <v>1863</v>
      </c>
      <c r="V277" s="84" t="s">
        <v>1864</v>
      </c>
      <c r="W277" s="84" t="s">
        <v>475</v>
      </c>
      <c r="X277" s="84" t="s">
        <v>475</v>
      </c>
      <c r="Y277" s="84" t="s">
        <v>630</v>
      </c>
      <c r="Z277" s="84" t="s">
        <v>630</v>
      </c>
      <c r="AA277" s="108"/>
      <c r="AB277" s="108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ht="22" customHeight="1">
      <c r="A278" s="66" t="s">
        <v>216</v>
      </c>
      <c r="B278" s="62" t="s">
        <v>1865</v>
      </c>
      <c r="C278" s="62" t="s">
        <v>435</v>
      </c>
      <c r="D278" s="62" t="s">
        <v>436</v>
      </c>
      <c r="E278" s="62" t="s">
        <v>490</v>
      </c>
      <c r="F278" s="62" t="s">
        <v>1866</v>
      </c>
      <c r="G278" s="62" t="s">
        <v>439</v>
      </c>
      <c r="H278" s="62" t="s">
        <v>780</v>
      </c>
      <c r="I278" s="62">
        <v>40.015297859999997</v>
      </c>
      <c r="J278" s="62">
        <v>-75.067060359999999</v>
      </c>
      <c r="K278" s="62">
        <v>378</v>
      </c>
      <c r="L278" s="63">
        <v>0.86399999999999999</v>
      </c>
      <c r="M278" s="64">
        <v>8</v>
      </c>
      <c r="N278" s="64" t="s">
        <v>441</v>
      </c>
      <c r="O278" s="64" t="s">
        <v>442</v>
      </c>
      <c r="P278" s="64" t="s">
        <v>443</v>
      </c>
      <c r="Q278" s="64" t="s">
        <v>1867</v>
      </c>
      <c r="R278" s="65" t="s">
        <v>445</v>
      </c>
      <c r="S278" s="1"/>
      <c r="T278" s="84" t="s">
        <v>386</v>
      </c>
      <c r="U278" s="84" t="s">
        <v>1868</v>
      </c>
      <c r="V278" s="84" t="s">
        <v>1869</v>
      </c>
      <c r="W278" s="84" t="s">
        <v>475</v>
      </c>
      <c r="X278" s="84" t="s">
        <v>475</v>
      </c>
      <c r="Y278" s="84" t="s">
        <v>630</v>
      </c>
      <c r="Z278" s="84" t="s">
        <v>630</v>
      </c>
      <c r="AA278" s="108"/>
      <c r="AB278" s="108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 ht="22" customHeight="1">
      <c r="A279" s="66" t="s">
        <v>116</v>
      </c>
      <c r="B279" s="62" t="s">
        <v>1870</v>
      </c>
      <c r="C279" s="62" t="s">
        <v>435</v>
      </c>
      <c r="D279" s="62" t="s">
        <v>436</v>
      </c>
      <c r="E279" s="62" t="s">
        <v>490</v>
      </c>
      <c r="F279" s="62" t="s">
        <v>1871</v>
      </c>
      <c r="G279" s="62" t="s">
        <v>439</v>
      </c>
      <c r="H279" s="62" t="s">
        <v>758</v>
      </c>
      <c r="I279" s="62">
        <v>40.007530330000002</v>
      </c>
      <c r="J279" s="62">
        <v>-75.137939720000006</v>
      </c>
      <c r="K279" s="62">
        <v>359</v>
      </c>
      <c r="L279" s="63">
        <v>0.86350000000000005</v>
      </c>
      <c r="M279" s="64">
        <v>12</v>
      </c>
      <c r="N279" s="64" t="s">
        <v>441</v>
      </c>
      <c r="O279" s="64" t="s">
        <v>442</v>
      </c>
      <c r="P279" s="64" t="s">
        <v>443</v>
      </c>
      <c r="Q279" s="64" t="s">
        <v>1872</v>
      </c>
      <c r="R279" s="65" t="s">
        <v>445</v>
      </c>
      <c r="S279" s="1"/>
      <c r="T279" s="84" t="s">
        <v>237</v>
      </c>
      <c r="U279" s="84" t="s">
        <v>1873</v>
      </c>
      <c r="V279" s="84" t="s">
        <v>1874</v>
      </c>
      <c r="W279" s="84" t="s">
        <v>475</v>
      </c>
      <c r="X279" s="84" t="s">
        <v>475</v>
      </c>
      <c r="Y279" s="84" t="s">
        <v>630</v>
      </c>
      <c r="Z279" s="84" t="s">
        <v>630</v>
      </c>
      <c r="AA279" s="108"/>
      <c r="AB279" s="108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ht="22" customHeight="1">
      <c r="A280" s="66" t="s">
        <v>408</v>
      </c>
      <c r="B280" s="62" t="s">
        <v>1875</v>
      </c>
      <c r="C280" s="62" t="s">
        <v>435</v>
      </c>
      <c r="D280" s="62" t="s">
        <v>436</v>
      </c>
      <c r="E280" s="62" t="s">
        <v>483</v>
      </c>
      <c r="F280" s="62" t="s">
        <v>1876</v>
      </c>
      <c r="G280" s="62" t="s">
        <v>439</v>
      </c>
      <c r="H280" s="62" t="s">
        <v>1877</v>
      </c>
      <c r="I280" s="62">
        <v>40.030037249999999</v>
      </c>
      <c r="J280" s="62">
        <v>-75.075704479999999</v>
      </c>
      <c r="K280" s="62">
        <v>507</v>
      </c>
      <c r="L280" s="63">
        <v>0.81340000000000001</v>
      </c>
      <c r="M280" s="64">
        <v>5</v>
      </c>
      <c r="N280" s="64" t="s">
        <v>441</v>
      </c>
      <c r="O280" s="64" t="s">
        <v>442</v>
      </c>
      <c r="P280" s="64" t="s">
        <v>443</v>
      </c>
      <c r="Q280" s="64" t="s">
        <v>1878</v>
      </c>
      <c r="R280" s="65" t="s">
        <v>445</v>
      </c>
      <c r="S280" s="1"/>
      <c r="T280" s="84" t="s">
        <v>352</v>
      </c>
      <c r="U280" s="84" t="s">
        <v>1879</v>
      </c>
      <c r="V280" s="84" t="s">
        <v>1880</v>
      </c>
      <c r="W280" s="84" t="s">
        <v>475</v>
      </c>
      <c r="X280" s="84" t="s">
        <v>475</v>
      </c>
      <c r="Y280" s="84" t="s">
        <v>630</v>
      </c>
      <c r="Z280" s="84" t="s">
        <v>630</v>
      </c>
      <c r="AA280" s="108"/>
      <c r="AB280" s="108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ht="22" customHeight="1">
      <c r="A281" s="66" t="s">
        <v>123</v>
      </c>
      <c r="B281" s="62" t="s">
        <v>1881</v>
      </c>
      <c r="C281" s="62" t="s">
        <v>435</v>
      </c>
      <c r="D281" s="62" t="s">
        <v>436</v>
      </c>
      <c r="E281" s="62" t="s">
        <v>483</v>
      </c>
      <c r="F281" s="62" t="s">
        <v>1882</v>
      </c>
      <c r="G281" s="62" t="s">
        <v>439</v>
      </c>
      <c r="H281" s="62" t="s">
        <v>908</v>
      </c>
      <c r="I281" s="62">
        <v>40.00030082</v>
      </c>
      <c r="J281" s="62">
        <v>-75.066604709999993</v>
      </c>
      <c r="K281" s="62">
        <v>522</v>
      </c>
      <c r="L281" s="63">
        <v>0.69340000000000002</v>
      </c>
      <c r="M281" s="64">
        <v>1</v>
      </c>
      <c r="N281" s="64" t="s">
        <v>441</v>
      </c>
      <c r="O281" s="64" t="s">
        <v>442</v>
      </c>
      <c r="P281" s="64" t="s">
        <v>443</v>
      </c>
      <c r="Q281" s="64" t="s">
        <v>1883</v>
      </c>
      <c r="R281" s="65" t="s">
        <v>445</v>
      </c>
      <c r="S281" s="1"/>
      <c r="T281" s="84" t="s">
        <v>380</v>
      </c>
      <c r="U281" s="84" t="s">
        <v>1884</v>
      </c>
      <c r="V281" s="84" t="s">
        <v>1885</v>
      </c>
      <c r="W281" s="84" t="s">
        <v>475</v>
      </c>
      <c r="X281" s="84" t="s">
        <v>475</v>
      </c>
      <c r="Y281" s="84" t="s">
        <v>630</v>
      </c>
      <c r="Z281" s="84" t="s">
        <v>630</v>
      </c>
      <c r="AA281" s="108"/>
      <c r="AB281" s="108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ht="22" customHeight="1">
      <c r="A282" s="66" t="s">
        <v>334</v>
      </c>
      <c r="B282" s="62" t="s">
        <v>1886</v>
      </c>
      <c r="C282" s="62" t="s">
        <v>435</v>
      </c>
      <c r="D282" s="62" t="s">
        <v>436</v>
      </c>
      <c r="E282" s="62" t="s">
        <v>490</v>
      </c>
      <c r="F282" s="62" t="s">
        <v>1887</v>
      </c>
      <c r="G282" s="62" t="s">
        <v>439</v>
      </c>
      <c r="H282" s="62" t="s">
        <v>1169</v>
      </c>
      <c r="I282" s="62">
        <v>40.047707420000002</v>
      </c>
      <c r="J282" s="62">
        <v>-75.149560519999994</v>
      </c>
      <c r="K282" s="62">
        <v>317</v>
      </c>
      <c r="L282" s="63">
        <v>0.91690000000000005</v>
      </c>
      <c r="M282" s="64">
        <v>12</v>
      </c>
      <c r="N282" s="64" t="s">
        <v>441</v>
      </c>
      <c r="O282" s="64" t="s">
        <v>442</v>
      </c>
      <c r="P282" s="64" t="s">
        <v>443</v>
      </c>
      <c r="Q282" s="64" t="s">
        <v>1888</v>
      </c>
      <c r="R282" s="65" t="s">
        <v>445</v>
      </c>
      <c r="S282" s="1"/>
      <c r="T282" s="84" t="s">
        <v>357</v>
      </c>
      <c r="U282" s="84" t="s">
        <v>1889</v>
      </c>
      <c r="V282" s="84" t="s">
        <v>1890</v>
      </c>
      <c r="W282" s="84" t="s">
        <v>475</v>
      </c>
      <c r="X282" s="84" t="s">
        <v>475</v>
      </c>
      <c r="Y282" s="84" t="s">
        <v>630</v>
      </c>
      <c r="Z282" s="84" t="s">
        <v>630</v>
      </c>
      <c r="AA282" s="108"/>
      <c r="AB282" s="108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ht="22" customHeight="1">
      <c r="A283" s="66" t="s">
        <v>163</v>
      </c>
      <c r="B283" s="62" t="s">
        <v>1891</v>
      </c>
      <c r="C283" s="62" t="s">
        <v>435</v>
      </c>
      <c r="D283" s="62" t="s">
        <v>436</v>
      </c>
      <c r="E283" s="62" t="s">
        <v>471</v>
      </c>
      <c r="F283" s="62" t="s">
        <v>1892</v>
      </c>
      <c r="G283" s="62" t="s">
        <v>439</v>
      </c>
      <c r="H283" s="62" t="s">
        <v>785</v>
      </c>
      <c r="I283" s="62">
        <v>40.019437000000003</v>
      </c>
      <c r="J283" s="62">
        <v>-75.121674999999996</v>
      </c>
      <c r="K283" s="62">
        <v>505</v>
      </c>
      <c r="L283" s="63">
        <v>0.84289999999999998</v>
      </c>
      <c r="M283" s="64">
        <v>7</v>
      </c>
      <c r="N283" s="64" t="s">
        <v>441</v>
      </c>
      <c r="O283" s="64" t="s">
        <v>442</v>
      </c>
      <c r="P283" s="64" t="s">
        <v>443</v>
      </c>
      <c r="Q283" s="64" t="s">
        <v>1893</v>
      </c>
      <c r="R283" s="65" t="s">
        <v>445</v>
      </c>
      <c r="S283" s="1"/>
      <c r="T283" s="84" t="s">
        <v>146</v>
      </c>
      <c r="U283" s="84" t="s">
        <v>1894</v>
      </c>
      <c r="V283" s="84" t="s">
        <v>1895</v>
      </c>
      <c r="W283" s="84" t="s">
        <v>475</v>
      </c>
      <c r="X283" s="84" t="s">
        <v>475</v>
      </c>
      <c r="Y283" s="84" t="s">
        <v>630</v>
      </c>
      <c r="Z283" s="84" t="s">
        <v>630</v>
      </c>
      <c r="AA283" s="108"/>
      <c r="AB283" s="108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ht="22" customHeight="1">
      <c r="A284" s="66" t="s">
        <v>267</v>
      </c>
      <c r="B284" s="62" t="s">
        <v>1896</v>
      </c>
      <c r="C284" s="62" t="s">
        <v>435</v>
      </c>
      <c r="D284" s="62" t="s">
        <v>436</v>
      </c>
      <c r="E284" s="62" t="s">
        <v>483</v>
      </c>
      <c r="F284" s="62" t="s">
        <v>1897</v>
      </c>
      <c r="G284" s="62" t="s">
        <v>439</v>
      </c>
      <c r="H284" s="62" t="s">
        <v>758</v>
      </c>
      <c r="I284" s="62">
        <v>40.002695260000003</v>
      </c>
      <c r="J284" s="62">
        <v>-75.14872828</v>
      </c>
      <c r="K284" s="62">
        <v>353</v>
      </c>
      <c r="L284" s="63">
        <v>0.9214</v>
      </c>
      <c r="M284" s="64">
        <v>10</v>
      </c>
      <c r="N284" s="64" t="s">
        <v>441</v>
      </c>
      <c r="O284" s="64" t="s">
        <v>442</v>
      </c>
      <c r="P284" s="64" t="s">
        <v>443</v>
      </c>
      <c r="Q284" s="64" t="s">
        <v>1898</v>
      </c>
      <c r="R284" s="65" t="s">
        <v>445</v>
      </c>
      <c r="S284" s="1"/>
      <c r="T284" s="84" t="s">
        <v>400</v>
      </c>
      <c r="U284" s="84" t="s">
        <v>1899</v>
      </c>
      <c r="V284" s="84" t="s">
        <v>1900</v>
      </c>
      <c r="W284" s="84" t="s">
        <v>475</v>
      </c>
      <c r="X284" s="84" t="s">
        <v>475</v>
      </c>
      <c r="Y284" s="84" t="s">
        <v>630</v>
      </c>
      <c r="Z284" s="84" t="s">
        <v>630</v>
      </c>
      <c r="AA284" s="108"/>
      <c r="AB284" s="108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ht="22" customHeight="1">
      <c r="A285" s="66" t="s">
        <v>412</v>
      </c>
      <c r="B285" s="62" t="s">
        <v>1901</v>
      </c>
      <c r="C285" s="62" t="s">
        <v>435</v>
      </c>
      <c r="D285" s="62" t="s">
        <v>436</v>
      </c>
      <c r="E285" s="62" t="s">
        <v>490</v>
      </c>
      <c r="F285" s="62" t="s">
        <v>1902</v>
      </c>
      <c r="G285" s="62" t="s">
        <v>439</v>
      </c>
      <c r="H285" s="62" t="s">
        <v>1777</v>
      </c>
      <c r="I285" s="62">
        <v>40.059306759999998</v>
      </c>
      <c r="J285" s="62">
        <v>-75.148647199999999</v>
      </c>
      <c r="K285" s="62">
        <v>272</v>
      </c>
      <c r="L285" s="63">
        <v>0.8357</v>
      </c>
      <c r="M285" s="64">
        <v>9</v>
      </c>
      <c r="N285" s="64" t="s">
        <v>441</v>
      </c>
      <c r="O285" s="64" t="s">
        <v>442</v>
      </c>
      <c r="P285" s="64" t="s">
        <v>443</v>
      </c>
      <c r="Q285" s="64" t="s">
        <v>1903</v>
      </c>
      <c r="R285" s="65" t="s">
        <v>445</v>
      </c>
      <c r="S285" s="1"/>
      <c r="T285" s="84" t="s">
        <v>135</v>
      </c>
      <c r="U285" s="84" t="s">
        <v>1904</v>
      </c>
      <c r="V285" s="84" t="s">
        <v>1905</v>
      </c>
      <c r="W285" s="84" t="s">
        <v>475</v>
      </c>
      <c r="X285" s="84" t="s">
        <v>475</v>
      </c>
      <c r="Y285" s="84" t="s">
        <v>630</v>
      </c>
      <c r="Z285" s="84" t="s">
        <v>630</v>
      </c>
      <c r="AA285" s="108"/>
      <c r="AB285" s="108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ht="22" customHeight="1">
      <c r="A286" s="66" t="s">
        <v>343</v>
      </c>
      <c r="B286" s="62" t="s">
        <v>1906</v>
      </c>
      <c r="C286" s="62" t="s">
        <v>435</v>
      </c>
      <c r="D286" s="62" t="s">
        <v>436</v>
      </c>
      <c r="E286" s="62" t="s">
        <v>471</v>
      </c>
      <c r="F286" s="62" t="s">
        <v>1577</v>
      </c>
      <c r="G286" s="62" t="s">
        <v>439</v>
      </c>
      <c r="H286" s="62" t="s">
        <v>758</v>
      </c>
      <c r="I286" s="62">
        <v>40.006819</v>
      </c>
      <c r="J286" s="62">
        <v>-75.129735999999994</v>
      </c>
      <c r="K286" s="62">
        <v>279</v>
      </c>
      <c r="L286" s="63">
        <v>0.87760000000000005</v>
      </c>
      <c r="M286" s="64">
        <v>9</v>
      </c>
      <c r="N286" s="64" t="s">
        <v>441</v>
      </c>
      <c r="O286" s="64" t="s">
        <v>442</v>
      </c>
      <c r="P286" s="64" t="s">
        <v>443</v>
      </c>
      <c r="Q286" s="64" t="s">
        <v>1907</v>
      </c>
      <c r="R286" s="65" t="s">
        <v>445</v>
      </c>
      <c r="S286" s="1"/>
      <c r="T286" s="84" t="s">
        <v>110</v>
      </c>
      <c r="U286" s="84" t="s">
        <v>1908</v>
      </c>
      <c r="V286" s="84" t="s">
        <v>1909</v>
      </c>
      <c r="W286" s="84" t="s">
        <v>475</v>
      </c>
      <c r="X286" s="84" t="s">
        <v>475</v>
      </c>
      <c r="Y286" s="84" t="s">
        <v>630</v>
      </c>
      <c r="Z286" s="84" t="s">
        <v>630</v>
      </c>
      <c r="AA286" s="108"/>
      <c r="AB286" s="108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ht="22" customHeight="1">
      <c r="A287" s="66" t="s">
        <v>91</v>
      </c>
      <c r="B287" s="62" t="s">
        <v>1910</v>
      </c>
      <c r="C287" s="62" t="s">
        <v>435</v>
      </c>
      <c r="D287" s="62" t="s">
        <v>436</v>
      </c>
      <c r="E287" s="62" t="s">
        <v>437</v>
      </c>
      <c r="F287" s="62" t="s">
        <v>1911</v>
      </c>
      <c r="G287" s="62" t="s">
        <v>439</v>
      </c>
      <c r="H287" s="62" t="s">
        <v>927</v>
      </c>
      <c r="I287" s="62">
        <v>40.04310838</v>
      </c>
      <c r="J287" s="62">
        <v>-75.044792209999997</v>
      </c>
      <c r="K287" s="62">
        <v>2332</v>
      </c>
      <c r="L287" s="63">
        <v>0.73819999999999997</v>
      </c>
      <c r="M287" s="64">
        <v>2</v>
      </c>
      <c r="N287" s="64" t="s">
        <v>441</v>
      </c>
      <c r="O287" s="64" t="s">
        <v>442</v>
      </c>
      <c r="P287" s="64" t="s">
        <v>443</v>
      </c>
      <c r="Q287" s="64" t="s">
        <v>1912</v>
      </c>
      <c r="R287" s="65" t="s">
        <v>445</v>
      </c>
      <c r="S287" s="1"/>
      <c r="T287" s="84" t="s">
        <v>214</v>
      </c>
      <c r="U287" s="84" t="s">
        <v>1913</v>
      </c>
      <c r="V287" s="84" t="s">
        <v>1914</v>
      </c>
      <c r="W287" s="84" t="s">
        <v>475</v>
      </c>
      <c r="X287" s="84" t="s">
        <v>475</v>
      </c>
      <c r="Y287" s="84" t="s">
        <v>630</v>
      </c>
      <c r="Z287" s="84" t="s">
        <v>630</v>
      </c>
      <c r="AA287" s="108"/>
      <c r="AB287" s="108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ht="22" customHeight="1">
      <c r="A288" s="66" t="s">
        <v>295</v>
      </c>
      <c r="B288" s="62" t="s">
        <v>1915</v>
      </c>
      <c r="C288" s="62" t="s">
        <v>435</v>
      </c>
      <c r="D288" s="62" t="s">
        <v>436</v>
      </c>
      <c r="E288" s="62" t="s">
        <v>437</v>
      </c>
      <c r="F288" s="62" t="s">
        <v>1288</v>
      </c>
      <c r="G288" s="62" t="s">
        <v>439</v>
      </c>
      <c r="H288" s="62" t="s">
        <v>1120</v>
      </c>
      <c r="I288" s="62">
        <v>40.055644090000001</v>
      </c>
      <c r="J288" s="62">
        <v>-75.071183550000001</v>
      </c>
      <c r="K288" s="62">
        <v>3541</v>
      </c>
      <c r="L288" s="63">
        <v>0.71919999999999995</v>
      </c>
      <c r="M288" s="64">
        <v>0</v>
      </c>
      <c r="N288" s="64" t="s">
        <v>441</v>
      </c>
      <c r="O288" s="64" t="s">
        <v>442</v>
      </c>
      <c r="P288" s="64" t="s">
        <v>443</v>
      </c>
      <c r="Q288" s="64" t="s">
        <v>1916</v>
      </c>
      <c r="R288" s="65" t="s">
        <v>445</v>
      </c>
      <c r="S288" s="1"/>
      <c r="T288" s="84" t="s">
        <v>204</v>
      </c>
      <c r="U288" s="84" t="s">
        <v>1917</v>
      </c>
      <c r="V288" s="84" t="s">
        <v>1918</v>
      </c>
      <c r="W288" s="84" t="s">
        <v>475</v>
      </c>
      <c r="X288" s="84" t="s">
        <v>475</v>
      </c>
      <c r="Y288" s="84" t="s">
        <v>630</v>
      </c>
      <c r="Z288" s="84" t="s">
        <v>630</v>
      </c>
      <c r="AA288" s="108"/>
      <c r="AB288" s="108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ht="22" customHeight="1">
      <c r="A289" s="66" t="s">
        <v>186</v>
      </c>
      <c r="B289" s="62" t="s">
        <v>1919</v>
      </c>
      <c r="C289" s="62" t="s">
        <v>435</v>
      </c>
      <c r="D289" s="62" t="s">
        <v>436</v>
      </c>
      <c r="E289" s="62" t="s">
        <v>437</v>
      </c>
      <c r="F289" s="62" t="s">
        <v>1920</v>
      </c>
      <c r="G289" s="62" t="s">
        <v>439</v>
      </c>
      <c r="H289" s="62" t="s">
        <v>876</v>
      </c>
      <c r="I289" s="62">
        <v>40.105985769999997</v>
      </c>
      <c r="J289" s="62">
        <v>-75.027230130000007</v>
      </c>
      <c r="K289" s="62">
        <v>1795</v>
      </c>
      <c r="L289" s="63">
        <v>0.69779999999999998</v>
      </c>
      <c r="M289" s="64">
        <v>3</v>
      </c>
      <c r="N289" s="64" t="s">
        <v>441</v>
      </c>
      <c r="O289" s="64" t="s">
        <v>442</v>
      </c>
      <c r="P289" s="64" t="s">
        <v>443</v>
      </c>
      <c r="Q289" s="64" t="s">
        <v>1921</v>
      </c>
      <c r="R289" s="65" t="s">
        <v>445</v>
      </c>
      <c r="S289" s="1"/>
      <c r="T289" s="84" t="s">
        <v>222</v>
      </c>
      <c r="U289" s="84" t="s">
        <v>1922</v>
      </c>
      <c r="V289" s="84" t="s">
        <v>1923</v>
      </c>
      <c r="W289" s="84" t="s">
        <v>475</v>
      </c>
      <c r="X289" s="84" t="s">
        <v>475</v>
      </c>
      <c r="Y289" s="84" t="s">
        <v>630</v>
      </c>
      <c r="Z289" s="84" t="s">
        <v>630</v>
      </c>
      <c r="AA289" s="108"/>
      <c r="AB289" s="108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 ht="22" customHeight="1">
      <c r="A290" s="66" t="s">
        <v>113</v>
      </c>
      <c r="B290" s="62" t="s">
        <v>1924</v>
      </c>
      <c r="C290" s="62" t="s">
        <v>435</v>
      </c>
      <c r="D290" s="62" t="s">
        <v>436</v>
      </c>
      <c r="E290" s="62" t="s">
        <v>437</v>
      </c>
      <c r="F290" s="62" t="s">
        <v>1925</v>
      </c>
      <c r="G290" s="62" t="s">
        <v>439</v>
      </c>
      <c r="H290" s="62" t="s">
        <v>1264</v>
      </c>
      <c r="I290" s="62">
        <v>40.082532749999999</v>
      </c>
      <c r="J290" s="62">
        <v>-74.975206099999994</v>
      </c>
      <c r="K290" s="62">
        <v>602</v>
      </c>
      <c r="L290" s="63">
        <v>0.55810000000000004</v>
      </c>
      <c r="M290" s="64">
        <v>0</v>
      </c>
      <c r="N290" s="64" t="s">
        <v>441</v>
      </c>
      <c r="O290" s="64" t="s">
        <v>442</v>
      </c>
      <c r="P290" s="64" t="s">
        <v>443</v>
      </c>
      <c r="Q290" s="64" t="s">
        <v>1926</v>
      </c>
      <c r="R290" s="65" t="s">
        <v>445</v>
      </c>
      <c r="S290" s="1"/>
      <c r="T290" s="84" t="s">
        <v>94</v>
      </c>
      <c r="U290" s="84" t="s">
        <v>1927</v>
      </c>
      <c r="V290" s="84" t="s">
        <v>1928</v>
      </c>
      <c r="W290" s="84" t="s">
        <v>475</v>
      </c>
      <c r="X290" s="84" t="s">
        <v>475</v>
      </c>
      <c r="Y290" s="84" t="s">
        <v>630</v>
      </c>
      <c r="Z290" s="84" t="s">
        <v>630</v>
      </c>
      <c r="AA290" s="108"/>
      <c r="AB290" s="108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ht="22" customHeight="1">
      <c r="A291" s="66" t="s">
        <v>298</v>
      </c>
      <c r="B291" s="62" t="s">
        <v>1929</v>
      </c>
      <c r="C291" s="62" t="s">
        <v>623</v>
      </c>
      <c r="D291" s="62" t="s">
        <v>88</v>
      </c>
      <c r="E291" s="62" t="s">
        <v>624</v>
      </c>
      <c r="F291" s="62" t="s">
        <v>1930</v>
      </c>
      <c r="G291" s="62" t="s">
        <v>439</v>
      </c>
      <c r="H291" s="62" t="s">
        <v>901</v>
      </c>
      <c r="I291" s="62">
        <v>39.958322000000003</v>
      </c>
      <c r="J291" s="62">
        <v>-75.144801000000001</v>
      </c>
      <c r="K291" s="62">
        <v>163</v>
      </c>
      <c r="L291" s="63"/>
      <c r="M291" s="64">
        <v>8</v>
      </c>
      <c r="N291" s="64" t="s">
        <v>441</v>
      </c>
      <c r="O291" s="64" t="s">
        <v>442</v>
      </c>
      <c r="P291" s="64" t="s">
        <v>443</v>
      </c>
      <c r="Q291" s="64" t="s">
        <v>627</v>
      </c>
      <c r="R291" s="65" t="s">
        <v>445</v>
      </c>
      <c r="S291" s="1"/>
      <c r="T291" s="84" t="s">
        <v>256</v>
      </c>
      <c r="U291" s="84" t="s">
        <v>1931</v>
      </c>
      <c r="V291" s="84" t="s">
        <v>1932</v>
      </c>
      <c r="W291" s="84" t="s">
        <v>475</v>
      </c>
      <c r="X291" s="84" t="s">
        <v>475</v>
      </c>
      <c r="Y291" s="84" t="s">
        <v>630</v>
      </c>
      <c r="Z291" s="84" t="s">
        <v>630</v>
      </c>
      <c r="AA291" s="108"/>
      <c r="AB291" s="108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ht="22" customHeight="1">
      <c r="A292" s="66" t="s">
        <v>157</v>
      </c>
      <c r="B292" s="62" t="s">
        <v>1933</v>
      </c>
      <c r="C292" s="62" t="s">
        <v>623</v>
      </c>
      <c r="D292" s="62" t="s">
        <v>88</v>
      </c>
      <c r="E292" s="62" t="s">
        <v>624</v>
      </c>
      <c r="F292" s="62" t="s">
        <v>625</v>
      </c>
      <c r="G292" s="62" t="s">
        <v>439</v>
      </c>
      <c r="H292" s="62" t="s">
        <v>626</v>
      </c>
      <c r="I292" s="62">
        <v>39.978133999999997</v>
      </c>
      <c r="J292" s="62">
        <v>-75.177657999999994</v>
      </c>
      <c r="K292" s="62">
        <v>189</v>
      </c>
      <c r="L292" s="63"/>
      <c r="M292" s="64">
        <v>12</v>
      </c>
      <c r="N292" s="64" t="s">
        <v>441</v>
      </c>
      <c r="O292" s="64" t="s">
        <v>442</v>
      </c>
      <c r="P292" s="64" t="s">
        <v>443</v>
      </c>
      <c r="Q292" s="64" t="s">
        <v>627</v>
      </c>
      <c r="R292" s="65" t="s">
        <v>445</v>
      </c>
      <c r="S292" s="1"/>
      <c r="T292" s="84" t="s">
        <v>171</v>
      </c>
      <c r="U292" s="84" t="s">
        <v>1934</v>
      </c>
      <c r="V292" s="84" t="s">
        <v>1935</v>
      </c>
      <c r="W292" s="84" t="s">
        <v>475</v>
      </c>
      <c r="X292" s="84" t="s">
        <v>475</v>
      </c>
      <c r="Y292" s="84" t="s">
        <v>630</v>
      </c>
      <c r="Z292" s="84" t="s">
        <v>630</v>
      </c>
      <c r="AA292" s="108"/>
      <c r="AB292" s="108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 ht="22" customHeight="1">
      <c r="A293" s="66" t="s">
        <v>368</v>
      </c>
      <c r="B293" s="62" t="s">
        <v>1936</v>
      </c>
      <c r="C293" s="62" t="s">
        <v>435</v>
      </c>
      <c r="D293" s="62" t="s">
        <v>436</v>
      </c>
      <c r="E293" s="62" t="s">
        <v>437</v>
      </c>
      <c r="F293" s="62" t="s">
        <v>1937</v>
      </c>
      <c r="G293" s="62" t="s">
        <v>439</v>
      </c>
      <c r="H293" s="62" t="s">
        <v>1938</v>
      </c>
      <c r="I293" s="62">
        <v>40.092109299999997</v>
      </c>
      <c r="J293" s="62">
        <v>-75.01398863</v>
      </c>
      <c r="K293" s="62">
        <v>780</v>
      </c>
      <c r="L293" s="63">
        <v>0.73129999999999995</v>
      </c>
      <c r="M293" s="64">
        <v>2</v>
      </c>
      <c r="N293" s="64" t="s">
        <v>441</v>
      </c>
      <c r="O293" s="64" t="s">
        <v>442</v>
      </c>
      <c r="P293" s="64" t="s">
        <v>443</v>
      </c>
      <c r="Q293" s="64" t="s">
        <v>1939</v>
      </c>
      <c r="R293" s="65" t="s">
        <v>445</v>
      </c>
      <c r="S293" s="1"/>
      <c r="T293" s="84" t="s">
        <v>300</v>
      </c>
      <c r="U293" s="84" t="s">
        <v>1940</v>
      </c>
      <c r="V293" s="84" t="s">
        <v>1941</v>
      </c>
      <c r="W293" s="84" t="s">
        <v>475</v>
      </c>
      <c r="X293" s="84" t="s">
        <v>475</v>
      </c>
      <c r="Y293" s="84" t="s">
        <v>630</v>
      </c>
      <c r="Z293" s="84" t="s">
        <v>630</v>
      </c>
      <c r="AA293" s="108"/>
      <c r="AB293" s="108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ht="22" customHeight="1">
      <c r="A294" s="66" t="s">
        <v>177</v>
      </c>
      <c r="B294" s="62" t="s">
        <v>1942</v>
      </c>
      <c r="C294" s="62" t="s">
        <v>623</v>
      </c>
      <c r="D294" s="62" t="s">
        <v>88</v>
      </c>
      <c r="E294" s="62" t="s">
        <v>624</v>
      </c>
      <c r="F294" s="62" t="s">
        <v>1943</v>
      </c>
      <c r="G294" s="62" t="s">
        <v>439</v>
      </c>
      <c r="H294" s="62" t="s">
        <v>585</v>
      </c>
      <c r="I294" s="62">
        <v>39.962901700000003</v>
      </c>
      <c r="J294" s="62">
        <v>-75.166270460000007</v>
      </c>
      <c r="K294" s="62">
        <v>66</v>
      </c>
      <c r="L294" s="63"/>
      <c r="M294" s="64">
        <v>8</v>
      </c>
      <c r="N294" s="64" t="s">
        <v>441</v>
      </c>
      <c r="O294" s="64" t="s">
        <v>442</v>
      </c>
      <c r="P294" s="64" t="s">
        <v>443</v>
      </c>
      <c r="Q294" s="64" t="s">
        <v>627</v>
      </c>
      <c r="R294" s="65" t="s">
        <v>445</v>
      </c>
      <c r="S294" s="1"/>
      <c r="T294" s="84" t="s">
        <v>301</v>
      </c>
      <c r="U294" s="84"/>
      <c r="V294" s="84" t="s">
        <v>1755</v>
      </c>
      <c r="W294" s="84" t="s">
        <v>475</v>
      </c>
      <c r="X294" s="84" t="s">
        <v>475</v>
      </c>
      <c r="Y294" s="84" t="s">
        <v>837</v>
      </c>
      <c r="Z294" s="84" t="s">
        <v>837</v>
      </c>
      <c r="AA294" s="108"/>
      <c r="AB294" s="108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ht="22" customHeight="1">
      <c r="A295" s="66" t="s">
        <v>126</v>
      </c>
      <c r="B295" s="62" t="s">
        <v>1944</v>
      </c>
      <c r="C295" s="62" t="s">
        <v>435</v>
      </c>
      <c r="D295" s="62" t="s">
        <v>436</v>
      </c>
      <c r="E295" s="62" t="s">
        <v>471</v>
      </c>
      <c r="F295" s="62" t="s">
        <v>1945</v>
      </c>
      <c r="G295" s="62" t="s">
        <v>439</v>
      </c>
      <c r="H295" s="62" t="s">
        <v>1120</v>
      </c>
      <c r="I295" s="62">
        <v>40.052366999999997</v>
      </c>
      <c r="J295" s="62">
        <v>-75.069085999999999</v>
      </c>
      <c r="K295" s="62">
        <v>1340</v>
      </c>
      <c r="L295" s="63">
        <v>0.75729999999999997</v>
      </c>
      <c r="M295" s="64">
        <v>1</v>
      </c>
      <c r="N295" s="64" t="s">
        <v>441</v>
      </c>
      <c r="O295" s="64" t="s">
        <v>442</v>
      </c>
      <c r="P295" s="64" t="s">
        <v>443</v>
      </c>
      <c r="Q295" s="64" t="s">
        <v>1946</v>
      </c>
      <c r="R295" s="65" t="s">
        <v>445</v>
      </c>
      <c r="S295" s="1"/>
      <c r="T295" s="84" t="s">
        <v>321</v>
      </c>
      <c r="U295" s="84"/>
      <c r="V295" s="84" t="s">
        <v>1947</v>
      </c>
      <c r="W295" s="84" t="s">
        <v>475</v>
      </c>
      <c r="X295" s="84" t="s">
        <v>475</v>
      </c>
      <c r="Y295" s="84" t="s">
        <v>837</v>
      </c>
      <c r="Z295" s="84" t="s">
        <v>837</v>
      </c>
      <c r="AA295" s="108"/>
      <c r="AB295" s="108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 ht="22" customHeight="1">
      <c r="A296" s="66" t="s">
        <v>294</v>
      </c>
      <c r="B296" s="62" t="s">
        <v>1948</v>
      </c>
      <c r="C296" s="62" t="s">
        <v>435</v>
      </c>
      <c r="D296" s="62" t="s">
        <v>436</v>
      </c>
      <c r="E296" s="62" t="s">
        <v>483</v>
      </c>
      <c r="F296" s="62" t="s">
        <v>1949</v>
      </c>
      <c r="G296" s="62" t="s">
        <v>439</v>
      </c>
      <c r="H296" s="62" t="s">
        <v>927</v>
      </c>
      <c r="I296" s="62">
        <v>40.045775290000002</v>
      </c>
      <c r="J296" s="62">
        <v>-75.044132730000001</v>
      </c>
      <c r="K296" s="62">
        <v>1715</v>
      </c>
      <c r="L296" s="63">
        <v>0.75070000000000003</v>
      </c>
      <c r="M296" s="64">
        <v>2</v>
      </c>
      <c r="N296" s="64" t="s">
        <v>441</v>
      </c>
      <c r="O296" s="64" t="s">
        <v>442</v>
      </c>
      <c r="P296" s="64" t="s">
        <v>443</v>
      </c>
      <c r="Q296" s="64" t="s">
        <v>1950</v>
      </c>
      <c r="R296" s="65" t="s">
        <v>445</v>
      </c>
      <c r="S296" s="1"/>
      <c r="T296" s="84" t="s">
        <v>221</v>
      </c>
      <c r="U296" s="84" t="s">
        <v>1951</v>
      </c>
      <c r="V296" s="84" t="s">
        <v>1952</v>
      </c>
      <c r="W296" s="84" t="s">
        <v>475</v>
      </c>
      <c r="X296" s="84" t="s">
        <v>475</v>
      </c>
      <c r="Y296" s="84" t="s">
        <v>630</v>
      </c>
      <c r="Z296" s="84" t="s">
        <v>630</v>
      </c>
      <c r="AA296" s="108"/>
      <c r="AB296" s="108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 ht="22" customHeight="1">
      <c r="A297" s="66" t="s">
        <v>129</v>
      </c>
      <c r="B297" s="62" t="s">
        <v>1953</v>
      </c>
      <c r="C297" s="62" t="s">
        <v>435</v>
      </c>
      <c r="D297" s="62" t="s">
        <v>436</v>
      </c>
      <c r="E297" s="62" t="s">
        <v>471</v>
      </c>
      <c r="F297" s="62" t="s">
        <v>1954</v>
      </c>
      <c r="G297" s="62" t="s">
        <v>439</v>
      </c>
      <c r="H297" s="62" t="s">
        <v>1955</v>
      </c>
      <c r="I297" s="62">
        <v>40.093316090000002</v>
      </c>
      <c r="J297" s="62">
        <v>-75.052172339999998</v>
      </c>
      <c r="K297" s="62">
        <v>1424</v>
      </c>
      <c r="L297" s="63">
        <v>0.66830000000000001</v>
      </c>
      <c r="M297" s="64">
        <v>0</v>
      </c>
      <c r="N297" s="64" t="s">
        <v>441</v>
      </c>
      <c r="O297" s="64" t="s">
        <v>442</v>
      </c>
      <c r="P297" s="64" t="s">
        <v>443</v>
      </c>
      <c r="Q297" s="64" t="s">
        <v>1956</v>
      </c>
      <c r="R297" s="65" t="s">
        <v>445</v>
      </c>
      <c r="S297" s="1"/>
      <c r="T297" s="84" t="s">
        <v>395</v>
      </c>
      <c r="U297" s="84" t="s">
        <v>1957</v>
      </c>
      <c r="V297" s="84" t="s">
        <v>1958</v>
      </c>
      <c r="W297" s="84" t="s">
        <v>475</v>
      </c>
      <c r="X297" s="84" t="s">
        <v>475</v>
      </c>
      <c r="Y297" s="84" t="s">
        <v>630</v>
      </c>
      <c r="Z297" s="84" t="s">
        <v>630</v>
      </c>
      <c r="AA297" s="108"/>
      <c r="AB297" s="108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ht="22" customHeight="1">
      <c r="A298" s="66" t="s">
        <v>303</v>
      </c>
      <c r="B298" s="62" t="s">
        <v>1959</v>
      </c>
      <c r="C298" s="62" t="s">
        <v>623</v>
      </c>
      <c r="D298" s="62" t="s">
        <v>88</v>
      </c>
      <c r="E298" s="62" t="s">
        <v>624</v>
      </c>
      <c r="F298" s="62" t="s">
        <v>1960</v>
      </c>
      <c r="G298" s="62" t="s">
        <v>439</v>
      </c>
      <c r="H298" s="62" t="s">
        <v>1096</v>
      </c>
      <c r="I298" s="62">
        <v>39.993764339999998</v>
      </c>
      <c r="J298" s="62">
        <v>-75.138018819999999</v>
      </c>
      <c r="K298" s="62">
        <v>200</v>
      </c>
      <c r="L298" s="63"/>
      <c r="M298" s="64">
        <v>13</v>
      </c>
      <c r="N298" s="64" t="s">
        <v>441</v>
      </c>
      <c r="O298" s="64" t="s">
        <v>442</v>
      </c>
      <c r="P298" s="64" t="s">
        <v>443</v>
      </c>
      <c r="Q298" s="64" t="s">
        <v>627</v>
      </c>
      <c r="R298" s="65" t="s">
        <v>445</v>
      </c>
      <c r="S298" s="1"/>
      <c r="T298" s="84" t="s">
        <v>350</v>
      </c>
      <c r="U298" s="84" t="s">
        <v>1961</v>
      </c>
      <c r="V298" s="84" t="s">
        <v>1962</v>
      </c>
      <c r="W298" s="84" t="s">
        <v>475</v>
      </c>
      <c r="X298" s="84" t="s">
        <v>475</v>
      </c>
      <c r="Y298" s="84" t="s">
        <v>630</v>
      </c>
      <c r="Z298" s="84" t="s">
        <v>630</v>
      </c>
      <c r="AA298" s="108"/>
      <c r="AB298" s="108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ht="22" customHeight="1">
      <c r="A299" s="66" t="s">
        <v>154</v>
      </c>
      <c r="B299" s="62" t="s">
        <v>1963</v>
      </c>
      <c r="C299" s="62" t="s">
        <v>435</v>
      </c>
      <c r="D299" s="62" t="s">
        <v>436</v>
      </c>
      <c r="E299" s="62" t="s">
        <v>483</v>
      </c>
      <c r="F299" s="62" t="s">
        <v>1964</v>
      </c>
      <c r="G299" s="62" t="s">
        <v>439</v>
      </c>
      <c r="H299" s="62" t="s">
        <v>1877</v>
      </c>
      <c r="I299" s="62">
        <v>40.029425199999999</v>
      </c>
      <c r="J299" s="62">
        <v>-75.062688410000007</v>
      </c>
      <c r="K299" s="62">
        <v>1018</v>
      </c>
      <c r="L299" s="63">
        <v>0.75070000000000003</v>
      </c>
      <c r="M299" s="64">
        <v>4</v>
      </c>
      <c r="N299" s="64" t="s">
        <v>441</v>
      </c>
      <c r="O299" s="64" t="s">
        <v>442</v>
      </c>
      <c r="P299" s="64" t="s">
        <v>443</v>
      </c>
      <c r="Q299" s="64" t="s">
        <v>1965</v>
      </c>
      <c r="R299" s="65" t="s">
        <v>445</v>
      </c>
      <c r="S299" s="1"/>
      <c r="T299" s="84" t="s">
        <v>181</v>
      </c>
      <c r="U299" s="84" t="s">
        <v>1966</v>
      </c>
      <c r="V299" s="84" t="s">
        <v>1967</v>
      </c>
      <c r="W299" s="84" t="s">
        <v>475</v>
      </c>
      <c r="X299" s="84" t="s">
        <v>475</v>
      </c>
      <c r="Y299" s="84" t="s">
        <v>630</v>
      </c>
      <c r="Z299" s="84" t="s">
        <v>630</v>
      </c>
      <c r="AA299" s="108"/>
      <c r="AB299" s="108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 ht="22" customHeight="1">
      <c r="A300" s="66" t="s">
        <v>236</v>
      </c>
      <c r="B300" s="62" t="s">
        <v>1968</v>
      </c>
      <c r="C300" s="62" t="s">
        <v>435</v>
      </c>
      <c r="D300" s="62" t="s">
        <v>436</v>
      </c>
      <c r="E300" s="62" t="s">
        <v>483</v>
      </c>
      <c r="F300" s="62" t="s">
        <v>1969</v>
      </c>
      <c r="G300" s="62" t="s">
        <v>439</v>
      </c>
      <c r="H300" s="62" t="s">
        <v>927</v>
      </c>
      <c r="I300" s="62">
        <v>40.043921830000002</v>
      </c>
      <c r="J300" s="62">
        <v>-75.024601950000005</v>
      </c>
      <c r="K300" s="62">
        <v>427</v>
      </c>
      <c r="L300" s="63">
        <v>0.80559999999999998</v>
      </c>
      <c r="M300" s="64">
        <v>1</v>
      </c>
      <c r="N300" s="64" t="s">
        <v>441</v>
      </c>
      <c r="O300" s="64" t="s">
        <v>442</v>
      </c>
      <c r="P300" s="64" t="s">
        <v>443</v>
      </c>
      <c r="Q300" s="64" t="s">
        <v>1970</v>
      </c>
      <c r="R300" s="65" t="s">
        <v>445</v>
      </c>
      <c r="S300" s="1"/>
      <c r="T300" s="84" t="s">
        <v>243</v>
      </c>
      <c r="U300" s="84" t="s">
        <v>1971</v>
      </c>
      <c r="V300" s="84" t="s">
        <v>1972</v>
      </c>
      <c r="W300" s="84" t="s">
        <v>475</v>
      </c>
      <c r="X300" s="84" t="s">
        <v>475</v>
      </c>
      <c r="Y300" s="84" t="s">
        <v>630</v>
      </c>
      <c r="Z300" s="84" t="s">
        <v>630</v>
      </c>
      <c r="AA300" s="108"/>
      <c r="AB300" s="108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 ht="22" customHeight="1">
      <c r="A301" s="66" t="s">
        <v>245</v>
      </c>
      <c r="B301" s="62" t="s">
        <v>1973</v>
      </c>
      <c r="C301" s="62" t="s">
        <v>435</v>
      </c>
      <c r="D301" s="62" t="s">
        <v>436</v>
      </c>
      <c r="E301" s="62" t="s">
        <v>490</v>
      </c>
      <c r="F301" s="62" t="s">
        <v>1974</v>
      </c>
      <c r="G301" s="62" t="s">
        <v>439</v>
      </c>
      <c r="H301" s="62" t="s">
        <v>1120</v>
      </c>
      <c r="I301" s="62">
        <v>40.061448409999997</v>
      </c>
      <c r="J301" s="62">
        <v>-75.081550849999999</v>
      </c>
      <c r="K301" s="62">
        <v>318</v>
      </c>
      <c r="L301" s="63">
        <v>0.73580000000000001</v>
      </c>
      <c r="M301" s="64">
        <v>2</v>
      </c>
      <c r="N301" s="64" t="s">
        <v>441</v>
      </c>
      <c r="O301" s="64" t="s">
        <v>442</v>
      </c>
      <c r="P301" s="64" t="s">
        <v>443</v>
      </c>
      <c r="Q301" s="64" t="s">
        <v>1975</v>
      </c>
      <c r="R301" s="65" t="s">
        <v>445</v>
      </c>
      <c r="S301" s="1"/>
      <c r="T301" s="84" t="s">
        <v>132</v>
      </c>
      <c r="U301" s="84" t="s">
        <v>1976</v>
      </c>
      <c r="V301" s="84" t="s">
        <v>1977</v>
      </c>
      <c r="W301" s="84" t="s">
        <v>475</v>
      </c>
      <c r="X301" s="84" t="s">
        <v>475</v>
      </c>
      <c r="Y301" s="84" t="s">
        <v>630</v>
      </c>
      <c r="Z301" s="84" t="s">
        <v>630</v>
      </c>
      <c r="AA301" s="108"/>
      <c r="AB301" s="108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 ht="22" customHeight="1">
      <c r="A302" s="66" t="s">
        <v>195</v>
      </c>
      <c r="B302" s="62" t="s">
        <v>1978</v>
      </c>
      <c r="C302" s="62" t="s">
        <v>435</v>
      </c>
      <c r="D302" s="62" t="s">
        <v>436</v>
      </c>
      <c r="E302" s="62" t="s">
        <v>483</v>
      </c>
      <c r="F302" s="62" t="s">
        <v>1979</v>
      </c>
      <c r="G302" s="62" t="s">
        <v>439</v>
      </c>
      <c r="H302" s="62" t="s">
        <v>1077</v>
      </c>
      <c r="I302" s="62">
        <v>40.02836911</v>
      </c>
      <c r="J302" s="62">
        <v>-75.046589040000001</v>
      </c>
      <c r="K302" s="62">
        <v>686</v>
      </c>
      <c r="L302" s="63">
        <v>0.81479999999999997</v>
      </c>
      <c r="M302" s="64">
        <v>6</v>
      </c>
      <c r="N302" s="64" t="s">
        <v>441</v>
      </c>
      <c r="O302" s="64" t="s">
        <v>442</v>
      </c>
      <c r="P302" s="64" t="s">
        <v>443</v>
      </c>
      <c r="Q302" s="64" t="s">
        <v>1980</v>
      </c>
      <c r="R302" s="65" t="s">
        <v>445</v>
      </c>
      <c r="S302" s="1"/>
      <c r="T302" s="84" t="s">
        <v>257</v>
      </c>
      <c r="U302" s="84" t="s">
        <v>1981</v>
      </c>
      <c r="V302" s="84" t="s">
        <v>1982</v>
      </c>
      <c r="W302" s="84" t="s">
        <v>475</v>
      </c>
      <c r="X302" s="84" t="s">
        <v>475</v>
      </c>
      <c r="Y302" s="84" t="s">
        <v>630</v>
      </c>
      <c r="Z302" s="84" t="s">
        <v>630</v>
      </c>
      <c r="AA302" s="108"/>
      <c r="AB302" s="108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 ht="22" customHeight="1">
      <c r="A303" s="66" t="s">
        <v>147</v>
      </c>
      <c r="B303" s="62" t="s">
        <v>1983</v>
      </c>
      <c r="C303" s="62" t="s">
        <v>435</v>
      </c>
      <c r="D303" s="62" t="s">
        <v>436</v>
      </c>
      <c r="E303" s="62" t="s">
        <v>490</v>
      </c>
      <c r="F303" s="62" t="s">
        <v>1984</v>
      </c>
      <c r="G303" s="62" t="s">
        <v>439</v>
      </c>
      <c r="H303" s="62" t="s">
        <v>927</v>
      </c>
      <c r="I303" s="62">
        <v>40.034439999999996</v>
      </c>
      <c r="J303" s="62">
        <v>-75.035891000000007</v>
      </c>
      <c r="K303" s="62">
        <v>798</v>
      </c>
      <c r="L303" s="63">
        <v>0.77600000000000002</v>
      </c>
      <c r="M303" s="64">
        <v>3</v>
      </c>
      <c r="N303" s="64" t="s">
        <v>441</v>
      </c>
      <c r="O303" s="64" t="s">
        <v>442</v>
      </c>
      <c r="P303" s="64" t="s">
        <v>443</v>
      </c>
      <c r="Q303" s="64" t="s">
        <v>1985</v>
      </c>
      <c r="R303" s="65" t="s">
        <v>445</v>
      </c>
      <c r="S303" s="1"/>
      <c r="T303" s="84" t="s">
        <v>152</v>
      </c>
      <c r="U303" s="84" t="s">
        <v>1986</v>
      </c>
      <c r="V303" s="84" t="s">
        <v>1987</v>
      </c>
      <c r="W303" s="84" t="s">
        <v>475</v>
      </c>
      <c r="X303" s="84" t="s">
        <v>475</v>
      </c>
      <c r="Y303" s="84" t="s">
        <v>630</v>
      </c>
      <c r="Z303" s="84" t="s">
        <v>630</v>
      </c>
      <c r="AA303" s="108"/>
      <c r="AB303" s="108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ht="22" customHeight="1">
      <c r="A304" s="66" t="s">
        <v>167</v>
      </c>
      <c r="B304" s="62" t="s">
        <v>1988</v>
      </c>
      <c r="C304" s="62" t="s">
        <v>435</v>
      </c>
      <c r="D304" s="62" t="s">
        <v>436</v>
      </c>
      <c r="E304" s="62" t="s">
        <v>490</v>
      </c>
      <c r="F304" s="62" t="s">
        <v>1989</v>
      </c>
      <c r="G304" s="62" t="s">
        <v>439</v>
      </c>
      <c r="H304" s="62" t="s">
        <v>1120</v>
      </c>
      <c r="I304" s="62">
        <v>40.076307</v>
      </c>
      <c r="J304" s="62">
        <v>-75.082128999999995</v>
      </c>
      <c r="K304" s="62">
        <v>500</v>
      </c>
      <c r="L304" s="63">
        <v>0.68469999999999998</v>
      </c>
      <c r="M304" s="64">
        <v>2</v>
      </c>
      <c r="N304" s="64" t="s">
        <v>441</v>
      </c>
      <c r="O304" s="64" t="s">
        <v>442</v>
      </c>
      <c r="P304" s="64" t="s">
        <v>443</v>
      </c>
      <c r="Q304" s="64" t="s">
        <v>1990</v>
      </c>
      <c r="R304" s="65" t="s">
        <v>445</v>
      </c>
      <c r="S304" s="1"/>
      <c r="T304" s="84" t="s">
        <v>384</v>
      </c>
      <c r="U304" s="84" t="s">
        <v>1991</v>
      </c>
      <c r="V304" s="84" t="s">
        <v>1992</v>
      </c>
      <c r="W304" s="84" t="s">
        <v>475</v>
      </c>
      <c r="X304" s="84" t="s">
        <v>475</v>
      </c>
      <c r="Y304" s="84" t="s">
        <v>630</v>
      </c>
      <c r="Z304" s="84" t="s">
        <v>630</v>
      </c>
      <c r="AA304" s="108"/>
      <c r="AB304" s="108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ht="22" customHeight="1">
      <c r="A305" s="66" t="s">
        <v>383</v>
      </c>
      <c r="B305" s="62" t="s">
        <v>1993</v>
      </c>
      <c r="C305" s="62" t="s">
        <v>435</v>
      </c>
      <c r="D305" s="62" t="s">
        <v>436</v>
      </c>
      <c r="E305" s="62" t="s">
        <v>483</v>
      </c>
      <c r="F305" s="62" t="s">
        <v>1994</v>
      </c>
      <c r="G305" s="62" t="s">
        <v>439</v>
      </c>
      <c r="H305" s="62" t="s">
        <v>1938</v>
      </c>
      <c r="I305" s="62">
        <v>40.054988000000002</v>
      </c>
      <c r="J305" s="62">
        <v>-75.008965000000003</v>
      </c>
      <c r="K305" s="62">
        <v>801</v>
      </c>
      <c r="L305" s="63">
        <v>0.77980000000000005</v>
      </c>
      <c r="M305" s="64">
        <v>1</v>
      </c>
      <c r="N305" s="64" t="s">
        <v>441</v>
      </c>
      <c r="O305" s="64" t="s">
        <v>442</v>
      </c>
      <c r="P305" s="64" t="s">
        <v>443</v>
      </c>
      <c r="Q305" s="64" t="s">
        <v>1995</v>
      </c>
      <c r="R305" s="65" t="s">
        <v>445</v>
      </c>
      <c r="S305" s="1"/>
      <c r="T305" s="84" t="s">
        <v>120</v>
      </c>
      <c r="U305" s="84" t="s">
        <v>1996</v>
      </c>
      <c r="V305" s="84" t="s">
        <v>1997</v>
      </c>
      <c r="W305" s="84" t="s">
        <v>475</v>
      </c>
      <c r="X305" s="84" t="s">
        <v>475</v>
      </c>
      <c r="Y305" s="84" t="s">
        <v>630</v>
      </c>
      <c r="Z305" s="84" t="s">
        <v>630</v>
      </c>
      <c r="AA305" s="108"/>
      <c r="AB305" s="108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 ht="22" customHeight="1">
      <c r="A306" s="66" t="s">
        <v>286</v>
      </c>
      <c r="B306" s="62" t="s">
        <v>1998</v>
      </c>
      <c r="C306" s="62" t="s">
        <v>435</v>
      </c>
      <c r="D306" s="62" t="s">
        <v>436</v>
      </c>
      <c r="E306" s="62" t="s">
        <v>483</v>
      </c>
      <c r="F306" s="62" t="s">
        <v>1999</v>
      </c>
      <c r="G306" s="62" t="s">
        <v>439</v>
      </c>
      <c r="H306" s="62" t="s">
        <v>1877</v>
      </c>
      <c r="I306" s="62">
        <v>40.039454360000001</v>
      </c>
      <c r="J306" s="62">
        <v>-75.053393319999998</v>
      </c>
      <c r="K306" s="62">
        <v>1746</v>
      </c>
      <c r="L306" s="63">
        <v>0.73850000000000005</v>
      </c>
      <c r="M306" s="64">
        <v>2</v>
      </c>
      <c r="N306" s="64" t="s">
        <v>441</v>
      </c>
      <c r="O306" s="64" t="s">
        <v>442</v>
      </c>
      <c r="P306" s="64" t="s">
        <v>443</v>
      </c>
      <c r="Q306" s="64" t="s">
        <v>2000</v>
      </c>
      <c r="R306" s="65" t="s">
        <v>445</v>
      </c>
      <c r="S306" s="1"/>
      <c r="T306" s="84" t="s">
        <v>103</v>
      </c>
      <c r="U306" s="84" t="s">
        <v>2001</v>
      </c>
      <c r="V306" s="84" t="s">
        <v>2002</v>
      </c>
      <c r="W306" s="84" t="s">
        <v>475</v>
      </c>
      <c r="X306" s="84" t="s">
        <v>475</v>
      </c>
      <c r="Y306" s="84" t="s">
        <v>630</v>
      </c>
      <c r="Z306" s="84" t="s">
        <v>630</v>
      </c>
      <c r="AA306" s="108"/>
      <c r="AB306" s="108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ht="22" customHeight="1">
      <c r="A307" s="66" t="s">
        <v>213</v>
      </c>
      <c r="B307" s="62" t="s">
        <v>2003</v>
      </c>
      <c r="C307" s="62" t="s">
        <v>435</v>
      </c>
      <c r="D307" s="62" t="s">
        <v>436</v>
      </c>
      <c r="E307" s="62" t="s">
        <v>490</v>
      </c>
      <c r="F307" s="62" t="s">
        <v>2004</v>
      </c>
      <c r="G307" s="62" t="s">
        <v>439</v>
      </c>
      <c r="H307" s="62" t="s">
        <v>1120</v>
      </c>
      <c r="I307" s="62">
        <v>40.049135</v>
      </c>
      <c r="J307" s="62">
        <v>-75.076911999999993</v>
      </c>
      <c r="K307" s="62">
        <v>1162</v>
      </c>
      <c r="L307" s="63">
        <v>0.77949999999999997</v>
      </c>
      <c r="M307" s="64">
        <v>2</v>
      </c>
      <c r="N307" s="64" t="s">
        <v>441</v>
      </c>
      <c r="O307" s="64" t="s">
        <v>442</v>
      </c>
      <c r="P307" s="64" t="s">
        <v>443</v>
      </c>
      <c r="Q307" s="64" t="s">
        <v>2005</v>
      </c>
      <c r="R307" s="65" t="s">
        <v>445</v>
      </c>
      <c r="S307" s="1"/>
      <c r="T307" s="84" t="s">
        <v>169</v>
      </c>
      <c r="U307" s="84" t="s">
        <v>2006</v>
      </c>
      <c r="V307" s="84" t="s">
        <v>2007</v>
      </c>
      <c r="W307" s="84" t="s">
        <v>475</v>
      </c>
      <c r="X307" s="84" t="s">
        <v>475</v>
      </c>
      <c r="Y307" s="84" t="s">
        <v>630</v>
      </c>
      <c r="Z307" s="84" t="s">
        <v>630</v>
      </c>
      <c r="AA307" s="108"/>
      <c r="AB307" s="108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 ht="22" customHeight="1">
      <c r="A308" s="66" t="s">
        <v>358</v>
      </c>
      <c r="B308" s="62" t="s">
        <v>2008</v>
      </c>
      <c r="C308" s="62" t="s">
        <v>435</v>
      </c>
      <c r="D308" s="62" t="s">
        <v>436</v>
      </c>
      <c r="E308" s="62" t="s">
        <v>490</v>
      </c>
      <c r="F308" s="62" t="s">
        <v>2009</v>
      </c>
      <c r="G308" s="62" t="s">
        <v>439</v>
      </c>
      <c r="H308" s="62" t="s">
        <v>1877</v>
      </c>
      <c r="I308" s="62">
        <v>40.044643999999998</v>
      </c>
      <c r="J308" s="62">
        <v>-75.064724999999996</v>
      </c>
      <c r="K308" s="62">
        <v>1354</v>
      </c>
      <c r="L308" s="63">
        <v>0.79020000000000001</v>
      </c>
      <c r="M308" s="64">
        <v>3</v>
      </c>
      <c r="N308" s="64" t="s">
        <v>441</v>
      </c>
      <c r="O308" s="64" t="s">
        <v>442</v>
      </c>
      <c r="P308" s="64" t="s">
        <v>443</v>
      </c>
      <c r="Q308" s="64" t="s">
        <v>2010</v>
      </c>
      <c r="R308" s="65" t="s">
        <v>445</v>
      </c>
      <c r="S308" s="1"/>
      <c r="T308" s="84" t="s">
        <v>162</v>
      </c>
      <c r="U308" s="84" t="s">
        <v>2011</v>
      </c>
      <c r="V308" s="84" t="s">
        <v>2012</v>
      </c>
      <c r="W308" s="84" t="s">
        <v>475</v>
      </c>
      <c r="X308" s="84" t="s">
        <v>475</v>
      </c>
      <c r="Y308" s="84" t="s">
        <v>630</v>
      </c>
      <c r="Z308" s="84" t="s">
        <v>630</v>
      </c>
      <c r="AA308" s="108"/>
      <c r="AB308" s="108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ht="22" customHeight="1">
      <c r="A309" s="66" t="s">
        <v>187</v>
      </c>
      <c r="B309" s="62" t="s">
        <v>2013</v>
      </c>
      <c r="C309" s="62" t="s">
        <v>435</v>
      </c>
      <c r="D309" s="62" t="s">
        <v>436</v>
      </c>
      <c r="E309" s="62" t="s">
        <v>483</v>
      </c>
      <c r="F309" s="62" t="s">
        <v>2014</v>
      </c>
      <c r="G309" s="62" t="s">
        <v>439</v>
      </c>
      <c r="H309" s="62" t="s">
        <v>1877</v>
      </c>
      <c r="I309" s="62">
        <v>40.037561420000003</v>
      </c>
      <c r="J309" s="62">
        <v>-75.072329359999998</v>
      </c>
      <c r="K309" s="62">
        <v>1259</v>
      </c>
      <c r="L309" s="63">
        <v>0.78769999999999996</v>
      </c>
      <c r="M309" s="64">
        <v>4</v>
      </c>
      <c r="N309" s="64" t="s">
        <v>441</v>
      </c>
      <c r="O309" s="64" t="s">
        <v>442</v>
      </c>
      <c r="P309" s="64" t="s">
        <v>443</v>
      </c>
      <c r="Q309" s="64" t="s">
        <v>2015</v>
      </c>
      <c r="R309" s="65" t="s">
        <v>445</v>
      </c>
      <c r="S309" s="1"/>
      <c r="T309" s="84" t="s">
        <v>242</v>
      </c>
      <c r="U309" s="84" t="s">
        <v>2016</v>
      </c>
      <c r="V309" s="84" t="s">
        <v>2017</v>
      </c>
      <c r="W309" s="84" t="s">
        <v>475</v>
      </c>
      <c r="X309" s="84" t="s">
        <v>475</v>
      </c>
      <c r="Y309" s="84" t="s">
        <v>630</v>
      </c>
      <c r="Z309" s="84" t="s">
        <v>630</v>
      </c>
      <c r="AA309" s="108"/>
      <c r="AB309" s="108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ht="22" customHeight="1">
      <c r="A310" s="66" t="s">
        <v>336</v>
      </c>
      <c r="B310" s="62" t="s">
        <v>2018</v>
      </c>
      <c r="C310" s="62" t="s">
        <v>435</v>
      </c>
      <c r="D310" s="62" t="s">
        <v>436</v>
      </c>
      <c r="E310" s="62" t="s">
        <v>490</v>
      </c>
      <c r="F310" s="62" t="s">
        <v>2019</v>
      </c>
      <c r="G310" s="62" t="s">
        <v>439</v>
      </c>
      <c r="H310" s="62" t="s">
        <v>1588</v>
      </c>
      <c r="I310" s="62">
        <v>40.058696009999998</v>
      </c>
      <c r="J310" s="62">
        <v>-75.058981660000001</v>
      </c>
      <c r="K310" s="62">
        <v>584</v>
      </c>
      <c r="L310" s="63">
        <v>0.76370000000000005</v>
      </c>
      <c r="M310" s="64">
        <v>0</v>
      </c>
      <c r="N310" s="64" t="s">
        <v>441</v>
      </c>
      <c r="O310" s="64" t="s">
        <v>442</v>
      </c>
      <c r="P310" s="64" t="s">
        <v>443</v>
      </c>
      <c r="Q310" s="64" t="s">
        <v>2020</v>
      </c>
      <c r="R310" s="65" t="s">
        <v>445</v>
      </c>
      <c r="S310" s="1"/>
      <c r="T310" s="84" t="s">
        <v>201</v>
      </c>
      <c r="U310" s="84" t="s">
        <v>2021</v>
      </c>
      <c r="V310" s="84" t="s">
        <v>2022</v>
      </c>
      <c r="W310" s="84" t="s">
        <v>475</v>
      </c>
      <c r="X310" s="84" t="s">
        <v>475</v>
      </c>
      <c r="Y310" s="84" t="s">
        <v>630</v>
      </c>
      <c r="Z310" s="84" t="s">
        <v>630</v>
      </c>
      <c r="AA310" s="108"/>
      <c r="AB310" s="108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 ht="22" customHeight="1">
      <c r="A311" s="66" t="s">
        <v>396</v>
      </c>
      <c r="B311" s="62" t="s">
        <v>2023</v>
      </c>
      <c r="C311" s="62" t="s">
        <v>435</v>
      </c>
      <c r="D311" s="62" t="s">
        <v>436</v>
      </c>
      <c r="E311" s="62" t="s">
        <v>490</v>
      </c>
      <c r="F311" s="62" t="s">
        <v>2024</v>
      </c>
      <c r="G311" s="62" t="s">
        <v>439</v>
      </c>
      <c r="H311" s="62" t="s">
        <v>876</v>
      </c>
      <c r="I311" s="62">
        <v>40.120964860000001</v>
      </c>
      <c r="J311" s="62">
        <v>-75.009108800000007</v>
      </c>
      <c r="K311" s="62">
        <v>660</v>
      </c>
      <c r="L311" s="63">
        <v>0.66559999999999997</v>
      </c>
      <c r="M311" s="64">
        <v>1</v>
      </c>
      <c r="N311" s="64" t="s">
        <v>441</v>
      </c>
      <c r="O311" s="64" t="s">
        <v>442</v>
      </c>
      <c r="P311" s="64" t="s">
        <v>443</v>
      </c>
      <c r="Q311" s="64" t="s">
        <v>2025</v>
      </c>
      <c r="R311" s="65" t="s">
        <v>445</v>
      </c>
      <c r="S311" s="1"/>
      <c r="T311" s="84" t="s">
        <v>218</v>
      </c>
      <c r="U311" s="84" t="s">
        <v>2026</v>
      </c>
      <c r="V311" s="84" t="s">
        <v>2027</v>
      </c>
      <c r="W311" s="84" t="s">
        <v>475</v>
      </c>
      <c r="X311" s="84" t="s">
        <v>475</v>
      </c>
      <c r="Y311" s="84" t="s">
        <v>630</v>
      </c>
      <c r="Z311" s="84" t="s">
        <v>630</v>
      </c>
      <c r="AA311" s="108"/>
      <c r="AB311" s="108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ht="22" customHeight="1">
      <c r="A312" s="66" t="s">
        <v>261</v>
      </c>
      <c r="B312" s="62" t="s">
        <v>2028</v>
      </c>
      <c r="C312" s="62" t="s">
        <v>435</v>
      </c>
      <c r="D312" s="62" t="s">
        <v>436</v>
      </c>
      <c r="E312" s="62" t="s">
        <v>483</v>
      </c>
      <c r="F312" s="62" t="s">
        <v>2029</v>
      </c>
      <c r="G312" s="62" t="s">
        <v>439</v>
      </c>
      <c r="H312" s="62" t="s">
        <v>1588</v>
      </c>
      <c r="I312" s="62">
        <v>40.066571619999998</v>
      </c>
      <c r="J312" s="62">
        <v>-75.052414760000005</v>
      </c>
      <c r="K312" s="62">
        <v>1255</v>
      </c>
      <c r="L312" s="63">
        <v>0.71479999999999999</v>
      </c>
      <c r="M312" s="64">
        <v>0</v>
      </c>
      <c r="N312" s="64" t="s">
        <v>441</v>
      </c>
      <c r="O312" s="64" t="s">
        <v>442</v>
      </c>
      <c r="P312" s="64" t="s">
        <v>443</v>
      </c>
      <c r="Q312" s="64" t="s">
        <v>2030</v>
      </c>
      <c r="R312" s="65" t="s">
        <v>445</v>
      </c>
      <c r="S312" s="1"/>
      <c r="T312" s="84" t="s">
        <v>231</v>
      </c>
      <c r="U312" s="84" t="s">
        <v>2031</v>
      </c>
      <c r="V312" s="84" t="s">
        <v>2032</v>
      </c>
      <c r="W312" s="84" t="s">
        <v>475</v>
      </c>
      <c r="X312" s="84" t="s">
        <v>475</v>
      </c>
      <c r="Y312" s="84" t="s">
        <v>630</v>
      </c>
      <c r="Z312" s="84" t="s">
        <v>630</v>
      </c>
      <c r="AA312" s="108"/>
      <c r="AB312" s="108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 ht="22" customHeight="1">
      <c r="A313" s="66" t="s">
        <v>105</v>
      </c>
      <c r="B313" s="62" t="s">
        <v>2033</v>
      </c>
      <c r="C313" s="62" t="s">
        <v>435</v>
      </c>
      <c r="D313" s="62" t="s">
        <v>436</v>
      </c>
      <c r="E313" s="62" t="s">
        <v>483</v>
      </c>
      <c r="F313" s="62" t="s">
        <v>2034</v>
      </c>
      <c r="G313" s="62" t="s">
        <v>439</v>
      </c>
      <c r="H313" s="62" t="s">
        <v>1264</v>
      </c>
      <c r="I313" s="62">
        <v>40.080306</v>
      </c>
      <c r="J313" s="62">
        <v>-74.976528999999999</v>
      </c>
      <c r="K313" s="62">
        <v>868</v>
      </c>
      <c r="L313" s="63">
        <v>0.71760000000000002</v>
      </c>
      <c r="M313" s="64">
        <v>0</v>
      </c>
      <c r="N313" s="64" t="s">
        <v>441</v>
      </c>
      <c r="O313" s="64" t="s">
        <v>442</v>
      </c>
      <c r="P313" s="64" t="s">
        <v>443</v>
      </c>
      <c r="Q313" s="64" t="s">
        <v>2035</v>
      </c>
      <c r="R313" s="65" t="s">
        <v>445</v>
      </c>
      <c r="S313" s="1"/>
      <c r="T313" s="84" t="s">
        <v>193</v>
      </c>
      <c r="U313" s="84" t="s">
        <v>2036</v>
      </c>
      <c r="V313" s="84" t="s">
        <v>2037</v>
      </c>
      <c r="W313" s="84" t="s">
        <v>475</v>
      </c>
      <c r="X313" s="84" t="s">
        <v>475</v>
      </c>
      <c r="Y313" s="84" t="s">
        <v>630</v>
      </c>
      <c r="Z313" s="84" t="s">
        <v>630</v>
      </c>
      <c r="AA313" s="108"/>
      <c r="AB313" s="108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ht="22" customHeight="1">
      <c r="A314" s="66" t="s">
        <v>111</v>
      </c>
      <c r="B314" s="62" t="s">
        <v>2038</v>
      </c>
      <c r="C314" s="62" t="s">
        <v>435</v>
      </c>
      <c r="D314" s="62" t="s">
        <v>436</v>
      </c>
      <c r="E314" s="62" t="s">
        <v>490</v>
      </c>
      <c r="F314" s="62" t="s">
        <v>2039</v>
      </c>
      <c r="G314" s="62" t="s">
        <v>439</v>
      </c>
      <c r="H314" s="62" t="s">
        <v>1955</v>
      </c>
      <c r="I314" s="62">
        <v>40.088287999999999</v>
      </c>
      <c r="J314" s="62">
        <v>-75.028222</v>
      </c>
      <c r="K314" s="62">
        <v>1687</v>
      </c>
      <c r="L314" s="63">
        <v>0.68479999999999996</v>
      </c>
      <c r="M314" s="64">
        <v>2</v>
      </c>
      <c r="N314" s="64" t="s">
        <v>441</v>
      </c>
      <c r="O314" s="64" t="s">
        <v>442</v>
      </c>
      <c r="P314" s="64" t="s">
        <v>443</v>
      </c>
      <c r="Q314" s="64" t="s">
        <v>2040</v>
      </c>
      <c r="R314" s="65" t="s">
        <v>445</v>
      </c>
      <c r="S314" s="1"/>
      <c r="T314" s="84" t="s">
        <v>102</v>
      </c>
      <c r="U314" s="84" t="s">
        <v>2041</v>
      </c>
      <c r="V314" s="84" t="s">
        <v>2042</v>
      </c>
      <c r="W314" s="84" t="s">
        <v>475</v>
      </c>
      <c r="X314" s="84" t="s">
        <v>475</v>
      </c>
      <c r="Y314" s="84" t="s">
        <v>630</v>
      </c>
      <c r="Z314" s="84" t="s">
        <v>630</v>
      </c>
      <c r="AA314" s="108"/>
      <c r="AB314" s="108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ht="22" customHeight="1">
      <c r="A315" s="66" t="s">
        <v>340</v>
      </c>
      <c r="B315" s="62" t="s">
        <v>2043</v>
      </c>
      <c r="C315" s="62" t="s">
        <v>435</v>
      </c>
      <c r="D315" s="62" t="s">
        <v>436</v>
      </c>
      <c r="E315" s="62" t="s">
        <v>483</v>
      </c>
      <c r="F315" s="62" t="s">
        <v>2044</v>
      </c>
      <c r="G315" s="62" t="s">
        <v>439</v>
      </c>
      <c r="H315" s="62" t="s">
        <v>1588</v>
      </c>
      <c r="I315" s="62">
        <v>40.060116000000001</v>
      </c>
      <c r="J315" s="62">
        <v>-75.02713</v>
      </c>
      <c r="K315" s="62">
        <v>900</v>
      </c>
      <c r="L315" s="63">
        <v>0.73409999999999997</v>
      </c>
      <c r="M315" s="64">
        <v>2</v>
      </c>
      <c r="N315" s="64" t="s">
        <v>441</v>
      </c>
      <c r="O315" s="64" t="s">
        <v>442</v>
      </c>
      <c r="P315" s="64" t="s">
        <v>443</v>
      </c>
      <c r="Q315" s="64" t="s">
        <v>2045</v>
      </c>
      <c r="R315" s="65" t="s">
        <v>445</v>
      </c>
      <c r="S315" s="1"/>
      <c r="T315" s="84" t="s">
        <v>108</v>
      </c>
      <c r="U315" s="84" t="s">
        <v>2046</v>
      </c>
      <c r="V315" s="84" t="s">
        <v>2047</v>
      </c>
      <c r="W315" s="84" t="s">
        <v>475</v>
      </c>
      <c r="X315" s="84" t="s">
        <v>475</v>
      </c>
      <c r="Y315" s="84" t="s">
        <v>630</v>
      </c>
      <c r="Z315" s="84" t="s">
        <v>630</v>
      </c>
      <c r="AA315" s="108"/>
      <c r="AB315" s="108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ht="22" customHeight="1">
      <c r="A316" s="66" t="s">
        <v>364</v>
      </c>
      <c r="B316" s="62" t="s">
        <v>2048</v>
      </c>
      <c r="C316" s="62" t="s">
        <v>435</v>
      </c>
      <c r="D316" s="62" t="s">
        <v>436</v>
      </c>
      <c r="E316" s="62" t="s">
        <v>483</v>
      </c>
      <c r="F316" s="62" t="s">
        <v>2049</v>
      </c>
      <c r="G316" s="62" t="s">
        <v>439</v>
      </c>
      <c r="H316" s="62" t="s">
        <v>1264</v>
      </c>
      <c r="I316" s="62">
        <v>40.095818000000001</v>
      </c>
      <c r="J316" s="62">
        <v>-74.970534999999998</v>
      </c>
      <c r="K316" s="62">
        <v>1041</v>
      </c>
      <c r="L316" s="63">
        <v>0.66920000000000002</v>
      </c>
      <c r="M316" s="64">
        <v>1</v>
      </c>
      <c r="N316" s="64" t="s">
        <v>441</v>
      </c>
      <c r="O316" s="64" t="s">
        <v>442</v>
      </c>
      <c r="P316" s="64" t="s">
        <v>443</v>
      </c>
      <c r="Q316" s="64" t="s">
        <v>2050</v>
      </c>
      <c r="R316" s="65" t="s">
        <v>445</v>
      </c>
      <c r="S316" s="1"/>
      <c r="T316" s="84" t="s">
        <v>299</v>
      </c>
      <c r="U316" s="84" t="s">
        <v>2051</v>
      </c>
      <c r="V316" s="84" t="s">
        <v>2052</v>
      </c>
      <c r="W316" s="84" t="s">
        <v>475</v>
      </c>
      <c r="X316" s="84" t="s">
        <v>475</v>
      </c>
      <c r="Y316" s="84" t="s">
        <v>630</v>
      </c>
      <c r="Z316" s="84" t="s">
        <v>630</v>
      </c>
      <c r="AA316" s="108"/>
      <c r="AB316" s="108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ht="22" customHeight="1">
      <c r="A317" s="66" t="s">
        <v>235</v>
      </c>
      <c r="B317" s="62" t="s">
        <v>2053</v>
      </c>
      <c r="C317" s="62" t="s">
        <v>435</v>
      </c>
      <c r="D317" s="62" t="s">
        <v>436</v>
      </c>
      <c r="E317" s="62" t="s">
        <v>483</v>
      </c>
      <c r="F317" s="62" t="s">
        <v>2054</v>
      </c>
      <c r="G317" s="62" t="s">
        <v>439</v>
      </c>
      <c r="H317" s="62" t="s">
        <v>1955</v>
      </c>
      <c r="I317" s="62">
        <v>40.09608652</v>
      </c>
      <c r="J317" s="62">
        <v>-75.057711019999999</v>
      </c>
      <c r="K317" s="62">
        <v>1048</v>
      </c>
      <c r="L317" s="63">
        <v>0.52339999999999998</v>
      </c>
      <c r="M317" s="64">
        <v>0</v>
      </c>
      <c r="N317" s="64" t="s">
        <v>441</v>
      </c>
      <c r="O317" s="64" t="s">
        <v>442</v>
      </c>
      <c r="P317" s="64" t="s">
        <v>443</v>
      </c>
      <c r="Q317" s="64" t="s">
        <v>2055</v>
      </c>
      <c r="R317" s="65" t="s">
        <v>445</v>
      </c>
      <c r="S317" s="1"/>
      <c r="T317" s="84" t="s">
        <v>216</v>
      </c>
      <c r="U317" s="84" t="s">
        <v>2056</v>
      </c>
      <c r="V317" s="84" t="s">
        <v>2057</v>
      </c>
      <c r="W317" s="84" t="s">
        <v>475</v>
      </c>
      <c r="X317" s="84" t="s">
        <v>475</v>
      </c>
      <c r="Y317" s="84" t="s">
        <v>630</v>
      </c>
      <c r="Z317" s="84" t="s">
        <v>630</v>
      </c>
      <c r="AA317" s="108"/>
      <c r="AB317" s="108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 ht="22" customHeight="1">
      <c r="A318" s="66" t="s">
        <v>407</v>
      </c>
      <c r="B318" s="62" t="s">
        <v>2058</v>
      </c>
      <c r="C318" s="62" t="s">
        <v>435</v>
      </c>
      <c r="D318" s="62" t="s">
        <v>436</v>
      </c>
      <c r="E318" s="62" t="s">
        <v>490</v>
      </c>
      <c r="F318" s="62" t="s">
        <v>2059</v>
      </c>
      <c r="G318" s="62" t="s">
        <v>439</v>
      </c>
      <c r="H318" s="62" t="s">
        <v>876</v>
      </c>
      <c r="I318" s="62">
        <v>40.113583640000002</v>
      </c>
      <c r="J318" s="62">
        <v>-75.023867839999994</v>
      </c>
      <c r="K318" s="62">
        <v>1276</v>
      </c>
      <c r="L318" s="63">
        <v>0.73460000000000003</v>
      </c>
      <c r="M318" s="64">
        <v>4</v>
      </c>
      <c r="N318" s="64" t="s">
        <v>441</v>
      </c>
      <c r="O318" s="64" t="s">
        <v>442</v>
      </c>
      <c r="P318" s="64" t="s">
        <v>443</v>
      </c>
      <c r="Q318" s="64" t="s">
        <v>2060</v>
      </c>
      <c r="R318" s="65" t="s">
        <v>445</v>
      </c>
      <c r="S318" s="1"/>
      <c r="T318" s="84" t="s">
        <v>116</v>
      </c>
      <c r="U318" s="84" t="s">
        <v>2061</v>
      </c>
      <c r="V318" s="84" t="s">
        <v>2062</v>
      </c>
      <c r="W318" s="84" t="s">
        <v>475</v>
      </c>
      <c r="X318" s="84" t="s">
        <v>475</v>
      </c>
      <c r="Y318" s="84" t="s">
        <v>630</v>
      </c>
      <c r="Z318" s="84" t="s">
        <v>630</v>
      </c>
      <c r="AA318" s="108"/>
      <c r="AB318" s="108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ht="22" customHeight="1">
      <c r="A319" s="66" t="s">
        <v>416</v>
      </c>
      <c r="B319" s="62" t="s">
        <v>2063</v>
      </c>
      <c r="C319" s="62" t="s">
        <v>623</v>
      </c>
      <c r="D319" s="62" t="s">
        <v>88</v>
      </c>
      <c r="E319" s="62" t="s">
        <v>624</v>
      </c>
      <c r="F319" s="62" t="s">
        <v>2064</v>
      </c>
      <c r="G319" s="62" t="s">
        <v>439</v>
      </c>
      <c r="H319" s="62" t="s">
        <v>807</v>
      </c>
      <c r="I319" s="62">
        <v>39.994464299999997</v>
      </c>
      <c r="J319" s="62">
        <v>-75.154127599999995</v>
      </c>
      <c r="K319" s="62">
        <v>127</v>
      </c>
      <c r="L319" s="63"/>
      <c r="M319" s="64">
        <v>15</v>
      </c>
      <c r="N319" s="64" t="s">
        <v>441</v>
      </c>
      <c r="O319" s="64" t="s">
        <v>442</v>
      </c>
      <c r="P319" s="64" t="s">
        <v>443</v>
      </c>
      <c r="Q319" s="64" t="s">
        <v>627</v>
      </c>
      <c r="R319" s="65" t="s">
        <v>445</v>
      </c>
      <c r="S319" s="1"/>
      <c r="T319" s="84" t="s">
        <v>408</v>
      </c>
      <c r="U319" s="84" t="s">
        <v>2065</v>
      </c>
      <c r="V319" s="84" t="s">
        <v>2066</v>
      </c>
      <c r="W319" s="84" t="s">
        <v>475</v>
      </c>
      <c r="X319" s="84" t="s">
        <v>475</v>
      </c>
      <c r="Y319" s="84" t="s">
        <v>630</v>
      </c>
      <c r="Z319" s="84" t="s">
        <v>630</v>
      </c>
      <c r="AA319" s="108"/>
      <c r="AB319" s="108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ht="22" customHeight="1">
      <c r="A320" s="66" t="s">
        <v>327</v>
      </c>
      <c r="B320" s="62" t="s">
        <v>2067</v>
      </c>
      <c r="C320" s="62" t="s">
        <v>435</v>
      </c>
      <c r="D320" s="62" t="s">
        <v>436</v>
      </c>
      <c r="E320" s="62" t="s">
        <v>624</v>
      </c>
      <c r="F320" s="62" t="s">
        <v>753</v>
      </c>
      <c r="G320" s="62" t="s">
        <v>439</v>
      </c>
      <c r="H320" s="62" t="s">
        <v>456</v>
      </c>
      <c r="I320" s="62">
        <v>39.969713710000001</v>
      </c>
      <c r="J320" s="62">
        <v>-75.210135210000004</v>
      </c>
      <c r="K320" s="62">
        <v>60</v>
      </c>
      <c r="L320" s="63">
        <v>0.89829999999999999</v>
      </c>
      <c r="M320" s="64">
        <v>11</v>
      </c>
      <c r="N320" s="64" t="s">
        <v>441</v>
      </c>
      <c r="O320" s="64" t="s">
        <v>442</v>
      </c>
      <c r="P320" s="64" t="s">
        <v>443</v>
      </c>
      <c r="Q320" s="64" t="s">
        <v>2068</v>
      </c>
      <c r="R320" s="65" t="s">
        <v>445</v>
      </c>
      <c r="S320" s="1"/>
      <c r="T320" s="84" t="s">
        <v>123</v>
      </c>
      <c r="U320" s="84" t="s">
        <v>2069</v>
      </c>
      <c r="V320" s="84" t="s">
        <v>2070</v>
      </c>
      <c r="W320" s="84" t="s">
        <v>475</v>
      </c>
      <c r="X320" s="84" t="s">
        <v>475</v>
      </c>
      <c r="Y320" s="84" t="s">
        <v>630</v>
      </c>
      <c r="Z320" s="84" t="s">
        <v>630</v>
      </c>
      <c r="AA320" s="108"/>
      <c r="AB320" s="108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ht="22" customHeight="1">
      <c r="A321" s="66" t="s">
        <v>326</v>
      </c>
      <c r="B321" s="62" t="s">
        <v>2071</v>
      </c>
      <c r="C321" s="62" t="s">
        <v>435</v>
      </c>
      <c r="D321" s="62" t="s">
        <v>436</v>
      </c>
      <c r="E321" s="62" t="s">
        <v>624</v>
      </c>
      <c r="F321" s="62" t="s">
        <v>757</v>
      </c>
      <c r="G321" s="62" t="s">
        <v>439</v>
      </c>
      <c r="H321" s="62" t="s">
        <v>758</v>
      </c>
      <c r="I321" s="62">
        <v>40.014255249999998</v>
      </c>
      <c r="J321" s="62">
        <v>-75.125996790000002</v>
      </c>
      <c r="K321" s="62">
        <v>67</v>
      </c>
      <c r="L321" s="63">
        <v>0.90159999999999996</v>
      </c>
      <c r="M321" s="64">
        <v>10</v>
      </c>
      <c r="N321" s="64" t="s">
        <v>441</v>
      </c>
      <c r="O321" s="64" t="s">
        <v>442</v>
      </c>
      <c r="P321" s="64" t="s">
        <v>443</v>
      </c>
      <c r="Q321" s="64" t="s">
        <v>2072</v>
      </c>
      <c r="R321" s="65" t="s">
        <v>445</v>
      </c>
      <c r="S321" s="1"/>
      <c r="T321" s="84" t="s">
        <v>334</v>
      </c>
      <c r="U321" s="84" t="s">
        <v>2073</v>
      </c>
      <c r="V321" s="84" t="s">
        <v>2074</v>
      </c>
      <c r="W321" s="84" t="s">
        <v>475</v>
      </c>
      <c r="X321" s="84" t="s">
        <v>475</v>
      </c>
      <c r="Y321" s="84" t="s">
        <v>630</v>
      </c>
      <c r="Z321" s="84" t="s">
        <v>630</v>
      </c>
      <c r="AA321" s="108"/>
      <c r="AB321" s="108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ht="22" customHeight="1">
      <c r="A322" s="66" t="s">
        <v>317</v>
      </c>
      <c r="B322" s="62" t="s">
        <v>2075</v>
      </c>
      <c r="C322" s="62" t="s">
        <v>435</v>
      </c>
      <c r="D322" s="62" t="s">
        <v>436</v>
      </c>
      <c r="E322" s="62" t="s">
        <v>624</v>
      </c>
      <c r="F322" s="62" t="s">
        <v>2076</v>
      </c>
      <c r="G322" s="62" t="s">
        <v>439</v>
      </c>
      <c r="H322" s="62" t="s">
        <v>927</v>
      </c>
      <c r="I322" s="62">
        <v>40.032021</v>
      </c>
      <c r="J322" s="62">
        <v>-75.019689</v>
      </c>
      <c r="K322" s="62">
        <v>75</v>
      </c>
      <c r="L322" s="63"/>
      <c r="M322" s="64">
        <v>2</v>
      </c>
      <c r="N322" s="64" t="s">
        <v>441</v>
      </c>
      <c r="O322" s="64" t="s">
        <v>442</v>
      </c>
      <c r="P322" s="64" t="s">
        <v>443</v>
      </c>
      <c r="Q322" s="64" t="s">
        <v>627</v>
      </c>
      <c r="R322" s="65" t="s">
        <v>445</v>
      </c>
      <c r="S322" s="1"/>
      <c r="T322" s="84" t="s">
        <v>163</v>
      </c>
      <c r="U322" s="84" t="s">
        <v>2077</v>
      </c>
      <c r="V322" s="84" t="s">
        <v>2078</v>
      </c>
      <c r="W322" s="84" t="s">
        <v>475</v>
      </c>
      <c r="X322" s="84" t="s">
        <v>475</v>
      </c>
      <c r="Y322" s="84" t="s">
        <v>630</v>
      </c>
      <c r="Z322" s="84" t="s">
        <v>630</v>
      </c>
      <c r="AA322" s="108"/>
      <c r="AB322" s="108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ht="22" customHeight="1">
      <c r="A323" s="66" t="s">
        <v>379</v>
      </c>
      <c r="B323" s="62" t="s">
        <v>2079</v>
      </c>
      <c r="C323" s="62" t="s">
        <v>435</v>
      </c>
      <c r="D323" s="62" t="s">
        <v>436</v>
      </c>
      <c r="E323" s="62" t="s">
        <v>437</v>
      </c>
      <c r="F323" s="62" t="s">
        <v>2080</v>
      </c>
      <c r="G323" s="62" t="s">
        <v>439</v>
      </c>
      <c r="H323" s="62" t="s">
        <v>450</v>
      </c>
      <c r="I323" s="62">
        <v>39.955305889999998</v>
      </c>
      <c r="J323" s="62">
        <v>-75.218553290000003</v>
      </c>
      <c r="K323" s="62">
        <v>233</v>
      </c>
      <c r="L323" s="63">
        <v>0.84409999999999996</v>
      </c>
      <c r="M323" s="64">
        <v>11</v>
      </c>
      <c r="N323" s="64" t="s">
        <v>441</v>
      </c>
      <c r="O323" s="64" t="s">
        <v>442</v>
      </c>
      <c r="P323" s="64" t="s">
        <v>443</v>
      </c>
      <c r="Q323" s="64" t="s">
        <v>2081</v>
      </c>
      <c r="R323" s="65" t="s">
        <v>445</v>
      </c>
      <c r="S323" s="1"/>
      <c r="T323" s="84" t="s">
        <v>267</v>
      </c>
      <c r="U323" s="84" t="s">
        <v>2082</v>
      </c>
      <c r="V323" s="84" t="s">
        <v>2083</v>
      </c>
      <c r="W323" s="84" t="s">
        <v>475</v>
      </c>
      <c r="X323" s="84" t="s">
        <v>475</v>
      </c>
      <c r="Y323" s="84" t="s">
        <v>630</v>
      </c>
      <c r="Z323" s="84" t="s">
        <v>630</v>
      </c>
      <c r="AA323" s="108"/>
      <c r="AB323" s="108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ht="22" customHeight="1">
      <c r="A324" s="66" t="s">
        <v>136</v>
      </c>
      <c r="B324" s="62" t="s">
        <v>2084</v>
      </c>
      <c r="C324" s="62" t="s">
        <v>435</v>
      </c>
      <c r="D324" s="62" t="s">
        <v>88</v>
      </c>
      <c r="E324" s="62" t="s">
        <v>624</v>
      </c>
      <c r="F324" s="62" t="s">
        <v>753</v>
      </c>
      <c r="G324" s="62" t="s">
        <v>439</v>
      </c>
      <c r="H324" s="62" t="s">
        <v>456</v>
      </c>
      <c r="I324" s="62">
        <v>39.969713710000001</v>
      </c>
      <c r="J324" s="62">
        <v>-75.210135210000004</v>
      </c>
      <c r="K324" s="62">
        <v>55</v>
      </c>
      <c r="L324" s="63"/>
      <c r="M324" s="64">
        <v>11</v>
      </c>
      <c r="N324" s="64" t="s">
        <v>441</v>
      </c>
      <c r="O324" s="64" t="s">
        <v>442</v>
      </c>
      <c r="P324" s="64" t="s">
        <v>443</v>
      </c>
      <c r="Q324" s="64" t="s">
        <v>627</v>
      </c>
      <c r="R324" s="65" t="s">
        <v>445</v>
      </c>
      <c r="S324" s="1"/>
      <c r="T324" s="84" t="s">
        <v>412</v>
      </c>
      <c r="U324" s="84" t="s">
        <v>2085</v>
      </c>
      <c r="V324" s="84" t="s">
        <v>2086</v>
      </c>
      <c r="W324" s="84" t="s">
        <v>475</v>
      </c>
      <c r="X324" s="84" t="s">
        <v>475</v>
      </c>
      <c r="Y324" s="84" t="s">
        <v>630</v>
      </c>
      <c r="Z324" s="84" t="s">
        <v>630</v>
      </c>
      <c r="AA324" s="108"/>
      <c r="AB324" s="108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 ht="22" customHeight="1">
      <c r="A325" s="66" t="s">
        <v>196</v>
      </c>
      <c r="B325" s="62" t="s">
        <v>2087</v>
      </c>
      <c r="C325" s="62" t="s">
        <v>435</v>
      </c>
      <c r="D325" s="62" t="s">
        <v>436</v>
      </c>
      <c r="E325" s="62" t="s">
        <v>483</v>
      </c>
      <c r="F325" s="62" t="s">
        <v>2088</v>
      </c>
      <c r="G325" s="62" t="s">
        <v>439</v>
      </c>
      <c r="H325" s="62" t="s">
        <v>1938</v>
      </c>
      <c r="I325" s="62">
        <v>40.067747279999999</v>
      </c>
      <c r="J325" s="62">
        <v>-74.98842793</v>
      </c>
      <c r="K325" s="62">
        <v>869</v>
      </c>
      <c r="L325" s="63">
        <v>0.67159999999999997</v>
      </c>
      <c r="M325" s="64">
        <v>0</v>
      </c>
      <c r="N325" s="64" t="s">
        <v>441</v>
      </c>
      <c r="O325" s="64" t="s">
        <v>442</v>
      </c>
      <c r="P325" s="64" t="s">
        <v>443</v>
      </c>
      <c r="Q325" s="64" t="s">
        <v>2089</v>
      </c>
      <c r="R325" s="65" t="s">
        <v>445</v>
      </c>
      <c r="S325" s="1"/>
      <c r="T325" s="84" t="s">
        <v>343</v>
      </c>
      <c r="U325" s="84" t="s">
        <v>2090</v>
      </c>
      <c r="V325" s="84" t="s">
        <v>2091</v>
      </c>
      <c r="W325" s="84" t="s">
        <v>475</v>
      </c>
      <c r="X325" s="84" t="s">
        <v>475</v>
      </c>
      <c r="Y325" s="84" t="s">
        <v>630</v>
      </c>
      <c r="Z325" s="84" t="s">
        <v>630</v>
      </c>
      <c r="AA325" s="108"/>
      <c r="AB325" s="108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 ht="22" customHeight="1">
      <c r="A326" s="66" t="s">
        <v>331</v>
      </c>
      <c r="B326" s="62" t="s">
        <v>2092</v>
      </c>
      <c r="C326" s="62" t="s">
        <v>435</v>
      </c>
      <c r="D326" s="62" t="s">
        <v>436</v>
      </c>
      <c r="E326" s="62" t="s">
        <v>793</v>
      </c>
      <c r="F326" s="62" t="s">
        <v>789</v>
      </c>
      <c r="G326" s="62" t="s">
        <v>439</v>
      </c>
      <c r="H326" s="62" t="s">
        <v>585</v>
      </c>
      <c r="I326" s="62">
        <v>39.961021590000001</v>
      </c>
      <c r="J326" s="62">
        <v>-75.162644049999997</v>
      </c>
      <c r="K326" s="62">
        <v>1174</v>
      </c>
      <c r="L326" s="63">
        <v>0</v>
      </c>
      <c r="M326" s="64">
        <v>10</v>
      </c>
      <c r="N326" s="64" t="s">
        <v>441</v>
      </c>
      <c r="O326" s="64" t="s">
        <v>442</v>
      </c>
      <c r="P326" s="64" t="s">
        <v>443</v>
      </c>
      <c r="Q326" s="64" t="s">
        <v>2093</v>
      </c>
      <c r="R326" s="65" t="s">
        <v>445</v>
      </c>
      <c r="S326" s="1"/>
      <c r="T326" s="84" t="s">
        <v>91</v>
      </c>
      <c r="U326" s="84" t="s">
        <v>2094</v>
      </c>
      <c r="V326" s="84" t="s">
        <v>2095</v>
      </c>
      <c r="W326" s="84" t="s">
        <v>475</v>
      </c>
      <c r="X326" s="84" t="s">
        <v>475</v>
      </c>
      <c r="Y326" s="84" t="s">
        <v>630</v>
      </c>
      <c r="Z326" s="84" t="s">
        <v>630</v>
      </c>
      <c r="AA326" s="108"/>
      <c r="AB326" s="108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 ht="22" customHeight="1">
      <c r="A327" s="66" t="s">
        <v>304</v>
      </c>
      <c r="B327" s="62" t="s">
        <v>2096</v>
      </c>
      <c r="C327" s="62" t="s">
        <v>623</v>
      </c>
      <c r="D327" s="62" t="s">
        <v>88</v>
      </c>
      <c r="E327" s="62" t="s">
        <v>624</v>
      </c>
      <c r="F327" s="62" t="s">
        <v>1310</v>
      </c>
      <c r="G327" s="62" t="s">
        <v>439</v>
      </c>
      <c r="H327" s="62" t="s">
        <v>626</v>
      </c>
      <c r="I327" s="62">
        <v>39.990743709999997</v>
      </c>
      <c r="J327" s="62">
        <v>-75.184024640000004</v>
      </c>
      <c r="K327" s="62">
        <v>105</v>
      </c>
      <c r="L327" s="63"/>
      <c r="M327" s="64">
        <v>12</v>
      </c>
      <c r="N327" s="64" t="s">
        <v>441</v>
      </c>
      <c r="O327" s="64" t="s">
        <v>442</v>
      </c>
      <c r="P327" s="64" t="s">
        <v>443</v>
      </c>
      <c r="Q327" s="64" t="s">
        <v>627</v>
      </c>
      <c r="R327" s="65" t="s">
        <v>445</v>
      </c>
      <c r="S327" s="1"/>
      <c r="T327" s="84" t="s">
        <v>295</v>
      </c>
      <c r="U327" s="84" t="s">
        <v>1459</v>
      </c>
      <c r="V327" s="84" t="s">
        <v>2097</v>
      </c>
      <c r="W327" s="84" t="s">
        <v>475</v>
      </c>
      <c r="X327" s="84" t="s">
        <v>475</v>
      </c>
      <c r="Y327" s="84" t="s">
        <v>630</v>
      </c>
      <c r="Z327" s="84" t="s">
        <v>630</v>
      </c>
      <c r="AA327" s="108"/>
      <c r="AB327" s="108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ht="22" customHeight="1">
      <c r="A328" s="66" t="s">
        <v>305</v>
      </c>
      <c r="B328" s="62" t="s">
        <v>2098</v>
      </c>
      <c r="C328" s="62" t="s">
        <v>623</v>
      </c>
      <c r="D328" s="62" t="s">
        <v>88</v>
      </c>
      <c r="E328" s="62" t="s">
        <v>624</v>
      </c>
      <c r="F328" s="62" t="s">
        <v>2099</v>
      </c>
      <c r="G328" s="62" t="s">
        <v>439</v>
      </c>
      <c r="H328" s="62" t="s">
        <v>780</v>
      </c>
      <c r="I328" s="62">
        <v>40.005279999999999</v>
      </c>
      <c r="J328" s="62">
        <v>-75.105600960000004</v>
      </c>
      <c r="K328" s="62">
        <v>226</v>
      </c>
      <c r="L328" s="63"/>
      <c r="M328" s="64">
        <v>7</v>
      </c>
      <c r="N328" s="64" t="s">
        <v>441</v>
      </c>
      <c r="O328" s="64" t="s">
        <v>442</v>
      </c>
      <c r="P328" s="64" t="s">
        <v>443</v>
      </c>
      <c r="Q328" s="64" t="s">
        <v>627</v>
      </c>
      <c r="R328" s="65" t="s">
        <v>445</v>
      </c>
      <c r="S328" s="1"/>
      <c r="T328" s="84" t="s">
        <v>186</v>
      </c>
      <c r="U328" s="84" t="s">
        <v>2100</v>
      </c>
      <c r="V328" s="84" t="s">
        <v>2101</v>
      </c>
      <c r="W328" s="84" t="s">
        <v>475</v>
      </c>
      <c r="X328" s="84" t="s">
        <v>475</v>
      </c>
      <c r="Y328" s="84" t="s">
        <v>630</v>
      </c>
      <c r="Z328" s="84" t="s">
        <v>630</v>
      </c>
      <c r="AA328" s="108"/>
      <c r="AB328" s="108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ht="22" customHeight="1">
      <c r="A329" s="66" t="s">
        <v>306</v>
      </c>
      <c r="B329" s="62" t="s">
        <v>2102</v>
      </c>
      <c r="C329" s="62" t="s">
        <v>623</v>
      </c>
      <c r="D329" s="62" t="s">
        <v>88</v>
      </c>
      <c r="E329" s="62" t="s">
        <v>624</v>
      </c>
      <c r="F329" s="62" t="s">
        <v>2099</v>
      </c>
      <c r="G329" s="62" t="s">
        <v>439</v>
      </c>
      <c r="H329" s="62" t="s">
        <v>780</v>
      </c>
      <c r="I329" s="62">
        <v>40.005260929999999</v>
      </c>
      <c r="J329" s="62">
        <v>-75.105608369999999</v>
      </c>
      <c r="K329" s="62">
        <v>131</v>
      </c>
      <c r="L329" s="63"/>
      <c r="M329" s="64">
        <v>7</v>
      </c>
      <c r="N329" s="64" t="s">
        <v>441</v>
      </c>
      <c r="O329" s="64" t="s">
        <v>442</v>
      </c>
      <c r="P329" s="64" t="s">
        <v>443</v>
      </c>
      <c r="Q329" s="64" t="s">
        <v>627</v>
      </c>
      <c r="R329" s="65" t="s">
        <v>445</v>
      </c>
      <c r="S329" s="1"/>
      <c r="T329" s="84" t="s">
        <v>113</v>
      </c>
      <c r="U329" s="84" t="s">
        <v>2103</v>
      </c>
      <c r="V329" s="84" t="s">
        <v>2104</v>
      </c>
      <c r="W329" s="84" t="s">
        <v>475</v>
      </c>
      <c r="X329" s="84" t="s">
        <v>475</v>
      </c>
      <c r="Y329" s="84" t="s">
        <v>630</v>
      </c>
      <c r="Z329" s="84" t="s">
        <v>630</v>
      </c>
      <c r="AA329" s="108"/>
      <c r="AB329" s="108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ht="22" customHeight="1">
      <c r="A330" s="67" t="s">
        <v>335</v>
      </c>
      <c r="B330" s="68" t="s">
        <v>2105</v>
      </c>
      <c r="C330" s="68" t="s">
        <v>435</v>
      </c>
      <c r="D330" s="68" t="s">
        <v>88</v>
      </c>
      <c r="E330" s="68" t="s">
        <v>624</v>
      </c>
      <c r="F330" s="68" t="s">
        <v>789</v>
      </c>
      <c r="G330" s="68" t="s">
        <v>439</v>
      </c>
      <c r="H330" s="68" t="s">
        <v>585</v>
      </c>
      <c r="I330" s="68">
        <v>39.961021590000001</v>
      </c>
      <c r="J330" s="68">
        <v>-75.162644049999997</v>
      </c>
      <c r="K330" s="68">
        <v>1</v>
      </c>
      <c r="L330" s="69"/>
      <c r="M330" s="70">
        <v>10</v>
      </c>
      <c r="N330" s="70" t="s">
        <v>441</v>
      </c>
      <c r="O330" s="70" t="s">
        <v>442</v>
      </c>
      <c r="P330" s="70" t="s">
        <v>443</v>
      </c>
      <c r="Q330" s="70" t="s">
        <v>627</v>
      </c>
      <c r="R330" s="71" t="s">
        <v>445</v>
      </c>
      <c r="S330" s="1"/>
      <c r="T330" s="84" t="s">
        <v>298</v>
      </c>
      <c r="U330" s="84" t="s">
        <v>2106</v>
      </c>
      <c r="V330" s="84" t="s">
        <v>2107</v>
      </c>
      <c r="W330" s="84" t="s">
        <v>475</v>
      </c>
      <c r="X330" s="84" t="s">
        <v>475</v>
      </c>
      <c r="Y330" s="84" t="s">
        <v>837</v>
      </c>
      <c r="Z330" s="84" t="s">
        <v>837</v>
      </c>
      <c r="AA330" s="108"/>
      <c r="AB330" s="108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ht="22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6"/>
      <c r="M331" s="1"/>
      <c r="N331" s="1"/>
      <c r="O331" s="1"/>
      <c r="P331" s="1"/>
      <c r="Q331" s="1"/>
      <c r="R331" s="1"/>
      <c r="S331" s="1"/>
      <c r="T331" s="84" t="s">
        <v>157</v>
      </c>
      <c r="U331" s="84" t="s">
        <v>835</v>
      </c>
      <c r="V331" s="84" t="s">
        <v>2108</v>
      </c>
      <c r="W331" s="84" t="s">
        <v>475</v>
      </c>
      <c r="X331" s="84" t="s">
        <v>475</v>
      </c>
      <c r="Y331" s="84" t="s">
        <v>837</v>
      </c>
      <c r="Z331" s="84" t="s">
        <v>837</v>
      </c>
      <c r="AA331" s="108"/>
      <c r="AB331" s="108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ht="22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6"/>
      <c r="M332" s="1"/>
      <c r="N332" s="1"/>
      <c r="O332" s="1"/>
      <c r="P332" s="1"/>
      <c r="Q332" s="1"/>
      <c r="R332" s="1"/>
      <c r="S332" s="1"/>
      <c r="T332" s="84" t="s">
        <v>368</v>
      </c>
      <c r="U332" s="84" t="s">
        <v>2109</v>
      </c>
      <c r="V332" s="84" t="s">
        <v>2110</v>
      </c>
      <c r="W332" s="84" t="s">
        <v>475</v>
      </c>
      <c r="X332" s="84" t="s">
        <v>475</v>
      </c>
      <c r="Y332" s="84" t="s">
        <v>630</v>
      </c>
      <c r="Z332" s="84" t="s">
        <v>630</v>
      </c>
      <c r="AA332" s="108"/>
      <c r="AB332" s="108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ht="22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6"/>
      <c r="M333" s="1"/>
      <c r="N333" s="1"/>
      <c r="O333" s="1"/>
      <c r="P333" s="1"/>
      <c r="Q333" s="1"/>
      <c r="R333" s="1"/>
      <c r="S333" s="1"/>
      <c r="T333" s="84" t="s">
        <v>177</v>
      </c>
      <c r="U333" s="84" t="s">
        <v>2111</v>
      </c>
      <c r="V333" s="84" t="s">
        <v>2112</v>
      </c>
      <c r="W333" s="84" t="s">
        <v>475</v>
      </c>
      <c r="X333" s="84" t="s">
        <v>475</v>
      </c>
      <c r="Y333" s="84" t="s">
        <v>837</v>
      </c>
      <c r="Z333" s="84" t="s">
        <v>837</v>
      </c>
      <c r="AA333" s="108"/>
      <c r="AB333" s="108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ht="2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6"/>
      <c r="M334" s="1"/>
      <c r="N334" s="1"/>
      <c r="O334" s="1"/>
      <c r="P334" s="1"/>
      <c r="Q334" s="1"/>
      <c r="R334" s="1"/>
      <c r="S334" s="1"/>
      <c r="T334" s="84" t="s">
        <v>126</v>
      </c>
      <c r="U334" s="84" t="s">
        <v>2113</v>
      </c>
      <c r="V334" s="84" t="s">
        <v>2114</v>
      </c>
      <c r="W334" s="84" t="s">
        <v>475</v>
      </c>
      <c r="X334" s="84" t="s">
        <v>475</v>
      </c>
      <c r="Y334" s="84" t="s">
        <v>630</v>
      </c>
      <c r="Z334" s="84" t="s">
        <v>630</v>
      </c>
      <c r="AA334" s="108"/>
      <c r="AB334" s="108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ht="22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6"/>
      <c r="M335" s="1"/>
      <c r="N335" s="1"/>
      <c r="O335" s="1"/>
      <c r="P335" s="1"/>
      <c r="Q335" s="1"/>
      <c r="R335" s="1"/>
      <c r="S335" s="1"/>
      <c r="T335" s="84" t="s">
        <v>294</v>
      </c>
      <c r="U335" s="84" t="s">
        <v>2115</v>
      </c>
      <c r="V335" s="84" t="s">
        <v>2116</v>
      </c>
      <c r="W335" s="84" t="s">
        <v>475</v>
      </c>
      <c r="X335" s="84" t="s">
        <v>475</v>
      </c>
      <c r="Y335" s="84" t="s">
        <v>630</v>
      </c>
      <c r="Z335" s="84" t="s">
        <v>630</v>
      </c>
      <c r="AA335" s="108"/>
      <c r="AB335" s="108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ht="22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6"/>
      <c r="M336" s="1"/>
      <c r="N336" s="1"/>
      <c r="O336" s="1"/>
      <c r="P336" s="1"/>
      <c r="Q336" s="1"/>
      <c r="R336" s="1"/>
      <c r="S336" s="1"/>
      <c r="T336" s="84" t="s">
        <v>129</v>
      </c>
      <c r="U336" s="84" t="s">
        <v>2117</v>
      </c>
      <c r="V336" s="84" t="s">
        <v>2118</v>
      </c>
      <c r="W336" s="84" t="s">
        <v>475</v>
      </c>
      <c r="X336" s="84" t="s">
        <v>475</v>
      </c>
      <c r="Y336" s="84" t="s">
        <v>630</v>
      </c>
      <c r="Z336" s="84" t="s">
        <v>630</v>
      </c>
      <c r="AA336" s="108"/>
      <c r="AB336" s="108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 ht="22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6"/>
      <c r="M337" s="1"/>
      <c r="N337" s="1"/>
      <c r="O337" s="1"/>
      <c r="P337" s="1"/>
      <c r="Q337" s="1"/>
      <c r="R337" s="1"/>
      <c r="S337" s="1"/>
      <c r="T337" s="84" t="s">
        <v>303</v>
      </c>
      <c r="U337" s="84" t="s">
        <v>2119</v>
      </c>
      <c r="V337" s="84" t="s">
        <v>1450</v>
      </c>
      <c r="W337" s="84" t="s">
        <v>475</v>
      </c>
      <c r="X337" s="84" t="s">
        <v>475</v>
      </c>
      <c r="Y337" s="84" t="s">
        <v>837</v>
      </c>
      <c r="Z337" s="84" t="s">
        <v>837</v>
      </c>
      <c r="AA337" s="108"/>
      <c r="AB337" s="108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ht="22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6"/>
      <c r="M338" s="1"/>
      <c r="N338" s="1"/>
      <c r="O338" s="1"/>
      <c r="P338" s="1"/>
      <c r="Q338" s="1"/>
      <c r="R338" s="1"/>
      <c r="S338" s="1"/>
      <c r="T338" s="84" t="s">
        <v>154</v>
      </c>
      <c r="U338" s="84" t="s">
        <v>2120</v>
      </c>
      <c r="V338" s="84" t="s">
        <v>2121</v>
      </c>
      <c r="W338" s="84" t="s">
        <v>475</v>
      </c>
      <c r="X338" s="84" t="s">
        <v>475</v>
      </c>
      <c r="Y338" s="84" t="s">
        <v>630</v>
      </c>
      <c r="Z338" s="84" t="s">
        <v>630</v>
      </c>
      <c r="AA338" s="108"/>
      <c r="AB338" s="108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 ht="22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6"/>
      <c r="M339" s="1"/>
      <c r="N339" s="1"/>
      <c r="O339" s="1"/>
      <c r="P339" s="1"/>
      <c r="Q339" s="1"/>
      <c r="R339" s="1"/>
      <c r="S339" s="1"/>
      <c r="T339" s="84" t="s">
        <v>236</v>
      </c>
      <c r="U339" s="84" t="s">
        <v>2122</v>
      </c>
      <c r="V339" s="84" t="s">
        <v>2123</v>
      </c>
      <c r="W339" s="84" t="s">
        <v>475</v>
      </c>
      <c r="X339" s="84" t="s">
        <v>475</v>
      </c>
      <c r="Y339" s="84" t="s">
        <v>630</v>
      </c>
      <c r="Z339" s="84" t="s">
        <v>630</v>
      </c>
      <c r="AA339" s="108"/>
      <c r="AB339" s="108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ht="22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6"/>
      <c r="M340" s="1"/>
      <c r="N340" s="1"/>
      <c r="O340" s="1"/>
      <c r="P340" s="1"/>
      <c r="Q340" s="1"/>
      <c r="R340" s="1"/>
      <c r="S340" s="1"/>
      <c r="T340" s="84" t="s">
        <v>245</v>
      </c>
      <c r="U340" s="84" t="s">
        <v>2124</v>
      </c>
      <c r="V340" s="84" t="s">
        <v>2125</v>
      </c>
      <c r="W340" s="84" t="s">
        <v>475</v>
      </c>
      <c r="X340" s="84" t="s">
        <v>475</v>
      </c>
      <c r="Y340" s="84" t="s">
        <v>630</v>
      </c>
      <c r="Z340" s="84" t="s">
        <v>630</v>
      </c>
      <c r="AA340" s="108"/>
      <c r="AB340" s="108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ht="22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6"/>
      <c r="M341" s="1"/>
      <c r="N341" s="1"/>
      <c r="O341" s="1"/>
      <c r="P341" s="1"/>
      <c r="Q341" s="1"/>
      <c r="R341" s="1"/>
      <c r="S341" s="1"/>
      <c r="T341" s="84" t="s">
        <v>195</v>
      </c>
      <c r="U341" s="84" t="s">
        <v>2126</v>
      </c>
      <c r="V341" s="84" t="s">
        <v>2127</v>
      </c>
      <c r="W341" s="84" t="s">
        <v>475</v>
      </c>
      <c r="X341" s="84" t="s">
        <v>475</v>
      </c>
      <c r="Y341" s="84" t="s">
        <v>630</v>
      </c>
      <c r="Z341" s="84" t="s">
        <v>630</v>
      </c>
      <c r="AA341" s="108"/>
      <c r="AB341" s="108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22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6"/>
      <c r="M342" s="1"/>
      <c r="N342" s="1"/>
      <c r="O342" s="1"/>
      <c r="P342" s="1"/>
      <c r="Q342" s="1"/>
      <c r="R342" s="1"/>
      <c r="S342" s="1"/>
      <c r="T342" s="84" t="s">
        <v>147</v>
      </c>
      <c r="U342" s="84" t="s">
        <v>2128</v>
      </c>
      <c r="V342" s="84" t="s">
        <v>2129</v>
      </c>
      <c r="W342" s="84" t="s">
        <v>475</v>
      </c>
      <c r="X342" s="84" t="s">
        <v>475</v>
      </c>
      <c r="Y342" s="84" t="s">
        <v>630</v>
      </c>
      <c r="Z342" s="84" t="s">
        <v>630</v>
      </c>
      <c r="AA342" s="108"/>
      <c r="AB342" s="108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 ht="22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6"/>
      <c r="M343" s="1"/>
      <c r="N343" s="1"/>
      <c r="O343" s="1"/>
      <c r="P343" s="1"/>
      <c r="Q343" s="1"/>
      <c r="R343" s="1"/>
      <c r="S343" s="1"/>
      <c r="T343" s="84" t="s">
        <v>167</v>
      </c>
      <c r="U343" s="84" t="s">
        <v>2130</v>
      </c>
      <c r="V343" s="84" t="s">
        <v>2131</v>
      </c>
      <c r="W343" s="84" t="s">
        <v>475</v>
      </c>
      <c r="X343" s="84" t="s">
        <v>475</v>
      </c>
      <c r="Y343" s="84" t="s">
        <v>630</v>
      </c>
      <c r="Z343" s="84" t="s">
        <v>630</v>
      </c>
      <c r="AA343" s="108"/>
      <c r="AB343" s="108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ht="22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6"/>
      <c r="M344" s="1"/>
      <c r="N344" s="1"/>
      <c r="O344" s="1"/>
      <c r="P344" s="1"/>
      <c r="Q344" s="1"/>
      <c r="R344" s="1"/>
      <c r="S344" s="1"/>
      <c r="T344" s="84" t="s">
        <v>383</v>
      </c>
      <c r="U344" s="84" t="s">
        <v>2132</v>
      </c>
      <c r="V344" s="84" t="s">
        <v>2133</v>
      </c>
      <c r="W344" s="84" t="s">
        <v>475</v>
      </c>
      <c r="X344" s="84" t="s">
        <v>475</v>
      </c>
      <c r="Y344" s="84" t="s">
        <v>630</v>
      </c>
      <c r="Z344" s="84" t="s">
        <v>630</v>
      </c>
      <c r="AA344" s="108"/>
      <c r="AB344" s="108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 ht="22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6"/>
      <c r="M345" s="1"/>
      <c r="N345" s="1"/>
      <c r="O345" s="1"/>
      <c r="P345" s="1"/>
      <c r="Q345" s="1"/>
      <c r="R345" s="1"/>
      <c r="S345" s="1"/>
      <c r="T345" s="84" t="s">
        <v>286</v>
      </c>
      <c r="U345" s="84" t="s">
        <v>2134</v>
      </c>
      <c r="V345" s="84" t="s">
        <v>2135</v>
      </c>
      <c r="W345" s="84" t="s">
        <v>475</v>
      </c>
      <c r="X345" s="84" t="s">
        <v>475</v>
      </c>
      <c r="Y345" s="84" t="s">
        <v>630</v>
      </c>
      <c r="Z345" s="84" t="s">
        <v>630</v>
      </c>
      <c r="AA345" s="108"/>
      <c r="AB345" s="108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ht="22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6"/>
      <c r="M346" s="1"/>
      <c r="N346" s="1"/>
      <c r="O346" s="1"/>
      <c r="P346" s="1"/>
      <c r="Q346" s="1"/>
      <c r="R346" s="1"/>
      <c r="S346" s="1"/>
      <c r="T346" s="84" t="s">
        <v>213</v>
      </c>
      <c r="U346" s="84" t="s">
        <v>2136</v>
      </c>
      <c r="V346" s="84" t="s">
        <v>2137</v>
      </c>
      <c r="W346" s="84" t="s">
        <v>475</v>
      </c>
      <c r="X346" s="84" t="s">
        <v>475</v>
      </c>
      <c r="Y346" s="84" t="s">
        <v>630</v>
      </c>
      <c r="Z346" s="84" t="s">
        <v>630</v>
      </c>
      <c r="AA346" s="108"/>
      <c r="AB346" s="108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 ht="22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6"/>
      <c r="M347" s="1"/>
      <c r="N347" s="1"/>
      <c r="O347" s="1"/>
      <c r="P347" s="1"/>
      <c r="Q347" s="1"/>
      <c r="R347" s="1"/>
      <c r="S347" s="1"/>
      <c r="T347" s="84" t="s">
        <v>358</v>
      </c>
      <c r="U347" s="84" t="s">
        <v>2138</v>
      </c>
      <c r="V347" s="84" t="s">
        <v>2139</v>
      </c>
      <c r="W347" s="84" t="s">
        <v>475</v>
      </c>
      <c r="X347" s="84" t="s">
        <v>475</v>
      </c>
      <c r="Y347" s="84" t="s">
        <v>630</v>
      </c>
      <c r="Z347" s="84" t="s">
        <v>630</v>
      </c>
      <c r="AA347" s="108"/>
      <c r="AB347" s="108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 ht="22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6"/>
      <c r="M348" s="1"/>
      <c r="N348" s="1"/>
      <c r="O348" s="1"/>
      <c r="P348" s="1"/>
      <c r="Q348" s="1"/>
      <c r="R348" s="1"/>
      <c r="S348" s="1"/>
      <c r="T348" s="84" t="s">
        <v>187</v>
      </c>
      <c r="U348" s="84" t="s">
        <v>2140</v>
      </c>
      <c r="V348" s="84" t="s">
        <v>2141</v>
      </c>
      <c r="W348" s="84" t="s">
        <v>475</v>
      </c>
      <c r="X348" s="84" t="s">
        <v>475</v>
      </c>
      <c r="Y348" s="84" t="s">
        <v>630</v>
      </c>
      <c r="Z348" s="84" t="s">
        <v>630</v>
      </c>
      <c r="AA348" s="108"/>
      <c r="AB348" s="108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 ht="22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6"/>
      <c r="M349" s="1"/>
      <c r="N349" s="1"/>
      <c r="O349" s="1"/>
      <c r="P349" s="1"/>
      <c r="Q349" s="1"/>
      <c r="R349" s="1"/>
      <c r="S349" s="1"/>
      <c r="T349" s="84" t="s">
        <v>336</v>
      </c>
      <c r="U349" s="84" t="s">
        <v>2142</v>
      </c>
      <c r="V349" s="84" t="s">
        <v>2143</v>
      </c>
      <c r="W349" s="84" t="s">
        <v>475</v>
      </c>
      <c r="X349" s="84" t="s">
        <v>475</v>
      </c>
      <c r="Y349" s="84" t="s">
        <v>630</v>
      </c>
      <c r="Z349" s="84" t="s">
        <v>630</v>
      </c>
      <c r="AA349" s="108"/>
      <c r="AB349" s="108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 ht="22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6"/>
      <c r="M350" s="1"/>
      <c r="N350" s="1"/>
      <c r="O350" s="1"/>
      <c r="P350" s="1"/>
      <c r="Q350" s="1"/>
      <c r="R350" s="1"/>
      <c r="S350" s="1"/>
      <c r="T350" s="84" t="s">
        <v>396</v>
      </c>
      <c r="U350" s="84" t="s">
        <v>2144</v>
      </c>
      <c r="V350" s="84" t="s">
        <v>2145</v>
      </c>
      <c r="W350" s="84" t="s">
        <v>475</v>
      </c>
      <c r="X350" s="84" t="s">
        <v>475</v>
      </c>
      <c r="Y350" s="84" t="s">
        <v>630</v>
      </c>
      <c r="Z350" s="84" t="s">
        <v>630</v>
      </c>
      <c r="AA350" s="108"/>
      <c r="AB350" s="108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 ht="22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6"/>
      <c r="M351" s="1"/>
      <c r="N351" s="1"/>
      <c r="O351" s="1"/>
      <c r="P351" s="1"/>
      <c r="Q351" s="1"/>
      <c r="R351" s="1"/>
      <c r="S351" s="1"/>
      <c r="T351" s="84" t="s">
        <v>261</v>
      </c>
      <c r="U351" s="84" t="s">
        <v>2146</v>
      </c>
      <c r="V351" s="84" t="s">
        <v>2147</v>
      </c>
      <c r="W351" s="84" t="s">
        <v>475</v>
      </c>
      <c r="X351" s="84" t="s">
        <v>475</v>
      </c>
      <c r="Y351" s="84" t="s">
        <v>630</v>
      </c>
      <c r="Z351" s="84" t="s">
        <v>630</v>
      </c>
      <c r="AA351" s="108"/>
      <c r="AB351" s="108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 ht="22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6"/>
      <c r="M352" s="1"/>
      <c r="N352" s="1"/>
      <c r="O352" s="1"/>
      <c r="P352" s="1"/>
      <c r="Q352" s="1"/>
      <c r="R352" s="1"/>
      <c r="S352" s="1"/>
      <c r="T352" s="84" t="s">
        <v>105</v>
      </c>
      <c r="U352" s="84" t="s">
        <v>2148</v>
      </c>
      <c r="V352" s="84" t="s">
        <v>2149</v>
      </c>
      <c r="W352" s="84" t="s">
        <v>475</v>
      </c>
      <c r="X352" s="84" t="s">
        <v>475</v>
      </c>
      <c r="Y352" s="84" t="s">
        <v>630</v>
      </c>
      <c r="Z352" s="84" t="s">
        <v>630</v>
      </c>
      <c r="AA352" s="108"/>
      <c r="AB352" s="108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ht="22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6"/>
      <c r="M353" s="1"/>
      <c r="N353" s="1"/>
      <c r="O353" s="1"/>
      <c r="P353" s="1"/>
      <c r="Q353" s="1"/>
      <c r="R353" s="1"/>
      <c r="S353" s="1"/>
      <c r="T353" s="84" t="s">
        <v>111</v>
      </c>
      <c r="U353" s="84" t="s">
        <v>2150</v>
      </c>
      <c r="V353" s="84" t="s">
        <v>2151</v>
      </c>
      <c r="W353" s="84" t="s">
        <v>475</v>
      </c>
      <c r="X353" s="84" t="s">
        <v>475</v>
      </c>
      <c r="Y353" s="84" t="s">
        <v>630</v>
      </c>
      <c r="Z353" s="84" t="s">
        <v>630</v>
      </c>
      <c r="AA353" s="108"/>
      <c r="AB353" s="108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 ht="22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6"/>
      <c r="M354" s="1"/>
      <c r="N354" s="1"/>
      <c r="O354" s="1"/>
      <c r="P354" s="1"/>
      <c r="Q354" s="1"/>
      <c r="R354" s="1"/>
      <c r="S354" s="1"/>
      <c r="T354" s="84" t="s">
        <v>340</v>
      </c>
      <c r="U354" s="84" t="s">
        <v>2152</v>
      </c>
      <c r="V354" s="84" t="s">
        <v>2153</v>
      </c>
      <c r="W354" s="84" t="s">
        <v>475</v>
      </c>
      <c r="X354" s="84" t="s">
        <v>475</v>
      </c>
      <c r="Y354" s="84" t="s">
        <v>630</v>
      </c>
      <c r="Z354" s="84" t="s">
        <v>630</v>
      </c>
      <c r="AA354" s="108"/>
      <c r="AB354" s="108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 ht="22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6"/>
      <c r="M355" s="1"/>
      <c r="N355" s="1"/>
      <c r="O355" s="1"/>
      <c r="P355" s="1"/>
      <c r="Q355" s="1"/>
      <c r="R355" s="1"/>
      <c r="S355" s="1"/>
      <c r="T355" s="84" t="s">
        <v>364</v>
      </c>
      <c r="U355" s="84" t="s">
        <v>2154</v>
      </c>
      <c r="V355" s="84" t="s">
        <v>2155</v>
      </c>
      <c r="W355" s="84" t="s">
        <v>475</v>
      </c>
      <c r="X355" s="84" t="s">
        <v>475</v>
      </c>
      <c r="Y355" s="84" t="s">
        <v>630</v>
      </c>
      <c r="Z355" s="84" t="s">
        <v>630</v>
      </c>
      <c r="AA355" s="108"/>
      <c r="AB355" s="108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 ht="22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6"/>
      <c r="M356" s="1"/>
      <c r="N356" s="1"/>
      <c r="O356" s="1"/>
      <c r="P356" s="1"/>
      <c r="Q356" s="1"/>
      <c r="R356" s="1"/>
      <c r="S356" s="1"/>
      <c r="T356" s="84" t="s">
        <v>235</v>
      </c>
      <c r="U356" s="84" t="s">
        <v>2156</v>
      </c>
      <c r="V356" s="84" t="s">
        <v>2157</v>
      </c>
      <c r="W356" s="84" t="s">
        <v>475</v>
      </c>
      <c r="X356" s="84" t="s">
        <v>475</v>
      </c>
      <c r="Y356" s="84" t="s">
        <v>630</v>
      </c>
      <c r="Z356" s="84" t="s">
        <v>630</v>
      </c>
      <c r="AA356" s="108"/>
      <c r="AB356" s="108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ht="22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6"/>
      <c r="M357" s="1"/>
      <c r="N357" s="1"/>
      <c r="O357" s="1"/>
      <c r="P357" s="1"/>
      <c r="Q357" s="1"/>
      <c r="R357" s="1"/>
      <c r="S357" s="1"/>
      <c r="T357" s="84" t="s">
        <v>407</v>
      </c>
      <c r="U357" s="84" t="s">
        <v>2158</v>
      </c>
      <c r="V357" s="84" t="s">
        <v>2159</v>
      </c>
      <c r="W357" s="84" t="s">
        <v>475</v>
      </c>
      <c r="X357" s="84" t="s">
        <v>475</v>
      </c>
      <c r="Y357" s="84" t="s">
        <v>630</v>
      </c>
      <c r="Z357" s="84" t="s">
        <v>630</v>
      </c>
      <c r="AA357" s="108"/>
      <c r="AB357" s="108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ht="22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6"/>
      <c r="M358" s="1"/>
      <c r="N358" s="1"/>
      <c r="O358" s="1"/>
      <c r="P358" s="1"/>
      <c r="Q358" s="1"/>
      <c r="R358" s="1"/>
      <c r="S358" s="1"/>
      <c r="T358" s="84" t="s">
        <v>416</v>
      </c>
      <c r="U358" s="84" t="s">
        <v>2160</v>
      </c>
      <c r="V358" s="84" t="s">
        <v>2161</v>
      </c>
      <c r="W358" s="84" t="s">
        <v>475</v>
      </c>
      <c r="X358" s="84" t="s">
        <v>475</v>
      </c>
      <c r="Y358" s="84" t="s">
        <v>837</v>
      </c>
      <c r="Z358" s="84" t="s">
        <v>837</v>
      </c>
      <c r="AA358" s="108"/>
      <c r="AB358" s="108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ht="22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6"/>
      <c r="M359" s="1"/>
      <c r="N359" s="1"/>
      <c r="O359" s="1"/>
      <c r="P359" s="1"/>
      <c r="Q359" s="1"/>
      <c r="R359" s="1"/>
      <c r="S359" s="1"/>
      <c r="T359" s="84" t="s">
        <v>327</v>
      </c>
      <c r="U359" s="84" t="s">
        <v>2162</v>
      </c>
      <c r="V359" s="84" t="s">
        <v>2163</v>
      </c>
      <c r="W359" s="84" t="s">
        <v>475</v>
      </c>
      <c r="X359" s="84" t="s">
        <v>475</v>
      </c>
      <c r="Y359" s="84" t="s">
        <v>630</v>
      </c>
      <c r="Z359" s="84" t="s">
        <v>630</v>
      </c>
      <c r="AA359" s="108"/>
      <c r="AB359" s="108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ht="22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6"/>
      <c r="M360" s="1"/>
      <c r="N360" s="1"/>
      <c r="O360" s="1"/>
      <c r="P360" s="1"/>
      <c r="Q360" s="1"/>
      <c r="R360" s="1"/>
      <c r="S360" s="1"/>
      <c r="T360" s="84" t="s">
        <v>326</v>
      </c>
      <c r="U360" s="84" t="s">
        <v>2164</v>
      </c>
      <c r="V360" s="84" t="s">
        <v>2165</v>
      </c>
      <c r="W360" s="84" t="s">
        <v>475</v>
      </c>
      <c r="X360" s="84" t="s">
        <v>475</v>
      </c>
      <c r="Y360" s="84" t="s">
        <v>630</v>
      </c>
      <c r="Z360" s="84" t="s">
        <v>630</v>
      </c>
      <c r="AA360" s="108"/>
      <c r="AB360" s="108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 ht="22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6"/>
      <c r="M361" s="1"/>
      <c r="N361" s="1"/>
      <c r="O361" s="1"/>
      <c r="P361" s="1"/>
      <c r="Q361" s="1"/>
      <c r="R361" s="1"/>
      <c r="S361" s="1"/>
      <c r="T361" s="84" t="s">
        <v>317</v>
      </c>
      <c r="U361" s="84" t="s">
        <v>2166</v>
      </c>
      <c r="V361" s="84" t="s">
        <v>2167</v>
      </c>
      <c r="W361" s="84" t="s">
        <v>475</v>
      </c>
      <c r="X361" s="84" t="s">
        <v>475</v>
      </c>
      <c r="Y361" s="84" t="s">
        <v>630</v>
      </c>
      <c r="Z361" s="84" t="s">
        <v>630</v>
      </c>
      <c r="AA361" s="108"/>
      <c r="AB361" s="108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 ht="22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6"/>
      <c r="M362" s="1"/>
      <c r="N362" s="1"/>
      <c r="O362" s="1"/>
      <c r="P362" s="1"/>
      <c r="Q362" s="1"/>
      <c r="R362" s="1"/>
      <c r="S362" s="1"/>
      <c r="T362" s="84" t="s">
        <v>379</v>
      </c>
      <c r="U362" s="84" t="s">
        <v>2168</v>
      </c>
      <c r="V362" s="84" t="s">
        <v>2169</v>
      </c>
      <c r="W362" s="84" t="s">
        <v>475</v>
      </c>
      <c r="X362" s="84" t="s">
        <v>475</v>
      </c>
      <c r="Y362" s="84" t="s">
        <v>630</v>
      </c>
      <c r="Z362" s="84" t="s">
        <v>630</v>
      </c>
      <c r="AA362" s="108"/>
      <c r="AB362" s="108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 ht="22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6"/>
      <c r="M363" s="1"/>
      <c r="N363" s="1"/>
      <c r="O363" s="1"/>
      <c r="P363" s="1"/>
      <c r="Q363" s="1"/>
      <c r="R363" s="1"/>
      <c r="S363" s="1"/>
      <c r="T363" s="84" t="s">
        <v>136</v>
      </c>
      <c r="U363" s="84" t="s">
        <v>2170</v>
      </c>
      <c r="V363" s="84" t="s">
        <v>2171</v>
      </c>
      <c r="W363" s="84" t="s">
        <v>475</v>
      </c>
      <c r="X363" s="84" t="s">
        <v>475</v>
      </c>
      <c r="Y363" s="84" t="s">
        <v>837</v>
      </c>
      <c r="Z363" s="84" t="s">
        <v>837</v>
      </c>
      <c r="AA363" s="108"/>
      <c r="AB363" s="108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 ht="22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6"/>
      <c r="M364" s="1"/>
      <c r="N364" s="1"/>
      <c r="O364" s="1"/>
      <c r="P364" s="1"/>
      <c r="Q364" s="1"/>
      <c r="R364" s="1"/>
      <c r="S364" s="1"/>
      <c r="T364" s="84" t="s">
        <v>196</v>
      </c>
      <c r="U364" s="84" t="s">
        <v>2172</v>
      </c>
      <c r="V364" s="84" t="s">
        <v>2173</v>
      </c>
      <c r="W364" s="84" t="s">
        <v>475</v>
      </c>
      <c r="X364" s="84" t="s">
        <v>475</v>
      </c>
      <c r="Y364" s="84" t="s">
        <v>630</v>
      </c>
      <c r="Z364" s="84" t="s">
        <v>630</v>
      </c>
      <c r="AA364" s="108"/>
      <c r="AB364" s="108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 ht="22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6"/>
      <c r="M365" s="1"/>
      <c r="N365" s="1"/>
      <c r="O365" s="1"/>
      <c r="P365" s="1"/>
      <c r="Q365" s="1"/>
      <c r="R365" s="1"/>
      <c r="S365" s="1"/>
      <c r="T365" s="84" t="s">
        <v>331</v>
      </c>
      <c r="U365" s="84" t="s">
        <v>2174</v>
      </c>
      <c r="V365" s="84" t="s">
        <v>2175</v>
      </c>
      <c r="W365" s="84" t="s">
        <v>475</v>
      </c>
      <c r="X365" s="84" t="s">
        <v>475</v>
      </c>
      <c r="Y365" s="84" t="s">
        <v>630</v>
      </c>
      <c r="Z365" s="84" t="s">
        <v>630</v>
      </c>
      <c r="AA365" s="108"/>
      <c r="AB365" s="108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 ht="22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6"/>
      <c r="M366" s="1"/>
      <c r="N366" s="1"/>
      <c r="O366" s="1"/>
      <c r="P366" s="1"/>
      <c r="Q366" s="1"/>
      <c r="R366" s="1"/>
      <c r="S366" s="1"/>
      <c r="T366" s="84" t="s">
        <v>304</v>
      </c>
      <c r="U366" s="84"/>
      <c r="V366" s="84" t="s">
        <v>1450</v>
      </c>
      <c r="W366" s="84" t="s">
        <v>475</v>
      </c>
      <c r="X366" s="84" t="s">
        <v>475</v>
      </c>
      <c r="Y366" s="84" t="s">
        <v>837</v>
      </c>
      <c r="Z366" s="84" t="s">
        <v>837</v>
      </c>
      <c r="AA366" s="108"/>
      <c r="AB366" s="108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 ht="22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6"/>
      <c r="M367" s="1"/>
      <c r="N367" s="1"/>
      <c r="O367" s="1"/>
      <c r="P367" s="1"/>
      <c r="Q367" s="1"/>
      <c r="R367" s="1"/>
      <c r="S367" s="1"/>
      <c r="T367" s="84" t="s">
        <v>305</v>
      </c>
      <c r="U367" s="84" t="s">
        <v>2176</v>
      </c>
      <c r="V367" s="84" t="s">
        <v>1450</v>
      </c>
      <c r="W367" s="84" t="s">
        <v>475</v>
      </c>
      <c r="X367" s="84" t="s">
        <v>475</v>
      </c>
      <c r="Y367" s="84" t="s">
        <v>837</v>
      </c>
      <c r="Z367" s="84" t="s">
        <v>837</v>
      </c>
      <c r="AA367" s="108"/>
      <c r="AB367" s="108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 ht="22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6"/>
      <c r="M368" s="1"/>
      <c r="N368" s="1"/>
      <c r="O368" s="1"/>
      <c r="P368" s="1"/>
      <c r="Q368" s="1"/>
      <c r="R368" s="1"/>
      <c r="S368" s="1"/>
      <c r="T368" s="84" t="s">
        <v>306</v>
      </c>
      <c r="U368" s="84" t="s">
        <v>2176</v>
      </c>
      <c r="V368" s="84" t="s">
        <v>1450</v>
      </c>
      <c r="W368" s="84" t="s">
        <v>475</v>
      </c>
      <c r="X368" s="84" t="s">
        <v>475</v>
      </c>
      <c r="Y368" s="84" t="s">
        <v>837</v>
      </c>
      <c r="Z368" s="84" t="s">
        <v>837</v>
      </c>
      <c r="AA368" s="108"/>
      <c r="AB368" s="108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 ht="22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6"/>
      <c r="M369" s="1"/>
      <c r="N369" s="1"/>
      <c r="O369" s="1"/>
      <c r="P369" s="1"/>
      <c r="Q369" s="1"/>
      <c r="R369" s="1"/>
      <c r="S369" s="1"/>
      <c r="T369" s="84" t="s">
        <v>335</v>
      </c>
      <c r="U369" s="84" t="s">
        <v>2177</v>
      </c>
      <c r="V369" s="84" t="s">
        <v>2178</v>
      </c>
      <c r="W369" s="84" t="s">
        <v>475</v>
      </c>
      <c r="X369" s="84" t="s">
        <v>475</v>
      </c>
      <c r="Y369" s="84" t="s">
        <v>837</v>
      </c>
      <c r="Z369" s="84" t="s">
        <v>837</v>
      </c>
      <c r="AA369" s="108"/>
      <c r="AB369" s="108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 ht="22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6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08"/>
      <c r="AB370" s="108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 ht="22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6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08"/>
      <c r="AB371" s="108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 ht="22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6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08"/>
      <c r="AB372" s="108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 ht="22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6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08"/>
      <c r="AB373" s="108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 ht="2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6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08"/>
      <c r="AB374" s="108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 ht="22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6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08"/>
      <c r="AB375" s="108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 ht="22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6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08"/>
      <c r="AB376" s="108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 ht="22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6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08"/>
      <c r="AB377" s="108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 ht="22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6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08"/>
      <c r="AB378" s="108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 ht="22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6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08"/>
      <c r="AB379" s="108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 ht="22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6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08"/>
      <c r="AB380" s="108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 ht="22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6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08"/>
      <c r="AB381" s="108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 ht="22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6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08"/>
      <c r="AB382" s="108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 ht="22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6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08"/>
      <c r="AB383" s="108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 ht="22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6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08"/>
      <c r="AB384" s="108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 ht="22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6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08"/>
      <c r="AB385" s="108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 ht="22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6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08"/>
      <c r="AB386" s="108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 ht="22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6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08"/>
      <c r="AB387" s="108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 ht="22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6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08"/>
      <c r="AB388" s="108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 ht="22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6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08"/>
      <c r="AB389" s="108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 ht="22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6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08"/>
      <c r="AB390" s="108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 ht="22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6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08"/>
      <c r="AB391" s="108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 ht="22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6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08"/>
      <c r="AB392" s="108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 ht="22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6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08"/>
      <c r="AB393" s="108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 ht="22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6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08"/>
      <c r="AB394" s="108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 ht="22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6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08"/>
      <c r="AB395" s="108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 ht="22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6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08"/>
      <c r="AB396" s="108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 ht="22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6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08"/>
      <c r="AB397" s="108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 ht="22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6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08"/>
      <c r="AB398" s="108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 ht="22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6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08"/>
      <c r="AB399" s="108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 ht="22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6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08"/>
      <c r="AB400" s="108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 ht="22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6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08"/>
      <c r="AB401" s="108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:40" ht="22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6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08"/>
      <c r="AB402" s="108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:40" ht="22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6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08"/>
      <c r="AB403" s="108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:40" ht="22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6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08"/>
      <c r="AB404" s="108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:40" ht="22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6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08"/>
      <c r="AB405" s="108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:40" ht="22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6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08"/>
      <c r="AB406" s="108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:40" ht="22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6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08"/>
      <c r="AB407" s="108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:40" ht="22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6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08"/>
      <c r="AB408" s="108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:40" ht="22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6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08"/>
      <c r="AB409" s="108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:40" ht="22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6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08"/>
      <c r="AB410" s="108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:40" ht="22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6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08"/>
      <c r="AB411" s="108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:40" ht="22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6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08"/>
      <c r="AB412" s="108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:40" ht="22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6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08"/>
      <c r="AB413" s="108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:40" ht="22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6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08"/>
      <c r="AB414" s="108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:40" ht="22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6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08"/>
      <c r="AB415" s="108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:40" ht="22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6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08"/>
      <c r="AB416" s="108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:40" ht="22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6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08"/>
      <c r="AB417" s="108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:40" ht="22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6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08"/>
      <c r="AB418" s="108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:40" ht="22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6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08"/>
      <c r="AB419" s="108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:40" ht="22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6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08"/>
      <c r="AB420" s="108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:40" ht="22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6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08"/>
      <c r="AB421" s="108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:40" ht="22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6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08"/>
      <c r="AB422" s="108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:40" ht="22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6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08"/>
      <c r="AB423" s="108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:40" ht="22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6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08"/>
      <c r="AB424" s="108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:40" ht="2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6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08"/>
      <c r="AB425" s="108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:40" ht="22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6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08"/>
      <c r="AB426" s="108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:40" ht="22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6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08"/>
      <c r="AB427" s="108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:40" ht="22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6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08"/>
      <c r="AB428" s="108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:40" ht="22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6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08"/>
      <c r="AB429" s="108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:40" ht="22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6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08"/>
      <c r="AB430" s="108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:40" ht="22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6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08"/>
      <c r="AB431" s="108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:40" ht="22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6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08"/>
      <c r="AB432" s="108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:40" ht="22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6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08"/>
      <c r="AB433" s="108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:40" ht="22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6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08"/>
      <c r="AB434" s="108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:40" ht="22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6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08"/>
      <c r="AB435" s="108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:40" ht="22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6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08"/>
      <c r="AB436" s="108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:40" ht="22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6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08"/>
      <c r="AB437" s="108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:40" ht="22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6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08"/>
      <c r="AB438" s="108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:40" ht="22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6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08"/>
      <c r="AB439" s="108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:40" ht="22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6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08"/>
      <c r="AB440" s="108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:40" ht="22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6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08"/>
      <c r="AB441" s="108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:40" ht="22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6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08"/>
      <c r="AB442" s="108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:40" ht="22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6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08"/>
      <c r="AB443" s="108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:40" ht="22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6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08"/>
      <c r="AB444" s="108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:40" ht="22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6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08"/>
      <c r="AB445" s="108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:40" ht="22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6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08"/>
      <c r="AB446" s="108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:40" ht="22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6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08"/>
      <c r="AB447" s="108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:40" ht="22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6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08"/>
      <c r="AB448" s="108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:40" ht="22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6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08"/>
      <c r="AB449" s="108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:40" ht="22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6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08"/>
      <c r="AB450" s="108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:40" ht="22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6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08"/>
      <c r="AB451" s="108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:40" ht="22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6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08"/>
      <c r="AB452" s="108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:40" ht="22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6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08"/>
      <c r="AB453" s="108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:40" ht="22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6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08"/>
      <c r="AB454" s="108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:40" ht="22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6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08"/>
      <c r="AB455" s="108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:40" ht="22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6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08"/>
      <c r="AB456" s="108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:40" ht="22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6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08"/>
      <c r="AB457" s="108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:40" ht="22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6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08"/>
      <c r="AB458" s="108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:40" ht="22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6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08"/>
      <c r="AB459" s="108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:40" ht="22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6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08"/>
      <c r="AB460" s="108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:40" ht="22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6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08"/>
      <c r="AB461" s="108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:40" ht="22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6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08"/>
      <c r="AB462" s="108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:40" ht="22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6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08"/>
      <c r="AB463" s="108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:40" ht="2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6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08"/>
      <c r="AB464" s="108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:40" ht="22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6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08"/>
      <c r="AB465" s="108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:40" ht="22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6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08"/>
      <c r="AB466" s="108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:40" ht="22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6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08"/>
      <c r="AB467" s="108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:40" ht="22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6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08"/>
      <c r="AB468" s="108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:40" ht="22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6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08"/>
      <c r="AB469" s="108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:40" ht="22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6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08"/>
      <c r="AB470" s="108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:40" ht="22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6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08"/>
      <c r="AB471" s="108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:40" ht="22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6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08"/>
      <c r="AB472" s="108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:40" ht="22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6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08"/>
      <c r="AB473" s="108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:40" ht="22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6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08"/>
      <c r="AB474" s="108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:40" ht="22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6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08"/>
      <c r="AB475" s="108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:40" ht="22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6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08"/>
      <c r="AB476" s="108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:40" ht="22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6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08"/>
      <c r="AB477" s="108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:40" ht="22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6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08"/>
      <c r="AB478" s="108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:40" ht="22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6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08"/>
      <c r="AB479" s="108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:40" ht="22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6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08"/>
      <c r="AB480" s="108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:40" ht="22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6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08"/>
      <c r="AB481" s="108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:40" ht="22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6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08"/>
      <c r="AB482" s="108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:40" ht="22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6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08"/>
      <c r="AB483" s="108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:40" ht="22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6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08"/>
      <c r="AB484" s="108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:40" ht="22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6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08"/>
      <c r="AB485" s="108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:40" ht="22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6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08"/>
      <c r="AB486" s="108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:40" ht="22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6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08"/>
      <c r="AB487" s="108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:40" ht="22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6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08"/>
      <c r="AB488" s="108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:40" ht="22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6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08"/>
      <c r="AB489" s="108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:40" ht="22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6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08"/>
      <c r="AB490" s="108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:40" ht="22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6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08"/>
      <c r="AB491" s="108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:40" ht="22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6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08"/>
      <c r="AB492" s="108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:40" ht="22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6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08"/>
      <c r="AB493" s="108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:40" ht="22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6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08"/>
      <c r="AB494" s="108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:40" ht="22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6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08"/>
      <c r="AB495" s="108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:40" ht="22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6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08"/>
      <c r="AB496" s="108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:40" ht="22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6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08"/>
      <c r="AB497" s="108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:40" ht="22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6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08"/>
      <c r="AB498" s="108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:40" ht="22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6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08"/>
      <c r="AB499" s="108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:40" ht="22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6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08"/>
      <c r="AB500" s="108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:40" ht="22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6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08"/>
      <c r="AB501" s="108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:40" ht="22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08"/>
      <c r="AB502" s="108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:40" ht="22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08"/>
      <c r="AB503" s="108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:40" ht="2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08"/>
      <c r="AB504" s="108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:40" ht="22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08"/>
      <c r="AB505" s="108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:40" ht="22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08"/>
      <c r="AB506" s="108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:40" ht="22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08"/>
      <c r="AB507" s="108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:40" ht="22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08"/>
      <c r="AB508" s="108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:40" ht="22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08"/>
      <c r="AB509" s="108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:40" ht="34" customHeight="1">
      <c r="A510" s="5" t="s">
        <v>2179</v>
      </c>
      <c r="B510" s="5" t="s">
        <v>2180</v>
      </c>
      <c r="C510" s="5" t="s">
        <v>70</v>
      </c>
      <c r="D510" s="5" t="s">
        <v>13</v>
      </c>
      <c r="E510" s="5" t="s">
        <v>44</v>
      </c>
      <c r="F510" s="5" t="s">
        <v>424</v>
      </c>
      <c r="G510" s="5" t="s">
        <v>425</v>
      </c>
      <c r="H510" s="5" t="s">
        <v>2181</v>
      </c>
      <c r="I510" s="5" t="s">
        <v>2182</v>
      </c>
      <c r="J510" s="5" t="s">
        <v>2183</v>
      </c>
      <c r="K510" s="5" t="s">
        <v>2184</v>
      </c>
      <c r="L510" s="5" t="s">
        <v>71</v>
      </c>
      <c r="M510" s="1" t="s">
        <v>2185</v>
      </c>
      <c r="N510" s="1" t="s">
        <v>2186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08"/>
      <c r="AB510" s="108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:40" ht="22" customHeight="1">
      <c r="A511" s="2" t="s">
        <v>630</v>
      </c>
      <c r="B511" s="2" t="s">
        <v>2187</v>
      </c>
      <c r="C511" s="2" t="s">
        <v>2188</v>
      </c>
      <c r="D511" s="2" t="s">
        <v>2189</v>
      </c>
      <c r="E511" s="2" t="s">
        <v>2190</v>
      </c>
      <c r="F511" s="2">
        <v>39.966094647943855</v>
      </c>
      <c r="G511" s="2">
        <v>-75.193792792715371</v>
      </c>
      <c r="H511" s="2" t="s">
        <v>88</v>
      </c>
      <c r="I511" s="2"/>
      <c r="J511" s="2" t="s">
        <v>2191</v>
      </c>
      <c r="K511" s="2"/>
      <c r="L511" s="2" t="s">
        <v>2192</v>
      </c>
      <c r="M511" s="1">
        <f>IF(OR(NOT(ISNUMBER('School Profile'!$K$4)),NOT(ISNUMBER('School Profile'!$K$5)),NOT(ISNUMBER(F511)),NOT(ISNUMBER(G511))),"",3958.7613*2*ASIN(MIN(1,SQRT(SIN(RADIANS(F511-'School Profile'!$K$4)/2)^2+COS(RADIANS('School Profile'!$K$4))*COS(RADIANS(F511))*SIN(RADIANS(G511-'School Profile'!$K$5)/2)^2))))</f>
        <v>3.7475015431164223</v>
      </c>
      <c r="N511" s="1" t="str">
        <f>IF(AND(H511="Yes",ISNUMBER(M511),M511&lt;=1),COUNTIFS($H$511:$H$1010,"Yes",$M$511:$M$1010,"&lt;"&amp;M511)+COUNTIFS($H$511:H511,"Yes",$M$511:M511,M511),"")</f>
        <v/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08"/>
      <c r="AB511" s="108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:40" ht="22" customHeight="1">
      <c r="A512" s="2" t="s">
        <v>2193</v>
      </c>
      <c r="B512" s="2" t="s">
        <v>2194</v>
      </c>
      <c r="C512" s="2" t="s">
        <v>2195</v>
      </c>
      <c r="D512" s="2" t="s">
        <v>2189</v>
      </c>
      <c r="E512" s="2" t="s">
        <v>28</v>
      </c>
      <c r="F512" s="2">
        <v>39.943230313702237</v>
      </c>
      <c r="G512" s="2">
        <v>-75.237220451839121</v>
      </c>
      <c r="H512" s="2" t="s">
        <v>436</v>
      </c>
      <c r="I512" s="2"/>
      <c r="J512" s="2"/>
      <c r="K512" s="2"/>
      <c r="L512" s="2" t="s">
        <v>2192</v>
      </c>
      <c r="M512" s="1">
        <f>IF(OR(NOT(ISNUMBER('School Profile'!$K$4)),NOT(ISNUMBER('School Profile'!$K$5)),NOT(ISNUMBER(F512)),NOT(ISNUMBER(G512))),"",3958.7613*2*ASIN(MIN(1,SQRT(SIN(RADIANS(F512-'School Profile'!$K$4)/2)^2+COS(RADIANS('School Profile'!$K$4))*COS(RADIANS(F512))*SIN(RADIANS(G512-'School Profile'!$K$5)/2)^2))))</f>
        <v>1.5109361245999071</v>
      </c>
      <c r="N512" s="1" t="str">
        <f>IF(AND(H512="Yes",ISNUMBER(M512),M512&lt;=1),COUNTIFS($H$511:$H$1010,"Yes",$M$511:$M$1010,"&lt;"&amp;M512)+COUNTIFS($H$511:H512,"Yes",$M$511:M512,M512),"")</f>
        <v/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08"/>
      <c r="AB512" s="108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:40" ht="22" customHeight="1">
      <c r="A513" s="2" t="s">
        <v>2196</v>
      </c>
      <c r="B513" s="2" t="s">
        <v>2197</v>
      </c>
      <c r="C513" s="2" t="s">
        <v>2198</v>
      </c>
      <c r="D513" s="2" t="s">
        <v>2189</v>
      </c>
      <c r="E513" s="2" t="s">
        <v>28</v>
      </c>
      <c r="F513" s="2">
        <v>39.990014390297773</v>
      </c>
      <c r="G513" s="2">
        <v>-75.129212829684903</v>
      </c>
      <c r="H513" s="2" t="s">
        <v>436</v>
      </c>
      <c r="I513" s="2"/>
      <c r="J513" s="2"/>
      <c r="K513" s="2" t="s">
        <v>2199</v>
      </c>
      <c r="L513" s="2" t="s">
        <v>2192</v>
      </c>
      <c r="M513" s="1">
        <f>IF(OR(NOT(ISNUMBER('School Profile'!$K$4)),NOT(ISNUMBER('School Profile'!$K$5)),NOT(ISNUMBER(F513)),NOT(ISNUMBER(G513))),"",3958.7613*2*ASIN(MIN(1,SQRT(SIN(RADIANS(F513-'School Profile'!$K$4)/2)^2+COS(RADIANS('School Profile'!$K$4))*COS(RADIANS(F513))*SIN(RADIANS(G513-'School Profile'!$K$5)/2)^2))))</f>
        <v>7.2969041265379229</v>
      </c>
      <c r="N513" s="1" t="str">
        <f>IF(AND(H513="Yes",ISNUMBER(M513),M513&lt;=1),COUNTIFS($H$511:$H$1010,"Yes",$M$511:$M$1010,"&lt;"&amp;M513)+COUNTIFS($H$511:H513,"Yes",$M$511:M513,M513),"")</f>
        <v/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08"/>
      <c r="AB513" s="108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:40" ht="22" customHeight="1">
      <c r="A514" s="2" t="s">
        <v>2200</v>
      </c>
      <c r="B514" s="2" t="s">
        <v>2201</v>
      </c>
      <c r="C514" s="2" t="s">
        <v>2202</v>
      </c>
      <c r="D514" s="2" t="s">
        <v>2189</v>
      </c>
      <c r="E514" s="2" t="s">
        <v>28</v>
      </c>
      <c r="F514" s="2">
        <v>39.963941777708527</v>
      </c>
      <c r="G514" s="2">
        <v>-75.154104164349249</v>
      </c>
      <c r="H514" s="2" t="s">
        <v>436</v>
      </c>
      <c r="I514" s="2"/>
      <c r="J514" s="2"/>
      <c r="K514" s="2"/>
      <c r="L514" s="2" t="s">
        <v>2203</v>
      </c>
      <c r="M514" s="1">
        <f>IF(OR(NOT(ISNUMBER('School Profile'!$K$4)),NOT(ISNUMBER('School Profile'!$K$5)),NOT(ISNUMBER(F514)),NOT(ISNUMBER(G514))),"",3958.7613*2*ASIN(MIN(1,SQRT(SIN(RADIANS(F514-'School Profile'!$K$4)/2)^2+COS(RADIANS('School Profile'!$K$4))*COS(RADIANS(F514))*SIN(RADIANS(G514-'School Profile'!$K$5)/2)^2))))</f>
        <v>5.1514863859132394</v>
      </c>
      <c r="N514" s="1" t="str">
        <f>IF(AND(H514="Yes",ISNUMBER(M514),M514&lt;=1),COUNTIFS($H$511:$H$1010,"Yes",$M$511:$M$1010,"&lt;"&amp;M514)+COUNTIFS($H$511:H514,"Yes",$M$511:M514,M514),"")</f>
        <v/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08"/>
      <c r="AB514" s="108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:40" ht="22" customHeight="1">
      <c r="A515" s="2" t="s">
        <v>2204</v>
      </c>
      <c r="B515" s="2" t="s">
        <v>2205</v>
      </c>
      <c r="C515" s="2" t="s">
        <v>2206</v>
      </c>
      <c r="D515" s="2" t="s">
        <v>2207</v>
      </c>
      <c r="E515" s="2" t="s">
        <v>28</v>
      </c>
      <c r="F515" s="2">
        <v>39.993167396127944</v>
      </c>
      <c r="G515" s="2">
        <v>-75.14802929556231</v>
      </c>
      <c r="H515" s="2" t="s">
        <v>88</v>
      </c>
      <c r="I515" s="2"/>
      <c r="J515" s="2"/>
      <c r="K515" s="2"/>
      <c r="L515" s="2" t="s">
        <v>2208</v>
      </c>
      <c r="M515" s="1">
        <f>IF(OR(NOT(ISNUMBER('School Profile'!$K$4)),NOT(ISNUMBER('School Profile'!$K$5)),NOT(ISNUMBER(F515)),NOT(ISNUMBER(G515))),"",3958.7613*2*ASIN(MIN(1,SQRT(SIN(RADIANS(F515-'School Profile'!$K$4)/2)^2+COS(RADIANS('School Profile'!$K$4))*COS(RADIANS(F515))*SIN(RADIANS(G515-'School Profile'!$K$5)/2)^2))))</f>
        <v>6.7290128640930522</v>
      </c>
      <c r="N515" s="1" t="str">
        <f>IF(AND(H515="Yes",ISNUMBER(M515),M515&lt;=1),COUNTIFS($H$511:$H$1010,"Yes",$M$511:$M$1010,"&lt;"&amp;M515)+COUNTIFS($H$511:H515,"Yes",$M$511:M515,M515),"")</f>
        <v/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08"/>
      <c r="AB515" s="108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:40" ht="22" customHeight="1">
      <c r="A516" s="2" t="s">
        <v>2209</v>
      </c>
      <c r="B516" s="2" t="s">
        <v>2210</v>
      </c>
      <c r="C516" s="2" t="s">
        <v>2211</v>
      </c>
      <c r="D516" s="2" t="s">
        <v>2189</v>
      </c>
      <c r="E516" s="2" t="s">
        <v>28</v>
      </c>
      <c r="F516" s="2">
        <v>40.101114419784295</v>
      </c>
      <c r="G516" s="2">
        <v>-75.020599510365528</v>
      </c>
      <c r="H516" s="2" t="s">
        <v>436</v>
      </c>
      <c r="I516" s="2"/>
      <c r="J516" s="2"/>
      <c r="K516" s="2"/>
      <c r="L516" s="2" t="s">
        <v>2212</v>
      </c>
      <c r="M516" s="1">
        <f>IF(OR(NOT(ISNUMBER('School Profile'!$K$4)),NOT(ISNUMBER('School Profile'!$K$5)),NOT(ISNUMBER(F516)),NOT(ISNUMBER(G516))),"",3958.7613*2*ASIN(MIN(1,SQRT(SIN(RADIANS(F516-'School Profile'!$K$4)/2)^2+COS(RADIANS('School Profile'!$K$4))*COS(RADIANS(F516))*SIN(RADIANS(G516-'School Profile'!$K$5)/2)^2))))</f>
        <v>16.78146939443274</v>
      </c>
      <c r="N516" s="1" t="str">
        <f>IF(AND(H516="Yes",ISNUMBER(M516),M516&lt;=1),COUNTIFS($H$511:$H$1010,"Yes",$M$511:$M$1010,"&lt;"&amp;M516)+COUNTIFS($H$511:H516,"Yes",$M$511:M516,M516),"")</f>
        <v/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08"/>
      <c r="AB516" s="108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:40" ht="22" customHeight="1">
      <c r="A517" s="2" t="s">
        <v>2213</v>
      </c>
      <c r="B517" s="2" t="s">
        <v>2210</v>
      </c>
      <c r="C517" s="2" t="s">
        <v>2214</v>
      </c>
      <c r="D517" s="2" t="s">
        <v>2215</v>
      </c>
      <c r="E517" s="2" t="s">
        <v>28</v>
      </c>
      <c r="F517" s="2">
        <v>40.101795439875751</v>
      </c>
      <c r="G517" s="2">
        <v>-75.020819470049375</v>
      </c>
      <c r="H517" s="2" t="s">
        <v>88</v>
      </c>
      <c r="I517" s="2"/>
      <c r="J517" s="2"/>
      <c r="K517" s="2"/>
      <c r="L517" s="2" t="s">
        <v>2216</v>
      </c>
      <c r="M517" s="1">
        <f>IF(OR(NOT(ISNUMBER('School Profile'!$K$4)),NOT(ISNUMBER('School Profile'!$K$5)),NOT(ISNUMBER(F517)),NOT(ISNUMBER(G517))),"",3958.7613*2*ASIN(MIN(1,SQRT(SIN(RADIANS(F517-'School Profile'!$K$4)/2)^2+COS(RADIANS('School Profile'!$K$4))*COS(RADIANS(F517))*SIN(RADIANS(G517-'School Profile'!$K$5)/2)^2))))</f>
        <v>16.808442184273297</v>
      </c>
      <c r="N517" s="1" t="str">
        <f>IF(AND(H517="Yes",ISNUMBER(M517),M517&lt;=1),COUNTIFS($H$511:$H$1010,"Yes",$M$511:$M$1010,"&lt;"&amp;M517)+COUNTIFS($H$511:H517,"Yes",$M$511:M517,M517),"")</f>
        <v/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08"/>
      <c r="AB517" s="108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:40" ht="22" customHeight="1">
      <c r="A518" s="2" t="s">
        <v>2217</v>
      </c>
      <c r="B518" s="2" t="s">
        <v>2218</v>
      </c>
      <c r="C518" s="2" t="s">
        <v>2219</v>
      </c>
      <c r="D518" s="2" t="s">
        <v>2189</v>
      </c>
      <c r="E518" s="2" t="s">
        <v>28</v>
      </c>
      <c r="F518" s="2">
        <v>39.94279901996449</v>
      </c>
      <c r="G518" s="2">
        <v>-75.159680540018755</v>
      </c>
      <c r="H518" s="2" t="s">
        <v>436</v>
      </c>
      <c r="I518" s="2"/>
      <c r="J518" s="2"/>
      <c r="K518" s="2"/>
      <c r="L518" s="2" t="s">
        <v>2203</v>
      </c>
      <c r="M518" s="1">
        <f>IF(OR(NOT(ISNUMBER('School Profile'!$K$4)),NOT(ISNUMBER('School Profile'!$K$5)),NOT(ISNUMBER(F518)),NOT(ISNUMBER(G518))),"",3958.7613*2*ASIN(MIN(1,SQRT(SIN(RADIANS(F518-'School Profile'!$K$4)/2)^2+COS(RADIANS('School Profile'!$K$4))*COS(RADIANS(F518))*SIN(RADIANS(G518-'School Profile'!$K$5)/2)^2))))</f>
        <v>4.2063746925359444</v>
      </c>
      <c r="N518" s="1" t="str">
        <f>IF(AND(H518="Yes",ISNUMBER(M518),M518&lt;=1),COUNTIFS($H$511:$H$1010,"Yes",$M$511:$M$1010,"&lt;"&amp;M518)+COUNTIFS($H$511:H518,"Yes",$M$511:M518,M518),"")</f>
        <v/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08"/>
      <c r="AB518" s="108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:40" ht="22" customHeight="1">
      <c r="A519" s="2" t="s">
        <v>2220</v>
      </c>
      <c r="B519" s="2" t="s">
        <v>2221</v>
      </c>
      <c r="C519" s="2" t="s">
        <v>2222</v>
      </c>
      <c r="D519" s="2" t="s">
        <v>2215</v>
      </c>
      <c r="E519" s="2" t="s">
        <v>28</v>
      </c>
      <c r="F519" s="2">
        <v>39.972244700022976</v>
      </c>
      <c r="G519" s="2">
        <v>-75.206587120014674</v>
      </c>
      <c r="H519" s="2" t="s">
        <v>88</v>
      </c>
      <c r="I519" s="2"/>
      <c r="J519" s="2"/>
      <c r="K519" s="2"/>
      <c r="L519" s="2" t="s">
        <v>2216</v>
      </c>
      <c r="M519" s="1">
        <f>IF(OR(NOT(ISNUMBER('School Profile'!$K$4)),NOT(ISNUMBER('School Profile'!$K$5)),NOT(ISNUMBER(F519)),NOT(ISNUMBER(G519))),"",3958.7613*2*ASIN(MIN(1,SQRT(SIN(RADIANS(F519-'School Profile'!$K$4)/2)^2+COS(RADIANS('School Profile'!$K$4))*COS(RADIANS(F519))*SIN(RADIANS(G519-'School Profile'!$K$5)/2)^2))))</f>
        <v>3.7962102150310524</v>
      </c>
      <c r="N519" s="1" t="str">
        <f>IF(AND(H519="Yes",ISNUMBER(M519),M519&lt;=1),COUNTIFS($H$511:$H$1010,"Yes",$M$511:$M$1010,"&lt;"&amp;M519)+COUNTIFS($H$511:H519,"Yes",$M$511:M519,M519),"")</f>
        <v/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08"/>
      <c r="AB519" s="108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:40" ht="22" customHeight="1">
      <c r="A520" s="2" t="s">
        <v>2223</v>
      </c>
      <c r="B520" s="2" t="s">
        <v>2224</v>
      </c>
      <c r="C520" s="2" t="s">
        <v>2225</v>
      </c>
      <c r="D520" s="2" t="s">
        <v>2189</v>
      </c>
      <c r="E520" s="2" t="s">
        <v>28</v>
      </c>
      <c r="F520" s="2">
        <v>40.105915519852203</v>
      </c>
      <c r="G520" s="2">
        <v>-75.026017680137073</v>
      </c>
      <c r="H520" s="2" t="s">
        <v>436</v>
      </c>
      <c r="I520" s="2"/>
      <c r="J520" s="2"/>
      <c r="K520" s="2"/>
      <c r="L520" s="2" t="s">
        <v>2203</v>
      </c>
      <c r="M520" s="1">
        <f>IF(OR(NOT(ISNUMBER('School Profile'!$K$4)),NOT(ISNUMBER('School Profile'!$K$5)),NOT(ISNUMBER(F520)),NOT(ISNUMBER(G520))),"",3958.7613*2*ASIN(MIN(1,SQRT(SIN(RADIANS(F520-'School Profile'!$K$4)/2)^2+COS(RADIANS('School Profile'!$K$4))*COS(RADIANS(F520))*SIN(RADIANS(G520-'School Profile'!$K$5)/2)^2))))</f>
        <v>16.839158797738435</v>
      </c>
      <c r="N520" s="1" t="str">
        <f>IF(AND(H520="Yes",ISNUMBER(M520),M520&lt;=1),COUNTIFS($H$511:$H$1010,"Yes",$M$511:$M$1010,"&lt;"&amp;M520)+COUNTIFS($H$511:H520,"Yes",$M$511:M520,M520),"")</f>
        <v/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08"/>
      <c r="AB520" s="108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:40" ht="22" customHeight="1">
      <c r="A521" s="2" t="s">
        <v>2226</v>
      </c>
      <c r="B521" s="2" t="s">
        <v>2227</v>
      </c>
      <c r="C521" s="2" t="s">
        <v>2228</v>
      </c>
      <c r="D521" s="2" t="s">
        <v>2189</v>
      </c>
      <c r="E521" s="2" t="s">
        <v>28</v>
      </c>
      <c r="F521" s="2">
        <v>39.936903600296269</v>
      </c>
      <c r="G521" s="2">
        <v>-75.15826229961111</v>
      </c>
      <c r="H521" s="2" t="s">
        <v>436</v>
      </c>
      <c r="I521" s="2"/>
      <c r="J521" s="2"/>
      <c r="K521" s="2"/>
      <c r="L521" s="2" t="s">
        <v>2203</v>
      </c>
      <c r="M521" s="1">
        <f>IF(OR(NOT(ISNUMBER('School Profile'!$K$4)),NOT(ISNUMBER('School Profile'!$K$5)),NOT(ISNUMBER(F521)),NOT(ISNUMBER(G521))),"",3958.7613*2*ASIN(MIN(1,SQRT(SIN(RADIANS(F521-'School Profile'!$K$4)/2)^2+COS(RADIANS('School Profile'!$K$4))*COS(RADIANS(F521))*SIN(RADIANS(G521-'School Profile'!$K$5)/2)^2))))</f>
        <v>4.1544779423200504</v>
      </c>
      <c r="N521" s="1" t="str">
        <f>IF(AND(H521="Yes",ISNUMBER(M521),M521&lt;=1),COUNTIFS($H$511:$H$1010,"Yes",$M$511:$M$1010,"&lt;"&amp;M521)+COUNTIFS($H$511:H521,"Yes",$M$511:M521,M521),"")</f>
        <v/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08"/>
      <c r="AB521" s="108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:40" ht="22" customHeight="1">
      <c r="A522" s="2" t="s">
        <v>2229</v>
      </c>
      <c r="B522" s="2" t="s">
        <v>2230</v>
      </c>
      <c r="C522" s="2" t="s">
        <v>2231</v>
      </c>
      <c r="D522" s="2" t="s">
        <v>2189</v>
      </c>
      <c r="E522" s="2" t="s">
        <v>28</v>
      </c>
      <c r="F522" s="2">
        <v>40.037799480311733</v>
      </c>
      <c r="G522" s="2">
        <v>-75.173873379823718</v>
      </c>
      <c r="H522" s="2" t="s">
        <v>436</v>
      </c>
      <c r="I522" s="2"/>
      <c r="J522" s="2"/>
      <c r="K522" s="2"/>
      <c r="L522" s="2" t="s">
        <v>2203</v>
      </c>
      <c r="M522" s="1">
        <f>IF(OR(NOT(ISNUMBER('School Profile'!$K$4)),NOT(ISNUMBER('School Profile'!$K$5)),NOT(ISNUMBER(F522)),NOT(ISNUMBER(G522))),"",3958.7613*2*ASIN(MIN(1,SQRT(SIN(RADIANS(F522-'School Profile'!$K$4)/2)^2+COS(RADIANS('School Profile'!$K$4))*COS(RADIANS(F522))*SIN(RADIANS(G522-'School Profile'!$K$5)/2)^2))))</f>
        <v>8.6443750274312912</v>
      </c>
      <c r="N522" s="1" t="str">
        <f>IF(AND(H522="Yes",ISNUMBER(M522),M522&lt;=1),COUNTIFS($H$511:$H$1010,"Yes",$M$511:$M$1010,"&lt;"&amp;M522)+COUNTIFS($H$511:H522,"Yes",$M$511:M522,M522),"")</f>
        <v/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08"/>
      <c r="AB522" s="108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:40" ht="22" customHeight="1">
      <c r="A523" s="2" t="s">
        <v>2232</v>
      </c>
      <c r="B523" s="2" t="s">
        <v>2233</v>
      </c>
      <c r="C523" s="2" t="s">
        <v>2234</v>
      </c>
      <c r="D523" s="2" t="s">
        <v>2189</v>
      </c>
      <c r="E523" s="2" t="s">
        <v>28</v>
      </c>
      <c r="F523" s="2">
        <v>40.054874902719355</v>
      </c>
      <c r="G523" s="2">
        <v>-75.13632639618038</v>
      </c>
      <c r="H523" s="2" t="s">
        <v>436</v>
      </c>
      <c r="I523" s="2"/>
      <c r="J523" s="2"/>
      <c r="K523" s="2"/>
      <c r="L523" s="2" t="s">
        <v>2203</v>
      </c>
      <c r="M523" s="1">
        <f>IF(OR(NOT(ISNUMBER('School Profile'!$K$4)),NOT(ISNUMBER('School Profile'!$K$5)),NOT(ISNUMBER(F523)),NOT(ISNUMBER(G523))),"",3958.7613*2*ASIN(MIN(1,SQRT(SIN(RADIANS(F523-'School Profile'!$K$4)/2)^2+COS(RADIANS('School Profile'!$K$4))*COS(RADIANS(F523))*SIN(RADIANS(G523-'School Profile'!$K$5)/2)^2))))</f>
        <v>10.568414883312901</v>
      </c>
      <c r="N523" s="1" t="str">
        <f>IF(AND(H523="Yes",ISNUMBER(M523),M523&lt;=1),COUNTIFS($H$511:$H$1010,"Yes",$M$511:$M$1010,"&lt;"&amp;M523)+COUNTIFS($H$511:H523,"Yes",$M$511:M523,M523),"")</f>
        <v/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08"/>
      <c r="AB523" s="108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:40" ht="22" customHeight="1">
      <c r="A524" s="2" t="s">
        <v>2235</v>
      </c>
      <c r="B524" s="2" t="s">
        <v>2236</v>
      </c>
      <c r="C524" s="2" t="s">
        <v>2237</v>
      </c>
      <c r="D524" s="2" t="s">
        <v>2189</v>
      </c>
      <c r="E524" s="2" t="s">
        <v>28</v>
      </c>
      <c r="F524" s="2">
        <v>39.968513039993354</v>
      </c>
      <c r="G524" s="2">
        <v>-75.152973729785614</v>
      </c>
      <c r="H524" s="2" t="s">
        <v>436</v>
      </c>
      <c r="I524" s="2"/>
      <c r="J524" s="2"/>
      <c r="K524" s="2"/>
      <c r="L524" s="2" t="s">
        <v>2203</v>
      </c>
      <c r="M524" s="1">
        <f>IF(OR(NOT(ISNUMBER('School Profile'!$K$4)),NOT(ISNUMBER('School Profile'!$K$5)),NOT(ISNUMBER(F524)),NOT(ISNUMBER(G524))),"",3958.7613*2*ASIN(MIN(1,SQRT(SIN(RADIANS(F524-'School Profile'!$K$4)/2)^2+COS(RADIANS('School Profile'!$K$4))*COS(RADIANS(F524))*SIN(RADIANS(G524-'School Profile'!$K$5)/2)^2))))</f>
        <v>5.3851338648664218</v>
      </c>
      <c r="N524" s="1" t="str">
        <f>IF(AND(H524="Yes",ISNUMBER(M524),M524&lt;=1),COUNTIFS($H$511:$H$1010,"Yes",$M$511:$M$1010,"&lt;"&amp;M524)+COUNTIFS($H$511:H524,"Yes",$M$511:M524,M524),"")</f>
        <v/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08"/>
      <c r="AB524" s="108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:40" ht="22" customHeight="1">
      <c r="A525" s="2" t="s">
        <v>2238</v>
      </c>
      <c r="B525" s="2" t="s">
        <v>2239</v>
      </c>
      <c r="C525" s="2" t="s">
        <v>2240</v>
      </c>
      <c r="D525" s="2" t="s">
        <v>2189</v>
      </c>
      <c r="E525" s="2" t="s">
        <v>28</v>
      </c>
      <c r="F525" s="2">
        <v>39.938898565731748</v>
      </c>
      <c r="G525" s="2">
        <v>-75.180032849249201</v>
      </c>
      <c r="H525" s="2" t="s">
        <v>436</v>
      </c>
      <c r="I525" s="2"/>
      <c r="J525" s="2"/>
      <c r="K525" s="2"/>
      <c r="L525" s="2" t="s">
        <v>2241</v>
      </c>
      <c r="M525" s="1">
        <f>IF(OR(NOT(ISNUMBER('School Profile'!$K$4)),NOT(ISNUMBER('School Profile'!$K$5)),NOT(ISNUMBER(F525)),NOT(ISNUMBER(G525))),"",3958.7613*2*ASIN(MIN(1,SQRT(SIN(RADIANS(F525-'School Profile'!$K$4)/2)^2+COS(RADIANS('School Profile'!$K$4))*COS(RADIANS(F525))*SIN(RADIANS(G525-'School Profile'!$K$5)/2)^2))))</f>
        <v>3.1045363338223679</v>
      </c>
      <c r="N525" s="1" t="str">
        <f>IF(AND(H525="Yes",ISNUMBER(M525),M525&lt;=1),COUNTIFS($H$511:$H$1010,"Yes",$M$511:$M$1010,"&lt;"&amp;M525)+COUNTIFS($H$511:H525,"Yes",$M$511:M525,M525),"")</f>
        <v/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08"/>
      <c r="AB525" s="108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:40" ht="22" customHeight="1">
      <c r="A526" s="2" t="s">
        <v>2242</v>
      </c>
      <c r="B526" s="2" t="s">
        <v>2243</v>
      </c>
      <c r="C526" s="2" t="s">
        <v>2244</v>
      </c>
      <c r="D526" s="2" t="s">
        <v>2189</v>
      </c>
      <c r="E526" s="2" t="s">
        <v>28</v>
      </c>
      <c r="F526" s="2">
        <v>40.008068320300005</v>
      </c>
      <c r="G526" s="2">
        <v>-75.105939730054843</v>
      </c>
      <c r="H526" s="2" t="s">
        <v>436</v>
      </c>
      <c r="I526" s="2"/>
      <c r="J526" s="2"/>
      <c r="K526" s="2"/>
      <c r="L526" s="2" t="s">
        <v>2245</v>
      </c>
      <c r="M526" s="1">
        <f>IF(OR(NOT(ISNUMBER('School Profile'!$K$4)),NOT(ISNUMBER('School Profile'!$K$5)),NOT(ISNUMBER(F526)),NOT(ISNUMBER(G526))),"",3958.7613*2*ASIN(MIN(1,SQRT(SIN(RADIANS(F526-'School Profile'!$K$4)/2)^2+COS(RADIANS('School Profile'!$K$4))*COS(RADIANS(F526))*SIN(RADIANS(G526-'School Profile'!$K$5)/2)^2))))</f>
        <v>9.0447481718713192</v>
      </c>
      <c r="N526" s="1" t="str">
        <f>IF(AND(H526="Yes",ISNUMBER(M526),M526&lt;=1),COUNTIFS($H$511:$H$1010,"Yes",$M$511:$M$1010,"&lt;"&amp;M526)+COUNTIFS($H$511:H526,"Yes",$M$511:M526,M526),"")</f>
        <v/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08"/>
      <c r="AB526" s="108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:40" ht="22" customHeight="1">
      <c r="A527" s="2" t="s">
        <v>2246</v>
      </c>
      <c r="B527" s="2" t="s">
        <v>2247</v>
      </c>
      <c r="C527" s="2" t="s">
        <v>2248</v>
      </c>
      <c r="D527" s="2" t="s">
        <v>2189</v>
      </c>
      <c r="E527" s="2" t="s">
        <v>28</v>
      </c>
      <c r="F527" s="2">
        <v>39.935013520194424</v>
      </c>
      <c r="G527" s="2">
        <v>-75.158675800424604</v>
      </c>
      <c r="H527" s="2" t="s">
        <v>436</v>
      </c>
      <c r="I527" s="2"/>
      <c r="J527" s="2"/>
      <c r="K527" s="2"/>
      <c r="L527" s="2" t="s">
        <v>2241</v>
      </c>
      <c r="M527" s="1">
        <f>IF(OR(NOT(ISNUMBER('School Profile'!$K$4)),NOT(ISNUMBER('School Profile'!$K$5)),NOT(ISNUMBER(F527)),NOT(ISNUMBER(G527))),"",3958.7613*2*ASIN(MIN(1,SQRT(SIN(RADIANS(F527-'School Profile'!$K$4)/2)^2+COS(RADIANS('School Profile'!$K$4))*COS(RADIANS(F527))*SIN(RADIANS(G527-'School Profile'!$K$5)/2)^2))))</f>
        <v>4.1016676605498184</v>
      </c>
      <c r="N527" s="1" t="str">
        <f>IF(AND(H527="Yes",ISNUMBER(M527),M527&lt;=1),COUNTIFS($H$511:$H$1010,"Yes",$M$511:$M$1010,"&lt;"&amp;M527)+COUNTIFS($H$511:H527,"Yes",$M$511:M527,M527),"")</f>
        <v/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08"/>
      <c r="AB527" s="108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:40" ht="22" customHeight="1">
      <c r="A528" s="2" t="s">
        <v>2249</v>
      </c>
      <c r="B528" s="2" t="s">
        <v>2250</v>
      </c>
      <c r="C528" s="2" t="s">
        <v>2251</v>
      </c>
      <c r="D528" s="2" t="s">
        <v>2189</v>
      </c>
      <c r="E528" s="2" t="s">
        <v>28</v>
      </c>
      <c r="F528" s="2">
        <v>40.050546125097398</v>
      </c>
      <c r="G528" s="2">
        <v>-75.159718868436983</v>
      </c>
      <c r="H528" s="2" t="s">
        <v>436</v>
      </c>
      <c r="I528" s="2"/>
      <c r="J528" s="2"/>
      <c r="K528" s="2"/>
      <c r="L528" s="2" t="s">
        <v>2252</v>
      </c>
      <c r="M528" s="1">
        <f>IF(OR(NOT(ISNUMBER('School Profile'!$K$4)),NOT(ISNUMBER('School Profile'!$K$5)),NOT(ISNUMBER(F528)),NOT(ISNUMBER(G528))),"",3958.7613*2*ASIN(MIN(1,SQRT(SIN(RADIANS(F528-'School Profile'!$K$4)/2)^2+COS(RADIANS('School Profile'!$K$4))*COS(RADIANS(F528))*SIN(RADIANS(G528-'School Profile'!$K$5)/2)^2))))</f>
        <v>9.7462547078872905</v>
      </c>
      <c r="N528" s="1" t="str">
        <f>IF(AND(H528="Yes",ISNUMBER(M528),M528&lt;=1),COUNTIFS($H$511:$H$1010,"Yes",$M$511:$M$1010,"&lt;"&amp;M528)+COUNTIFS($H$511:H528,"Yes",$M$511:M528,M528),"")</f>
        <v/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08"/>
      <c r="AB528" s="108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:40" ht="22" customHeight="1">
      <c r="A529" s="2" t="s">
        <v>2253</v>
      </c>
      <c r="B529" s="2" t="s">
        <v>2254</v>
      </c>
      <c r="C529" s="2" t="s">
        <v>2255</v>
      </c>
      <c r="D529" s="2" t="s">
        <v>2256</v>
      </c>
      <c r="E529" s="2" t="s">
        <v>28</v>
      </c>
      <c r="F529" s="2">
        <v>39.935914389893334</v>
      </c>
      <c r="G529" s="2">
        <v>-75.166664089749887</v>
      </c>
      <c r="H529" s="2" t="s">
        <v>88</v>
      </c>
      <c r="I529" s="2"/>
      <c r="J529" s="2"/>
      <c r="K529" s="2"/>
      <c r="L529" s="2" t="s">
        <v>2257</v>
      </c>
      <c r="M529" s="1">
        <f>IF(OR(NOT(ISNUMBER('School Profile'!$K$4)),NOT(ISNUMBER('School Profile'!$K$5)),NOT(ISNUMBER(F529)),NOT(ISNUMBER(G529))),"",3958.7613*2*ASIN(MIN(1,SQRT(SIN(RADIANS(F529-'School Profile'!$K$4)/2)^2+COS(RADIANS('School Profile'!$K$4))*COS(RADIANS(F529))*SIN(RADIANS(G529-'School Profile'!$K$5)/2)^2))))</f>
        <v>3.7070055047993233</v>
      </c>
      <c r="N529" s="1" t="str">
        <f>IF(AND(H529="Yes",ISNUMBER(M529),M529&lt;=1),COUNTIFS($H$511:$H$1010,"Yes",$M$511:$M$1010,"&lt;"&amp;M529)+COUNTIFS($H$511:H529,"Yes",$M$511:M529,M529),"")</f>
        <v/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08"/>
      <c r="AB529" s="108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:40" ht="22" customHeight="1">
      <c r="A530" s="2" t="s">
        <v>2258</v>
      </c>
      <c r="B530" s="2" t="s">
        <v>2259</v>
      </c>
      <c r="C530" s="2" t="s">
        <v>2260</v>
      </c>
      <c r="D530" s="2" t="s">
        <v>2256</v>
      </c>
      <c r="E530" s="2" t="s">
        <v>28</v>
      </c>
      <c r="F530" s="2">
        <v>39.938402899844412</v>
      </c>
      <c r="G530" s="2">
        <v>-75.163065700131455</v>
      </c>
      <c r="H530" s="2" t="s">
        <v>88</v>
      </c>
      <c r="I530" s="2"/>
      <c r="J530" s="2"/>
      <c r="K530" s="2"/>
      <c r="L530" s="2" t="s">
        <v>2261</v>
      </c>
      <c r="M530" s="1">
        <f>IF(OR(NOT(ISNUMBER('School Profile'!$K$4)),NOT(ISNUMBER('School Profile'!$K$5)),NOT(ISNUMBER(F530)),NOT(ISNUMBER(G530))),"",3958.7613*2*ASIN(MIN(1,SQRT(SIN(RADIANS(F530-'School Profile'!$K$4)/2)^2+COS(RADIANS('School Profile'!$K$4))*COS(RADIANS(F530))*SIN(RADIANS(G530-'School Profile'!$K$5)/2)^2))))</f>
        <v>3.9384482191199774</v>
      </c>
      <c r="N530" s="1" t="str">
        <f>IF(AND(H530="Yes",ISNUMBER(M530),M530&lt;=1),COUNTIFS($H$511:$H$1010,"Yes",$M$511:$M$1010,"&lt;"&amp;M530)+COUNTIFS($H$511:H530,"Yes",$M$511:M530,M530),"")</f>
        <v/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08"/>
      <c r="AB530" s="108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:40" ht="22" customHeight="1">
      <c r="A531" s="2" t="s">
        <v>2262</v>
      </c>
      <c r="B531" s="2" t="s">
        <v>2263</v>
      </c>
      <c r="C531" s="2" t="s">
        <v>2264</v>
      </c>
      <c r="D531" s="2" t="s">
        <v>2207</v>
      </c>
      <c r="E531" s="2" t="s">
        <v>28</v>
      </c>
      <c r="F531" s="2">
        <v>39.9559929999049</v>
      </c>
      <c r="G531" s="2">
        <v>-75.159985640228598</v>
      </c>
      <c r="H531" s="2" t="s">
        <v>88</v>
      </c>
      <c r="I531" s="2"/>
      <c r="J531" s="2"/>
      <c r="K531" s="2"/>
      <c r="L531" s="2" t="s">
        <v>2208</v>
      </c>
      <c r="M531" s="1">
        <f>IF(OR(NOT(ISNUMBER('School Profile'!$K$4)),NOT(ISNUMBER('School Profile'!$K$5)),NOT(ISNUMBER(F531)),NOT(ISNUMBER(G531))),"",3958.7613*2*ASIN(MIN(1,SQRT(SIN(RADIANS(F531-'School Profile'!$K$4)/2)^2+COS(RADIANS('School Profile'!$K$4))*COS(RADIANS(F531))*SIN(RADIANS(G531-'School Profile'!$K$5)/2)^2))))</f>
        <v>4.5910757663512793</v>
      </c>
      <c r="N531" s="1" t="str">
        <f>IF(AND(H531="Yes",ISNUMBER(M531),M531&lt;=1),COUNTIFS($H$511:$H$1010,"Yes",$M$511:$M$1010,"&lt;"&amp;M531)+COUNTIFS($H$511:H531,"Yes",$M$511:M531,M531),"")</f>
        <v/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08"/>
      <c r="AB531" s="108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:40" ht="22" customHeight="1">
      <c r="A532" s="2" t="s">
        <v>2265</v>
      </c>
      <c r="B532" s="2" t="s">
        <v>2266</v>
      </c>
      <c r="C532" s="2" t="s">
        <v>2267</v>
      </c>
      <c r="D532" s="2" t="s">
        <v>2189</v>
      </c>
      <c r="E532" s="2" t="s">
        <v>28</v>
      </c>
      <c r="F532" s="2">
        <v>40.101748354793308</v>
      </c>
      <c r="G532" s="2">
        <v>-74.986210907141427</v>
      </c>
      <c r="H532" s="2" t="s">
        <v>436</v>
      </c>
      <c r="I532" s="2"/>
      <c r="J532" s="2"/>
      <c r="K532" s="2"/>
      <c r="L532" s="2" t="s">
        <v>2203</v>
      </c>
      <c r="M532" s="1">
        <f>IF(OR(NOT(ISNUMBER('School Profile'!$K$4)),NOT(ISNUMBER('School Profile'!$K$5)),NOT(ISNUMBER(F532)),NOT(ISNUMBER(G532))),"",3958.7613*2*ASIN(MIN(1,SQRT(SIN(RADIANS(F532-'School Profile'!$K$4)/2)^2+COS(RADIANS('School Profile'!$K$4))*COS(RADIANS(F532))*SIN(RADIANS(G532-'School Profile'!$K$5)/2)^2))))</f>
        <v>18.086761276828465</v>
      </c>
      <c r="N532" s="1" t="str">
        <f>IF(AND(H532="Yes",ISNUMBER(M532),M532&lt;=1),COUNTIFS($H$511:$H$1010,"Yes",$M$511:$M$1010,"&lt;"&amp;M532)+COUNTIFS($H$511:H532,"Yes",$M$511:M532,M532),"")</f>
        <v/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08"/>
      <c r="AB532" s="108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:40" ht="22" customHeight="1">
      <c r="A533" s="2" t="s">
        <v>2268</v>
      </c>
      <c r="B533" s="2" t="s">
        <v>2269</v>
      </c>
      <c r="C533" s="2" t="s">
        <v>2270</v>
      </c>
      <c r="D533" s="2" t="s">
        <v>2189</v>
      </c>
      <c r="E533" s="2" t="s">
        <v>28</v>
      </c>
      <c r="F533" s="2">
        <v>40.038368710089664</v>
      </c>
      <c r="G533" s="2">
        <v>-75.174096659680842</v>
      </c>
      <c r="H533" s="2" t="s">
        <v>436</v>
      </c>
      <c r="I533" s="2"/>
      <c r="J533" s="2"/>
      <c r="K533" s="2"/>
      <c r="L533" s="2"/>
      <c r="M533" s="1">
        <f>IF(OR(NOT(ISNUMBER('School Profile'!$K$4)),NOT(ISNUMBER('School Profile'!$K$5)),NOT(ISNUMBER(F533)),NOT(ISNUMBER(G533))),"",3958.7613*2*ASIN(MIN(1,SQRT(SIN(RADIANS(F533-'School Profile'!$K$4)/2)^2+COS(RADIANS('School Profile'!$K$4))*COS(RADIANS(F533))*SIN(RADIANS(G533-'School Profile'!$K$5)/2)^2))))</f>
        <v>8.6766109894552805</v>
      </c>
      <c r="N533" s="1" t="str">
        <f>IF(AND(H533="Yes",ISNUMBER(M533),M533&lt;=1),COUNTIFS($H$511:$H$1010,"Yes",$M$511:$M$1010,"&lt;"&amp;M533)+COUNTIFS($H$511:H533,"Yes",$M$511:M533,M533),"")</f>
        <v/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08"/>
      <c r="AB533" s="108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:40" ht="22" customHeight="1">
      <c r="A534" s="2" t="s">
        <v>2271</v>
      </c>
      <c r="B534" s="2" t="s">
        <v>2272</v>
      </c>
      <c r="C534" s="2" t="s">
        <v>2273</v>
      </c>
      <c r="D534" s="2" t="s">
        <v>2189</v>
      </c>
      <c r="E534" s="2" t="s">
        <v>28</v>
      </c>
      <c r="F534" s="2">
        <v>40.038368710089664</v>
      </c>
      <c r="G534" s="2">
        <v>-75.174096659680842</v>
      </c>
      <c r="H534" s="2" t="s">
        <v>436</v>
      </c>
      <c r="I534" s="2"/>
      <c r="J534" s="2"/>
      <c r="K534" s="2"/>
      <c r="L534" s="2" t="s">
        <v>2274</v>
      </c>
      <c r="M534" s="1">
        <f>IF(OR(NOT(ISNUMBER('School Profile'!$K$4)),NOT(ISNUMBER('School Profile'!$K$5)),NOT(ISNUMBER(F534)),NOT(ISNUMBER(G534))),"",3958.7613*2*ASIN(MIN(1,SQRT(SIN(RADIANS(F534-'School Profile'!$K$4)/2)^2+COS(RADIANS('School Profile'!$K$4))*COS(RADIANS(F534))*SIN(RADIANS(G534-'School Profile'!$K$5)/2)^2))))</f>
        <v>8.6766109894552805</v>
      </c>
      <c r="N534" s="1" t="str">
        <f>IF(AND(H534="Yes",ISNUMBER(M534),M534&lt;=1),COUNTIFS($H$511:$H$1010,"Yes",$M$511:$M$1010,"&lt;"&amp;M534)+COUNTIFS($H$511:H534,"Yes",$M$511:M534,M534),"")</f>
        <v/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08"/>
      <c r="AB534" s="108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:40" ht="22" customHeight="1">
      <c r="A535" s="2" t="s">
        <v>2275</v>
      </c>
      <c r="B535" s="2" t="s">
        <v>2272</v>
      </c>
      <c r="C535" s="2" t="s">
        <v>2276</v>
      </c>
      <c r="D535" s="2" t="s">
        <v>2207</v>
      </c>
      <c r="E535" s="2" t="s">
        <v>28</v>
      </c>
      <c r="F535" s="2">
        <v>40.038368710089664</v>
      </c>
      <c r="G535" s="2">
        <v>-75.174096659680842</v>
      </c>
      <c r="H535" s="2" t="s">
        <v>88</v>
      </c>
      <c r="I535" s="2"/>
      <c r="J535" s="2"/>
      <c r="K535" s="2"/>
      <c r="L535" s="2" t="s">
        <v>2274</v>
      </c>
      <c r="M535" s="1">
        <f>IF(OR(NOT(ISNUMBER('School Profile'!$K$4)),NOT(ISNUMBER('School Profile'!$K$5)),NOT(ISNUMBER(F535)),NOT(ISNUMBER(G535))),"",3958.7613*2*ASIN(MIN(1,SQRT(SIN(RADIANS(F535-'School Profile'!$K$4)/2)^2+COS(RADIANS('School Profile'!$K$4))*COS(RADIANS(F535))*SIN(RADIANS(G535-'School Profile'!$K$5)/2)^2))))</f>
        <v>8.6766109894552805</v>
      </c>
      <c r="N535" s="1" t="str">
        <f>IF(AND(H535="Yes",ISNUMBER(M535),M535&lt;=1),COUNTIFS($H$511:$H$1010,"Yes",$M$511:$M$1010,"&lt;"&amp;M535)+COUNTIFS($H$511:H535,"Yes",$M$511:M535,M535),"")</f>
        <v/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08"/>
      <c r="AB535" s="108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:40" ht="22" customHeight="1">
      <c r="A536" s="2" t="s">
        <v>2277</v>
      </c>
      <c r="B536" s="2" t="s">
        <v>2278</v>
      </c>
      <c r="C536" s="2" t="s">
        <v>2279</v>
      </c>
      <c r="D536" s="2" t="s">
        <v>2189</v>
      </c>
      <c r="E536" s="2" t="s">
        <v>28</v>
      </c>
      <c r="F536" s="2">
        <v>39.950582561714725</v>
      </c>
      <c r="G536" s="2">
        <v>-75.16889080223514</v>
      </c>
      <c r="H536" s="2" t="s">
        <v>436</v>
      </c>
      <c r="I536" s="2"/>
      <c r="J536" s="2"/>
      <c r="K536" s="2"/>
      <c r="L536" s="2" t="s">
        <v>2280</v>
      </c>
      <c r="M536" s="1">
        <f>IF(OR(NOT(ISNUMBER('School Profile'!$K$4)),NOT(ISNUMBER('School Profile'!$K$5)),NOT(ISNUMBER(F536)),NOT(ISNUMBER(G536))),"",3958.7613*2*ASIN(MIN(1,SQRT(SIN(RADIANS(F536-'School Profile'!$K$4)/2)^2+COS(RADIANS('School Profile'!$K$4))*COS(RADIANS(F536))*SIN(RADIANS(G536-'School Profile'!$K$5)/2)^2))))</f>
        <v>3.9946136096896696</v>
      </c>
      <c r="N536" s="1" t="str">
        <f>IF(AND(H536="Yes",ISNUMBER(M536),M536&lt;=1),COUNTIFS($H$511:$H$1010,"Yes",$M$511:$M$1010,"&lt;"&amp;M536)+COUNTIFS($H$511:H536,"Yes",$M$511:M536,M536),"")</f>
        <v/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08"/>
      <c r="AB536" s="108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:40" ht="22" customHeight="1">
      <c r="A537" s="2" t="s">
        <v>2281</v>
      </c>
      <c r="B537" s="2" t="s">
        <v>2282</v>
      </c>
      <c r="C537" s="2" t="s">
        <v>2283</v>
      </c>
      <c r="D537" s="2" t="s">
        <v>2256</v>
      </c>
      <c r="E537" s="2" t="s">
        <v>28</v>
      </c>
      <c r="F537" s="2">
        <v>39.948153639933494</v>
      </c>
      <c r="G537" s="2">
        <v>-75.16194111988851</v>
      </c>
      <c r="H537" s="2" t="s">
        <v>88</v>
      </c>
      <c r="I537" s="2"/>
      <c r="J537" s="2"/>
      <c r="K537" s="2"/>
      <c r="L537" s="2" t="s">
        <v>2284</v>
      </c>
      <c r="M537" s="1">
        <f>IF(OR(NOT(ISNUMBER('School Profile'!$K$4)),NOT(ISNUMBER('School Profile'!$K$5)),NOT(ISNUMBER(F537)),NOT(ISNUMBER(G537))),"",3958.7613*2*ASIN(MIN(1,SQRT(SIN(RADIANS(F537-'School Profile'!$K$4)/2)^2+COS(RADIANS('School Profile'!$K$4))*COS(RADIANS(F537))*SIN(RADIANS(G537-'School Profile'!$K$5)/2)^2))))</f>
        <v>4.2413232029555701</v>
      </c>
      <c r="N537" s="1" t="str">
        <f>IF(AND(H537="Yes",ISNUMBER(M537),M537&lt;=1),COUNTIFS($H$511:$H$1010,"Yes",$M$511:$M$1010,"&lt;"&amp;M537)+COUNTIFS($H$511:H537,"Yes",$M$511:M537,M537),"")</f>
        <v/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08"/>
      <c r="AB537" s="108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:40" ht="22" customHeight="1">
      <c r="A538" s="2" t="s">
        <v>2285</v>
      </c>
      <c r="B538" s="2" t="s">
        <v>2286</v>
      </c>
      <c r="C538" s="2" t="s">
        <v>2287</v>
      </c>
      <c r="D538" s="2" t="s">
        <v>2256</v>
      </c>
      <c r="E538" s="2" t="s">
        <v>28</v>
      </c>
      <c r="F538" s="2">
        <v>40.096450612174401</v>
      </c>
      <c r="G538" s="2">
        <v>-74.975512891084094</v>
      </c>
      <c r="H538" s="2" t="s">
        <v>88</v>
      </c>
      <c r="I538" s="2"/>
      <c r="J538" s="2"/>
      <c r="K538" s="2"/>
      <c r="L538" s="2" t="s">
        <v>2257</v>
      </c>
      <c r="M538" s="1">
        <f>IF(OR(NOT(ISNUMBER('School Profile'!$K$4)),NOT(ISNUMBER('School Profile'!$K$5)),NOT(ISNUMBER(F538)),NOT(ISNUMBER(G538))),"",3958.7613*2*ASIN(MIN(1,SQRT(SIN(RADIANS(F538-'School Profile'!$K$4)/2)^2+COS(RADIANS('School Profile'!$K$4))*COS(RADIANS(F538))*SIN(RADIANS(G538-'School Profile'!$K$5)/2)^2))))</f>
        <v>18.257414560403689</v>
      </c>
      <c r="N538" s="1" t="str">
        <f>IF(AND(H538="Yes",ISNUMBER(M538),M538&lt;=1),COUNTIFS($H$511:$H$1010,"Yes",$M$511:$M$1010,"&lt;"&amp;M538)+COUNTIFS($H$511:H538,"Yes",$M$511:M538,M538),"")</f>
        <v/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08"/>
      <c r="AB538" s="108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:40" ht="22" customHeight="1">
      <c r="A539" s="2" t="s">
        <v>2288</v>
      </c>
      <c r="B539" s="2" t="s">
        <v>2289</v>
      </c>
      <c r="C539" s="2" t="s">
        <v>2290</v>
      </c>
      <c r="D539" s="2" t="s">
        <v>2215</v>
      </c>
      <c r="E539" s="2" t="s">
        <v>28</v>
      </c>
      <c r="F539" s="2">
        <v>40.003657200182403</v>
      </c>
      <c r="G539" s="2">
        <v>-75.104443329929282</v>
      </c>
      <c r="H539" s="2" t="s">
        <v>88</v>
      </c>
      <c r="I539" s="2"/>
      <c r="J539" s="2"/>
      <c r="K539" s="2"/>
      <c r="L539" s="2" t="s">
        <v>2291</v>
      </c>
      <c r="M539" s="1">
        <f>IF(OR(NOT(ISNUMBER('School Profile'!$K$4)),NOT(ISNUMBER('School Profile'!$K$5)),NOT(ISNUMBER(F539)),NOT(ISNUMBER(G539))),"",3958.7613*2*ASIN(MIN(1,SQRT(SIN(RADIANS(F539-'School Profile'!$K$4)/2)^2+COS(RADIANS('School Profile'!$K$4))*COS(RADIANS(F539))*SIN(RADIANS(G539-'School Profile'!$K$5)/2)^2))))</f>
        <v>8.90723673645582</v>
      </c>
      <c r="N539" s="1" t="str">
        <f>IF(AND(H539="Yes",ISNUMBER(M539),M539&lt;=1),COUNTIFS($H$511:$H$1010,"Yes",$M$511:$M$1010,"&lt;"&amp;M539)+COUNTIFS($H$511:H539,"Yes",$M$511:M539,M539),"")</f>
        <v/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08"/>
      <c r="AB539" s="108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:40" ht="22" customHeight="1">
      <c r="A540" s="2" t="s">
        <v>2292</v>
      </c>
      <c r="B540" s="2" t="s">
        <v>2293</v>
      </c>
      <c r="C540" s="2" t="s">
        <v>2294</v>
      </c>
      <c r="D540" s="2" t="s">
        <v>2189</v>
      </c>
      <c r="E540" s="2" t="s">
        <v>28</v>
      </c>
      <c r="F540" s="2">
        <v>40.016569250182663</v>
      </c>
      <c r="G540" s="2">
        <v>-75.147266299797636</v>
      </c>
      <c r="H540" s="2" t="s">
        <v>436</v>
      </c>
      <c r="I540" s="2"/>
      <c r="J540" s="2"/>
      <c r="K540" s="2"/>
      <c r="L540" s="2" t="s">
        <v>2280</v>
      </c>
      <c r="M540" s="1">
        <f>IF(OR(NOT(ISNUMBER('School Profile'!$K$4)),NOT(ISNUMBER('School Profile'!$K$5)),NOT(ISNUMBER(F540)),NOT(ISNUMBER(G540))),"",3958.7613*2*ASIN(MIN(1,SQRT(SIN(RADIANS(F540-'School Profile'!$K$4)/2)^2+COS(RADIANS('School Profile'!$K$4))*COS(RADIANS(F540))*SIN(RADIANS(G540-'School Profile'!$K$5)/2)^2))))</f>
        <v>8.016877371440037</v>
      </c>
      <c r="N540" s="1" t="str">
        <f>IF(AND(H540="Yes",ISNUMBER(M540),M540&lt;=1),COUNTIFS($H$511:$H$1010,"Yes",$M$511:$M$1010,"&lt;"&amp;M540)+COUNTIFS($H$511:H540,"Yes",$M$511:M540,M540),"")</f>
        <v/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08"/>
      <c r="AB540" s="108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:40" ht="22" customHeight="1">
      <c r="A541" s="2" t="s">
        <v>2295</v>
      </c>
      <c r="B541" s="2" t="s">
        <v>2296</v>
      </c>
      <c r="C541" s="2" t="s">
        <v>2297</v>
      </c>
      <c r="D541" s="2" t="s">
        <v>2189</v>
      </c>
      <c r="E541" s="2" t="s">
        <v>28</v>
      </c>
      <c r="F541" s="2">
        <v>39.972025779917075</v>
      </c>
      <c r="G541" s="2">
        <v>-75.143471869936434</v>
      </c>
      <c r="H541" s="2" t="s">
        <v>436</v>
      </c>
      <c r="I541" s="2"/>
      <c r="J541" s="2"/>
      <c r="K541" s="2"/>
      <c r="L541" s="2" t="s">
        <v>2298</v>
      </c>
      <c r="M541" s="1">
        <f>IF(OR(NOT(ISNUMBER('School Profile'!$K$4)),NOT(ISNUMBER('School Profile'!$K$5)),NOT(ISNUMBER(F541)),NOT(ISNUMBER(G541))),"",3958.7613*2*ASIN(MIN(1,SQRT(SIN(RADIANS(F541-'School Profile'!$K$4)/2)^2+COS(RADIANS('School Profile'!$K$4))*COS(RADIANS(F541))*SIN(RADIANS(G541-'School Profile'!$K$5)/2)^2))))</f>
        <v>5.9338986388839441</v>
      </c>
      <c r="N541" s="1" t="str">
        <f>IF(AND(H541="Yes",ISNUMBER(M541),M541&lt;=1),COUNTIFS($H$511:$H$1010,"Yes",$M$511:$M$1010,"&lt;"&amp;M541)+COUNTIFS($H$511:H541,"Yes",$M$511:M541,M541),"")</f>
        <v/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:40" ht="22" customHeight="1">
      <c r="A542" s="2" t="s">
        <v>2299</v>
      </c>
      <c r="B542" s="2" t="s">
        <v>2300</v>
      </c>
      <c r="C542" s="2" t="s">
        <v>2301</v>
      </c>
      <c r="D542" s="2" t="s">
        <v>2207</v>
      </c>
      <c r="E542" s="2" t="s">
        <v>28</v>
      </c>
      <c r="F542" s="2">
        <v>39.976741699817083</v>
      </c>
      <c r="G542" s="2">
        <v>-75.182296699884915</v>
      </c>
      <c r="H542" s="2" t="s">
        <v>88</v>
      </c>
      <c r="I542" s="2"/>
      <c r="J542" s="2"/>
      <c r="K542" s="2"/>
      <c r="L542" s="2" t="s">
        <v>2203</v>
      </c>
      <c r="M542" s="1">
        <f>IF(OR(NOT(ISNUMBER('School Profile'!$K$4)),NOT(ISNUMBER('School Profile'!$K$5)),NOT(ISNUMBER(F542)),NOT(ISNUMBER(G542))),"",3958.7613*2*ASIN(MIN(1,SQRT(SIN(RADIANS(F542-'School Profile'!$K$4)/2)^2+COS(RADIANS('School Profile'!$K$4))*COS(RADIANS(F542))*SIN(RADIANS(G542-'School Profile'!$K$5)/2)^2))))</f>
        <v>4.6995571405128187</v>
      </c>
      <c r="N542" s="1" t="str">
        <f>IF(AND(H542="Yes",ISNUMBER(M542),M542&lt;=1),COUNTIFS($H$511:$H$1010,"Yes",$M$511:$M$1010,"&lt;"&amp;M542)+COUNTIFS($H$511:H542,"Yes",$M$511:M542,M542),"")</f>
        <v/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:40" ht="22" customHeight="1">
      <c r="A543" s="2" t="s">
        <v>2302</v>
      </c>
      <c r="B543" s="2" t="s">
        <v>2303</v>
      </c>
      <c r="C543" s="2" t="s">
        <v>2304</v>
      </c>
      <c r="D543" s="2" t="s">
        <v>2256</v>
      </c>
      <c r="E543" s="2" t="s">
        <v>28</v>
      </c>
      <c r="F543" s="2">
        <v>40.018333991704296</v>
      </c>
      <c r="G543" s="2">
        <v>-75.098312548202415</v>
      </c>
      <c r="H543" s="2" t="s">
        <v>88</v>
      </c>
      <c r="I543" s="2"/>
      <c r="J543" s="2"/>
      <c r="K543" s="2"/>
      <c r="L543" s="2" t="s">
        <v>2257</v>
      </c>
      <c r="M543" s="1">
        <f>IF(OR(NOT(ISNUMBER('School Profile'!$K$4)),NOT(ISNUMBER('School Profile'!$K$5)),NOT(ISNUMBER(F543)),NOT(ISNUMBER(G543))),"",3958.7613*2*ASIN(MIN(1,SQRT(SIN(RADIANS(F543-'School Profile'!$K$4)/2)^2+COS(RADIANS('School Profile'!$K$4))*COS(RADIANS(F543))*SIN(RADIANS(G543-'School Profile'!$K$5)/2)^2))))</f>
        <v>9.8199653598301406</v>
      </c>
      <c r="N543" s="1" t="str">
        <f>IF(AND(H543="Yes",ISNUMBER(M543),M543&lt;=1),COUNTIFS($H$511:$H$1010,"Yes",$M$511:$M$1010,"&lt;"&amp;M543)+COUNTIFS($H$511:H543,"Yes",$M$511:M543,M543),"")</f>
        <v/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:40" ht="22" customHeight="1">
      <c r="A544" s="2" t="s">
        <v>2305</v>
      </c>
      <c r="B544" s="2" t="s">
        <v>2306</v>
      </c>
      <c r="C544" s="2" t="s">
        <v>2307</v>
      </c>
      <c r="D544" s="2" t="s">
        <v>2256</v>
      </c>
      <c r="E544" s="2" t="s">
        <v>28</v>
      </c>
      <c r="F544" s="2">
        <v>40.031756100266577</v>
      </c>
      <c r="G544" s="2">
        <v>-75.145371500436838</v>
      </c>
      <c r="H544" s="2" t="s">
        <v>88</v>
      </c>
      <c r="I544" s="2"/>
      <c r="J544" s="2"/>
      <c r="K544" s="2"/>
      <c r="L544" s="2" t="s">
        <v>2261</v>
      </c>
      <c r="M544" s="1">
        <f>IF(OR(NOT(ISNUMBER('School Profile'!$K$4)),NOT(ISNUMBER('School Profile'!$K$5)),NOT(ISNUMBER(F544)),NOT(ISNUMBER(G544))),"",3958.7613*2*ASIN(MIN(1,SQRT(SIN(RADIANS(F544-'School Profile'!$K$4)/2)^2+COS(RADIANS('School Profile'!$K$4))*COS(RADIANS(F544))*SIN(RADIANS(G544-'School Profile'!$K$5)/2)^2))))</f>
        <v>8.9489819706543674</v>
      </c>
      <c r="N544" s="1" t="str">
        <f>IF(AND(H544="Yes",ISNUMBER(M544),M544&lt;=1),COUNTIFS($H$511:$H$1010,"Yes",$M$511:$M$1010,"&lt;"&amp;M544)+COUNTIFS($H$511:H544,"Yes",$M$511:M544,M544),"")</f>
        <v/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:40" ht="22" customHeight="1">
      <c r="A545" s="2" t="s">
        <v>2308</v>
      </c>
      <c r="B545" s="2" t="s">
        <v>2309</v>
      </c>
      <c r="C545" s="2" t="s">
        <v>2310</v>
      </c>
      <c r="D545" s="2" t="s">
        <v>2189</v>
      </c>
      <c r="E545" s="2" t="s">
        <v>28</v>
      </c>
      <c r="F545" s="2">
        <v>39.967859869970837</v>
      </c>
      <c r="G545" s="2">
        <v>-75.159404609902808</v>
      </c>
      <c r="H545" s="2" t="s">
        <v>436</v>
      </c>
      <c r="I545" s="2"/>
      <c r="J545" s="2"/>
      <c r="K545" s="2"/>
      <c r="L545" s="2" t="s">
        <v>2203</v>
      </c>
      <c r="M545" s="1">
        <f>IF(OR(NOT(ISNUMBER('School Profile'!$K$4)),NOT(ISNUMBER('School Profile'!$K$5)),NOT(ISNUMBER(F545)),NOT(ISNUMBER(G545))),"",3958.7613*2*ASIN(MIN(1,SQRT(SIN(RADIANS(F545-'School Profile'!$K$4)/2)^2+COS(RADIANS('School Profile'!$K$4))*COS(RADIANS(F545))*SIN(RADIANS(G545-'School Profile'!$K$5)/2)^2))))</f>
        <v>5.0890557652644102</v>
      </c>
      <c r="N545" s="1" t="str">
        <f>IF(AND(H545="Yes",ISNUMBER(M545),M545&lt;=1),COUNTIFS($H$511:$H$1010,"Yes",$M$511:$M$1010,"&lt;"&amp;M545)+COUNTIFS($H$511:H545,"Yes",$M$511:M545,M545),"")</f>
        <v/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:40" ht="22" customHeight="1">
      <c r="A546" s="2" t="s">
        <v>2311</v>
      </c>
      <c r="B546" s="2" t="s">
        <v>2312</v>
      </c>
      <c r="C546" s="2" t="s">
        <v>2313</v>
      </c>
      <c r="D546" s="2" t="s">
        <v>2215</v>
      </c>
      <c r="E546" s="2" t="s">
        <v>28</v>
      </c>
      <c r="F546" s="2">
        <v>39.971414340062566</v>
      </c>
      <c r="G546" s="2">
        <v>-75.134669680014284</v>
      </c>
      <c r="H546" s="2" t="s">
        <v>88</v>
      </c>
      <c r="I546" s="2"/>
      <c r="J546" s="2"/>
      <c r="K546" s="2"/>
      <c r="L546" s="2" t="s">
        <v>2216</v>
      </c>
      <c r="M546" s="1">
        <f>IF(OR(NOT(ISNUMBER('School Profile'!$K$4)),NOT(ISNUMBER('School Profile'!$K$5)),NOT(ISNUMBER(F546)),NOT(ISNUMBER(G546))),"",3958.7613*2*ASIN(MIN(1,SQRT(SIN(RADIANS(F546-'School Profile'!$K$4)/2)^2+COS(RADIANS('School Profile'!$K$4))*COS(RADIANS(F546))*SIN(RADIANS(G546-'School Profile'!$K$5)/2)^2))))</f>
        <v>6.2936422566361712</v>
      </c>
      <c r="N546" s="1" t="str">
        <f>IF(AND(H546="Yes",ISNUMBER(M546),M546&lt;=1),COUNTIFS($H$511:$H$1010,"Yes",$M$511:$M$1010,"&lt;"&amp;M546)+COUNTIFS($H$511:H546,"Yes",$M$511:M546,M546),"")</f>
        <v/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:40" ht="22" customHeight="1">
      <c r="A547" s="2" t="s">
        <v>2314</v>
      </c>
      <c r="B547" s="2" t="s">
        <v>2315</v>
      </c>
      <c r="C547" s="2" t="s">
        <v>2316</v>
      </c>
      <c r="D547" s="2" t="s">
        <v>2189</v>
      </c>
      <c r="E547" s="2" t="s">
        <v>28</v>
      </c>
      <c r="F547" s="2">
        <v>40.061530386121255</v>
      </c>
      <c r="G547" s="2">
        <v>-75.189517930365483</v>
      </c>
      <c r="H547" s="2" t="s">
        <v>436</v>
      </c>
      <c r="I547" s="2"/>
      <c r="J547" s="2"/>
      <c r="K547" s="2"/>
      <c r="L547" s="2"/>
      <c r="M547" s="1">
        <f>IF(OR(NOT(ISNUMBER('School Profile'!$K$4)),NOT(ISNUMBER('School Profile'!$K$5)),NOT(ISNUMBER(F547)),NOT(ISNUMBER(G547))),"",3958.7613*2*ASIN(MIN(1,SQRT(SIN(RADIANS(F547-'School Profile'!$K$4)/2)^2+COS(RADIANS('School Profile'!$K$4))*COS(RADIANS(F547))*SIN(RADIANS(G547-'School Profile'!$K$5)/2)^2))))</f>
        <v>9.9584593737016895</v>
      </c>
      <c r="N547" s="1" t="str">
        <f>IF(AND(H547="Yes",ISNUMBER(M547),M547&lt;=1),COUNTIFS($H$511:$H$1010,"Yes",$M$511:$M$1010,"&lt;"&amp;M547)+COUNTIFS($H$511:H547,"Yes",$M$511:M547,M547),"")</f>
        <v/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:40" ht="22" customHeight="1">
      <c r="A548" s="2" t="s">
        <v>2317</v>
      </c>
      <c r="B548" s="2" t="s">
        <v>2318</v>
      </c>
      <c r="C548" s="2" t="s">
        <v>2319</v>
      </c>
      <c r="D548" s="2" t="s">
        <v>2207</v>
      </c>
      <c r="E548" s="2" t="s">
        <v>28</v>
      </c>
      <c r="F548" s="2">
        <v>39.953609039305498</v>
      </c>
      <c r="G548" s="2">
        <v>-75.165058874897326</v>
      </c>
      <c r="H548" s="2" t="s">
        <v>88</v>
      </c>
      <c r="I548" s="2"/>
      <c r="J548" s="2"/>
      <c r="K548" s="2"/>
      <c r="L548" s="2" t="s">
        <v>2208</v>
      </c>
      <c r="M548" s="1">
        <f>IF(OR(NOT(ISNUMBER('School Profile'!$K$4)),NOT(ISNUMBER('School Profile'!$K$5)),NOT(ISNUMBER(F548)),NOT(ISNUMBER(G548))),"",3958.7613*2*ASIN(MIN(1,SQRT(SIN(RADIANS(F548-'School Profile'!$K$4)/2)^2+COS(RADIANS('School Profile'!$K$4))*COS(RADIANS(F548))*SIN(RADIANS(G548-'School Profile'!$K$5)/2)^2))))</f>
        <v>4.2759134137666281</v>
      </c>
      <c r="N548" s="1" t="str">
        <f>IF(AND(H548="Yes",ISNUMBER(M548),M548&lt;=1),COUNTIFS($H$511:$H$1010,"Yes",$M$511:$M$1010,"&lt;"&amp;M548)+COUNTIFS($H$511:H548,"Yes",$M$511:M548,M548),"")</f>
        <v/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:40" ht="22" customHeight="1">
      <c r="A549" s="2" t="s">
        <v>2320</v>
      </c>
      <c r="B549" s="2" t="s">
        <v>2321</v>
      </c>
      <c r="C549" s="2" t="s">
        <v>2322</v>
      </c>
      <c r="D549" s="2" t="s">
        <v>2189</v>
      </c>
      <c r="E549" s="2" t="s">
        <v>28</v>
      </c>
      <c r="F549" s="2">
        <v>39.934304100138874</v>
      </c>
      <c r="G549" s="2">
        <v>-75.182501699924316</v>
      </c>
      <c r="H549" s="2" t="s">
        <v>436</v>
      </c>
      <c r="I549" s="2"/>
      <c r="J549" s="2"/>
      <c r="K549" s="2"/>
      <c r="L549" s="2" t="s">
        <v>2192</v>
      </c>
      <c r="M549" s="1">
        <f>IF(OR(NOT(ISNUMBER('School Profile'!$K$4)),NOT(ISNUMBER('School Profile'!$K$5)),NOT(ISNUMBER(F549)),NOT(ISNUMBER(G549))),"",3958.7613*2*ASIN(MIN(1,SQRT(SIN(RADIANS(F549-'School Profile'!$K$4)/2)^2+COS(RADIANS('School Profile'!$K$4))*COS(RADIANS(F549))*SIN(RADIANS(G549-'School Profile'!$K$5)/2)^2))))</f>
        <v>2.8713035435815111</v>
      </c>
      <c r="N549" s="1" t="str">
        <f>IF(AND(H549="Yes",ISNUMBER(M549),M549&lt;=1),COUNTIFS($H$511:$H$1010,"Yes",$M$511:$M$1010,"&lt;"&amp;M549)+COUNTIFS($H$511:H549,"Yes",$M$511:M549,M549),"")</f>
        <v/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:40" ht="22" customHeight="1">
      <c r="A550" s="2" t="s">
        <v>2323</v>
      </c>
      <c r="B550" s="2" t="s">
        <v>2324</v>
      </c>
      <c r="C550" s="2" t="s">
        <v>2325</v>
      </c>
      <c r="D550" s="2" t="s">
        <v>2189</v>
      </c>
      <c r="E550" s="2" t="s">
        <v>28</v>
      </c>
      <c r="F550" s="2">
        <v>39.934412709714408</v>
      </c>
      <c r="G550" s="2">
        <v>-75.16860443998381</v>
      </c>
      <c r="H550" s="2" t="s">
        <v>436</v>
      </c>
      <c r="I550" s="2"/>
      <c r="J550" s="2"/>
      <c r="K550" s="2"/>
      <c r="L550" s="2" t="s">
        <v>2192</v>
      </c>
      <c r="M550" s="1">
        <f>IF(OR(NOT(ISNUMBER('School Profile'!$K$4)),NOT(ISNUMBER('School Profile'!$K$5)),NOT(ISNUMBER(F550)),NOT(ISNUMBER(G550))),"",3958.7613*2*ASIN(MIN(1,SQRT(SIN(RADIANS(F550-'School Profile'!$K$4)/2)^2+COS(RADIANS('School Profile'!$K$4))*COS(RADIANS(F550))*SIN(RADIANS(G550-'School Profile'!$K$5)/2)^2))))</f>
        <v>3.5808659533499085</v>
      </c>
      <c r="N550" s="1" t="str">
        <f>IF(AND(H550="Yes",ISNUMBER(M550),M550&lt;=1),COUNTIFS($H$511:$H$1010,"Yes",$M$511:$M$1010,"&lt;"&amp;M550)+COUNTIFS($H$511:H550,"Yes",$M$511:M550,M550),"")</f>
        <v/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:40" ht="22" customHeight="1">
      <c r="A551" s="1" t="s">
        <v>2326</v>
      </c>
      <c r="B551" s="1" t="s">
        <v>2327</v>
      </c>
      <c r="C551" s="1" t="s">
        <v>2328</v>
      </c>
      <c r="D551" s="1" t="s">
        <v>2189</v>
      </c>
      <c r="E551" s="1" t="s">
        <v>28</v>
      </c>
      <c r="F551" s="1">
        <v>40.000264530300562</v>
      </c>
      <c r="G551" s="1">
        <v>-75.154192660082842</v>
      </c>
      <c r="H551" s="1" t="s">
        <v>436</v>
      </c>
      <c r="I551" s="1"/>
      <c r="J551" s="1"/>
      <c r="K551" s="1"/>
      <c r="L551" s="1" t="s">
        <v>2192</v>
      </c>
      <c r="M551" s="1">
        <f>IF(OR(NOT(ISNUMBER('School Profile'!$K$4)),NOT(ISNUMBER('School Profile'!$K$5)),NOT(ISNUMBER(F551)),NOT(ISNUMBER(G551))),"",3958.7613*2*ASIN(MIN(1,SQRT(SIN(RADIANS(F551-'School Profile'!$K$4)/2)^2+COS(RADIANS('School Profile'!$K$4))*COS(RADIANS(F551))*SIN(RADIANS(G551-'School Profile'!$K$5)/2)^2))))</f>
        <v>6.892521257808669</v>
      </c>
      <c r="N551" s="1" t="str">
        <f>IF(AND(H551="Yes",ISNUMBER(M551),M551&lt;=1),COUNTIFS($H$511:$H$1010,"Yes",$M$511:$M$1010,"&lt;"&amp;M551)+COUNTIFS($H$511:H551,"Yes",$M$511:M551,M551),"")</f>
        <v/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:40" ht="22" customHeight="1">
      <c r="A552" s="1" t="s">
        <v>2329</v>
      </c>
      <c r="B552" s="1" t="s">
        <v>2330</v>
      </c>
      <c r="C552" s="1" t="s">
        <v>2331</v>
      </c>
      <c r="D552" s="1" t="s">
        <v>2215</v>
      </c>
      <c r="E552" s="1" t="s">
        <v>28</v>
      </c>
      <c r="F552" s="1">
        <v>39.931506179899678</v>
      </c>
      <c r="G552" s="1">
        <v>-75.162456099786382</v>
      </c>
      <c r="H552" s="1" t="s">
        <v>88</v>
      </c>
      <c r="I552" s="1"/>
      <c r="J552" s="1"/>
      <c r="K552" s="1"/>
      <c r="L552" s="1" t="s">
        <v>2291</v>
      </c>
      <c r="M552" s="1">
        <f>IF(OR(NOT(ISNUMBER('School Profile'!$K$4)),NOT(ISNUMBER('School Profile'!$K$5)),NOT(ISNUMBER(F552)),NOT(ISNUMBER(G552))),"",3958.7613*2*ASIN(MIN(1,SQRT(SIN(RADIANS(F552-'School Profile'!$K$4)/2)^2+COS(RADIANS('School Profile'!$K$4))*COS(RADIANS(F552))*SIN(RADIANS(G552-'School Profile'!$K$5)/2)^2))))</f>
        <v>3.8562543676549415</v>
      </c>
      <c r="N552" s="1" t="str">
        <f>IF(AND(H552="Yes",ISNUMBER(M552),M552&lt;=1),COUNTIFS($H$511:$H$1010,"Yes",$M$511:$M$1010,"&lt;"&amp;M552)+COUNTIFS($H$511:H552,"Yes",$M$511:M552,M552),"")</f>
        <v/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:40" ht="22" customHeight="1">
      <c r="A553" s="1" t="s">
        <v>2332</v>
      </c>
      <c r="B553" s="1" t="s">
        <v>2333</v>
      </c>
      <c r="C553" s="1" t="s">
        <v>2334</v>
      </c>
      <c r="D553" s="1" t="s">
        <v>2189</v>
      </c>
      <c r="E553" s="1" t="s">
        <v>28</v>
      </c>
      <c r="F553" s="1">
        <v>39.934166326766992</v>
      </c>
      <c r="G553" s="1">
        <v>-75.18443907942958</v>
      </c>
      <c r="H553" s="1" t="s">
        <v>436</v>
      </c>
      <c r="I553" s="1"/>
      <c r="J553" s="1"/>
      <c r="K553" s="1" t="s">
        <v>2335</v>
      </c>
      <c r="L553" s="1" t="s">
        <v>2203</v>
      </c>
      <c r="M553" s="1">
        <f>IF(OR(NOT(ISNUMBER('School Profile'!$K$4)),NOT(ISNUMBER('School Profile'!$K$5)),NOT(ISNUMBER(F553)),NOT(ISNUMBER(G553))),"",3958.7613*2*ASIN(MIN(1,SQRT(SIN(RADIANS(F553-'School Profile'!$K$4)/2)^2+COS(RADIANS('School Profile'!$K$4))*COS(RADIANS(F553))*SIN(RADIANS(G553-'School Profile'!$K$5)/2)^2))))</f>
        <v>2.7708094584328773</v>
      </c>
      <c r="N553" s="1" t="str">
        <f>IF(AND(H553="Yes",ISNUMBER(M553),M553&lt;=1),COUNTIFS($H$511:$H$1010,"Yes",$M$511:$M$1010,"&lt;"&amp;M553)+COUNTIFS($H$511:H553,"Yes",$M$511:M553,M553),"")</f>
        <v/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:40" ht="22" customHeight="1">
      <c r="A554" s="1" t="s">
        <v>2336</v>
      </c>
      <c r="B554" s="1" t="s">
        <v>2337</v>
      </c>
      <c r="C554" s="1" t="s">
        <v>2338</v>
      </c>
      <c r="D554" s="1" t="s">
        <v>2189</v>
      </c>
      <c r="E554" s="1" t="s">
        <v>28</v>
      </c>
      <c r="F554" s="1">
        <v>39.977513589818244</v>
      </c>
      <c r="G554" s="1">
        <v>-75.16113703967433</v>
      </c>
      <c r="H554" s="1" t="s">
        <v>436</v>
      </c>
      <c r="I554" s="1"/>
      <c r="J554" s="1"/>
      <c r="K554" s="1"/>
      <c r="L554" s="1" t="s">
        <v>2192</v>
      </c>
      <c r="M554" s="1">
        <f>IF(OR(NOT(ISNUMBER('School Profile'!$K$4)),NOT(ISNUMBER('School Profile'!$K$5)),NOT(ISNUMBER(F554)),NOT(ISNUMBER(G554))),"",3958.7613*2*ASIN(MIN(1,SQRT(SIN(RADIANS(F554-'School Profile'!$K$4)/2)^2+COS(RADIANS('School Profile'!$K$4))*COS(RADIANS(F554))*SIN(RADIANS(G554-'School Profile'!$K$5)/2)^2))))</f>
        <v>5.4678367016649583</v>
      </c>
      <c r="N554" s="1" t="str">
        <f>IF(AND(H554="Yes",ISNUMBER(M554),M554&lt;=1),COUNTIFS($H$511:$H$1010,"Yes",$M$511:$M$1010,"&lt;"&amp;M554)+COUNTIFS($H$511:H554,"Yes",$M$511:M554,M554),"")</f>
        <v/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:40" ht="22" customHeight="1">
      <c r="A555" s="1" t="s">
        <v>2339</v>
      </c>
      <c r="B555" s="1" t="s">
        <v>2340</v>
      </c>
      <c r="C555" s="1" t="s">
        <v>2341</v>
      </c>
      <c r="D555" s="1" t="s">
        <v>2189</v>
      </c>
      <c r="E555" s="1" t="s">
        <v>28</v>
      </c>
      <c r="F555" s="1">
        <v>39.972554400152532</v>
      </c>
      <c r="G555" s="1">
        <v>-75.161499330228409</v>
      </c>
      <c r="H555" s="1" t="s">
        <v>436</v>
      </c>
      <c r="I555" s="1"/>
      <c r="J555" s="1"/>
      <c r="K555" s="1"/>
      <c r="L555" s="1" t="s">
        <v>2192</v>
      </c>
      <c r="M555" s="1">
        <f>IF(OR(NOT(ISNUMBER('School Profile'!$K$4)),NOT(ISNUMBER('School Profile'!$K$5)),NOT(ISNUMBER(F555)),NOT(ISNUMBER(G555))),"",3958.7613*2*ASIN(MIN(1,SQRT(SIN(RADIANS(F555-'School Profile'!$K$4)/2)^2+COS(RADIANS('School Profile'!$K$4))*COS(RADIANS(F555))*SIN(RADIANS(G555-'School Profile'!$K$5)/2)^2))))</f>
        <v>5.2168495271101261</v>
      </c>
      <c r="N555" s="1" t="str">
        <f>IF(AND(H555="Yes",ISNUMBER(M555),M555&lt;=1),COUNTIFS($H$511:$H$1010,"Yes",$M$511:$M$1010,"&lt;"&amp;M555)+COUNTIFS($H$511:H555,"Yes",$M$511:M555,M555),"")</f>
        <v/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:40" ht="22" customHeight="1">
      <c r="A556" s="1" t="s">
        <v>2342</v>
      </c>
      <c r="B556" s="1" t="s">
        <v>2343</v>
      </c>
      <c r="C556" s="1" t="s">
        <v>2344</v>
      </c>
      <c r="D556" s="1" t="s">
        <v>2189</v>
      </c>
      <c r="E556" s="1" t="s">
        <v>28</v>
      </c>
      <c r="F556" s="1">
        <v>39.938868629939805</v>
      </c>
      <c r="G556" s="1">
        <v>-75.216642669963946</v>
      </c>
      <c r="H556" s="1" t="s">
        <v>436</v>
      </c>
      <c r="I556" s="1"/>
      <c r="J556" s="1"/>
      <c r="K556" s="1"/>
      <c r="L556" s="1" t="s">
        <v>2203</v>
      </c>
      <c r="M556" s="1">
        <f>IF(OR(NOT(ISNUMBER('School Profile'!$K$4)),NOT(ISNUMBER('School Profile'!$K$5)),NOT(ISNUMBER(F556)),NOT(ISNUMBER(G556))),"",3958.7613*2*ASIN(MIN(1,SQRT(SIN(RADIANS(F556-'School Profile'!$K$4)/2)^2+COS(RADIANS('School Profile'!$K$4))*COS(RADIANS(F556))*SIN(RADIANS(G556-'School Profile'!$K$5)/2)^2))))</f>
        <v>1.5138490570875387</v>
      </c>
      <c r="N556" s="1" t="str">
        <f>IF(AND(H556="Yes",ISNUMBER(M556),M556&lt;=1),COUNTIFS($H$511:$H$1010,"Yes",$M$511:$M$1010,"&lt;"&amp;M556)+COUNTIFS($H$511:H556,"Yes",$M$511:M556,M556),"")</f>
        <v/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:40" ht="22" customHeight="1">
      <c r="A557" s="1" t="s">
        <v>2345</v>
      </c>
      <c r="B557" s="1" t="s">
        <v>2346</v>
      </c>
      <c r="C557" s="1" t="s">
        <v>2347</v>
      </c>
      <c r="D557" s="1" t="s">
        <v>2189</v>
      </c>
      <c r="E557" s="1" t="s">
        <v>28</v>
      </c>
      <c r="F557" s="1">
        <v>40.04463868119214</v>
      </c>
      <c r="G557" s="1">
        <v>-75.145647279635796</v>
      </c>
      <c r="H557" s="1" t="s">
        <v>436</v>
      </c>
      <c r="I557" s="1"/>
      <c r="J557" s="1"/>
      <c r="K557" s="1"/>
      <c r="L557" s="1" t="s">
        <v>2203</v>
      </c>
      <c r="M557" s="1">
        <f>IF(OR(NOT(ISNUMBER('School Profile'!$K$4)),NOT(ISNUMBER('School Profile'!$K$5)),NOT(ISNUMBER(F557)),NOT(ISNUMBER(G557))),"",3958.7613*2*ASIN(MIN(1,SQRT(SIN(RADIANS(F557-'School Profile'!$K$4)/2)^2+COS(RADIANS('School Profile'!$K$4))*COS(RADIANS(F557))*SIN(RADIANS(G557-'School Profile'!$K$5)/2)^2))))</f>
        <v>9.7106833484257411</v>
      </c>
      <c r="N557" s="1" t="str">
        <f>IF(AND(H557="Yes",ISNUMBER(M557),M557&lt;=1),COUNTIFS($H$511:$H$1010,"Yes",$M$511:$M$1010,"&lt;"&amp;M557)+COUNTIFS($H$511:H557,"Yes",$M$511:M557,M557),"")</f>
        <v/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:40" ht="22" customHeight="1">
      <c r="A558" s="1" t="s">
        <v>2348</v>
      </c>
      <c r="B558" s="1" t="s">
        <v>2349</v>
      </c>
      <c r="C558" s="1" t="s">
        <v>2350</v>
      </c>
      <c r="D558" s="1" t="s">
        <v>2189</v>
      </c>
      <c r="E558" s="1" t="s">
        <v>28</v>
      </c>
      <c r="F558" s="1">
        <v>40.011881099909395</v>
      </c>
      <c r="G558" s="1">
        <v>-75.089710929625326</v>
      </c>
      <c r="H558" s="1" t="s">
        <v>436</v>
      </c>
      <c r="I558" s="1"/>
      <c r="J558" s="1"/>
      <c r="K558" s="1"/>
      <c r="L558" s="1" t="s">
        <v>2298</v>
      </c>
      <c r="M558" s="1">
        <f>IF(OR(NOT(ISNUMBER('School Profile'!$K$4)),NOT(ISNUMBER('School Profile'!$K$5)),NOT(ISNUMBER(F558)),NOT(ISNUMBER(G558))),"",3958.7613*2*ASIN(MIN(1,SQRT(SIN(RADIANS(F558-'School Profile'!$K$4)/2)^2+COS(RADIANS('School Profile'!$K$4))*COS(RADIANS(F558))*SIN(RADIANS(G558-'School Profile'!$K$5)/2)^2))))</f>
        <v>9.8704113868505239</v>
      </c>
      <c r="N558" s="1" t="str">
        <f>IF(AND(H558="Yes",ISNUMBER(M558),M558&lt;=1),COUNTIFS($H$511:$H$1010,"Yes",$M$511:$M$1010,"&lt;"&amp;M558)+COUNTIFS($H$511:H558,"Yes",$M$511:M558,M558),"")</f>
        <v/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:40" ht="22" customHeight="1">
      <c r="A559" s="1" t="s">
        <v>2351</v>
      </c>
      <c r="B559" s="1" t="s">
        <v>2352</v>
      </c>
      <c r="C559" s="1" t="s">
        <v>2353</v>
      </c>
      <c r="D559" s="1" t="s">
        <v>2189</v>
      </c>
      <c r="E559" s="1" t="s">
        <v>28</v>
      </c>
      <c r="F559" s="1">
        <v>40.023704879767457</v>
      </c>
      <c r="G559" s="1">
        <v>-75.151161679635521</v>
      </c>
      <c r="H559" s="1" t="s">
        <v>436</v>
      </c>
      <c r="I559" s="1"/>
      <c r="J559" s="1"/>
      <c r="K559" s="1" t="s">
        <v>758</v>
      </c>
      <c r="L559" s="1" t="s">
        <v>2203</v>
      </c>
      <c r="M559" s="1">
        <f>IF(OR(NOT(ISNUMBER('School Profile'!$K$4)),NOT(ISNUMBER('School Profile'!$K$5)),NOT(ISNUMBER(F559)),NOT(ISNUMBER(G559))),"",3958.7613*2*ASIN(MIN(1,SQRT(SIN(RADIANS(F559-'School Profile'!$K$4)/2)^2+COS(RADIANS('School Profile'!$K$4))*COS(RADIANS(F559))*SIN(RADIANS(G559-'School Profile'!$K$5)/2)^2))))</f>
        <v>8.3147588056234785</v>
      </c>
      <c r="N559" s="1" t="str">
        <f>IF(AND(H559="Yes",ISNUMBER(M559),M559&lt;=1),COUNTIFS($H$511:$H$1010,"Yes",$M$511:$M$1010,"&lt;"&amp;M559)+COUNTIFS($H$511:H559,"Yes",$M$511:M559,M559),"")</f>
        <v/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:40" ht="22" customHeight="1">
      <c r="A560" s="1" t="s">
        <v>2354</v>
      </c>
      <c r="B560" s="1" t="s">
        <v>2355</v>
      </c>
      <c r="C560" s="1" t="s">
        <v>2356</v>
      </c>
      <c r="D560" s="1" t="s">
        <v>2189</v>
      </c>
      <c r="E560" s="1" t="s">
        <v>28</v>
      </c>
      <c r="F560" s="1">
        <v>39.931964031198767</v>
      </c>
      <c r="G560" s="1">
        <v>-75.179815886345139</v>
      </c>
      <c r="H560" s="1" t="s">
        <v>436</v>
      </c>
      <c r="I560" s="1"/>
      <c r="J560" s="1"/>
      <c r="K560" s="1"/>
      <c r="L560" s="1"/>
      <c r="M560" s="1">
        <f>IF(OR(NOT(ISNUMBER('School Profile'!$K$4)),NOT(ISNUMBER('School Profile'!$K$5)),NOT(ISNUMBER(F560)),NOT(ISNUMBER(G560))),"",3958.7613*2*ASIN(MIN(1,SQRT(SIN(RADIANS(F560-'School Profile'!$K$4)/2)^2+COS(RADIANS('School Profile'!$K$4))*COS(RADIANS(F560))*SIN(RADIANS(G560-'School Profile'!$K$5)/2)^2))))</f>
        <v>2.9635048086857738</v>
      </c>
      <c r="N560" s="1" t="str">
        <f>IF(AND(H560="Yes",ISNUMBER(M560),M560&lt;=1),COUNTIFS($H$511:$H$1010,"Yes",$M$511:$M$1010,"&lt;"&amp;M560)+COUNTIFS($H$511:H560,"Yes",$M$511:M560,M560),"")</f>
        <v/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:40" ht="22" customHeight="1">
      <c r="A561" s="1" t="s">
        <v>2357</v>
      </c>
      <c r="B561" s="1" t="s">
        <v>2358</v>
      </c>
      <c r="C561" s="1" t="s">
        <v>2359</v>
      </c>
      <c r="D561" s="1" t="s">
        <v>2189</v>
      </c>
      <c r="E561" s="1" t="s">
        <v>28</v>
      </c>
      <c r="F561" s="1">
        <v>40.011658490295751</v>
      </c>
      <c r="G561" s="1">
        <v>-75.144291199950871</v>
      </c>
      <c r="H561" s="1" t="s">
        <v>436</v>
      </c>
      <c r="I561" s="1"/>
      <c r="J561" s="1"/>
      <c r="K561" s="1"/>
      <c r="L561" s="1" t="s">
        <v>2203</v>
      </c>
      <c r="M561" s="1">
        <f>IF(OR(NOT(ISNUMBER('School Profile'!$K$4)),NOT(ISNUMBER('School Profile'!$K$5)),NOT(ISNUMBER(F561)),NOT(ISNUMBER(G561))),"",3958.7613*2*ASIN(MIN(1,SQRT(SIN(RADIANS(F561-'School Profile'!$K$4)/2)^2+COS(RADIANS('School Profile'!$K$4))*COS(RADIANS(F561))*SIN(RADIANS(G561-'School Profile'!$K$5)/2)^2))))</f>
        <v>7.8359602511082853</v>
      </c>
      <c r="N561" s="1" t="str">
        <f>IF(AND(H561="Yes",ISNUMBER(M561),M561&lt;=1),COUNTIFS($H$511:$H$1010,"Yes",$M$511:$M$1010,"&lt;"&amp;M561)+COUNTIFS($H$511:H561,"Yes",$M$511:M561,M561),"")</f>
        <v/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:40" ht="22" customHeight="1">
      <c r="A562" s="1" t="s">
        <v>2360</v>
      </c>
      <c r="B562" s="1" t="s">
        <v>2361</v>
      </c>
      <c r="C562" s="1" t="s">
        <v>2362</v>
      </c>
      <c r="D562" s="1" t="s">
        <v>2189</v>
      </c>
      <c r="E562" s="1" t="s">
        <v>2190</v>
      </c>
      <c r="F562" s="1">
        <v>39.977571210306706</v>
      </c>
      <c r="G562" s="1">
        <v>-75.153867019894037</v>
      </c>
      <c r="H562" s="1" t="s">
        <v>88</v>
      </c>
      <c r="I562" s="1"/>
      <c r="J562" s="1" t="s">
        <v>2191</v>
      </c>
      <c r="K562" s="1"/>
      <c r="L562" s="1" t="s">
        <v>2203</v>
      </c>
      <c r="M562" s="1">
        <f>IF(OR(NOT(ISNUMBER('School Profile'!$K$4)),NOT(ISNUMBER('School Profile'!$K$5)),NOT(ISNUMBER(F562)),NOT(ISNUMBER(G562))),"",3958.7613*2*ASIN(MIN(1,SQRT(SIN(RADIANS(F562-'School Profile'!$K$4)/2)^2+COS(RADIANS('School Profile'!$K$4))*COS(RADIANS(F562))*SIN(RADIANS(G562-'School Profile'!$K$5)/2)^2))))</f>
        <v>5.7489935661914737</v>
      </c>
      <c r="N562" s="1" t="str">
        <f>IF(AND(H562="Yes",ISNUMBER(M562),M562&lt;=1),COUNTIFS($H$511:$H$1010,"Yes",$M$511:$M$1010,"&lt;"&amp;M562)+COUNTIFS($H$511:H562,"Yes",$M$511:M562,M562),"")</f>
        <v/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:40" ht="22" customHeight="1">
      <c r="A563" s="1" t="s">
        <v>2363</v>
      </c>
      <c r="B563" s="1" t="s">
        <v>2364</v>
      </c>
      <c r="C563" s="1" t="s">
        <v>2365</v>
      </c>
      <c r="D563" s="1" t="s">
        <v>2189</v>
      </c>
      <c r="E563" s="1" t="s">
        <v>28</v>
      </c>
      <c r="F563" s="1">
        <v>40.016630173750556</v>
      </c>
      <c r="G563" s="1">
        <v>-75.083526988294878</v>
      </c>
      <c r="H563" s="1" t="s">
        <v>436</v>
      </c>
      <c r="I563" s="1"/>
      <c r="J563" s="1"/>
      <c r="K563" s="1"/>
      <c r="L563" s="1" t="s">
        <v>2192</v>
      </c>
      <c r="M563" s="1">
        <f>IF(OR(NOT(ISNUMBER('School Profile'!$K$4)),NOT(ISNUMBER('School Profile'!$K$5)),NOT(ISNUMBER(F563)),NOT(ISNUMBER(G563))),"",3958.7613*2*ASIN(MIN(1,SQRT(SIN(RADIANS(F563-'School Profile'!$K$4)/2)^2+COS(RADIANS('School Profile'!$K$4))*COS(RADIANS(F563))*SIN(RADIANS(G563-'School Profile'!$K$5)/2)^2))))</f>
        <v>10.331500661154838</v>
      </c>
      <c r="N563" s="1" t="str">
        <f>IF(AND(H563="Yes",ISNUMBER(M563),M563&lt;=1),COUNTIFS($H$511:$H$1010,"Yes",$M$511:$M$1010,"&lt;"&amp;M563)+COUNTIFS($H$511:H563,"Yes",$M$511:M563,M563),"")</f>
        <v/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:40" ht="22" customHeight="1">
      <c r="A564" s="1" t="s">
        <v>2366</v>
      </c>
      <c r="B564" s="1" t="s">
        <v>2367</v>
      </c>
      <c r="C564" s="1" t="s">
        <v>2368</v>
      </c>
      <c r="D564" s="1" t="s">
        <v>2256</v>
      </c>
      <c r="E564" s="1" t="s">
        <v>28</v>
      </c>
      <c r="F564" s="1">
        <v>39.954230000068918</v>
      </c>
      <c r="G564" s="1">
        <v>-75.167180000302395</v>
      </c>
      <c r="H564" s="1" t="s">
        <v>88</v>
      </c>
      <c r="I564" s="1"/>
      <c r="J564" s="1"/>
      <c r="K564" s="1"/>
      <c r="L564" s="1" t="s">
        <v>2369</v>
      </c>
      <c r="M564" s="1">
        <f>IF(OR(NOT(ISNUMBER('School Profile'!$K$4)),NOT(ISNUMBER('School Profile'!$K$5)),NOT(ISNUMBER(F564)),NOT(ISNUMBER(G564))),"",3958.7613*2*ASIN(MIN(1,SQRT(SIN(RADIANS(F564-'School Profile'!$K$4)/2)^2+COS(RADIANS('School Profile'!$K$4))*COS(RADIANS(F564))*SIN(RADIANS(G564-'School Profile'!$K$5)/2)^2))))</f>
        <v>4.2031760066199046</v>
      </c>
      <c r="N564" s="1" t="str">
        <f>IF(AND(H564="Yes",ISNUMBER(M564),M564&lt;=1),COUNTIFS($H$511:$H$1010,"Yes",$M$511:$M$1010,"&lt;"&amp;M564)+COUNTIFS($H$511:H564,"Yes",$M$511:M564,M564),"")</f>
        <v/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:40" ht="22" customHeight="1">
      <c r="A565" s="1" t="s">
        <v>2370</v>
      </c>
      <c r="B565" s="1" t="s">
        <v>2371</v>
      </c>
      <c r="C565" s="1" t="s">
        <v>2372</v>
      </c>
      <c r="D565" s="1" t="s">
        <v>2189</v>
      </c>
      <c r="E565" s="1" t="s">
        <v>28</v>
      </c>
      <c r="F565" s="1">
        <v>39.948742344233921</v>
      </c>
      <c r="G565" s="1">
        <v>-75.168178924203389</v>
      </c>
      <c r="H565" s="1" t="s">
        <v>436</v>
      </c>
      <c r="I565" s="1"/>
      <c r="J565" s="1"/>
      <c r="K565" s="1"/>
      <c r="L565" s="1" t="s">
        <v>2203</v>
      </c>
      <c r="M565" s="1">
        <f>IF(OR(NOT(ISNUMBER('School Profile'!$K$4)),NOT(ISNUMBER('School Profile'!$K$5)),NOT(ISNUMBER(F565)),NOT(ISNUMBER(G565))),"",3958.7613*2*ASIN(MIN(1,SQRT(SIN(RADIANS(F565-'School Profile'!$K$4)/2)^2+COS(RADIANS('School Profile'!$K$4))*COS(RADIANS(F565))*SIN(RADIANS(G565-'School Profile'!$K$5)/2)^2))))</f>
        <v>3.9653786085249374</v>
      </c>
      <c r="N565" s="1" t="str">
        <f>IF(AND(H565="Yes",ISNUMBER(M565),M565&lt;=1),COUNTIFS($H$511:$H$1010,"Yes",$M$511:$M$1010,"&lt;"&amp;M565)+COUNTIFS($H$511:H565,"Yes",$M$511:M565,M565),"")</f>
        <v/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:40" ht="22" customHeight="1">
      <c r="A566" s="1" t="s">
        <v>2373</v>
      </c>
      <c r="B566" s="1" t="s">
        <v>2374</v>
      </c>
      <c r="C566" s="1" t="s">
        <v>2375</v>
      </c>
      <c r="D566" s="1" t="s">
        <v>2189</v>
      </c>
      <c r="E566" s="1" t="s">
        <v>28</v>
      </c>
      <c r="F566" s="1">
        <v>39.985072879687216</v>
      </c>
      <c r="G566" s="1">
        <v>-75.161363910097648</v>
      </c>
      <c r="H566" s="1" t="s">
        <v>436</v>
      </c>
      <c r="I566" s="1"/>
      <c r="J566" s="1"/>
      <c r="K566" s="1"/>
      <c r="L566" s="1" t="s">
        <v>2192</v>
      </c>
      <c r="M566" s="1">
        <f>IF(OR(NOT(ISNUMBER('School Profile'!$K$4)),NOT(ISNUMBER('School Profile'!$K$5)),NOT(ISNUMBER(F566)),NOT(ISNUMBER(G566))),"",3958.7613*2*ASIN(MIN(1,SQRT(SIN(RADIANS(F566-'School Profile'!$K$4)/2)^2+COS(RADIANS('School Profile'!$K$4))*COS(RADIANS(F566))*SIN(RADIANS(G566-'School Profile'!$K$5)/2)^2))))</f>
        <v>5.8411180244662892</v>
      </c>
      <c r="N566" s="1" t="str">
        <f>IF(AND(H566="Yes",ISNUMBER(M566),M566&lt;=1),COUNTIFS($H$511:$H$1010,"Yes",$M$511:$M$1010,"&lt;"&amp;M566)+COUNTIFS($H$511:H566,"Yes",$M$511:M566,M566),"")</f>
        <v/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:40" ht="22" customHeight="1">
      <c r="A567" s="1" t="s">
        <v>2376</v>
      </c>
      <c r="B567" s="1" t="s">
        <v>2377</v>
      </c>
      <c r="C567" s="1" t="s">
        <v>2378</v>
      </c>
      <c r="D567" s="1" t="s">
        <v>2189</v>
      </c>
      <c r="E567" s="1" t="s">
        <v>28</v>
      </c>
      <c r="F567" s="1">
        <v>40.01312923281769</v>
      </c>
      <c r="G567" s="1">
        <v>-75.084813451240223</v>
      </c>
      <c r="H567" s="1" t="s">
        <v>436</v>
      </c>
      <c r="I567" s="1"/>
      <c r="J567" s="1"/>
      <c r="K567" s="1"/>
      <c r="L567" s="1" t="s">
        <v>2203</v>
      </c>
      <c r="M567" s="1">
        <f>IF(OR(NOT(ISNUMBER('School Profile'!$K$4)),NOT(ISNUMBER('School Profile'!$K$5)),NOT(ISNUMBER(F567)),NOT(ISNUMBER(G567))),"",3958.7613*2*ASIN(MIN(1,SQRT(SIN(RADIANS(F567-'School Profile'!$K$4)/2)^2+COS(RADIANS('School Profile'!$K$4))*COS(RADIANS(F567))*SIN(RADIANS(G567-'School Profile'!$K$5)/2)^2))))</f>
        <v>10.126220758729092</v>
      </c>
      <c r="N567" s="1" t="str">
        <f>IF(AND(H567="Yes",ISNUMBER(M567),M567&lt;=1),COUNTIFS($H$511:$H$1010,"Yes",$M$511:$M$1010,"&lt;"&amp;M567)+COUNTIFS($H$511:H567,"Yes",$M$511:M567,M567),"")</f>
        <v/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:40" ht="22" customHeight="1">
      <c r="A568" s="1" t="s">
        <v>2379</v>
      </c>
      <c r="B568" s="1" t="s">
        <v>2380</v>
      </c>
      <c r="C568" s="1" t="s">
        <v>2381</v>
      </c>
      <c r="D568" s="1" t="s">
        <v>2207</v>
      </c>
      <c r="E568" s="1" t="s">
        <v>28</v>
      </c>
      <c r="F568" s="1">
        <v>40.022040290152418</v>
      </c>
      <c r="G568" s="1">
        <v>-75.127019830073962</v>
      </c>
      <c r="H568" s="1" t="s">
        <v>88</v>
      </c>
      <c r="I568" s="1"/>
      <c r="J568" s="1"/>
      <c r="K568" s="1"/>
      <c r="L568" s="1" t="s">
        <v>2382</v>
      </c>
      <c r="M568" s="1">
        <f>IF(OR(NOT(ISNUMBER('School Profile'!$K$4)),NOT(ISNUMBER('School Profile'!$K$5)),NOT(ISNUMBER(F568)),NOT(ISNUMBER(G568))),"",3958.7613*2*ASIN(MIN(1,SQRT(SIN(RADIANS(F568-'School Profile'!$K$4)/2)^2+COS(RADIANS('School Profile'!$K$4))*COS(RADIANS(F568))*SIN(RADIANS(G568-'School Profile'!$K$5)/2)^2))))</f>
        <v>8.9655136019655171</v>
      </c>
      <c r="N568" s="1" t="str">
        <f>IF(AND(H568="Yes",ISNUMBER(M568),M568&lt;=1),COUNTIFS($H$511:$H$1010,"Yes",$M$511:$M$1010,"&lt;"&amp;M568)+COUNTIFS($H$511:H568,"Yes",$M$511:M568,M568),"")</f>
        <v/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:40" ht="22" customHeight="1">
      <c r="A569" s="1" t="s">
        <v>2383</v>
      </c>
      <c r="B569" s="1" t="s">
        <v>2380</v>
      </c>
      <c r="C569" s="1" t="s">
        <v>2381</v>
      </c>
      <c r="D569" s="1" t="s">
        <v>2189</v>
      </c>
      <c r="E569" s="1" t="s">
        <v>28</v>
      </c>
      <c r="F569" s="1">
        <v>40.022040290152418</v>
      </c>
      <c r="G569" s="1">
        <v>-75.127019830073962</v>
      </c>
      <c r="H569" s="1" t="s">
        <v>436</v>
      </c>
      <c r="I569" s="1"/>
      <c r="J569" s="1"/>
      <c r="K569" s="1"/>
      <c r="L569" s="1" t="s">
        <v>2382</v>
      </c>
      <c r="M569" s="1">
        <f>IF(OR(NOT(ISNUMBER('School Profile'!$K$4)),NOT(ISNUMBER('School Profile'!$K$5)),NOT(ISNUMBER(F569)),NOT(ISNUMBER(G569))),"",3958.7613*2*ASIN(MIN(1,SQRT(SIN(RADIANS(F569-'School Profile'!$K$4)/2)^2+COS(RADIANS('School Profile'!$K$4))*COS(RADIANS(F569))*SIN(RADIANS(G569-'School Profile'!$K$5)/2)^2))))</f>
        <v>8.9655136019655171</v>
      </c>
      <c r="N569" s="1" t="str">
        <f>IF(AND(H569="Yes",ISNUMBER(M569),M569&lt;=1),COUNTIFS($H$511:$H$1010,"Yes",$M$511:$M$1010,"&lt;"&amp;M569)+COUNTIFS($H$511:H569,"Yes",$M$511:M569,M569),"")</f>
        <v/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:40" ht="22" customHeight="1">
      <c r="A570" s="1" t="s">
        <v>2384</v>
      </c>
      <c r="B570" s="1" t="s">
        <v>2385</v>
      </c>
      <c r="C570" s="1" t="s">
        <v>2386</v>
      </c>
      <c r="D570" s="1" t="s">
        <v>2207</v>
      </c>
      <c r="E570" s="1" t="s">
        <v>28</v>
      </c>
      <c r="F570" s="1">
        <v>39.953799057320161</v>
      </c>
      <c r="G570" s="1">
        <v>-75.166611874275688</v>
      </c>
      <c r="H570" s="1" t="s">
        <v>88</v>
      </c>
      <c r="I570" s="1"/>
      <c r="J570" s="1"/>
      <c r="K570" s="1"/>
      <c r="L570" s="1" t="s">
        <v>2208</v>
      </c>
      <c r="M570" s="1">
        <f>IF(OR(NOT(ISNUMBER('School Profile'!$K$4)),NOT(ISNUMBER('School Profile'!$K$5)),NOT(ISNUMBER(F570)),NOT(ISNUMBER(G570))),"",3958.7613*2*ASIN(MIN(1,SQRT(SIN(RADIANS(F570-'School Profile'!$K$4)/2)^2+COS(RADIANS('School Profile'!$K$4))*COS(RADIANS(F570))*SIN(RADIANS(G570-'School Profile'!$K$5)/2)^2))))</f>
        <v>4.2127358158414205</v>
      </c>
      <c r="N570" s="1" t="str">
        <f>IF(AND(H570="Yes",ISNUMBER(M570),M570&lt;=1),COUNTIFS($H$511:$H$1010,"Yes",$M$511:$M$1010,"&lt;"&amp;M570)+COUNTIFS($H$511:H570,"Yes",$M$511:M570,M570),"")</f>
        <v/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:40" ht="22" customHeight="1">
      <c r="A571" s="1" t="s">
        <v>2387</v>
      </c>
      <c r="B571" s="1" t="s">
        <v>2388</v>
      </c>
      <c r="C571" s="1" t="s">
        <v>2389</v>
      </c>
      <c r="D571" s="1" t="s">
        <v>2189</v>
      </c>
      <c r="E571" s="1" t="s">
        <v>28</v>
      </c>
      <c r="F571" s="1">
        <v>39.928941259677117</v>
      </c>
      <c r="G571" s="1">
        <v>-75.168367810263248</v>
      </c>
      <c r="H571" s="1" t="s">
        <v>436</v>
      </c>
      <c r="I571" s="1"/>
      <c r="J571" s="1"/>
      <c r="K571" s="1"/>
      <c r="L571" s="1" t="s">
        <v>2203</v>
      </c>
      <c r="M571" s="1">
        <f>IF(OR(NOT(ISNUMBER('School Profile'!$K$4)),NOT(ISNUMBER('School Profile'!$K$5)),NOT(ISNUMBER(F571)),NOT(ISNUMBER(G571))),"",3958.7613*2*ASIN(MIN(1,SQRT(SIN(RADIANS(F571-'School Profile'!$K$4)/2)^2+COS(RADIANS('School Profile'!$K$4))*COS(RADIANS(F571))*SIN(RADIANS(G571-'School Profile'!$K$5)/2)^2))))</f>
        <v>3.518365940653525</v>
      </c>
      <c r="N571" s="1" t="str">
        <f>IF(AND(H571="Yes",ISNUMBER(M571),M571&lt;=1),COUNTIFS($H$511:$H$1010,"Yes",$M$511:$M$1010,"&lt;"&amp;M571)+COUNTIFS($H$511:H571,"Yes",$M$511:M571,M571),"")</f>
        <v/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:40" ht="22" customHeight="1">
      <c r="A572" s="1" t="s">
        <v>2390</v>
      </c>
      <c r="B572" s="1" t="s">
        <v>2391</v>
      </c>
      <c r="C572" s="1" t="s">
        <v>2392</v>
      </c>
      <c r="D572" s="1" t="s">
        <v>2189</v>
      </c>
      <c r="E572" s="1" t="s">
        <v>28</v>
      </c>
      <c r="F572" s="1">
        <v>39.98152800016836</v>
      </c>
      <c r="G572" s="1">
        <v>-75.224070000021854</v>
      </c>
      <c r="H572" s="1" t="s">
        <v>436</v>
      </c>
      <c r="I572" s="1"/>
      <c r="J572" s="1"/>
      <c r="K572" s="1"/>
      <c r="L572" s="1" t="s">
        <v>2192</v>
      </c>
      <c r="M572" s="1">
        <f>IF(OR(NOT(ISNUMBER('School Profile'!$K$4)),NOT(ISNUMBER('School Profile'!$K$5)),NOT(ISNUMBER(F572)),NOT(ISNUMBER(G572))),"",3958.7613*2*ASIN(MIN(1,SQRT(SIN(RADIANS(F572-'School Profile'!$K$4)/2)^2+COS(RADIANS('School Profile'!$K$4))*COS(RADIANS(F572))*SIN(RADIANS(G572-'School Profile'!$K$5)/2)^2))))</f>
        <v>4.1813070850081235</v>
      </c>
      <c r="N572" s="1" t="str">
        <f>IF(AND(H572="Yes",ISNUMBER(M572),M572&lt;=1),COUNTIFS($H$511:$H$1010,"Yes",$M$511:$M$1010,"&lt;"&amp;M572)+COUNTIFS($H$511:H572,"Yes",$M$511:M572,M572),"")</f>
        <v/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:40" ht="22" customHeight="1">
      <c r="A573" s="1" t="s">
        <v>2393</v>
      </c>
      <c r="B573" s="1" t="s">
        <v>2394</v>
      </c>
      <c r="C573" s="1" t="s">
        <v>2395</v>
      </c>
      <c r="D573" s="1" t="s">
        <v>2256</v>
      </c>
      <c r="E573" s="1" t="s">
        <v>28</v>
      </c>
      <c r="F573" s="1">
        <v>39.937081540066856</v>
      </c>
      <c r="G573" s="1">
        <v>-75.219080509897154</v>
      </c>
      <c r="H573" s="1" t="s">
        <v>88</v>
      </c>
      <c r="I573" s="1"/>
      <c r="J573" s="1"/>
      <c r="K573" s="1"/>
      <c r="L573" s="1" t="s">
        <v>2257</v>
      </c>
      <c r="M573" s="1">
        <f>IF(OR(NOT(ISNUMBER('School Profile'!$K$4)),NOT(ISNUMBER('School Profile'!$K$5)),NOT(ISNUMBER(F573)),NOT(ISNUMBER(G573))),"",3958.7613*2*ASIN(MIN(1,SQRT(SIN(RADIANS(F573-'School Profile'!$K$4)/2)^2+COS(RADIANS('School Profile'!$K$4))*COS(RADIANS(F573))*SIN(RADIANS(G573-'School Profile'!$K$5)/2)^2))))</f>
        <v>1.3375180578015817</v>
      </c>
      <c r="N573" s="1" t="str">
        <f>IF(AND(H573="Yes",ISNUMBER(M573),M573&lt;=1),COUNTIFS($H$511:$H$1010,"Yes",$M$511:$M$1010,"&lt;"&amp;M573)+COUNTIFS($H$511:H573,"Yes",$M$511:M573,M573),"")</f>
        <v/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:40" ht="22" customHeight="1">
      <c r="A574" s="1" t="s">
        <v>2396</v>
      </c>
      <c r="B574" s="1" t="s">
        <v>2397</v>
      </c>
      <c r="C574" s="1" t="s">
        <v>2398</v>
      </c>
      <c r="D574" s="1" t="s">
        <v>2189</v>
      </c>
      <c r="E574" s="1" t="s">
        <v>28</v>
      </c>
      <c r="F574" s="1">
        <v>40.028667185709253</v>
      </c>
      <c r="G574" s="1">
        <v>-75.224559564783704</v>
      </c>
      <c r="H574" s="1" t="s">
        <v>436</v>
      </c>
      <c r="I574" s="1"/>
      <c r="J574" s="1"/>
      <c r="K574" s="1"/>
      <c r="L574" s="1" t="s">
        <v>2203</v>
      </c>
      <c r="M574" s="1">
        <f>IF(OR(NOT(ISNUMBER('School Profile'!$K$4)),NOT(ISNUMBER('School Profile'!$K$5)),NOT(ISNUMBER(F574)),NOT(ISNUMBER(G574))),"",3958.7613*2*ASIN(MIN(1,SQRT(SIN(RADIANS(F574-'School Profile'!$K$4)/2)^2+COS(RADIANS('School Profile'!$K$4))*COS(RADIANS(F574))*SIN(RADIANS(G574-'School Profile'!$K$5)/2)^2))))</f>
        <v>7.4217798004498148</v>
      </c>
      <c r="N574" s="1" t="str">
        <f>IF(AND(H574="Yes",ISNUMBER(M574),M574&lt;=1),COUNTIFS($H$511:$H$1010,"Yes",$M$511:$M$1010,"&lt;"&amp;M574)+COUNTIFS($H$511:H574,"Yes",$M$511:M574,M574),"")</f>
        <v/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:40" ht="22" customHeight="1">
      <c r="A575" s="1" t="s">
        <v>2399</v>
      </c>
      <c r="B575" s="1" t="s">
        <v>2400</v>
      </c>
      <c r="C575" s="1" t="s">
        <v>2401</v>
      </c>
      <c r="D575" s="1" t="s">
        <v>2189</v>
      </c>
      <c r="E575" s="1" t="s">
        <v>28</v>
      </c>
      <c r="F575" s="1">
        <v>39.985613349170606</v>
      </c>
      <c r="G575" s="1">
        <v>-75.163005624398508</v>
      </c>
      <c r="H575" s="1" t="s">
        <v>436</v>
      </c>
      <c r="I575" s="1"/>
      <c r="J575" s="1"/>
      <c r="K575" s="1"/>
      <c r="L575" s="1" t="s">
        <v>2192</v>
      </c>
      <c r="M575" s="1">
        <f>IF(OR(NOT(ISNUMBER('School Profile'!$K$4)),NOT(ISNUMBER('School Profile'!$K$5)),NOT(ISNUMBER(F575)),NOT(ISNUMBER(G575))),"",3958.7613*2*ASIN(MIN(1,SQRT(SIN(RADIANS(F575-'School Profile'!$K$4)/2)^2+COS(RADIANS('School Profile'!$K$4))*COS(RADIANS(F575))*SIN(RADIANS(G575-'School Profile'!$K$5)/2)^2))))</f>
        <v>5.8125738597643029</v>
      </c>
      <c r="N575" s="1" t="str">
        <f>IF(AND(H575="Yes",ISNUMBER(M575),M575&lt;=1),COUNTIFS($H$511:$H$1010,"Yes",$M$511:$M$1010,"&lt;"&amp;M575)+COUNTIFS($H$511:H575,"Yes",$M$511:M575,M575),"")</f>
        <v/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:40" ht="22" customHeight="1">
      <c r="A576" s="1" t="s">
        <v>2402</v>
      </c>
      <c r="B576" s="1" t="s">
        <v>2403</v>
      </c>
      <c r="C576" s="1" t="s">
        <v>2404</v>
      </c>
      <c r="D576" s="1" t="s">
        <v>2207</v>
      </c>
      <c r="E576" s="1" t="s">
        <v>28</v>
      </c>
      <c r="F576" s="1">
        <v>39.994473270958203</v>
      </c>
      <c r="G576" s="1">
        <v>-75.115273784608959</v>
      </c>
      <c r="H576" s="1" t="s">
        <v>88</v>
      </c>
      <c r="I576" s="1"/>
      <c r="J576" s="1"/>
      <c r="K576" s="1"/>
      <c r="L576" s="1" t="s">
        <v>2208</v>
      </c>
      <c r="M576" s="1">
        <f>IF(OR(NOT(ISNUMBER('School Profile'!$K$4)),NOT(ISNUMBER('School Profile'!$K$5)),NOT(ISNUMBER(F576)),NOT(ISNUMBER(G576))),"",3958.7613*2*ASIN(MIN(1,SQRT(SIN(RADIANS(F576-'School Profile'!$K$4)/2)^2+COS(RADIANS('School Profile'!$K$4))*COS(RADIANS(F576))*SIN(RADIANS(G576-'School Profile'!$K$5)/2)^2))))</f>
        <v>8.0621211581179768</v>
      </c>
      <c r="N576" s="1" t="str">
        <f>IF(AND(H576="Yes",ISNUMBER(M576),M576&lt;=1),COUNTIFS($H$511:$H$1010,"Yes",$M$511:$M$1010,"&lt;"&amp;M576)+COUNTIFS($H$511:H576,"Yes",$M$511:M576,M576),"")</f>
        <v/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:40" ht="22" customHeight="1">
      <c r="A577" s="1" t="s">
        <v>2405</v>
      </c>
      <c r="B577" s="1" t="s">
        <v>2406</v>
      </c>
      <c r="C577" s="1" t="s">
        <v>2407</v>
      </c>
      <c r="D577" s="1" t="s">
        <v>2189</v>
      </c>
      <c r="E577" s="1" t="s">
        <v>28</v>
      </c>
      <c r="F577" s="1">
        <v>39.93768740202708</v>
      </c>
      <c r="G577" s="1">
        <v>-75.174056890364895</v>
      </c>
      <c r="H577" s="1" t="s">
        <v>436</v>
      </c>
      <c r="I577" s="1"/>
      <c r="J577" s="1"/>
      <c r="K577" s="1"/>
      <c r="L577" s="1" t="s">
        <v>2241</v>
      </c>
      <c r="M577" s="1">
        <f>IF(OR(NOT(ISNUMBER('School Profile'!$K$4)),NOT(ISNUMBER('School Profile'!$K$5)),NOT(ISNUMBER(F577)),NOT(ISNUMBER(G577))),"",3958.7613*2*ASIN(MIN(1,SQRT(SIN(RADIANS(F577-'School Profile'!$K$4)/2)^2+COS(RADIANS('School Profile'!$K$4))*COS(RADIANS(F577))*SIN(RADIANS(G577-'School Profile'!$K$5)/2)^2))))</f>
        <v>3.369995495611029</v>
      </c>
      <c r="N577" s="1" t="str">
        <f>IF(AND(H577="Yes",ISNUMBER(M577),M577&lt;=1),COUNTIFS($H$511:$H$1010,"Yes",$M$511:$M$1010,"&lt;"&amp;M577)+COUNTIFS($H$511:H577,"Yes",$M$511:M577,M577),"")</f>
        <v/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:40" ht="22" customHeight="1">
      <c r="A578" s="1" t="s">
        <v>2408</v>
      </c>
      <c r="B578" s="1" t="s">
        <v>2409</v>
      </c>
      <c r="C578" s="1" t="s">
        <v>2410</v>
      </c>
      <c r="D578" s="1" t="s">
        <v>2189</v>
      </c>
      <c r="E578" s="1" t="s">
        <v>28</v>
      </c>
      <c r="F578" s="1">
        <v>39.983124429913723</v>
      </c>
      <c r="G578" s="1">
        <v>-75.171734979815753</v>
      </c>
      <c r="H578" s="1" t="s">
        <v>436</v>
      </c>
      <c r="I578" s="1"/>
      <c r="J578" s="1"/>
      <c r="K578" s="1"/>
      <c r="L578" s="1" t="s">
        <v>2203</v>
      </c>
      <c r="M578" s="1">
        <f>IF(OR(NOT(ISNUMBER('School Profile'!$K$4)),NOT(ISNUMBER('School Profile'!$K$5)),NOT(ISNUMBER(F578)),NOT(ISNUMBER(G578))),"",3958.7613*2*ASIN(MIN(1,SQRT(SIN(RADIANS(F578-'School Profile'!$K$4)/2)^2+COS(RADIANS('School Profile'!$K$4))*COS(RADIANS(F578))*SIN(RADIANS(G578-'School Profile'!$K$5)/2)^2))))</f>
        <v>5.3876125495442011</v>
      </c>
      <c r="N578" s="1" t="str">
        <f>IF(AND(H578="Yes",ISNUMBER(M578),M578&lt;=1),COUNTIFS($H$511:$H$1010,"Yes",$M$511:$M$1010,"&lt;"&amp;M578)+COUNTIFS($H$511:H578,"Yes",$M$511:M578,M578),"")</f>
        <v/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:40" ht="22" customHeight="1">
      <c r="A579" s="1" t="s">
        <v>2411</v>
      </c>
      <c r="B579" s="1" t="s">
        <v>2412</v>
      </c>
      <c r="C579" s="1" t="s">
        <v>2413</v>
      </c>
      <c r="D579" s="1" t="s">
        <v>2189</v>
      </c>
      <c r="E579" s="1" t="s">
        <v>28</v>
      </c>
      <c r="F579" s="1">
        <v>40.039780780061278</v>
      </c>
      <c r="G579" s="1">
        <v>-75.177291850365464</v>
      </c>
      <c r="H579" s="1" t="s">
        <v>436</v>
      </c>
      <c r="I579" s="1"/>
      <c r="J579" s="1"/>
      <c r="K579" s="1"/>
      <c r="L579" s="1" t="s">
        <v>2414</v>
      </c>
      <c r="M579" s="1">
        <f>IF(OR(NOT(ISNUMBER('School Profile'!$K$4)),NOT(ISNUMBER('School Profile'!$K$5)),NOT(ISNUMBER(F579)),NOT(ISNUMBER(G579))),"",3958.7613*2*ASIN(MIN(1,SQRT(SIN(RADIANS(F579-'School Profile'!$K$4)/2)^2+COS(RADIANS('School Profile'!$K$4))*COS(RADIANS(F579))*SIN(RADIANS(G579-'School Profile'!$K$5)/2)^2))))</f>
        <v>8.7076503738572253</v>
      </c>
      <c r="N579" s="1" t="str">
        <f>IF(AND(H579="Yes",ISNUMBER(M579),M579&lt;=1),COUNTIFS($H$511:$H$1010,"Yes",$M$511:$M$1010,"&lt;"&amp;M579)+COUNTIFS($H$511:H579,"Yes",$M$511:M579,M579),"")</f>
        <v/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:40" ht="22" customHeight="1">
      <c r="A580" s="1" t="s">
        <v>2415</v>
      </c>
      <c r="B580" s="1" t="s">
        <v>2416</v>
      </c>
      <c r="C580" s="1" t="s">
        <v>2417</v>
      </c>
      <c r="D580" s="1" t="s">
        <v>2207</v>
      </c>
      <c r="E580" s="1" t="s">
        <v>28</v>
      </c>
      <c r="F580" s="1">
        <v>40.039717472107995</v>
      </c>
      <c r="G580" s="1">
        <v>-75.177536705060788</v>
      </c>
      <c r="H580" s="1" t="s">
        <v>88</v>
      </c>
      <c r="I580" s="1"/>
      <c r="J580" s="1"/>
      <c r="K580" s="1"/>
      <c r="L580" s="1" t="s">
        <v>2414</v>
      </c>
      <c r="M580" s="1">
        <f>IF(OR(NOT(ISNUMBER('School Profile'!$K$4)),NOT(ISNUMBER('School Profile'!$K$5)),NOT(ISNUMBER(F580)),NOT(ISNUMBER(G580))),"",3958.7613*2*ASIN(MIN(1,SQRT(SIN(RADIANS(F580-'School Profile'!$K$4)/2)^2+COS(RADIANS('School Profile'!$K$4))*COS(RADIANS(F580))*SIN(RADIANS(G580-'School Profile'!$K$5)/2)^2))))</f>
        <v>8.6990778889134415</v>
      </c>
      <c r="N580" s="1" t="str">
        <f>IF(AND(H580="Yes",ISNUMBER(M580),M580&lt;=1),COUNTIFS($H$511:$H$1010,"Yes",$M$511:$M$1010,"&lt;"&amp;M580)+COUNTIFS($H$511:H580,"Yes",$M$511:M580,M580),"")</f>
        <v/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:40" ht="22" customHeight="1">
      <c r="A581" s="1" t="s">
        <v>2418</v>
      </c>
      <c r="B581" s="1" t="s">
        <v>2419</v>
      </c>
      <c r="C581" s="1" t="s">
        <v>2420</v>
      </c>
      <c r="D581" s="1" t="s">
        <v>2189</v>
      </c>
      <c r="E581" s="1" t="s">
        <v>28</v>
      </c>
      <c r="F581" s="1">
        <v>39.955721333006963</v>
      </c>
      <c r="G581" s="1">
        <v>-75.198136746290402</v>
      </c>
      <c r="H581" s="1" t="s">
        <v>436</v>
      </c>
      <c r="I581" s="1"/>
      <c r="J581" s="1"/>
      <c r="K581" s="1"/>
      <c r="L581" s="1" t="s">
        <v>2203</v>
      </c>
      <c r="M581" s="1">
        <f>IF(OR(NOT(ISNUMBER('School Profile'!$K$4)),NOT(ISNUMBER('School Profile'!$K$5)),NOT(ISNUMBER(F581)),NOT(ISNUMBER(G581))),"",3958.7613*2*ASIN(MIN(1,SQRT(SIN(RADIANS(F581-'School Profile'!$K$4)/2)^2+COS(RADIANS('School Profile'!$K$4))*COS(RADIANS(F581))*SIN(RADIANS(G581-'School Profile'!$K$5)/2)^2))))</f>
        <v>3.0351920803581467</v>
      </c>
      <c r="N581" s="1" t="str">
        <f>IF(AND(H581="Yes",ISNUMBER(M581),M581&lt;=1),COUNTIFS($H$511:$H$1010,"Yes",$M$511:$M$1010,"&lt;"&amp;M581)+COUNTIFS($H$511:H581,"Yes",$M$511:M581,M581),"")</f>
        <v/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:40" ht="22" customHeight="1">
      <c r="A582" s="1" t="s">
        <v>2421</v>
      </c>
      <c r="B582" s="1" t="s">
        <v>2422</v>
      </c>
      <c r="C582" s="1" t="s">
        <v>2423</v>
      </c>
      <c r="D582" s="1" t="s">
        <v>2207</v>
      </c>
      <c r="E582" s="1" t="s">
        <v>28</v>
      </c>
      <c r="F582" s="1">
        <v>39.990325870227196</v>
      </c>
      <c r="G582" s="1">
        <v>-75.16384903016089</v>
      </c>
      <c r="H582" s="1" t="s">
        <v>88</v>
      </c>
      <c r="I582" s="1"/>
      <c r="J582" s="1"/>
      <c r="K582" s="1"/>
      <c r="L582" s="1" t="s">
        <v>2208</v>
      </c>
      <c r="M582" s="1">
        <f>IF(OR(NOT(ISNUMBER('School Profile'!$K$4)),NOT(ISNUMBER('School Profile'!$K$5)),NOT(ISNUMBER(F582)),NOT(ISNUMBER(G582))),"",3958.7613*2*ASIN(MIN(1,SQRT(SIN(RADIANS(F582-'School Profile'!$K$4)/2)^2+COS(RADIANS('School Profile'!$K$4))*COS(RADIANS(F582))*SIN(RADIANS(G582-'School Profile'!$K$5)/2)^2))))</f>
        <v>6.0366977524207268</v>
      </c>
      <c r="N582" s="1" t="str">
        <f>IF(AND(H582="Yes",ISNUMBER(M582),M582&lt;=1),COUNTIFS($H$511:$H$1010,"Yes",$M$511:$M$1010,"&lt;"&amp;M582)+COUNTIFS($H$511:H582,"Yes",$M$511:M582,M582),"")</f>
        <v/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:40" ht="22" customHeight="1">
      <c r="A583" s="1" t="s">
        <v>2424</v>
      </c>
      <c r="B583" s="1" t="s">
        <v>2422</v>
      </c>
      <c r="C583" s="1" t="s">
        <v>2425</v>
      </c>
      <c r="D583" s="1" t="s">
        <v>2189</v>
      </c>
      <c r="E583" s="1" t="s">
        <v>28</v>
      </c>
      <c r="F583" s="1">
        <v>39.990347179724907</v>
      </c>
      <c r="G583" s="1">
        <v>-75.163615219353701</v>
      </c>
      <c r="H583" s="1" t="s">
        <v>436</v>
      </c>
      <c r="I583" s="1"/>
      <c r="J583" s="1"/>
      <c r="K583" s="1"/>
      <c r="L583" s="1" t="s">
        <v>2203</v>
      </c>
      <c r="M583" s="1">
        <f>IF(OR(NOT(ISNUMBER('School Profile'!$K$4)),NOT(ISNUMBER('School Profile'!$K$5)),NOT(ISNUMBER(F583)),NOT(ISNUMBER(G583))),"",3958.7613*2*ASIN(MIN(1,SQRT(SIN(RADIANS(F583-'School Profile'!$K$4)/2)^2+COS(RADIANS('School Profile'!$K$4))*COS(RADIANS(F583))*SIN(RADIANS(G583-'School Profile'!$K$5)/2)^2))))</f>
        <v>6.0454912955924183</v>
      </c>
      <c r="N583" s="1" t="str">
        <f>IF(AND(H583="Yes",ISNUMBER(M583),M583&lt;=1),COUNTIFS($H$511:$H$1010,"Yes",$M$511:$M$1010,"&lt;"&amp;M583)+COUNTIFS($H$511:H583,"Yes",$M$511:M583,M583),"")</f>
        <v/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:40" ht="22" customHeight="1">
      <c r="A584" s="1" t="s">
        <v>2426</v>
      </c>
      <c r="B584" s="1" t="s">
        <v>2427</v>
      </c>
      <c r="C584" s="1" t="s">
        <v>2428</v>
      </c>
      <c r="D584" s="1" t="s">
        <v>2215</v>
      </c>
      <c r="E584" s="1" t="s">
        <v>28</v>
      </c>
      <c r="F584" s="1">
        <v>40.002151620108933</v>
      </c>
      <c r="G584" s="1">
        <v>-75.160751150377749</v>
      </c>
      <c r="H584" s="1" t="s">
        <v>88</v>
      </c>
      <c r="I584" s="1"/>
      <c r="J584" s="1"/>
      <c r="K584" s="1"/>
      <c r="L584" s="1" t="s">
        <v>2216</v>
      </c>
      <c r="M584" s="1">
        <f>IF(OR(NOT(ISNUMBER('School Profile'!$K$4)),NOT(ISNUMBER('School Profile'!$K$5)),NOT(ISNUMBER(F584)),NOT(ISNUMBER(G584))),"",3958.7613*2*ASIN(MIN(1,SQRT(SIN(RADIANS(F584-'School Profile'!$K$4)/2)^2+COS(RADIANS('School Profile'!$K$4))*COS(RADIANS(F584))*SIN(RADIANS(G584-'School Profile'!$K$5)/2)^2))))</f>
        <v>6.7915553907087087</v>
      </c>
      <c r="N584" s="1" t="str">
        <f>IF(AND(H584="Yes",ISNUMBER(M584),M584&lt;=1),COUNTIFS($H$511:$H$1010,"Yes",$M$511:$M$1010,"&lt;"&amp;M584)+COUNTIFS($H$511:H584,"Yes",$M$511:M584,M584),"")</f>
        <v/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:40" ht="22" customHeight="1">
      <c r="A585" s="1" t="s">
        <v>2429</v>
      </c>
      <c r="B585" s="1" t="s">
        <v>2430</v>
      </c>
      <c r="C585" s="1" t="s">
        <v>2431</v>
      </c>
      <c r="D585" s="1" t="s">
        <v>2189</v>
      </c>
      <c r="E585" s="1" t="s">
        <v>28</v>
      </c>
      <c r="F585" s="1">
        <v>39.92528784985312</v>
      </c>
      <c r="G585" s="1">
        <v>-75.160016030234644</v>
      </c>
      <c r="H585" s="1" t="s">
        <v>436</v>
      </c>
      <c r="I585" s="1"/>
      <c r="J585" s="1"/>
      <c r="K585" s="1"/>
      <c r="L585" s="1" t="s">
        <v>2241</v>
      </c>
      <c r="M585" s="1">
        <f>IF(OR(NOT(ISNUMBER('School Profile'!$K$4)),NOT(ISNUMBER('School Profile'!$K$5)),NOT(ISNUMBER(F585)),NOT(ISNUMBER(G585))),"",3958.7613*2*ASIN(MIN(1,SQRT(SIN(RADIANS(F585-'School Profile'!$K$4)/2)^2+COS(RADIANS('School Profile'!$K$4))*COS(RADIANS(F585))*SIN(RADIANS(G585-'School Profile'!$K$5)/2)^2))))</f>
        <v>3.9319388761039615</v>
      </c>
      <c r="N585" s="1" t="str">
        <f>IF(AND(H585="Yes",ISNUMBER(M585),M585&lt;=1),COUNTIFS($H$511:$H$1010,"Yes",$M$511:$M$1010,"&lt;"&amp;M585)+COUNTIFS($H$511:H585,"Yes",$M$511:M585,M585),"")</f>
        <v/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:40" ht="22" customHeight="1">
      <c r="A586" s="1" t="s">
        <v>2432</v>
      </c>
      <c r="B586" s="1" t="s">
        <v>2433</v>
      </c>
      <c r="C586" s="1" t="s">
        <v>2434</v>
      </c>
      <c r="D586" s="1" t="s">
        <v>2189</v>
      </c>
      <c r="E586" s="1" t="s">
        <v>28</v>
      </c>
      <c r="F586" s="1">
        <v>39.944702447731927</v>
      </c>
      <c r="G586" s="1">
        <v>-75.173542017366557</v>
      </c>
      <c r="H586" s="1" t="s">
        <v>436</v>
      </c>
      <c r="I586" s="1"/>
      <c r="J586" s="1"/>
      <c r="K586" s="1"/>
      <c r="L586" s="1" t="s">
        <v>2241</v>
      </c>
      <c r="M586" s="1">
        <f>IF(OR(NOT(ISNUMBER('School Profile'!$K$4)),NOT(ISNUMBER('School Profile'!$K$5)),NOT(ISNUMBER(F586)),NOT(ISNUMBER(G586))),"",3958.7613*2*ASIN(MIN(1,SQRT(SIN(RADIANS(F586-'School Profile'!$K$4)/2)^2+COS(RADIANS('School Profile'!$K$4))*COS(RADIANS(F586))*SIN(RADIANS(G586-'School Profile'!$K$5)/2)^2))))</f>
        <v>3.5845930814122169</v>
      </c>
      <c r="N586" s="1" t="str">
        <f>IF(AND(H586="Yes",ISNUMBER(M586),M586&lt;=1),COUNTIFS($H$511:$H$1010,"Yes",$M$511:$M$1010,"&lt;"&amp;M586)+COUNTIFS($H$511:H586,"Yes",$M$511:M586,M586),"")</f>
        <v/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:40" ht="22" customHeight="1">
      <c r="A587" s="1" t="s">
        <v>2435</v>
      </c>
      <c r="B587" s="1" t="s">
        <v>2436</v>
      </c>
      <c r="C587" s="1" t="s">
        <v>2437</v>
      </c>
      <c r="D587" s="1" t="s">
        <v>2189</v>
      </c>
      <c r="E587" s="1" t="s">
        <v>28</v>
      </c>
      <c r="F587" s="1">
        <v>39.992672126301677</v>
      </c>
      <c r="G587" s="1">
        <v>-75.115244843585444</v>
      </c>
      <c r="H587" s="1" t="s">
        <v>436</v>
      </c>
      <c r="I587" s="1"/>
      <c r="J587" s="1"/>
      <c r="K587" s="1"/>
      <c r="L587" s="1" t="s">
        <v>2203</v>
      </c>
      <c r="M587" s="1">
        <f>IF(OR(NOT(ISNUMBER('School Profile'!$K$4)),NOT(ISNUMBER('School Profile'!$K$5)),NOT(ISNUMBER(F587)),NOT(ISNUMBER(G587))),"",3958.7613*2*ASIN(MIN(1,SQRT(SIN(RADIANS(F587-'School Profile'!$K$4)/2)^2+COS(RADIANS('School Profile'!$K$4))*COS(RADIANS(F587))*SIN(RADIANS(G587-'School Profile'!$K$5)/2)^2))))</f>
        <v>7.9861536902880434</v>
      </c>
      <c r="N587" s="1" t="str">
        <f>IF(AND(H587="Yes",ISNUMBER(M587),M587&lt;=1),COUNTIFS($H$511:$H$1010,"Yes",$M$511:$M$1010,"&lt;"&amp;M587)+COUNTIFS($H$511:H587,"Yes",$M$511:M587,M587),"")</f>
        <v/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:40" ht="22" customHeight="1">
      <c r="A588" s="1" t="s">
        <v>2438</v>
      </c>
      <c r="B588" s="1" t="s">
        <v>2439</v>
      </c>
      <c r="C588" s="1" t="s">
        <v>2440</v>
      </c>
      <c r="D588" s="1" t="s">
        <v>2189</v>
      </c>
      <c r="E588" s="1" t="s">
        <v>28</v>
      </c>
      <c r="F588" s="1">
        <v>40.051564899798194</v>
      </c>
      <c r="G588" s="1">
        <v>-75.151657030446117</v>
      </c>
      <c r="H588" s="1" t="s">
        <v>436</v>
      </c>
      <c r="I588" s="1"/>
      <c r="J588" s="1"/>
      <c r="K588" s="1"/>
      <c r="L588" s="1" t="s">
        <v>2192</v>
      </c>
      <c r="M588" s="1">
        <f>IF(OR(NOT(ISNUMBER('School Profile'!$K$4)),NOT(ISNUMBER('School Profile'!$K$5)),NOT(ISNUMBER(F588)),NOT(ISNUMBER(G588))),"",3958.7613*2*ASIN(MIN(1,SQRT(SIN(RADIANS(F588-'School Profile'!$K$4)/2)^2+COS(RADIANS('School Profile'!$K$4))*COS(RADIANS(F588))*SIN(RADIANS(G588-'School Profile'!$K$5)/2)^2))))</f>
        <v>9.9895289940642531</v>
      </c>
      <c r="N588" s="1" t="str">
        <f>IF(AND(H588="Yes",ISNUMBER(M588),M588&lt;=1),COUNTIFS($H$511:$H$1010,"Yes",$M$511:$M$1010,"&lt;"&amp;M588)+COUNTIFS($H$511:H588,"Yes",$M$511:M588,M588),"")</f>
        <v/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:40" ht="22" customHeight="1">
      <c r="A589" s="1" t="s">
        <v>2441</v>
      </c>
      <c r="B589" s="1" t="s">
        <v>2442</v>
      </c>
      <c r="C589" s="1" t="s">
        <v>2443</v>
      </c>
      <c r="D589" s="1" t="s">
        <v>2189</v>
      </c>
      <c r="E589" s="1" t="s">
        <v>28</v>
      </c>
      <c r="F589" s="1">
        <v>40.028709247674215</v>
      </c>
      <c r="G589" s="1">
        <v>-75.156043120397854</v>
      </c>
      <c r="H589" s="1" t="s">
        <v>436</v>
      </c>
      <c r="I589" s="1"/>
      <c r="J589" s="1"/>
      <c r="K589" s="1"/>
      <c r="L589" s="1" t="s">
        <v>2203</v>
      </c>
      <c r="M589" s="1">
        <f>IF(OR(NOT(ISNUMBER('School Profile'!$K$4)),NOT(ISNUMBER('School Profile'!$K$5)),NOT(ISNUMBER(F589)),NOT(ISNUMBER(G589))),"",3958.7613*2*ASIN(MIN(1,SQRT(SIN(RADIANS(F589-'School Profile'!$K$4)/2)^2+COS(RADIANS('School Profile'!$K$4))*COS(RADIANS(F589))*SIN(RADIANS(G589-'School Profile'!$K$5)/2)^2))))</f>
        <v>8.4814443021851194</v>
      </c>
      <c r="N589" s="1" t="str">
        <f>IF(AND(H589="Yes",ISNUMBER(M589),M589&lt;=1),COUNTIFS($H$511:$H$1010,"Yes",$M$511:$M$1010,"&lt;"&amp;M589)+COUNTIFS($H$511:H589,"Yes",$M$511:M589,M589),"")</f>
        <v/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:40" ht="22" customHeight="1">
      <c r="A590" s="1" t="s">
        <v>2444</v>
      </c>
      <c r="B590" s="1" t="s">
        <v>2445</v>
      </c>
      <c r="C590" s="1" t="s">
        <v>2446</v>
      </c>
      <c r="D590" s="1" t="s">
        <v>2256</v>
      </c>
      <c r="E590" s="1" t="s">
        <v>28</v>
      </c>
      <c r="F590" s="1">
        <v>39.994257450177649</v>
      </c>
      <c r="G590" s="1">
        <v>-75.112259249619527</v>
      </c>
      <c r="H590" s="1" t="s">
        <v>88</v>
      </c>
      <c r="I590" s="1"/>
      <c r="J590" s="1"/>
      <c r="K590" s="1"/>
      <c r="L590" s="1" t="s">
        <v>2447</v>
      </c>
      <c r="M590" s="1">
        <f>IF(OR(NOT(ISNUMBER('School Profile'!$K$4)),NOT(ISNUMBER('School Profile'!$K$5)),NOT(ISNUMBER(F590)),NOT(ISNUMBER(G590))),"",3958.7613*2*ASIN(MIN(1,SQRT(SIN(RADIANS(F590-'School Profile'!$K$4)/2)^2+COS(RADIANS('School Profile'!$K$4))*COS(RADIANS(F590))*SIN(RADIANS(G590-'School Profile'!$K$5)/2)^2))))</f>
        <v>8.1781395695784465</v>
      </c>
      <c r="N590" s="1" t="str">
        <f>IF(AND(H590="Yes",ISNUMBER(M590),M590&lt;=1),COUNTIFS($H$511:$H$1010,"Yes",$M$511:$M$1010,"&lt;"&amp;M590)+COUNTIFS($H$511:H590,"Yes",$M$511:M590,M590),"")</f>
        <v/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:40" ht="22" customHeight="1">
      <c r="A591" s="1" t="s">
        <v>2448</v>
      </c>
      <c r="B591" s="1" t="s">
        <v>2449</v>
      </c>
      <c r="C591" s="1" t="s">
        <v>2450</v>
      </c>
      <c r="D591" s="1" t="s">
        <v>2189</v>
      </c>
      <c r="E591" s="1" t="s">
        <v>28</v>
      </c>
      <c r="F591" s="1">
        <v>40.043699789056646</v>
      </c>
      <c r="G591" s="1">
        <v>-75.153436981096178</v>
      </c>
      <c r="H591" s="1" t="s">
        <v>436</v>
      </c>
      <c r="I591" s="1"/>
      <c r="J591" s="1"/>
      <c r="K591" s="1"/>
      <c r="L591" s="1" t="s">
        <v>2203</v>
      </c>
      <c r="M591" s="1">
        <f>IF(OR(NOT(ISNUMBER('School Profile'!$K$4)),NOT(ISNUMBER('School Profile'!$K$5)),NOT(ISNUMBER(F591)),NOT(ISNUMBER(G591))),"",3958.7613*2*ASIN(MIN(1,SQRT(SIN(RADIANS(F591-'School Profile'!$K$4)/2)^2+COS(RADIANS('School Profile'!$K$4))*COS(RADIANS(F591))*SIN(RADIANS(G591-'School Profile'!$K$5)/2)^2))))</f>
        <v>9.4608431099157713</v>
      </c>
      <c r="N591" s="1" t="str">
        <f>IF(AND(H591="Yes",ISNUMBER(M591),M591&lt;=1),COUNTIFS($H$511:$H$1010,"Yes",$M$511:$M$1010,"&lt;"&amp;M591)+COUNTIFS($H$511:H591,"Yes",$M$511:M591,M591),"")</f>
        <v/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:40" ht="22" customHeight="1">
      <c r="A592" s="1" t="s">
        <v>2451</v>
      </c>
      <c r="B592" s="1" t="s">
        <v>2452</v>
      </c>
      <c r="C592" s="1" t="s">
        <v>2453</v>
      </c>
      <c r="D592" s="1" t="s">
        <v>2189</v>
      </c>
      <c r="E592" s="1" t="s">
        <v>28</v>
      </c>
      <c r="F592" s="1">
        <v>40.031300400835384</v>
      </c>
      <c r="G592" s="1">
        <v>-75.120321808059245</v>
      </c>
      <c r="H592" s="1" t="s">
        <v>436</v>
      </c>
      <c r="I592" s="1"/>
      <c r="J592" s="1"/>
      <c r="K592" s="1"/>
      <c r="L592" s="1" t="s">
        <v>2192</v>
      </c>
      <c r="M592" s="1">
        <f>IF(OR(NOT(ISNUMBER('School Profile'!$K$4)),NOT(ISNUMBER('School Profile'!$K$5)),NOT(ISNUMBER(F592)),NOT(ISNUMBER(G592))),"",3958.7613*2*ASIN(MIN(1,SQRT(SIN(RADIANS(F592-'School Profile'!$K$4)/2)^2+COS(RADIANS('School Profile'!$K$4))*COS(RADIANS(F592))*SIN(RADIANS(G592-'School Profile'!$K$5)/2)^2))))</f>
        <v>9.6860833821150667</v>
      </c>
      <c r="N592" s="1" t="str">
        <f>IF(AND(H592="Yes",ISNUMBER(M592),M592&lt;=1),COUNTIFS($H$511:$H$1010,"Yes",$M$511:$M$1010,"&lt;"&amp;M592)+COUNTIFS($H$511:H592,"Yes",$M$511:M592,M592),"")</f>
        <v/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:40" ht="22" customHeight="1">
      <c r="A593" s="1" t="s">
        <v>2454</v>
      </c>
      <c r="B593" s="1" t="s">
        <v>2412</v>
      </c>
      <c r="C593" s="1" t="s">
        <v>2455</v>
      </c>
      <c r="D593" s="1" t="s">
        <v>2189</v>
      </c>
      <c r="E593" s="1" t="s">
        <v>28</v>
      </c>
      <c r="F593" s="1">
        <v>40.034648379668894</v>
      </c>
      <c r="G593" s="1">
        <v>-75.174069880003913</v>
      </c>
      <c r="H593" s="1" t="s">
        <v>436</v>
      </c>
      <c r="I593" s="1"/>
      <c r="J593" s="1"/>
      <c r="K593" s="1"/>
      <c r="L593" s="1" t="s">
        <v>2414</v>
      </c>
      <c r="M593" s="1">
        <f>IF(OR(NOT(ISNUMBER('School Profile'!$K$4)),NOT(ISNUMBER('School Profile'!$K$5)),NOT(ISNUMBER(F593)),NOT(ISNUMBER(G593))),"",3958.7613*2*ASIN(MIN(1,SQRT(SIN(RADIANS(F593-'School Profile'!$K$4)/2)^2+COS(RADIANS('School Profile'!$K$4))*COS(RADIANS(F593))*SIN(RADIANS(G593-'School Profile'!$K$5)/2)^2))))</f>
        <v>8.4384727749404735</v>
      </c>
      <c r="N593" s="1" t="str">
        <f>IF(AND(H593="Yes",ISNUMBER(M593),M593&lt;=1),COUNTIFS($H$511:$H$1010,"Yes",$M$511:$M$1010,"&lt;"&amp;M593)+COUNTIFS($H$511:H593,"Yes",$M$511:M593,M593),"")</f>
        <v/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:40" ht="22" customHeight="1">
      <c r="A594" s="1" t="s">
        <v>2456</v>
      </c>
      <c r="B594" s="1" t="s">
        <v>2457</v>
      </c>
      <c r="C594" s="1" t="s">
        <v>2458</v>
      </c>
      <c r="D594" s="1" t="s">
        <v>2189</v>
      </c>
      <c r="E594" s="1" t="s">
        <v>28</v>
      </c>
      <c r="F594" s="1">
        <v>40.021004140005971</v>
      </c>
      <c r="G594" s="1">
        <v>-75.122221310100571</v>
      </c>
      <c r="H594" s="1" t="s">
        <v>436</v>
      </c>
      <c r="I594" s="1"/>
      <c r="J594" s="1"/>
      <c r="K594" s="1"/>
      <c r="L594" s="1" t="s">
        <v>2203</v>
      </c>
      <c r="M594" s="1">
        <f>IF(OR(NOT(ISNUMBER('School Profile'!$K$4)),NOT(ISNUMBER('School Profile'!$K$5)),NOT(ISNUMBER(F594)),NOT(ISNUMBER(G594))),"",3958.7613*2*ASIN(MIN(1,SQRT(SIN(RADIANS(F594-'School Profile'!$K$4)/2)^2+COS(RADIANS('School Profile'!$K$4))*COS(RADIANS(F594))*SIN(RADIANS(G594-'School Profile'!$K$5)/2)^2))))</f>
        <v>9.0739227396345328</v>
      </c>
      <c r="N594" s="1" t="str">
        <f>IF(AND(H594="Yes",ISNUMBER(M594),M594&lt;=1),COUNTIFS($H$511:$H$1010,"Yes",$M$511:$M$1010,"&lt;"&amp;M594)+COUNTIFS($H$511:H594,"Yes",$M$511:M594,M594),"")</f>
        <v/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:40" ht="22" customHeight="1">
      <c r="A595" s="1" t="s">
        <v>2459</v>
      </c>
      <c r="B595" s="1" t="s">
        <v>2460</v>
      </c>
      <c r="C595" s="1" t="s">
        <v>2461</v>
      </c>
      <c r="D595" s="1" t="s">
        <v>2189</v>
      </c>
      <c r="E595" s="1" t="s">
        <v>28</v>
      </c>
      <c r="F595" s="1">
        <v>39.982939980007131</v>
      </c>
      <c r="G595" s="1">
        <v>-75.151704130014792</v>
      </c>
      <c r="H595" s="1" t="s">
        <v>436</v>
      </c>
      <c r="I595" s="1"/>
      <c r="J595" s="1"/>
      <c r="K595" s="1"/>
      <c r="L595" s="1" t="s">
        <v>2192</v>
      </c>
      <c r="M595" s="1">
        <f>IF(OR(NOT(ISNUMBER('School Profile'!$K$4)),NOT(ISNUMBER('School Profile'!$K$5)),NOT(ISNUMBER(F595)),NOT(ISNUMBER(G595))),"",3958.7613*2*ASIN(MIN(1,SQRT(SIN(RADIANS(F595-'School Profile'!$K$4)/2)^2+COS(RADIANS('School Profile'!$K$4))*COS(RADIANS(F595))*SIN(RADIANS(G595-'School Profile'!$K$5)/2)^2))))</f>
        <v>6.086681787033867</v>
      </c>
      <c r="N595" s="1" t="str">
        <f>IF(AND(H595="Yes",ISNUMBER(M595),M595&lt;=1),COUNTIFS($H$511:$H$1010,"Yes",$M$511:$M$1010,"&lt;"&amp;M595)+COUNTIFS($H$511:H595,"Yes",$M$511:M595,M595),"")</f>
        <v/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:40" ht="22" customHeight="1">
      <c r="A596" s="1" t="s">
        <v>2462</v>
      </c>
      <c r="B596" s="1" t="s">
        <v>1571</v>
      </c>
      <c r="C596" s="1" t="s">
        <v>2463</v>
      </c>
      <c r="D596" s="1" t="s">
        <v>2189</v>
      </c>
      <c r="E596" s="1" t="s">
        <v>28</v>
      </c>
      <c r="F596" s="1">
        <v>39.982254950923902</v>
      </c>
      <c r="G596" s="1">
        <v>-75.146011755790965</v>
      </c>
      <c r="H596" s="1" t="s">
        <v>436</v>
      </c>
      <c r="I596" s="1"/>
      <c r="J596" s="1"/>
      <c r="K596" s="1"/>
      <c r="L596" s="1" t="s">
        <v>2203</v>
      </c>
      <c r="M596" s="1">
        <f>IF(OR(NOT(ISNUMBER('School Profile'!$K$4)),NOT(ISNUMBER('School Profile'!$K$5)),NOT(ISNUMBER(F596)),NOT(ISNUMBER(G596))),"",3958.7613*2*ASIN(MIN(1,SQRT(SIN(RADIANS(F596-'School Profile'!$K$4)/2)^2+COS(RADIANS('School Profile'!$K$4))*COS(RADIANS(F596))*SIN(RADIANS(G596-'School Profile'!$K$5)/2)^2))))</f>
        <v>6.2745004453138442</v>
      </c>
      <c r="N596" s="1" t="str">
        <f>IF(AND(H596="Yes",ISNUMBER(M596),M596&lt;=1),COUNTIFS($H$511:$H$1010,"Yes",$M$511:$M$1010,"&lt;"&amp;M596)+COUNTIFS($H$511:H596,"Yes",$M$511:M596,M596),"")</f>
        <v/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:40" ht="22" customHeight="1">
      <c r="A597" s="1" t="s">
        <v>2464</v>
      </c>
      <c r="B597" s="1" t="s">
        <v>2465</v>
      </c>
      <c r="C597" s="1" t="s">
        <v>2214</v>
      </c>
      <c r="D597" s="1" t="s">
        <v>2189</v>
      </c>
      <c r="E597" s="1" t="s">
        <v>28</v>
      </c>
      <c r="F597" s="1">
        <v>40.100390989687511</v>
      </c>
      <c r="G597" s="1">
        <v>-75.021368770082688</v>
      </c>
      <c r="H597" s="1" t="s">
        <v>436</v>
      </c>
      <c r="I597" s="1"/>
      <c r="J597" s="1"/>
      <c r="K597" s="1"/>
      <c r="L597" s="1" t="s">
        <v>2192</v>
      </c>
      <c r="M597" s="1">
        <f>IF(OR(NOT(ISNUMBER('School Profile'!$K$4)),NOT(ISNUMBER('School Profile'!$K$5)),NOT(ISNUMBER(F597)),NOT(ISNUMBER(G597))),"",3958.7613*2*ASIN(MIN(1,SQRT(SIN(RADIANS(F597-'School Profile'!$K$4)/2)^2+COS(RADIANS('School Profile'!$K$4))*COS(RADIANS(F597))*SIN(RADIANS(G597-'School Profile'!$K$5)/2)^2))))</f>
        <v>16.717142946371318</v>
      </c>
      <c r="N597" s="1" t="str">
        <f>IF(AND(H597="Yes",ISNUMBER(M597),M597&lt;=1),COUNTIFS($H$511:$H$1010,"Yes",$M$511:$M$1010,"&lt;"&amp;M597)+COUNTIFS($H$511:H597,"Yes",$M$511:M597,M597),"")</f>
        <v/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:40" ht="22" customHeight="1">
      <c r="A598" s="1" t="s">
        <v>2466</v>
      </c>
      <c r="B598" s="1" t="s">
        <v>2467</v>
      </c>
      <c r="C598" s="1" t="s">
        <v>2468</v>
      </c>
      <c r="D598" s="1" t="s">
        <v>2189</v>
      </c>
      <c r="E598" s="1" t="s">
        <v>28</v>
      </c>
      <c r="F598" s="1">
        <v>39.984611596094041</v>
      </c>
      <c r="G598" s="1">
        <v>-75.167180100913711</v>
      </c>
      <c r="H598" s="1" t="s">
        <v>436</v>
      </c>
      <c r="I598" s="1"/>
      <c r="J598" s="1"/>
      <c r="K598" s="1"/>
      <c r="L598" s="1" t="s">
        <v>2203</v>
      </c>
      <c r="M598" s="1">
        <f>IF(OR(NOT(ISNUMBER('School Profile'!$K$4)),NOT(ISNUMBER('School Profile'!$K$5)),NOT(ISNUMBER(F598)),NOT(ISNUMBER(G598))),"",3958.7613*2*ASIN(MIN(1,SQRT(SIN(RADIANS(F598-'School Profile'!$K$4)/2)^2+COS(RADIANS('School Profile'!$K$4))*COS(RADIANS(F598))*SIN(RADIANS(G598-'School Profile'!$K$5)/2)^2))))</f>
        <v>5.6180584069868171</v>
      </c>
      <c r="N598" s="1" t="str">
        <f>IF(AND(H598="Yes",ISNUMBER(M598),M598&lt;=1),COUNTIFS($H$511:$H$1010,"Yes",$M$511:$M$1010,"&lt;"&amp;M598)+COUNTIFS($H$511:H598,"Yes",$M$511:M598,M598),"")</f>
        <v/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:40" ht="22" customHeight="1">
      <c r="A599" s="1" t="s">
        <v>2469</v>
      </c>
      <c r="B599" s="1" t="s">
        <v>2470</v>
      </c>
      <c r="C599" s="1" t="s">
        <v>2471</v>
      </c>
      <c r="D599" s="1" t="s">
        <v>2189</v>
      </c>
      <c r="E599" s="1" t="s">
        <v>28</v>
      </c>
      <c r="F599" s="1">
        <v>39.997830089960992</v>
      </c>
      <c r="G599" s="1">
        <v>-75.102308100075945</v>
      </c>
      <c r="H599" s="1" t="s">
        <v>436</v>
      </c>
      <c r="I599" s="1"/>
      <c r="J599" s="1"/>
      <c r="K599" s="1"/>
      <c r="L599" s="1" t="s">
        <v>2298</v>
      </c>
      <c r="M599" s="1">
        <f>IF(OR(NOT(ISNUMBER('School Profile'!$K$4)),NOT(ISNUMBER('School Profile'!$K$5)),NOT(ISNUMBER(F599)),NOT(ISNUMBER(G599))),"",3958.7613*2*ASIN(MIN(1,SQRT(SIN(RADIANS(F599-'School Profile'!$K$4)/2)^2+COS(RADIANS('School Profile'!$K$4))*COS(RADIANS(F599))*SIN(RADIANS(G599-'School Profile'!$K$5)/2)^2))))</f>
        <v>8.7463797285639107</v>
      </c>
      <c r="N599" s="1" t="str">
        <f>IF(AND(H599="Yes",ISNUMBER(M599),M599&lt;=1),COUNTIFS($H$511:$H$1010,"Yes",$M$511:$M$1010,"&lt;"&amp;M599)+COUNTIFS($H$511:H599,"Yes",$M$511:M599,M599),"")</f>
        <v/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:40" ht="22" customHeight="1">
      <c r="A600" s="1" t="s">
        <v>2472</v>
      </c>
      <c r="B600" s="1" t="s">
        <v>2473</v>
      </c>
      <c r="C600" s="1" t="s">
        <v>2474</v>
      </c>
      <c r="D600" s="1" t="s">
        <v>2189</v>
      </c>
      <c r="E600" s="1" t="s">
        <v>28</v>
      </c>
      <c r="F600" s="1">
        <v>40.051885359826059</v>
      </c>
      <c r="G600" s="1">
        <v>-75.154058979988775</v>
      </c>
      <c r="H600" s="1" t="s">
        <v>436</v>
      </c>
      <c r="I600" s="1"/>
      <c r="J600" s="1"/>
      <c r="K600" s="1"/>
      <c r="L600" s="1" t="s">
        <v>2192</v>
      </c>
      <c r="M600" s="1">
        <f>IF(OR(NOT(ISNUMBER('School Profile'!$K$4)),NOT(ISNUMBER('School Profile'!$K$5)),NOT(ISNUMBER(F600)),NOT(ISNUMBER(G600))),"",3958.7613*2*ASIN(MIN(1,SQRT(SIN(RADIANS(F600-'School Profile'!$K$4)/2)^2+COS(RADIANS('School Profile'!$K$4))*COS(RADIANS(F600))*SIN(RADIANS(G600-'School Profile'!$K$5)/2)^2))))</f>
        <v>9.9546917662153476</v>
      </c>
      <c r="N600" s="1" t="str">
        <f>IF(AND(H600="Yes",ISNUMBER(M600),M600&lt;=1),COUNTIFS($H$511:$H$1010,"Yes",$M$511:$M$1010,"&lt;"&amp;M600)+COUNTIFS($H$511:H600,"Yes",$M$511:M600,M600),"")</f>
        <v/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:40" ht="22" customHeight="1">
      <c r="A601" s="1" t="s">
        <v>2475</v>
      </c>
      <c r="B601" s="1" t="s">
        <v>2476</v>
      </c>
      <c r="C601" s="1" t="s">
        <v>2477</v>
      </c>
      <c r="D601" s="1" t="s">
        <v>2215</v>
      </c>
      <c r="E601" s="1" t="s">
        <v>28</v>
      </c>
      <c r="F601" s="1">
        <v>39.932921939949409</v>
      </c>
      <c r="G601" s="1">
        <v>-75.180203709714547</v>
      </c>
      <c r="H601" s="1" t="s">
        <v>88</v>
      </c>
      <c r="I601" s="1"/>
      <c r="J601" s="1"/>
      <c r="K601" s="1"/>
      <c r="L601" s="1" t="s">
        <v>2216</v>
      </c>
      <c r="M601" s="1">
        <f>IF(OR(NOT(ISNUMBER('School Profile'!$K$4)),NOT(ISNUMBER('School Profile'!$K$5)),NOT(ISNUMBER(F601)),NOT(ISNUMBER(G601))),"",3958.7613*2*ASIN(MIN(1,SQRT(SIN(RADIANS(F601-'School Profile'!$K$4)/2)^2+COS(RADIANS('School Profile'!$K$4))*COS(RADIANS(F601))*SIN(RADIANS(G601-'School Profile'!$K$5)/2)^2))))</f>
        <v>2.960517681076138</v>
      </c>
      <c r="N601" s="1" t="str">
        <f>IF(AND(H601="Yes",ISNUMBER(M601),M601&lt;=1),COUNTIFS($H$511:$H$1010,"Yes",$M$511:$M$1010,"&lt;"&amp;M601)+COUNTIFS($H$511:H601,"Yes",$M$511:M601,M601),"")</f>
        <v/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:40" ht="22" customHeight="1">
      <c r="A602" s="1" t="s">
        <v>2478</v>
      </c>
      <c r="B602" s="1" t="s">
        <v>2479</v>
      </c>
      <c r="C602" s="1" t="s">
        <v>2480</v>
      </c>
      <c r="D602" s="1" t="s">
        <v>2215</v>
      </c>
      <c r="E602" s="1" t="s">
        <v>28</v>
      </c>
      <c r="F602" s="1">
        <v>39.979984549945065</v>
      </c>
      <c r="G602" s="1">
        <v>-75.169603699854704</v>
      </c>
      <c r="H602" s="1" t="s">
        <v>88</v>
      </c>
      <c r="I602" s="1"/>
      <c r="J602" s="1"/>
      <c r="K602" s="1"/>
      <c r="L602" s="1" t="s">
        <v>2291</v>
      </c>
      <c r="M602" s="1">
        <f>IF(OR(NOT(ISNUMBER('School Profile'!$K$4)),NOT(ISNUMBER('School Profile'!$K$5)),NOT(ISNUMBER(F602)),NOT(ISNUMBER(G602))),"",3958.7613*2*ASIN(MIN(1,SQRT(SIN(RADIANS(F602-'School Profile'!$K$4)/2)^2+COS(RADIANS('School Profile'!$K$4))*COS(RADIANS(F602))*SIN(RADIANS(G602-'School Profile'!$K$5)/2)^2))))</f>
        <v>5.2900308770350817</v>
      </c>
      <c r="N602" s="1" t="str">
        <f>IF(AND(H602="Yes",ISNUMBER(M602),M602&lt;=1),COUNTIFS($H$511:$H$1010,"Yes",$M$511:$M$1010,"&lt;"&amp;M602)+COUNTIFS($H$511:H602,"Yes",$M$511:M602,M602),"")</f>
        <v/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:40" ht="22" customHeight="1">
      <c r="A603" s="1" t="s">
        <v>2481</v>
      </c>
      <c r="B603" s="1" t="s">
        <v>2482</v>
      </c>
      <c r="C603" s="1" t="s">
        <v>2483</v>
      </c>
      <c r="D603" s="1" t="s">
        <v>2256</v>
      </c>
      <c r="E603" s="1" t="s">
        <v>28</v>
      </c>
      <c r="F603" s="1">
        <v>39.980214038246224</v>
      </c>
      <c r="G603" s="1">
        <v>-75.169359269164232</v>
      </c>
      <c r="H603" s="1" t="s">
        <v>88</v>
      </c>
      <c r="I603" s="1"/>
      <c r="J603" s="1"/>
      <c r="K603" s="1"/>
      <c r="L603" s="1" t="s">
        <v>2261</v>
      </c>
      <c r="M603" s="1">
        <f>IF(OR(NOT(ISNUMBER('School Profile'!$K$4)),NOT(ISNUMBER('School Profile'!$K$5)),NOT(ISNUMBER(F603)),NOT(ISNUMBER(G603))),"",3958.7613*2*ASIN(MIN(1,SQRT(SIN(RADIANS(F603-'School Profile'!$K$4)/2)^2+COS(RADIANS('School Profile'!$K$4))*COS(RADIANS(F603))*SIN(RADIANS(G603-'School Profile'!$K$5)/2)^2))))</f>
        <v>5.3104946361367809</v>
      </c>
      <c r="N603" s="1" t="str">
        <f>IF(AND(H603="Yes",ISNUMBER(M603),M603&lt;=1),COUNTIFS($H$511:$H$1010,"Yes",$M$511:$M$1010,"&lt;"&amp;M603)+COUNTIFS($H$511:H603,"Yes",$M$511:M603,M603),"")</f>
        <v/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:40" ht="22" customHeight="1">
      <c r="A604" s="1" t="s">
        <v>2484</v>
      </c>
      <c r="B604" s="1" t="s">
        <v>2485</v>
      </c>
      <c r="C604" s="1" t="s">
        <v>2486</v>
      </c>
      <c r="D604" s="1" t="s">
        <v>2215</v>
      </c>
      <c r="E604" s="1" t="s">
        <v>28</v>
      </c>
      <c r="F604" s="1">
        <v>39.982579450108823</v>
      </c>
      <c r="G604" s="1">
        <v>-75.133430310349382</v>
      </c>
      <c r="H604" s="1" t="s">
        <v>88</v>
      </c>
      <c r="I604" s="1"/>
      <c r="J604" s="1"/>
      <c r="K604" s="1"/>
      <c r="L604" s="1" t="s">
        <v>2216</v>
      </c>
      <c r="M604" s="1">
        <f>IF(OR(NOT(ISNUMBER('School Profile'!$K$4)),NOT(ISNUMBER('School Profile'!$K$5)),NOT(ISNUMBER(F604)),NOT(ISNUMBER(G604))),"",3958.7613*2*ASIN(MIN(1,SQRT(SIN(RADIANS(F604-'School Profile'!$K$4)/2)^2+COS(RADIANS('School Profile'!$K$4))*COS(RADIANS(F604))*SIN(RADIANS(G604-'School Profile'!$K$5)/2)^2))))</f>
        <v>6.7983232630010377</v>
      </c>
      <c r="N604" s="1" t="str">
        <f>IF(AND(H604="Yes",ISNUMBER(M604),M604&lt;=1),COUNTIFS($H$511:$H$1010,"Yes",$M$511:$M$1010,"&lt;"&amp;M604)+COUNTIFS($H$511:H604,"Yes",$M$511:M604,M604),"")</f>
        <v/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:40" ht="22" customHeight="1">
      <c r="A605" s="1" t="s">
        <v>2487</v>
      </c>
      <c r="B605" s="1" t="s">
        <v>2488</v>
      </c>
      <c r="C605" s="1" t="s">
        <v>2489</v>
      </c>
      <c r="D605" s="1" t="s">
        <v>2215</v>
      </c>
      <c r="E605" s="1" t="s">
        <v>28</v>
      </c>
      <c r="F605" s="1">
        <v>39.924705030254444</v>
      </c>
      <c r="G605" s="1">
        <v>-75.18140473029996</v>
      </c>
      <c r="H605" s="1" t="s">
        <v>88</v>
      </c>
      <c r="I605" s="1"/>
      <c r="J605" s="1"/>
      <c r="K605" s="1"/>
      <c r="L605" s="1" t="s">
        <v>2216</v>
      </c>
      <c r="M605" s="1">
        <f>IF(OR(NOT(ISNUMBER('School Profile'!$K$4)),NOT(ISNUMBER('School Profile'!$K$5)),NOT(ISNUMBER(F605)),NOT(ISNUMBER(G605))),"",3958.7613*2*ASIN(MIN(1,SQRT(SIN(RADIANS(F605-'School Profile'!$K$4)/2)^2+COS(RADIANS('School Profile'!$K$4))*COS(RADIANS(F605))*SIN(RADIANS(G605-'School Profile'!$K$5)/2)^2))))</f>
        <v>2.7986645281921332</v>
      </c>
      <c r="N605" s="1" t="str">
        <f>IF(AND(H605="Yes",ISNUMBER(M605),M605&lt;=1),COUNTIFS($H$511:$H$1010,"Yes",$M$511:$M$1010,"&lt;"&amp;M605)+COUNTIFS($H$511:H605,"Yes",$M$511:M605,M605),"")</f>
        <v/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:40" ht="22" customHeight="1">
      <c r="A606" s="1" t="s">
        <v>2490</v>
      </c>
      <c r="B606" s="1" t="s">
        <v>2491</v>
      </c>
      <c r="C606" s="1" t="s">
        <v>2489</v>
      </c>
      <c r="D606" s="1" t="s">
        <v>2189</v>
      </c>
      <c r="E606" s="1" t="s">
        <v>28</v>
      </c>
      <c r="F606" s="1">
        <v>39.925461751867765</v>
      </c>
      <c r="G606" s="1">
        <v>-75.181327436557964</v>
      </c>
      <c r="H606" s="1" t="s">
        <v>436</v>
      </c>
      <c r="I606" s="1"/>
      <c r="J606" s="1"/>
      <c r="K606" s="1"/>
      <c r="L606" s="1" t="s">
        <v>2203</v>
      </c>
      <c r="M606" s="1">
        <f>IF(OR(NOT(ISNUMBER('School Profile'!$K$4)),NOT(ISNUMBER('School Profile'!$K$5)),NOT(ISNUMBER(F606)),NOT(ISNUMBER(G606))),"",3958.7613*2*ASIN(MIN(1,SQRT(SIN(RADIANS(F606-'School Profile'!$K$4)/2)^2+COS(RADIANS('School Profile'!$K$4))*COS(RADIANS(F606))*SIN(RADIANS(G606-'School Profile'!$K$5)/2)^2))))</f>
        <v>2.8073502582194703</v>
      </c>
      <c r="N606" s="1" t="str">
        <f>IF(AND(H606="Yes",ISNUMBER(M606),M606&lt;=1),COUNTIFS($H$511:$H$1010,"Yes",$M$511:$M$1010,"&lt;"&amp;M606)+COUNTIFS($H$511:H606,"Yes",$M$511:M606,M606),"")</f>
        <v/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:40" ht="22" customHeight="1">
      <c r="A607" s="1" t="s">
        <v>2492</v>
      </c>
      <c r="B607" s="1" t="s">
        <v>2493</v>
      </c>
      <c r="C607" s="1" t="s">
        <v>2494</v>
      </c>
      <c r="D607" s="1" t="s">
        <v>2207</v>
      </c>
      <c r="E607" s="1" t="s">
        <v>28</v>
      </c>
      <c r="F607" s="1">
        <v>39.954607754897708</v>
      </c>
      <c r="G607" s="1">
        <v>-75.146249676390596</v>
      </c>
      <c r="H607" s="1" t="s">
        <v>88</v>
      </c>
      <c r="I607" s="1"/>
      <c r="J607" s="1"/>
      <c r="K607" s="1"/>
      <c r="L607" s="1" t="s">
        <v>2208</v>
      </c>
      <c r="M607" s="1">
        <f>IF(OR(NOT(ISNUMBER('School Profile'!$K$4)),NOT(ISNUMBER('School Profile'!$K$5)),NOT(ISNUMBER(F607)),NOT(ISNUMBER(G607))),"",3958.7613*2*ASIN(MIN(1,SQRT(SIN(RADIANS(F607-'School Profile'!$K$4)/2)^2+COS(RADIANS('School Profile'!$K$4))*COS(RADIANS(F607))*SIN(RADIANS(G607-'School Profile'!$K$5)/2)^2))))</f>
        <v>5.1837794909786865</v>
      </c>
      <c r="N607" s="1" t="str">
        <f>IF(AND(H607="Yes",ISNUMBER(M607),M607&lt;=1),COUNTIFS($H$511:$H$1010,"Yes",$M$511:$M$1010,"&lt;"&amp;M607)+COUNTIFS($H$511:H607,"Yes",$M$511:M607,M607),"")</f>
        <v/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:40" ht="22" customHeight="1">
      <c r="A608" s="1" t="s">
        <v>2495</v>
      </c>
      <c r="B608" s="1" t="s">
        <v>2496</v>
      </c>
      <c r="C608" s="1" t="s">
        <v>2497</v>
      </c>
      <c r="D608" s="1" t="s">
        <v>2189</v>
      </c>
      <c r="E608" s="1" t="s">
        <v>28</v>
      </c>
      <c r="F608" s="1">
        <v>39.982358255147005</v>
      </c>
      <c r="G608" s="1">
        <v>-75.124975908579358</v>
      </c>
      <c r="H608" s="1" t="s">
        <v>436</v>
      </c>
      <c r="I608" s="1"/>
      <c r="J608" s="1"/>
      <c r="K608" s="1"/>
      <c r="L608" s="1" t="s">
        <v>2203</v>
      </c>
      <c r="M608" s="1">
        <f>IF(OR(NOT(ISNUMBER('School Profile'!$K$4)),NOT(ISNUMBER('School Profile'!$K$5)),NOT(ISNUMBER(F608)),NOT(ISNUMBER(G608))),"",3958.7613*2*ASIN(MIN(1,SQRT(SIN(RADIANS(F608-'School Profile'!$K$4)/2)^2+COS(RADIANS('School Profile'!$K$4))*COS(RADIANS(F608))*SIN(RADIANS(G608-'School Profile'!$K$5)/2)^2))))</f>
        <v>7.1457869946540642</v>
      </c>
      <c r="N608" s="1" t="str">
        <f>IF(AND(H608="Yes",ISNUMBER(M608),M608&lt;=1),COUNTIFS($H$511:$H$1010,"Yes",$M$511:$M$1010,"&lt;"&amp;M608)+COUNTIFS($H$511:H608,"Yes",$M$511:M608,M608),"")</f>
        <v/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:40" ht="22" customHeight="1">
      <c r="A609" s="1" t="s">
        <v>2498</v>
      </c>
      <c r="B609" s="1" t="s">
        <v>2499</v>
      </c>
      <c r="C609" s="1" t="s">
        <v>2500</v>
      </c>
      <c r="D609" s="1" t="s">
        <v>2189</v>
      </c>
      <c r="E609" s="1" t="s">
        <v>28</v>
      </c>
      <c r="F609" s="1">
        <v>39.995181649897155</v>
      </c>
      <c r="G609" s="1">
        <v>-75.166715539859482</v>
      </c>
      <c r="H609" s="1" t="s">
        <v>436</v>
      </c>
      <c r="I609" s="1"/>
      <c r="J609" s="1"/>
      <c r="K609" s="1"/>
      <c r="L609" s="1" t="s">
        <v>2203</v>
      </c>
      <c r="M609" s="1">
        <f>IF(OR(NOT(ISNUMBER('School Profile'!$K$4)),NOT(ISNUMBER('School Profile'!$K$5)),NOT(ISNUMBER(F609)),NOT(ISNUMBER(G609))),"",3958.7613*2*ASIN(MIN(1,SQRT(SIN(RADIANS(F609-'School Profile'!$K$4)/2)^2+COS(RADIANS('School Profile'!$K$4))*COS(RADIANS(F609))*SIN(RADIANS(G609-'School Profile'!$K$5)/2)^2))))</f>
        <v>6.2159819668244563</v>
      </c>
      <c r="N609" s="1" t="str">
        <f>IF(AND(H609="Yes",ISNUMBER(M609),M609&lt;=1),COUNTIFS($H$511:$H$1010,"Yes",$M$511:$M$1010,"&lt;"&amp;M609)+COUNTIFS($H$511:H609,"Yes",$M$511:M609,M609),"")</f>
        <v/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:40" ht="22" customHeight="1">
      <c r="A610" s="1" t="s">
        <v>2501</v>
      </c>
      <c r="B610" s="1" t="s">
        <v>2502</v>
      </c>
      <c r="C610" s="1" t="s">
        <v>2503</v>
      </c>
      <c r="D610" s="1" t="s">
        <v>2256</v>
      </c>
      <c r="E610" s="1" t="s">
        <v>28</v>
      </c>
      <c r="F610" s="1">
        <v>39.992403430329894</v>
      </c>
      <c r="G610" s="1">
        <v>-75.135518819723103</v>
      </c>
      <c r="H610" s="1" t="s">
        <v>88</v>
      </c>
      <c r="I610" s="1"/>
      <c r="J610" s="1"/>
      <c r="K610" s="1"/>
      <c r="L610" s="1" t="s">
        <v>2257</v>
      </c>
      <c r="M610" s="1">
        <f>IF(OR(NOT(ISNUMBER('School Profile'!$K$4)),NOT(ISNUMBER('School Profile'!$K$5)),NOT(ISNUMBER(F610)),NOT(ISNUMBER(G610))),"",3958.7613*2*ASIN(MIN(1,SQRT(SIN(RADIANS(F610-'School Profile'!$K$4)/2)^2+COS(RADIANS('School Profile'!$K$4))*COS(RADIANS(F610))*SIN(RADIANS(G610-'School Profile'!$K$5)/2)^2))))</f>
        <v>7.1579645453906897</v>
      </c>
      <c r="N610" s="1" t="str">
        <f>IF(AND(H610="Yes",ISNUMBER(M610),M610&lt;=1),COUNTIFS($H$511:$H$1010,"Yes",$M$511:$M$1010,"&lt;"&amp;M610)+COUNTIFS($H$511:H610,"Yes",$M$511:M610,M610),"")</f>
        <v/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:40" ht="22" customHeight="1">
      <c r="A611" s="1" t="s">
        <v>2504</v>
      </c>
      <c r="B611" s="1" t="s">
        <v>2505</v>
      </c>
      <c r="C611" s="1" t="s">
        <v>2506</v>
      </c>
      <c r="D611" s="1" t="s">
        <v>2215</v>
      </c>
      <c r="E611" s="1" t="s">
        <v>28</v>
      </c>
      <c r="F611" s="1">
        <v>39.955847739736953</v>
      </c>
      <c r="G611" s="1">
        <v>-75.15564685016983</v>
      </c>
      <c r="H611" s="1" t="s">
        <v>88</v>
      </c>
      <c r="I611" s="1"/>
      <c r="J611" s="1"/>
      <c r="K611" s="1"/>
      <c r="L611" s="1" t="s">
        <v>2216</v>
      </c>
      <c r="M611" s="1">
        <f>IF(OR(NOT(ISNUMBER('School Profile'!$K$4)),NOT(ISNUMBER('School Profile'!$K$5)),NOT(ISNUMBER(F611)),NOT(ISNUMBER(G611))),"",3958.7613*2*ASIN(MIN(1,SQRT(SIN(RADIANS(F611-'School Profile'!$K$4)/2)^2+COS(RADIANS('School Profile'!$K$4))*COS(RADIANS(F611))*SIN(RADIANS(G611-'School Profile'!$K$5)/2)^2))))</f>
        <v>4.7840310922681013</v>
      </c>
      <c r="N611" s="1" t="str">
        <f>IF(AND(H611="Yes",ISNUMBER(M611),M611&lt;=1),COUNTIFS($H$511:$H$1010,"Yes",$M$511:$M$1010,"&lt;"&amp;M611)+COUNTIFS($H$511:H611,"Yes",$M$511:M611,M611),"")</f>
        <v/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:40" ht="22" customHeight="1">
      <c r="A612" s="1" t="s">
        <v>2507</v>
      </c>
      <c r="B612" s="1" t="s">
        <v>2508</v>
      </c>
      <c r="C612" s="1" t="s">
        <v>2509</v>
      </c>
      <c r="D612" s="1" t="s">
        <v>2189</v>
      </c>
      <c r="E612" s="1" t="s">
        <v>28</v>
      </c>
      <c r="F612" s="1">
        <v>39.991465386325508</v>
      </c>
      <c r="G612" s="1">
        <v>-75.226492626985717</v>
      </c>
      <c r="H612" s="1" t="s">
        <v>436</v>
      </c>
      <c r="I612" s="1"/>
      <c r="J612" s="1"/>
      <c r="K612" s="1"/>
      <c r="L612" s="1" t="s">
        <v>2203</v>
      </c>
      <c r="M612" s="1">
        <f>IF(OR(NOT(ISNUMBER('School Profile'!$K$4)),NOT(ISNUMBER('School Profile'!$K$5)),NOT(ISNUMBER(F612)),NOT(ISNUMBER(G612))),"",3958.7613*2*ASIN(MIN(1,SQRT(SIN(RADIANS(F612-'School Profile'!$K$4)/2)^2+COS(RADIANS('School Profile'!$K$4))*COS(RADIANS(F612))*SIN(RADIANS(G612-'School Profile'!$K$5)/2)^2))))</f>
        <v>4.8508952511098036</v>
      </c>
      <c r="N612" s="1" t="str">
        <f>IF(AND(H612="Yes",ISNUMBER(M612),M612&lt;=1),COUNTIFS($H$511:$H$1010,"Yes",$M$511:$M$1010,"&lt;"&amp;M612)+COUNTIFS($H$511:H612,"Yes",$M$511:M612,M612),"")</f>
        <v/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:40" ht="22" customHeight="1">
      <c r="A613" s="1" t="s">
        <v>2510</v>
      </c>
      <c r="B613" s="1" t="s">
        <v>2511</v>
      </c>
      <c r="C613" s="1" t="s">
        <v>2512</v>
      </c>
      <c r="D613" s="1" t="s">
        <v>2189</v>
      </c>
      <c r="E613" s="1" t="s">
        <v>28</v>
      </c>
      <c r="F613" s="1">
        <v>39.976281999718559</v>
      </c>
      <c r="G613" s="1">
        <v>-75.174260000348966</v>
      </c>
      <c r="H613" s="1" t="s">
        <v>436</v>
      </c>
      <c r="I613" s="1"/>
      <c r="J613" s="1"/>
      <c r="K613" s="1"/>
      <c r="L613" s="1" t="s">
        <v>2203</v>
      </c>
      <c r="M613" s="1">
        <f>IF(OR(NOT(ISNUMBER('School Profile'!$K$4)),NOT(ISNUMBER('School Profile'!$K$5)),NOT(ISNUMBER(F613)),NOT(ISNUMBER(G613))),"",3958.7613*2*ASIN(MIN(1,SQRT(SIN(RADIANS(F613-'School Profile'!$K$4)/2)^2+COS(RADIANS('School Profile'!$K$4))*COS(RADIANS(F613))*SIN(RADIANS(G613-'School Profile'!$K$5)/2)^2))))</f>
        <v>4.9355604255802232</v>
      </c>
      <c r="N613" s="1" t="str">
        <f>IF(AND(H613="Yes",ISNUMBER(M613),M613&lt;=1),COUNTIFS($H$511:$H$1010,"Yes",$M$511:$M$1010,"&lt;"&amp;M613)+COUNTIFS($H$511:H613,"Yes",$M$511:M613,M613),"")</f>
        <v/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:40" ht="22" customHeight="1">
      <c r="A614" s="1" t="s">
        <v>2513</v>
      </c>
      <c r="B614" s="1" t="s">
        <v>2514</v>
      </c>
      <c r="C614" s="1" t="s">
        <v>2515</v>
      </c>
      <c r="D614" s="1" t="s">
        <v>2189</v>
      </c>
      <c r="E614" s="1" t="s">
        <v>28</v>
      </c>
      <c r="F614" s="1">
        <v>39.987621799868677</v>
      </c>
      <c r="G614" s="1">
        <v>-75.150302200317768</v>
      </c>
      <c r="H614" s="1" t="s">
        <v>436</v>
      </c>
      <c r="I614" s="1"/>
      <c r="J614" s="1"/>
      <c r="K614" s="1"/>
      <c r="L614" s="1" t="s">
        <v>2203</v>
      </c>
      <c r="M614" s="1">
        <f>IF(OR(NOT(ISNUMBER('School Profile'!$K$4)),NOT(ISNUMBER('School Profile'!$K$5)),NOT(ISNUMBER(F614)),NOT(ISNUMBER(G614))),"",3958.7613*2*ASIN(MIN(1,SQRT(SIN(RADIANS(F614-'School Profile'!$K$4)/2)^2+COS(RADIANS('School Profile'!$K$4))*COS(RADIANS(F614))*SIN(RADIANS(G614-'School Profile'!$K$5)/2)^2))))</f>
        <v>6.3679522914487814</v>
      </c>
      <c r="N614" s="1" t="str">
        <f>IF(AND(H614="Yes",ISNUMBER(M614),M614&lt;=1),COUNTIFS($H$511:$H$1010,"Yes",$M$511:$M$1010,"&lt;"&amp;M614)+COUNTIFS($H$511:H614,"Yes",$M$511:M614,M614),"")</f>
        <v/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:40" ht="22" customHeight="1">
      <c r="A615" s="1" t="s">
        <v>2516</v>
      </c>
      <c r="B615" s="1" t="s">
        <v>2517</v>
      </c>
      <c r="C615" s="1" t="s">
        <v>2518</v>
      </c>
      <c r="D615" s="1" t="s">
        <v>2189</v>
      </c>
      <c r="E615" s="1" t="s">
        <v>28</v>
      </c>
      <c r="F615" s="1">
        <v>39.988160924269494</v>
      </c>
      <c r="G615" s="1">
        <v>-75.155735290207872</v>
      </c>
      <c r="H615" s="1" t="s">
        <v>436</v>
      </c>
      <c r="I615" s="1"/>
      <c r="J615" s="1"/>
      <c r="K615" s="1"/>
      <c r="L615" s="1" t="s">
        <v>2203</v>
      </c>
      <c r="M615" s="1">
        <f>IF(OR(NOT(ISNUMBER('School Profile'!$K$4)),NOT(ISNUMBER('School Profile'!$K$5)),NOT(ISNUMBER(F615)),NOT(ISNUMBER(G615))),"",3958.7613*2*ASIN(MIN(1,SQRT(SIN(RADIANS(F615-'School Profile'!$K$4)/2)^2+COS(RADIANS('School Profile'!$K$4))*COS(RADIANS(F615))*SIN(RADIANS(G615-'School Profile'!$K$5)/2)^2))))</f>
        <v>6.1985739979399899</v>
      </c>
      <c r="N615" s="1" t="str">
        <f>IF(AND(H615="Yes",ISNUMBER(M615),M615&lt;=1),COUNTIFS($H$511:$H$1010,"Yes",$M$511:$M$1010,"&lt;"&amp;M615)+COUNTIFS($H$511:H615,"Yes",$M$511:M615,M615),"")</f>
        <v/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:40" ht="22" customHeight="1">
      <c r="A616" s="1" t="s">
        <v>2519</v>
      </c>
      <c r="B616" s="1" t="s">
        <v>2520</v>
      </c>
      <c r="C616" s="1" t="s">
        <v>2521</v>
      </c>
      <c r="D616" s="1" t="s">
        <v>2256</v>
      </c>
      <c r="E616" s="1" t="s">
        <v>28</v>
      </c>
      <c r="F616" s="1">
        <v>39.991460280306647</v>
      </c>
      <c r="G616" s="1">
        <v>-75.098150120222641</v>
      </c>
      <c r="H616" s="1" t="s">
        <v>88</v>
      </c>
      <c r="I616" s="1"/>
      <c r="J616" s="1"/>
      <c r="K616" s="1"/>
      <c r="L616" s="1" t="s">
        <v>2257</v>
      </c>
      <c r="M616" s="1">
        <f>IF(OR(NOT(ISNUMBER('School Profile'!$K$4)),NOT(ISNUMBER('School Profile'!$K$5)),NOT(ISNUMBER(F616)),NOT(ISNUMBER(G616))),"",3958.7613*2*ASIN(MIN(1,SQRT(SIN(RADIANS(F616-'School Profile'!$K$4)/2)^2+COS(RADIANS('School Profile'!$K$4))*COS(RADIANS(F616))*SIN(RADIANS(G616-'School Profile'!$K$5)/2)^2))))</f>
        <v>8.6704497546133776</v>
      </c>
      <c r="N616" s="1" t="str">
        <f>IF(AND(H616="Yes",ISNUMBER(M616),M616&lt;=1),COUNTIFS($H$511:$H$1010,"Yes",$M$511:$M$1010,"&lt;"&amp;M616)+COUNTIFS($H$511:H616,"Yes",$M$511:M616,M616),"")</f>
        <v/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:40" ht="22" customHeight="1">
      <c r="A617" s="1" t="s">
        <v>2522</v>
      </c>
      <c r="B617" s="1" t="s">
        <v>2523</v>
      </c>
      <c r="C617" s="1" t="s">
        <v>2524</v>
      </c>
      <c r="D617" s="1" t="s">
        <v>2215</v>
      </c>
      <c r="E617" s="1" t="s">
        <v>28</v>
      </c>
      <c r="F617" s="1">
        <v>39.919823470133124</v>
      </c>
      <c r="G617" s="1">
        <v>-75.172221849631754</v>
      </c>
      <c r="H617" s="1" t="s">
        <v>88</v>
      </c>
      <c r="I617" s="1"/>
      <c r="J617" s="1"/>
      <c r="K617" s="1"/>
      <c r="L617" s="1" t="s">
        <v>2216</v>
      </c>
      <c r="M617" s="1">
        <f>IF(OR(NOT(ISNUMBER('School Profile'!$K$4)),NOT(ISNUMBER('School Profile'!$K$5)),NOT(ISNUMBER(F617)),NOT(ISNUMBER(G617))),"",3958.7613*2*ASIN(MIN(1,SQRT(SIN(RADIANS(F617-'School Profile'!$K$4)/2)^2+COS(RADIANS('School Profile'!$K$4))*COS(RADIANS(F617))*SIN(RADIANS(G617-'School Profile'!$K$5)/2)^2))))</f>
        <v>3.2786168208857864</v>
      </c>
      <c r="N617" s="1" t="str">
        <f>IF(AND(H617="Yes",ISNUMBER(M617),M617&lt;=1),COUNTIFS($H$511:$H$1010,"Yes",$M$511:$M$1010,"&lt;"&amp;M617)+COUNTIFS($H$511:H617,"Yes",$M$511:M617,M617),"")</f>
        <v/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:40" ht="22" customHeight="1">
      <c r="A618" s="1" t="s">
        <v>2525</v>
      </c>
      <c r="B618" s="1" t="s">
        <v>2526</v>
      </c>
      <c r="C618" s="1" t="s">
        <v>2527</v>
      </c>
      <c r="D618" s="1" t="s">
        <v>2189</v>
      </c>
      <c r="E618" s="1" t="s">
        <v>28</v>
      </c>
      <c r="F618" s="1">
        <v>39.986943101734212</v>
      </c>
      <c r="G618" s="1">
        <v>-75.130827060029659</v>
      </c>
      <c r="H618" s="1" t="s">
        <v>436</v>
      </c>
      <c r="I618" s="1"/>
      <c r="J618" s="1"/>
      <c r="K618" s="1"/>
      <c r="L618" s="1" t="s">
        <v>2203</v>
      </c>
      <c r="M618" s="1">
        <f>IF(OR(NOT(ISNUMBER('School Profile'!$K$4)),NOT(ISNUMBER('School Profile'!$K$5)),NOT(ISNUMBER(F618)),NOT(ISNUMBER(G618))),"",3958.7613*2*ASIN(MIN(1,SQRT(SIN(RADIANS(F618-'School Profile'!$K$4)/2)^2+COS(RADIANS('School Profile'!$K$4))*COS(RADIANS(F618))*SIN(RADIANS(G618-'School Profile'!$K$5)/2)^2))))</f>
        <v>7.0950571036316541</v>
      </c>
      <c r="N618" s="1" t="str">
        <f>IF(AND(H618="Yes",ISNUMBER(M618),M618&lt;=1),COUNTIFS($H$511:$H$1010,"Yes",$M$511:$M$1010,"&lt;"&amp;M618)+COUNTIFS($H$511:H618,"Yes",$M$511:M618,M618),"")</f>
        <v/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:40" ht="22" customHeight="1">
      <c r="A619" s="1" t="s">
        <v>2528</v>
      </c>
      <c r="B619" s="1" t="s">
        <v>2529</v>
      </c>
      <c r="C619" s="1" t="s">
        <v>2530</v>
      </c>
      <c r="D619" s="1" t="s">
        <v>2207</v>
      </c>
      <c r="E619" s="1" t="s">
        <v>28</v>
      </c>
      <c r="F619" s="1">
        <v>39.986876180139674</v>
      </c>
      <c r="G619" s="1">
        <v>-75.130579830188736</v>
      </c>
      <c r="H619" s="1" t="s">
        <v>88</v>
      </c>
      <c r="I619" s="1"/>
      <c r="J619" s="1"/>
      <c r="K619" s="1"/>
      <c r="L619" s="1" t="s">
        <v>2208</v>
      </c>
      <c r="M619" s="1">
        <f>IF(OR(NOT(ISNUMBER('School Profile'!$K$4)),NOT(ISNUMBER('School Profile'!$K$5)),NOT(ISNUMBER(F619)),NOT(ISNUMBER(G619))),"",3958.7613*2*ASIN(MIN(1,SQRT(SIN(RADIANS(F619-'School Profile'!$K$4)/2)^2+COS(RADIANS('School Profile'!$K$4))*COS(RADIANS(F619))*SIN(RADIANS(G619-'School Profile'!$K$5)/2)^2))))</f>
        <v>7.1022126461399511</v>
      </c>
      <c r="N619" s="1" t="str">
        <f>IF(AND(H619="Yes",ISNUMBER(M619),M619&lt;=1),COUNTIFS($H$511:$H$1010,"Yes",$M$511:$M$1010,"&lt;"&amp;M619)+COUNTIFS($H$511:H619,"Yes",$M$511:M619,M619),"")</f>
        <v/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:40" ht="22" customHeight="1">
      <c r="A620" s="1" t="s">
        <v>2531</v>
      </c>
      <c r="B620" s="1" t="s">
        <v>2532</v>
      </c>
      <c r="C620" s="1" t="s">
        <v>2533</v>
      </c>
      <c r="D620" s="1" t="s">
        <v>2189</v>
      </c>
      <c r="E620" s="1" t="s">
        <v>28</v>
      </c>
      <c r="F620" s="1">
        <v>39.99338217013527</v>
      </c>
      <c r="G620" s="1">
        <v>-75.179194619579476</v>
      </c>
      <c r="H620" s="1" t="s">
        <v>436</v>
      </c>
      <c r="I620" s="1"/>
      <c r="J620" s="1"/>
      <c r="K620" s="1"/>
      <c r="L620" s="1" t="s">
        <v>2192</v>
      </c>
      <c r="M620" s="1">
        <f>IF(OR(NOT(ISNUMBER('School Profile'!$K$4)),NOT(ISNUMBER('School Profile'!$K$5)),NOT(ISNUMBER(F620)),NOT(ISNUMBER(G620))),"",3958.7613*2*ASIN(MIN(1,SQRT(SIN(RADIANS(F620-'School Profile'!$K$4)/2)^2+COS(RADIANS('School Profile'!$K$4))*COS(RADIANS(F620))*SIN(RADIANS(G620-'School Profile'!$K$5)/2)^2))))</f>
        <v>5.754202987103433</v>
      </c>
      <c r="N620" s="1" t="str">
        <f>IF(AND(H620="Yes",ISNUMBER(M620),M620&lt;=1),COUNTIFS($H$511:$H$1010,"Yes",$M$511:$M$1010,"&lt;"&amp;M620)+COUNTIFS($H$511:H620,"Yes",$M$511:M620,M620),"")</f>
        <v/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:40" ht="22" customHeight="1">
      <c r="A621" s="1" t="s">
        <v>2534</v>
      </c>
      <c r="B621" s="1" t="s">
        <v>2535</v>
      </c>
      <c r="C621" s="1" t="s">
        <v>2536</v>
      </c>
      <c r="D621" s="1" t="s">
        <v>2189</v>
      </c>
      <c r="E621" s="1" t="s">
        <v>28</v>
      </c>
      <c r="F621" s="1">
        <v>39.917356117144472</v>
      </c>
      <c r="G621" s="1">
        <v>-75.152446170778816</v>
      </c>
      <c r="H621" s="1" t="s">
        <v>436</v>
      </c>
      <c r="I621" s="1"/>
      <c r="J621" s="1"/>
      <c r="K621" s="1"/>
      <c r="L621" s="1" t="s">
        <v>2192</v>
      </c>
      <c r="M621" s="1">
        <f>IF(OR(NOT(ISNUMBER('School Profile'!$K$4)),NOT(ISNUMBER('School Profile'!$K$5)),NOT(ISNUMBER(F621)),NOT(ISNUMBER(G621))),"",3958.7613*2*ASIN(MIN(1,SQRT(SIN(RADIANS(F621-'School Profile'!$K$4)/2)^2+COS(RADIANS('School Profile'!$K$4))*COS(RADIANS(F621))*SIN(RADIANS(G621-'School Profile'!$K$5)/2)^2))))</f>
        <v>4.3340244782995043</v>
      </c>
      <c r="N621" s="1" t="str">
        <f>IF(AND(H621="Yes",ISNUMBER(M621),M621&lt;=1),COUNTIFS($H$511:$H$1010,"Yes",$M$511:$M$1010,"&lt;"&amp;M621)+COUNTIFS($H$511:H621,"Yes",$M$511:M621,M621),"")</f>
        <v/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:40" ht="22" customHeight="1">
      <c r="A622" s="1" t="s">
        <v>2537</v>
      </c>
      <c r="B622" s="1" t="s">
        <v>2538</v>
      </c>
      <c r="C622" s="1" t="s">
        <v>2539</v>
      </c>
      <c r="D622" s="1" t="s">
        <v>2215</v>
      </c>
      <c r="E622" s="1" t="s">
        <v>28</v>
      </c>
      <c r="F622" s="1">
        <v>39.9256829297587</v>
      </c>
      <c r="G622" s="1">
        <v>-75.189574589805417</v>
      </c>
      <c r="H622" s="1" t="s">
        <v>88</v>
      </c>
      <c r="I622" s="1"/>
      <c r="J622" s="1"/>
      <c r="K622" s="1"/>
      <c r="L622" s="1" t="s">
        <v>2216</v>
      </c>
      <c r="M622" s="1">
        <f>IF(OR(NOT(ISNUMBER('School Profile'!$K$4)),NOT(ISNUMBER('School Profile'!$K$5)),NOT(ISNUMBER(F622)),NOT(ISNUMBER(G622))),"",3958.7613*2*ASIN(MIN(1,SQRT(SIN(RADIANS(F622-'School Profile'!$K$4)/2)^2+COS(RADIANS('School Profile'!$K$4))*COS(RADIANS(F622))*SIN(RADIANS(G622-'School Profile'!$K$5)/2)^2))))</f>
        <v>2.3746280027476421</v>
      </c>
      <c r="N622" s="1" t="str">
        <f>IF(AND(H622="Yes",ISNUMBER(M622),M622&lt;=1),COUNTIFS($H$511:$H$1010,"Yes",$M$511:$M$1010,"&lt;"&amp;M622)+COUNTIFS($H$511:H622,"Yes",$M$511:M622,M622),"")</f>
        <v/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:40" ht="22" customHeight="1">
      <c r="A623" s="1" t="s">
        <v>2540</v>
      </c>
      <c r="B623" s="1" t="s">
        <v>2541</v>
      </c>
      <c r="C623" s="1" t="s">
        <v>2542</v>
      </c>
      <c r="D623" s="1" t="s">
        <v>2189</v>
      </c>
      <c r="E623" s="1" t="s">
        <v>28</v>
      </c>
      <c r="F623" s="1">
        <v>39.994329958284041</v>
      </c>
      <c r="G623" s="1">
        <v>-75.180754074251453</v>
      </c>
      <c r="H623" s="1" t="s">
        <v>436</v>
      </c>
      <c r="I623" s="1"/>
      <c r="J623" s="1"/>
      <c r="K623" s="1"/>
      <c r="L623" s="1" t="s">
        <v>2203</v>
      </c>
      <c r="M623" s="1">
        <f>IF(OR(NOT(ISNUMBER('School Profile'!$K$4)),NOT(ISNUMBER('School Profile'!$K$5)),NOT(ISNUMBER(F623)),NOT(ISNUMBER(G623))),"",3958.7613*2*ASIN(MIN(1,SQRT(SIN(RADIANS(F623-'School Profile'!$K$4)/2)^2+COS(RADIANS('School Profile'!$K$4))*COS(RADIANS(F623))*SIN(RADIANS(G623-'School Profile'!$K$5)/2)^2))))</f>
        <v>5.7699580608012289</v>
      </c>
      <c r="N623" s="1" t="str">
        <f>IF(AND(H623="Yes",ISNUMBER(M623),M623&lt;=1),COUNTIFS($H$511:$H$1010,"Yes",$M$511:$M$1010,"&lt;"&amp;M623)+COUNTIFS($H$511:H623,"Yes",$M$511:M623,M623),"")</f>
        <v/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:40" ht="22" customHeight="1">
      <c r="A624" s="1" t="s">
        <v>2543</v>
      </c>
      <c r="B624" s="1" t="s">
        <v>2544</v>
      </c>
      <c r="C624" s="1" t="s">
        <v>2545</v>
      </c>
      <c r="D624" s="1" t="s">
        <v>2207</v>
      </c>
      <c r="E624" s="1" t="s">
        <v>28</v>
      </c>
      <c r="F624" s="1">
        <v>39.994522975867142</v>
      </c>
      <c r="G624" s="1">
        <v>-75.176078804033367</v>
      </c>
      <c r="H624" s="1" t="s">
        <v>88</v>
      </c>
      <c r="I624" s="1"/>
      <c r="J624" s="1"/>
      <c r="K624" s="1"/>
      <c r="L624" s="1" t="s">
        <v>2208</v>
      </c>
      <c r="M624" s="1">
        <f>IF(OR(NOT(ISNUMBER('School Profile'!$K$4)),NOT(ISNUMBER('School Profile'!$K$5)),NOT(ISNUMBER(F624)),NOT(ISNUMBER(G624))),"",3958.7613*2*ASIN(MIN(1,SQRT(SIN(RADIANS(F624-'School Profile'!$K$4)/2)^2+COS(RADIANS('School Profile'!$K$4))*COS(RADIANS(F624))*SIN(RADIANS(G624-'School Profile'!$K$5)/2)^2))))</f>
        <v>5.9064416262592001</v>
      </c>
      <c r="N624" s="1" t="str">
        <f>IF(AND(H624="Yes",ISNUMBER(M624),M624&lt;=1),COUNTIFS($H$511:$H$1010,"Yes",$M$511:$M$1010,"&lt;"&amp;M624)+COUNTIFS($H$511:H624,"Yes",$M$511:M624,M624),"")</f>
        <v/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:40" ht="22" customHeight="1">
      <c r="A625" s="1" t="s">
        <v>2546</v>
      </c>
      <c r="B625" s="1" t="s">
        <v>2547</v>
      </c>
      <c r="C625" s="1" t="s">
        <v>2548</v>
      </c>
      <c r="D625" s="1" t="s">
        <v>2189</v>
      </c>
      <c r="E625" s="1" t="s">
        <v>28</v>
      </c>
      <c r="F625" s="1">
        <v>39.936494779752792</v>
      </c>
      <c r="G625" s="1">
        <v>-75.1869238796926</v>
      </c>
      <c r="H625" s="1" t="s">
        <v>436</v>
      </c>
      <c r="I625" s="1"/>
      <c r="J625" s="1"/>
      <c r="K625" s="1"/>
      <c r="L625" s="1" t="s">
        <v>2192</v>
      </c>
      <c r="M625" s="1">
        <f>IF(OR(NOT(ISNUMBER('School Profile'!$K$4)),NOT(ISNUMBER('School Profile'!$K$5)),NOT(ISNUMBER(F625)),NOT(ISNUMBER(G625))),"",3958.7613*2*ASIN(MIN(1,SQRT(SIN(RADIANS(F625-'School Profile'!$K$4)/2)^2+COS(RADIANS('School Profile'!$K$4))*COS(RADIANS(F625))*SIN(RADIANS(G625-'School Profile'!$K$5)/2)^2))))</f>
        <v>2.7036673234187196</v>
      </c>
      <c r="N625" s="1" t="str">
        <f>IF(AND(H625="Yes",ISNUMBER(M625),M625&lt;=1),COUNTIFS($H$511:$H$1010,"Yes",$M$511:$M$1010,"&lt;"&amp;M625)+COUNTIFS($H$511:H625,"Yes",$M$511:M625,M625),"")</f>
        <v/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:40" ht="22" customHeight="1">
      <c r="A626" s="1" t="s">
        <v>2549</v>
      </c>
      <c r="B626" s="1" t="s">
        <v>2550</v>
      </c>
      <c r="C626" s="1" t="s">
        <v>2551</v>
      </c>
      <c r="D626" s="1" t="s">
        <v>2189</v>
      </c>
      <c r="E626" s="1" t="s">
        <v>28</v>
      </c>
      <c r="F626" s="1">
        <v>39.996450503839021</v>
      </c>
      <c r="G626" s="1">
        <v>-75.173562289647577</v>
      </c>
      <c r="H626" s="1" t="s">
        <v>436</v>
      </c>
      <c r="I626" s="1"/>
      <c r="J626" s="1"/>
      <c r="K626" s="1"/>
      <c r="L626" s="1" t="s">
        <v>2192</v>
      </c>
      <c r="M626" s="1">
        <f>IF(OR(NOT(ISNUMBER('School Profile'!$K$4)),NOT(ISNUMBER('School Profile'!$K$5)),NOT(ISNUMBER(F626)),NOT(ISNUMBER(G626))),"",3958.7613*2*ASIN(MIN(1,SQRT(SIN(RADIANS(F626-'School Profile'!$K$4)/2)^2+COS(RADIANS('School Profile'!$K$4))*COS(RADIANS(F626))*SIN(RADIANS(G626-'School Profile'!$K$5)/2)^2))))</f>
        <v>6.0896356956048994</v>
      </c>
      <c r="N626" s="1" t="str">
        <f>IF(AND(H626="Yes",ISNUMBER(M626),M626&lt;=1),COUNTIFS($H$511:$H$1010,"Yes",$M$511:$M$1010,"&lt;"&amp;M626)+COUNTIFS($H$511:H626,"Yes",$M$511:M626,M626),"")</f>
        <v/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:40" ht="22" customHeight="1">
      <c r="A627" s="1" t="s">
        <v>2552</v>
      </c>
      <c r="B627" s="1" t="s">
        <v>2553</v>
      </c>
      <c r="C627" s="1" t="s">
        <v>2554</v>
      </c>
      <c r="D627" s="1" t="s">
        <v>2189</v>
      </c>
      <c r="E627" s="1" t="s">
        <v>28</v>
      </c>
      <c r="F627" s="1">
        <v>39.935310279699763</v>
      </c>
      <c r="G627" s="1">
        <v>-75.186802035800724</v>
      </c>
      <c r="H627" s="1" t="s">
        <v>436</v>
      </c>
      <c r="I627" s="1"/>
      <c r="J627" s="1"/>
      <c r="K627" s="1"/>
      <c r="L627" s="1" t="s">
        <v>2241</v>
      </c>
      <c r="M627" s="1">
        <f>IF(OR(NOT(ISNUMBER('School Profile'!$K$4)),NOT(ISNUMBER('School Profile'!$K$5)),NOT(ISNUMBER(F627)),NOT(ISNUMBER(G627))),"",3958.7613*2*ASIN(MIN(1,SQRT(SIN(RADIANS(F627-'School Profile'!$K$4)/2)^2+COS(RADIANS('School Profile'!$K$4))*COS(RADIANS(F627))*SIN(RADIANS(G627-'School Profile'!$K$5)/2)^2))))</f>
        <v>2.67942092576209</v>
      </c>
      <c r="N627" s="1" t="str">
        <f>IF(AND(H627="Yes",ISNUMBER(M627),M627&lt;=1),COUNTIFS($H$511:$H$1010,"Yes",$M$511:$M$1010,"&lt;"&amp;M627)+COUNTIFS($H$511:H627,"Yes",$M$511:M627,M627),"")</f>
        <v/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:40" ht="22" customHeight="1">
      <c r="A628" s="1" t="s">
        <v>2555</v>
      </c>
      <c r="B628" s="1" t="s">
        <v>2556</v>
      </c>
      <c r="C628" s="1" t="s">
        <v>2557</v>
      </c>
      <c r="D628" s="1" t="s">
        <v>2189</v>
      </c>
      <c r="E628" s="1" t="s">
        <v>28</v>
      </c>
      <c r="F628" s="1">
        <v>39.954810463188103</v>
      </c>
      <c r="G628" s="1">
        <v>-75.224016249326823</v>
      </c>
      <c r="H628" s="1" t="s">
        <v>436</v>
      </c>
      <c r="I628" s="1"/>
      <c r="J628" s="1"/>
      <c r="K628" s="1"/>
      <c r="L628" s="1" t="s">
        <v>2203</v>
      </c>
      <c r="M628" s="1">
        <f>IF(OR(NOT(ISNUMBER('School Profile'!$K$4)),NOT(ISNUMBER('School Profile'!$K$5)),NOT(ISNUMBER(F628)),NOT(ISNUMBER(G628))),"",3958.7613*2*ASIN(MIN(1,SQRT(SIN(RADIANS(F628-'School Profile'!$K$4)/2)^2+COS(RADIANS('School Profile'!$K$4))*COS(RADIANS(F628))*SIN(RADIANS(G628-'School Profile'!$K$5)/2)^2))))</f>
        <v>2.3623631898965343</v>
      </c>
      <c r="N628" s="1" t="str">
        <f>IF(AND(H628="Yes",ISNUMBER(M628),M628&lt;=1),COUNTIFS($H$511:$H$1010,"Yes",$M$511:$M$1010,"&lt;"&amp;M628)+COUNTIFS($H$511:H628,"Yes",$M$511:M628,M628),"")</f>
        <v/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:40" ht="22" customHeight="1">
      <c r="A629" s="1" t="s">
        <v>2558</v>
      </c>
      <c r="B629" s="1" t="s">
        <v>2559</v>
      </c>
      <c r="C629" s="1" t="s">
        <v>2560</v>
      </c>
      <c r="D629" s="1" t="s">
        <v>2189</v>
      </c>
      <c r="E629" s="1" t="s">
        <v>28</v>
      </c>
      <c r="F629" s="1">
        <v>39.989749589704999</v>
      </c>
      <c r="G629" s="1">
        <v>-75.126219789583615</v>
      </c>
      <c r="H629" s="1" t="s">
        <v>436</v>
      </c>
      <c r="I629" s="1"/>
      <c r="J629" s="1"/>
      <c r="K629" s="1"/>
      <c r="L629" s="1" t="s">
        <v>2298</v>
      </c>
      <c r="M629" s="1">
        <f>IF(OR(NOT(ISNUMBER('School Profile'!$K$4)),NOT(ISNUMBER('School Profile'!$K$5)),NOT(ISNUMBER(F629)),NOT(ISNUMBER(G629))),"",3958.7613*2*ASIN(MIN(1,SQRT(SIN(RADIANS(F629-'School Profile'!$K$4)/2)^2+COS(RADIANS('School Profile'!$K$4))*COS(RADIANS(F629))*SIN(RADIANS(G629-'School Profile'!$K$5)/2)^2))))</f>
        <v>7.4065932650011321</v>
      </c>
      <c r="N629" s="1" t="str">
        <f>IF(AND(H629="Yes",ISNUMBER(M629),M629&lt;=1),COUNTIFS($H$511:$H$1010,"Yes",$M$511:$M$1010,"&lt;"&amp;M629)+COUNTIFS($H$511:H629,"Yes",$M$511:M629,M629),"")</f>
        <v/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:40" ht="22" customHeight="1">
      <c r="A630" s="1" t="s">
        <v>2561</v>
      </c>
      <c r="B630" s="1" t="s">
        <v>2562</v>
      </c>
      <c r="C630" s="1" t="s">
        <v>2563</v>
      </c>
      <c r="D630" s="1" t="s">
        <v>2189</v>
      </c>
      <c r="E630" s="1" t="s">
        <v>28</v>
      </c>
      <c r="F630" s="1">
        <v>39.933396000051886</v>
      </c>
      <c r="G630" s="1">
        <v>-75.18983849956453</v>
      </c>
      <c r="H630" s="1" t="s">
        <v>436</v>
      </c>
      <c r="I630" s="1"/>
      <c r="J630" s="1"/>
      <c r="K630" s="1"/>
      <c r="L630" s="1" t="s">
        <v>2192</v>
      </c>
      <c r="M630" s="1">
        <f>IF(OR(NOT(ISNUMBER('School Profile'!$K$4)),NOT(ISNUMBER('School Profile'!$K$5)),NOT(ISNUMBER(F630)),NOT(ISNUMBER(G630))),"",3958.7613*2*ASIN(MIN(1,SQRT(SIN(RADIANS(F630-'School Profile'!$K$4)/2)^2+COS(RADIANS('School Profile'!$K$4))*COS(RADIANS(F630))*SIN(RADIANS(G630-'School Profile'!$K$5)/2)^2))))</f>
        <v>2.4828932453286003</v>
      </c>
      <c r="N630" s="1" t="str">
        <f>IF(AND(H630="Yes",ISNUMBER(M630),M630&lt;=1),COUNTIFS($H$511:$H$1010,"Yes",$M$511:$M$1010,"&lt;"&amp;M630)+COUNTIFS($H$511:H630,"Yes",$M$511:M630,M630),"")</f>
        <v/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:40" ht="22" customHeight="1">
      <c r="A631" s="1" t="s">
        <v>2564</v>
      </c>
      <c r="B631" s="1" t="s">
        <v>2565</v>
      </c>
      <c r="C631" s="1" t="s">
        <v>2566</v>
      </c>
      <c r="D631" s="1" t="s">
        <v>2189</v>
      </c>
      <c r="E631" s="1" t="s">
        <v>28</v>
      </c>
      <c r="F631" s="1">
        <v>40.002496519874711</v>
      </c>
      <c r="G631" s="1">
        <v>-75.068834555834542</v>
      </c>
      <c r="H631" s="1" t="s">
        <v>436</v>
      </c>
      <c r="I631" s="1"/>
      <c r="J631" s="1"/>
      <c r="K631" s="1" t="s">
        <v>2567</v>
      </c>
      <c r="L631" s="1" t="s">
        <v>2203</v>
      </c>
      <c r="M631" s="1">
        <f>IF(OR(NOT(ISNUMBER('School Profile'!$K$4)),NOT(ISNUMBER('School Profile'!$K$5)),NOT(ISNUMBER(F631)),NOT(ISNUMBER(G631))),"",3958.7613*2*ASIN(MIN(1,SQRT(SIN(RADIANS(F631-'School Profile'!$K$4)/2)^2+COS(RADIANS('School Profile'!$K$4))*COS(RADIANS(F631))*SIN(RADIANS(G631-'School Profile'!$K$5)/2)^2))))</f>
        <v>10.386513433253983</v>
      </c>
      <c r="N631" s="1" t="str">
        <f>IF(AND(H631="Yes",ISNUMBER(M631),M631&lt;=1),COUNTIFS($H$511:$H$1010,"Yes",$M$511:$M$1010,"&lt;"&amp;M631)+COUNTIFS($H$511:H631,"Yes",$M$511:M631,M631),"")</f>
        <v/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:40" ht="22" customHeight="1">
      <c r="A632" s="1" t="s">
        <v>2568</v>
      </c>
      <c r="B632" s="1" t="s">
        <v>2569</v>
      </c>
      <c r="C632" s="1" t="s">
        <v>2570</v>
      </c>
      <c r="D632" s="1" t="s">
        <v>2207</v>
      </c>
      <c r="E632" s="1" t="s">
        <v>28</v>
      </c>
      <c r="F632" s="1">
        <v>39.991175880852431</v>
      </c>
      <c r="G632" s="1">
        <v>-75.123121601678321</v>
      </c>
      <c r="H632" s="1" t="s">
        <v>88</v>
      </c>
      <c r="I632" s="1"/>
      <c r="J632" s="1"/>
      <c r="K632" s="1"/>
      <c r="L632" s="1" t="s">
        <v>2208</v>
      </c>
      <c r="M632" s="1">
        <f>IF(OR(NOT(ISNUMBER('School Profile'!$K$4)),NOT(ISNUMBER('School Profile'!$K$5)),NOT(ISNUMBER(F632)),NOT(ISNUMBER(G632))),"",3958.7613*2*ASIN(MIN(1,SQRT(SIN(RADIANS(F632-'School Profile'!$K$4)/2)^2+COS(RADIANS('School Profile'!$K$4))*COS(RADIANS(F632))*SIN(RADIANS(G632-'School Profile'!$K$5)/2)^2))))</f>
        <v>7.5958754943180642</v>
      </c>
      <c r="N632" s="1" t="str">
        <f>IF(AND(H632="Yes",ISNUMBER(M632),M632&lt;=1),COUNTIFS($H$511:$H$1010,"Yes",$M$511:$M$1010,"&lt;"&amp;M632)+COUNTIFS($H$511:H632,"Yes",$M$511:M632,M632),"")</f>
        <v/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:40" ht="22" customHeight="1">
      <c r="A633" s="1" t="s">
        <v>2571</v>
      </c>
      <c r="B633" s="1" t="s">
        <v>2572</v>
      </c>
      <c r="C633" s="1" t="s">
        <v>2573</v>
      </c>
      <c r="D633" s="1" t="s">
        <v>2189</v>
      </c>
      <c r="E633" s="1" t="s">
        <v>28</v>
      </c>
      <c r="F633" s="1">
        <v>39.984339989913749</v>
      </c>
      <c r="G633" s="1">
        <v>-75.180590519784303</v>
      </c>
      <c r="H633" s="1" t="s">
        <v>436</v>
      </c>
      <c r="I633" s="1"/>
      <c r="J633" s="1"/>
      <c r="K633" s="1"/>
      <c r="L633" s="1" t="s">
        <v>2203</v>
      </c>
      <c r="M633" s="1">
        <f>IF(OR(NOT(ISNUMBER('School Profile'!$K$4)),NOT(ISNUMBER('School Profile'!$K$5)),NOT(ISNUMBER(F633)),NOT(ISNUMBER(G633))),"",3958.7613*2*ASIN(MIN(1,SQRT(SIN(RADIANS(F633-'School Profile'!$K$4)/2)^2+COS(RADIANS('School Profile'!$K$4))*COS(RADIANS(F633))*SIN(RADIANS(G633-'School Profile'!$K$5)/2)^2))))</f>
        <v>5.1838273118526477</v>
      </c>
      <c r="N633" s="1" t="str">
        <f>IF(AND(H633="Yes",ISNUMBER(M633),M633&lt;=1),COUNTIFS($H$511:$H$1010,"Yes",$M$511:$M$1010,"&lt;"&amp;M633)+COUNTIFS($H$511:H633,"Yes",$M$511:M633,M633),"")</f>
        <v/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:40" ht="22" customHeight="1">
      <c r="A634" s="1" t="s">
        <v>2574</v>
      </c>
      <c r="B634" s="1" t="s">
        <v>2575</v>
      </c>
      <c r="C634" s="1" t="s">
        <v>2576</v>
      </c>
      <c r="D634" s="1" t="s">
        <v>2189</v>
      </c>
      <c r="E634" s="1" t="s">
        <v>28</v>
      </c>
      <c r="F634" s="1">
        <v>39.997980082236339</v>
      </c>
      <c r="G634" s="1">
        <v>-75.167138741579706</v>
      </c>
      <c r="H634" s="1" t="s">
        <v>436</v>
      </c>
      <c r="I634" s="1"/>
      <c r="J634" s="1"/>
      <c r="K634" s="1"/>
      <c r="L634" s="1" t="s">
        <v>2192</v>
      </c>
      <c r="M634" s="1">
        <f>IF(OR(NOT(ISNUMBER('School Profile'!$K$4)),NOT(ISNUMBER('School Profile'!$K$5)),NOT(ISNUMBER(F634)),NOT(ISNUMBER(G634))),"",3958.7613*2*ASIN(MIN(1,SQRT(SIN(RADIANS(F634-'School Profile'!$K$4)/2)^2+COS(RADIANS('School Profile'!$K$4))*COS(RADIANS(F634))*SIN(RADIANS(G634-'School Profile'!$K$5)/2)^2))))</f>
        <v>6.3627587008486612</v>
      </c>
      <c r="N634" s="1" t="str">
        <f>IF(AND(H634="Yes",ISNUMBER(M634),M634&lt;=1),COUNTIFS($H$511:$H$1010,"Yes",$M$511:$M$1010,"&lt;"&amp;M634)+COUNTIFS($H$511:H634,"Yes",$M$511:M634,M634),"")</f>
        <v/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:40" ht="22" customHeight="1">
      <c r="A635" s="1" t="s">
        <v>2577</v>
      </c>
      <c r="B635" s="1" t="s">
        <v>2578</v>
      </c>
      <c r="C635" s="1" t="s">
        <v>2579</v>
      </c>
      <c r="D635" s="1" t="s">
        <v>2189</v>
      </c>
      <c r="E635" s="1" t="s">
        <v>28</v>
      </c>
      <c r="F635" s="1">
        <v>39.995901740001372</v>
      </c>
      <c r="G635" s="1">
        <v>-75.14683637957738</v>
      </c>
      <c r="H635" s="1" t="s">
        <v>436</v>
      </c>
      <c r="I635" s="1"/>
      <c r="J635" s="1"/>
      <c r="K635" s="1"/>
      <c r="L635" s="1" t="s">
        <v>2203</v>
      </c>
      <c r="M635" s="1">
        <f>IF(OR(NOT(ISNUMBER('School Profile'!$K$4)),NOT(ISNUMBER('School Profile'!$K$5)),NOT(ISNUMBER(F635)),NOT(ISNUMBER(G635))),"",3958.7613*2*ASIN(MIN(1,SQRT(SIN(RADIANS(F635-'School Profile'!$K$4)/2)^2+COS(RADIANS('School Profile'!$K$4))*COS(RADIANS(F635))*SIN(RADIANS(G635-'School Profile'!$K$5)/2)^2))))</f>
        <v>6.9112393791659574</v>
      </c>
      <c r="N635" s="1" t="str">
        <f>IF(AND(H635="Yes",ISNUMBER(M635),M635&lt;=1),COUNTIFS($H$511:$H$1010,"Yes",$M$511:$M$1010,"&lt;"&amp;M635)+COUNTIFS($H$511:H635,"Yes",$M$511:M635,M635),"")</f>
        <v/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:40" ht="22" customHeight="1">
      <c r="A636" s="1" t="s">
        <v>2580</v>
      </c>
      <c r="B636" s="1" t="s">
        <v>2581</v>
      </c>
      <c r="C636" s="1" t="s">
        <v>2582</v>
      </c>
      <c r="D636" s="1" t="s">
        <v>2189</v>
      </c>
      <c r="E636" s="1" t="s">
        <v>28</v>
      </c>
      <c r="F636" s="1">
        <v>40.045240354267335</v>
      </c>
      <c r="G636" s="1">
        <v>-75.182979335957512</v>
      </c>
      <c r="H636" s="1" t="s">
        <v>436</v>
      </c>
      <c r="I636" s="1"/>
      <c r="J636" s="1"/>
      <c r="K636" s="1"/>
      <c r="L636" s="1" t="s">
        <v>2203</v>
      </c>
      <c r="M636" s="1">
        <f>IF(OR(NOT(ISNUMBER('School Profile'!$K$4)),NOT(ISNUMBER('School Profile'!$K$5)),NOT(ISNUMBER(F636)),NOT(ISNUMBER(G636))),"",3958.7613*2*ASIN(MIN(1,SQRT(SIN(RADIANS(F636-'School Profile'!$K$4)/2)^2+COS(RADIANS('School Profile'!$K$4))*COS(RADIANS(F636))*SIN(RADIANS(G636-'School Profile'!$K$5)/2)^2))))</f>
        <v>8.9672421815838952</v>
      </c>
      <c r="N636" s="1" t="str">
        <f>IF(AND(H636="Yes",ISNUMBER(M636),M636&lt;=1),COUNTIFS($H$511:$H$1010,"Yes",$M$511:$M$1010,"&lt;"&amp;M636)+COUNTIFS($H$511:H636,"Yes",$M$511:M636,M636),"")</f>
        <v/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:40" ht="22" customHeight="1">
      <c r="A637" s="1" t="s">
        <v>2583</v>
      </c>
      <c r="B637" s="1" t="s">
        <v>2584</v>
      </c>
      <c r="C637" s="1" t="s">
        <v>2585</v>
      </c>
      <c r="D637" s="1" t="s">
        <v>2189</v>
      </c>
      <c r="E637" s="1" t="s">
        <v>28</v>
      </c>
      <c r="F637" s="1">
        <v>40.005670514256622</v>
      </c>
      <c r="G637" s="1">
        <v>-75.177535989103504</v>
      </c>
      <c r="H637" s="1" t="s">
        <v>436</v>
      </c>
      <c r="I637" s="1"/>
      <c r="J637" s="1"/>
      <c r="K637" s="1"/>
      <c r="L637" s="1"/>
      <c r="M637" s="1">
        <f>IF(OR(NOT(ISNUMBER('School Profile'!$K$4)),NOT(ISNUMBER('School Profile'!$K$5)),NOT(ISNUMBER(F637)),NOT(ISNUMBER(G637))),"",3958.7613*2*ASIN(MIN(1,SQRT(SIN(RADIANS(F637-'School Profile'!$K$4)/2)^2+COS(RADIANS('School Profile'!$K$4))*COS(RADIANS(F637))*SIN(RADIANS(G637-'School Profile'!$K$5)/2)^2))))</f>
        <v>6.5408180334508419</v>
      </c>
      <c r="N637" s="1" t="str">
        <f>IF(AND(H637="Yes",ISNUMBER(M637),M637&lt;=1),COUNTIFS($H$511:$H$1010,"Yes",$M$511:$M$1010,"&lt;"&amp;M637)+COUNTIFS($H$511:H637,"Yes",$M$511:M637,M637),"")</f>
        <v/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:40" ht="22" customHeight="1">
      <c r="A638" s="1" t="s">
        <v>2586</v>
      </c>
      <c r="B638" s="1" t="s">
        <v>2587</v>
      </c>
      <c r="C638" s="1" t="s">
        <v>2588</v>
      </c>
      <c r="D638" s="1" t="s">
        <v>2189</v>
      </c>
      <c r="E638" s="1" t="s">
        <v>28</v>
      </c>
      <c r="F638" s="1">
        <v>39.995769250081345</v>
      </c>
      <c r="G638" s="1">
        <v>-75.141506109956381</v>
      </c>
      <c r="H638" s="1" t="s">
        <v>436</v>
      </c>
      <c r="I638" s="1"/>
      <c r="J638" s="1"/>
      <c r="K638" s="1"/>
      <c r="L638" s="1" t="s">
        <v>2203</v>
      </c>
      <c r="M638" s="1">
        <f>IF(OR(NOT(ISNUMBER('School Profile'!$K$4)),NOT(ISNUMBER('School Profile'!$K$5)),NOT(ISNUMBER(F638)),NOT(ISNUMBER(G638))),"",3958.7613*2*ASIN(MIN(1,SQRT(SIN(RADIANS(F638-'School Profile'!$K$4)/2)^2+COS(RADIANS('School Profile'!$K$4))*COS(RADIANS(F638))*SIN(RADIANS(G638-'School Profile'!$K$5)/2)^2))))</f>
        <v>7.0963983127791277</v>
      </c>
      <c r="N638" s="1" t="str">
        <f>IF(AND(H638="Yes",ISNUMBER(M638),M638&lt;=1),COUNTIFS($H$511:$H$1010,"Yes",$M$511:$M$1010,"&lt;"&amp;M638)+COUNTIFS($H$511:H638,"Yes",$M$511:M638,M638),"")</f>
        <v/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:40" ht="22" customHeight="1">
      <c r="A639" s="1" t="s">
        <v>2589</v>
      </c>
      <c r="B639" s="1" t="s">
        <v>2590</v>
      </c>
      <c r="C639" s="1" t="s">
        <v>2591</v>
      </c>
      <c r="D639" s="1" t="s">
        <v>2189</v>
      </c>
      <c r="E639" s="1" t="s">
        <v>28</v>
      </c>
      <c r="F639" s="1">
        <v>40.045059919815074</v>
      </c>
      <c r="G639" s="1">
        <v>-75.176602960221871</v>
      </c>
      <c r="H639" s="1" t="s">
        <v>436</v>
      </c>
      <c r="I639" s="1"/>
      <c r="J639" s="1"/>
      <c r="K639" s="1"/>
      <c r="L639" s="1" t="s">
        <v>2592</v>
      </c>
      <c r="M639" s="1">
        <f>IF(OR(NOT(ISNUMBER('School Profile'!$K$4)),NOT(ISNUMBER('School Profile'!$K$5)),NOT(ISNUMBER(F639)),NOT(ISNUMBER(G639))),"",3958.7613*2*ASIN(MIN(1,SQRT(SIN(RADIANS(F639-'School Profile'!$K$4)/2)^2+COS(RADIANS('School Profile'!$K$4))*COS(RADIANS(F639))*SIN(RADIANS(G639-'School Profile'!$K$5)/2)^2))))</f>
        <v>9.0630034586044257</v>
      </c>
      <c r="N639" s="1" t="str">
        <f>IF(AND(H639="Yes",ISNUMBER(M639),M639&lt;=1),COUNTIFS($H$511:$H$1010,"Yes",$M$511:$M$1010,"&lt;"&amp;M639)+COUNTIFS($H$511:H639,"Yes",$M$511:M639,M639),"")</f>
        <v/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:40" ht="22" customHeight="1">
      <c r="A640" s="1" t="s">
        <v>2593</v>
      </c>
      <c r="B640" s="1" t="s">
        <v>2594</v>
      </c>
      <c r="C640" s="1" t="s">
        <v>2595</v>
      </c>
      <c r="D640" s="1" t="s">
        <v>2189</v>
      </c>
      <c r="E640" s="1" t="s">
        <v>28</v>
      </c>
      <c r="F640" s="1">
        <v>39.977367430228526</v>
      </c>
      <c r="G640" s="1">
        <v>-75.185376839737842</v>
      </c>
      <c r="H640" s="1" t="s">
        <v>436</v>
      </c>
      <c r="I640" s="1"/>
      <c r="J640" s="1"/>
      <c r="K640" s="1"/>
      <c r="L640" s="1" t="s">
        <v>2203</v>
      </c>
      <c r="M640" s="1">
        <f>IF(OR(NOT(ISNUMBER('School Profile'!$K$4)),NOT(ISNUMBER('School Profile'!$K$5)),NOT(ISNUMBER(F640)),NOT(ISNUMBER(G640))),"",3958.7613*2*ASIN(MIN(1,SQRT(SIN(RADIANS(F640-'School Profile'!$K$4)/2)^2+COS(RADIANS('School Profile'!$K$4))*COS(RADIANS(F640))*SIN(RADIANS(G640-'School Profile'!$K$5)/2)^2))))</f>
        <v>4.642170177569775</v>
      </c>
      <c r="N640" s="1" t="str">
        <f>IF(AND(H640="Yes",ISNUMBER(M640),M640&lt;=1),COUNTIFS($H$511:$H$1010,"Yes",$M$511:$M$1010,"&lt;"&amp;M640)+COUNTIFS($H$511:H640,"Yes",$M$511:M640,M640),"")</f>
        <v/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:40" ht="22" customHeight="1">
      <c r="A641" s="1" t="s">
        <v>2596</v>
      </c>
      <c r="B641" s="1" t="s">
        <v>2597</v>
      </c>
      <c r="C641" s="1" t="s">
        <v>2598</v>
      </c>
      <c r="D641" s="1" t="s">
        <v>2189</v>
      </c>
      <c r="E641" s="1" t="s">
        <v>28</v>
      </c>
      <c r="F641" s="1">
        <v>39.95186935784151</v>
      </c>
      <c r="G641" s="1">
        <v>-75.184183836616342</v>
      </c>
      <c r="H641" s="1" t="s">
        <v>436</v>
      </c>
      <c r="I641" s="1"/>
      <c r="J641" s="1"/>
      <c r="K641" s="1"/>
      <c r="L641" s="1" t="s">
        <v>2192</v>
      </c>
      <c r="M641" s="1">
        <f>IF(OR(NOT(ISNUMBER('School Profile'!$K$4)),NOT(ISNUMBER('School Profile'!$K$5)),NOT(ISNUMBER(F641)),NOT(ISNUMBER(G641))),"",3958.7613*2*ASIN(MIN(1,SQRT(SIN(RADIANS(F641-'School Profile'!$K$4)/2)^2+COS(RADIANS('School Profile'!$K$4))*COS(RADIANS(F641))*SIN(RADIANS(G641-'School Profile'!$K$5)/2)^2))))</f>
        <v>3.3740726697932106</v>
      </c>
      <c r="N641" s="1" t="str">
        <f>IF(AND(H641="Yes",ISNUMBER(M641),M641&lt;=1),COUNTIFS($H$511:$H$1010,"Yes",$M$511:$M$1010,"&lt;"&amp;M641)+COUNTIFS($H$511:H641,"Yes",$M$511:M641,M641),"")</f>
        <v/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:40" ht="22" customHeight="1">
      <c r="A642" s="1" t="s">
        <v>2599</v>
      </c>
      <c r="B642" s="1" t="s">
        <v>2600</v>
      </c>
      <c r="C642" s="1" t="s">
        <v>2601</v>
      </c>
      <c r="D642" s="1" t="s">
        <v>2207</v>
      </c>
      <c r="E642" s="1" t="s">
        <v>28</v>
      </c>
      <c r="F642" s="1">
        <v>39.958101470016814</v>
      </c>
      <c r="G642" s="1">
        <v>-75.160272720233834</v>
      </c>
      <c r="H642" s="1" t="s">
        <v>88</v>
      </c>
      <c r="I642" s="1"/>
      <c r="J642" s="1"/>
      <c r="K642" s="1"/>
      <c r="L642" s="1" t="s">
        <v>2208</v>
      </c>
      <c r="M642" s="1">
        <f>IF(OR(NOT(ISNUMBER('School Profile'!$K$4)),NOT(ISNUMBER('School Profile'!$K$5)),NOT(ISNUMBER(F642)),NOT(ISNUMBER(G642))),"",3958.7613*2*ASIN(MIN(1,SQRT(SIN(RADIANS(F642-'School Profile'!$K$4)/2)^2+COS(RADIANS('School Profile'!$K$4))*COS(RADIANS(F642))*SIN(RADIANS(G642-'School Profile'!$K$5)/2)^2))))</f>
        <v>4.6555393900887081</v>
      </c>
      <c r="N642" s="1" t="str">
        <f>IF(AND(H642="Yes",ISNUMBER(M642),M642&lt;=1),COUNTIFS($H$511:$H$1010,"Yes",$M$511:$M$1010,"&lt;"&amp;M642)+COUNTIFS($H$511:H642,"Yes",$M$511:M642,M642),"")</f>
        <v/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:40" ht="22" customHeight="1">
      <c r="A643" s="1" t="s">
        <v>2602</v>
      </c>
      <c r="B643" s="1" t="s">
        <v>2603</v>
      </c>
      <c r="C643" s="1" t="s">
        <v>2604</v>
      </c>
      <c r="D643" s="1" t="s">
        <v>2189</v>
      </c>
      <c r="E643" s="1" t="s">
        <v>28</v>
      </c>
      <c r="F643" s="1">
        <v>40.028901839264037</v>
      </c>
      <c r="G643" s="1">
        <v>-75.17821184289572</v>
      </c>
      <c r="H643" s="1" t="s">
        <v>436</v>
      </c>
      <c r="I643" s="1"/>
      <c r="J643" s="1"/>
      <c r="K643" s="1"/>
      <c r="L643" s="1" t="s">
        <v>2605</v>
      </c>
      <c r="M643" s="1">
        <f>IF(OR(NOT(ISNUMBER('School Profile'!$K$4)),NOT(ISNUMBER('School Profile'!$K$5)),NOT(ISNUMBER(F643)),NOT(ISNUMBER(G643))),"",3958.7613*2*ASIN(MIN(1,SQRT(SIN(RADIANS(F643-'School Profile'!$K$4)/2)^2+COS(RADIANS('School Profile'!$K$4))*COS(RADIANS(F643))*SIN(RADIANS(G643-'School Profile'!$K$5)/2)^2))))</f>
        <v>7.9883092415261689</v>
      </c>
      <c r="N643" s="1" t="str">
        <f>IF(AND(H643="Yes",ISNUMBER(M643),M643&lt;=1),COUNTIFS($H$511:$H$1010,"Yes",$M$511:$M$1010,"&lt;"&amp;M643)+COUNTIFS($H$511:H643,"Yes",$M$511:M643,M643),"")</f>
        <v/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:40" ht="22" customHeight="1">
      <c r="A644" s="1" t="s">
        <v>2606</v>
      </c>
      <c r="B644" s="1" t="s">
        <v>2607</v>
      </c>
      <c r="C644" s="1" t="s">
        <v>2608</v>
      </c>
      <c r="D644" s="1" t="s">
        <v>2189</v>
      </c>
      <c r="E644" s="1" t="s">
        <v>28</v>
      </c>
      <c r="F644" s="1">
        <v>39.997321247324713</v>
      </c>
      <c r="G644" s="1">
        <v>-75.138970336589225</v>
      </c>
      <c r="H644" s="1" t="s">
        <v>436</v>
      </c>
      <c r="I644" s="1"/>
      <c r="J644" s="1"/>
      <c r="K644" s="1"/>
      <c r="L644" s="1" t="s">
        <v>2203</v>
      </c>
      <c r="M644" s="1">
        <f>IF(OR(NOT(ISNUMBER('School Profile'!$K$4)),NOT(ISNUMBER('School Profile'!$K$5)),NOT(ISNUMBER(F644)),NOT(ISNUMBER(G644))),"",3958.7613*2*ASIN(MIN(1,SQRT(SIN(RADIANS(F644-'School Profile'!$K$4)/2)^2+COS(RADIANS('School Profile'!$K$4))*COS(RADIANS(F644))*SIN(RADIANS(G644-'School Profile'!$K$5)/2)^2))))</f>
        <v>7.2666981278131821</v>
      </c>
      <c r="N644" s="1" t="str">
        <f>IF(AND(H644="Yes",ISNUMBER(M644),M644&lt;=1),COUNTIFS($H$511:$H$1010,"Yes",$M$511:$M$1010,"&lt;"&amp;M644)+COUNTIFS($H$511:H644,"Yes",$M$511:M644,M644),"")</f>
        <v/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:40" ht="22" customHeight="1">
      <c r="A645" s="1" t="s">
        <v>2609</v>
      </c>
      <c r="B645" s="1" t="s">
        <v>2610</v>
      </c>
      <c r="C645" s="1" t="s">
        <v>2611</v>
      </c>
      <c r="D645" s="1" t="s">
        <v>2189</v>
      </c>
      <c r="E645" s="1" t="s">
        <v>28</v>
      </c>
      <c r="F645" s="1">
        <v>39.989234412703766</v>
      </c>
      <c r="G645" s="1">
        <v>-75.183571367052252</v>
      </c>
      <c r="H645" s="1" t="s">
        <v>436</v>
      </c>
      <c r="I645" s="1"/>
      <c r="J645" s="1"/>
      <c r="K645" s="1"/>
      <c r="L645" s="1" t="s">
        <v>2192</v>
      </c>
      <c r="M645" s="1">
        <f>IF(OR(NOT(ISNUMBER('School Profile'!$K$4)),NOT(ISNUMBER('School Profile'!$K$5)),NOT(ISNUMBER(F645)),NOT(ISNUMBER(G645))),"",3958.7613*2*ASIN(MIN(1,SQRT(SIN(RADIANS(F645-'School Profile'!$K$4)/2)^2+COS(RADIANS('School Profile'!$K$4))*COS(RADIANS(F645))*SIN(RADIANS(G645-'School Profile'!$K$5)/2)^2))))</f>
        <v>5.3901176597350409</v>
      </c>
      <c r="N645" s="1" t="str">
        <f>IF(AND(H645="Yes",ISNUMBER(M645),M645&lt;=1),COUNTIFS($H$511:$H$1010,"Yes",$M$511:$M$1010,"&lt;"&amp;M645)+COUNTIFS($H$511:H645,"Yes",$M$511:M645,M645),"")</f>
        <v/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:40" ht="22" customHeight="1">
      <c r="A646" s="1" t="s">
        <v>2612</v>
      </c>
      <c r="B646" s="1" t="s">
        <v>2613</v>
      </c>
      <c r="C646" s="1" t="s">
        <v>2614</v>
      </c>
      <c r="D646" s="1" t="s">
        <v>2189</v>
      </c>
      <c r="E646" s="1" t="s">
        <v>28</v>
      </c>
      <c r="F646" s="1">
        <v>40.037237250072984</v>
      </c>
      <c r="G646" s="1">
        <v>-75.05291726958599</v>
      </c>
      <c r="H646" s="1" t="s">
        <v>436</v>
      </c>
      <c r="I646" s="1"/>
      <c r="J646" s="1"/>
      <c r="K646" s="1" t="s">
        <v>2615</v>
      </c>
      <c r="L646" s="1" t="s">
        <v>2616</v>
      </c>
      <c r="M646" s="1">
        <f>IF(OR(NOT(ISNUMBER('School Profile'!$K$4)),NOT(ISNUMBER('School Profile'!$K$5)),NOT(ISNUMBER(F646)),NOT(ISNUMBER(G646))),"",3958.7613*2*ASIN(MIN(1,SQRT(SIN(RADIANS(F646-'School Profile'!$K$4)/2)^2+COS(RADIANS('School Profile'!$K$4))*COS(RADIANS(F646))*SIN(RADIANS(G646-'School Profile'!$K$5)/2)^2))))</f>
        <v>12.486936352725223</v>
      </c>
      <c r="N646" s="1" t="str">
        <f>IF(AND(H646="Yes",ISNUMBER(M646),M646&lt;=1),COUNTIFS($H$511:$H$1010,"Yes",$M$511:$M$1010,"&lt;"&amp;M646)+COUNTIFS($H$511:H646,"Yes",$M$511:M646,M646),"")</f>
        <v/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:40" ht="22" customHeight="1">
      <c r="A647" s="1" t="s">
        <v>2617</v>
      </c>
      <c r="B647" s="1" t="s">
        <v>2618</v>
      </c>
      <c r="C647" s="1" t="s">
        <v>2619</v>
      </c>
      <c r="D647" s="1" t="s">
        <v>2189</v>
      </c>
      <c r="E647" s="1" t="s">
        <v>28</v>
      </c>
      <c r="F647" s="1">
        <v>39.943447244012567</v>
      </c>
      <c r="G647" s="1">
        <v>-75.147681645750708</v>
      </c>
      <c r="H647" s="1" t="s">
        <v>436</v>
      </c>
      <c r="I647" s="1"/>
      <c r="J647" s="1"/>
      <c r="K647" s="1"/>
      <c r="L647" s="1" t="s">
        <v>2203</v>
      </c>
      <c r="M647" s="1">
        <f>IF(OR(NOT(ISNUMBER('School Profile'!$K$4)),NOT(ISNUMBER('School Profile'!$K$5)),NOT(ISNUMBER(F647)),NOT(ISNUMBER(G647))),"",3958.7613*2*ASIN(MIN(1,SQRT(SIN(RADIANS(F647-'School Profile'!$K$4)/2)^2+COS(RADIANS('School Profile'!$K$4))*COS(RADIANS(F647))*SIN(RADIANS(G647-'School Profile'!$K$5)/2)^2))))</f>
        <v>4.8209353098491494</v>
      </c>
      <c r="N647" s="1" t="str">
        <f>IF(AND(H647="Yes",ISNUMBER(M647),M647&lt;=1),COUNTIFS($H$511:$H$1010,"Yes",$M$511:$M$1010,"&lt;"&amp;M647)+COUNTIFS($H$511:H647,"Yes",$M$511:M647,M647),"")</f>
        <v/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:40" ht="22" customHeight="1">
      <c r="A648" s="1" t="s">
        <v>2620</v>
      </c>
      <c r="B648" s="1" t="s">
        <v>2621</v>
      </c>
      <c r="C648" s="1" t="s">
        <v>2622</v>
      </c>
      <c r="D648" s="1" t="s">
        <v>2207</v>
      </c>
      <c r="E648" s="1" t="s">
        <v>28</v>
      </c>
      <c r="F648" s="1">
        <v>39.94635932991951</v>
      </c>
      <c r="G648" s="1">
        <v>-75.164910730130572</v>
      </c>
      <c r="H648" s="1" t="s">
        <v>88</v>
      </c>
      <c r="I648" s="1"/>
      <c r="J648" s="1"/>
      <c r="K648" s="1"/>
      <c r="L648" s="1"/>
      <c r="M648" s="1">
        <f>IF(OR(NOT(ISNUMBER('School Profile'!$K$4)),NOT(ISNUMBER('School Profile'!$K$5)),NOT(ISNUMBER(F648)),NOT(ISNUMBER(G648))),"",3958.7613*2*ASIN(MIN(1,SQRT(SIN(RADIANS(F648-'School Profile'!$K$4)/2)^2+COS(RADIANS('School Profile'!$K$4))*COS(RADIANS(F648))*SIN(RADIANS(G648-'School Profile'!$K$5)/2)^2))))</f>
        <v>4.0460438676746628</v>
      </c>
      <c r="N648" s="1" t="str">
        <f>IF(AND(H648="Yes",ISNUMBER(M648),M648&lt;=1),COUNTIFS($H$511:$H$1010,"Yes",$M$511:$M$1010,"&lt;"&amp;M648)+COUNTIFS($H$511:H648,"Yes",$M$511:M648,M648),"")</f>
        <v/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:40" ht="22" customHeight="1">
      <c r="A649" s="1" t="s">
        <v>2623</v>
      </c>
      <c r="B649" s="1" t="s">
        <v>2624</v>
      </c>
      <c r="C649" s="1" t="s">
        <v>2625</v>
      </c>
      <c r="D649" s="1" t="s">
        <v>2189</v>
      </c>
      <c r="E649" s="1" t="s">
        <v>28</v>
      </c>
      <c r="F649" s="1">
        <v>39.99809567814679</v>
      </c>
      <c r="G649" s="1">
        <v>-75.131478520070317</v>
      </c>
      <c r="H649" s="1" t="s">
        <v>436</v>
      </c>
      <c r="I649" s="1"/>
      <c r="J649" s="1"/>
      <c r="K649" s="1"/>
      <c r="L649" s="1" t="s">
        <v>2203</v>
      </c>
      <c r="M649" s="1">
        <f>IF(OR(NOT(ISNUMBER('School Profile'!$K$4)),NOT(ISNUMBER('School Profile'!$K$5)),NOT(ISNUMBER(F649)),NOT(ISNUMBER(G649))),"",3958.7613*2*ASIN(MIN(1,SQRT(SIN(RADIANS(F649-'School Profile'!$K$4)/2)^2+COS(RADIANS('School Profile'!$K$4))*COS(RADIANS(F649))*SIN(RADIANS(G649-'School Profile'!$K$5)/2)^2))))</f>
        <v>7.5842944547641986</v>
      </c>
      <c r="N649" s="1" t="str">
        <f>IF(AND(H649="Yes",ISNUMBER(M649),M649&lt;=1),COUNTIFS($H$511:$H$1010,"Yes",$M$511:$M$1010,"&lt;"&amp;M649)+COUNTIFS($H$511:H649,"Yes",$M$511:M649,M649),"")</f>
        <v/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:40" ht="22" customHeight="1">
      <c r="A650" s="1" t="s">
        <v>2626</v>
      </c>
      <c r="B650" s="1" t="s">
        <v>2627</v>
      </c>
      <c r="C650" s="1" t="s">
        <v>2628</v>
      </c>
      <c r="D650" s="1" t="s">
        <v>2189</v>
      </c>
      <c r="E650" s="1" t="s">
        <v>28</v>
      </c>
      <c r="F650" s="1">
        <v>39.992822860109065</v>
      </c>
      <c r="G650" s="1">
        <v>-75.110739046833899</v>
      </c>
      <c r="H650" s="1" t="s">
        <v>436</v>
      </c>
      <c r="I650" s="1"/>
      <c r="J650" s="1"/>
      <c r="K650" s="1"/>
      <c r="L650" s="1" t="s">
        <v>2203</v>
      </c>
      <c r="M650" s="1">
        <f>IF(OR(NOT(ISNUMBER('School Profile'!$K$4)),NOT(ISNUMBER('School Profile'!$K$5)),NOT(ISNUMBER(F650)),NOT(ISNUMBER(G650))),"",3958.7613*2*ASIN(MIN(1,SQRT(SIN(RADIANS(F650-'School Profile'!$K$4)/2)^2+COS(RADIANS('School Profile'!$K$4))*COS(RADIANS(F650))*SIN(RADIANS(G650-'School Profile'!$K$5)/2)^2))))</f>
        <v>8.1817628072193589</v>
      </c>
      <c r="N650" s="1" t="str">
        <f>IF(AND(H650="Yes",ISNUMBER(M650),M650&lt;=1),COUNTIFS($H$511:$H$1010,"Yes",$M$511:$M$1010,"&lt;"&amp;M650)+COUNTIFS($H$511:H650,"Yes",$M$511:M650,M650),"")</f>
        <v/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:40" ht="22" customHeight="1">
      <c r="A651" s="1" t="s">
        <v>2629</v>
      </c>
      <c r="B651" s="1" t="s">
        <v>2630</v>
      </c>
      <c r="C651" s="1" t="s">
        <v>2631</v>
      </c>
      <c r="D651" s="1" t="s">
        <v>2189</v>
      </c>
      <c r="E651" s="1" t="s">
        <v>28</v>
      </c>
      <c r="F651" s="1">
        <v>39.952330931293652</v>
      </c>
      <c r="G651" s="1">
        <v>-75.146923759603382</v>
      </c>
      <c r="H651" s="1" t="s">
        <v>436</v>
      </c>
      <c r="I651" s="1"/>
      <c r="J651" s="1"/>
      <c r="K651" s="1"/>
      <c r="L651" s="1" t="s">
        <v>2632</v>
      </c>
      <c r="M651" s="1">
        <f>IF(OR(NOT(ISNUMBER('School Profile'!$K$4)),NOT(ISNUMBER('School Profile'!$K$5)),NOT(ISNUMBER(F651)),NOT(ISNUMBER(G651))),"",3958.7613*2*ASIN(MIN(1,SQRT(SIN(RADIANS(F651-'School Profile'!$K$4)/2)^2+COS(RADIANS('School Profile'!$K$4))*COS(RADIANS(F651))*SIN(RADIANS(G651-'School Profile'!$K$5)/2)^2))))</f>
        <v>5.083925526298982</v>
      </c>
      <c r="N651" s="1" t="str">
        <f>IF(AND(H651="Yes",ISNUMBER(M651),M651&lt;=1),COUNTIFS($H$511:$H$1010,"Yes",$M$511:$M$1010,"&lt;"&amp;M651)+COUNTIFS($H$511:H651,"Yes",$M$511:M651,M651),"")</f>
        <v/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:40" ht="22" customHeight="1">
      <c r="A652" s="1" t="s">
        <v>2633</v>
      </c>
      <c r="B652" s="1" t="s">
        <v>2630</v>
      </c>
      <c r="C652" s="1" t="s">
        <v>2634</v>
      </c>
      <c r="D652" s="1" t="s">
        <v>2189</v>
      </c>
      <c r="E652" s="1" t="s">
        <v>2190</v>
      </c>
      <c r="F652" s="1">
        <v>39.952330931293652</v>
      </c>
      <c r="G652" s="1">
        <v>-75.146923759603382</v>
      </c>
      <c r="H652" s="1" t="s">
        <v>88</v>
      </c>
      <c r="I652" s="1"/>
      <c r="J652" s="1" t="s">
        <v>2191</v>
      </c>
      <c r="K652" s="1"/>
      <c r="L652" s="1" t="s">
        <v>2632</v>
      </c>
      <c r="M652" s="1">
        <f>IF(OR(NOT(ISNUMBER('School Profile'!$K$4)),NOT(ISNUMBER('School Profile'!$K$5)),NOT(ISNUMBER(F652)),NOT(ISNUMBER(G652))),"",3958.7613*2*ASIN(MIN(1,SQRT(SIN(RADIANS(F652-'School Profile'!$K$4)/2)^2+COS(RADIANS('School Profile'!$K$4))*COS(RADIANS(F652))*SIN(RADIANS(G652-'School Profile'!$K$5)/2)^2))))</f>
        <v>5.083925526298982</v>
      </c>
      <c r="N652" s="1" t="str">
        <f>IF(AND(H652="Yes",ISNUMBER(M652),M652&lt;=1),COUNTIFS($H$511:$H$1010,"Yes",$M$511:$M$1010,"&lt;"&amp;M652)+COUNTIFS($H$511:H652,"Yes",$M$511:M652,M652),"")</f>
        <v/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:40" ht="22" customHeight="1">
      <c r="A653" s="1" t="s">
        <v>2635</v>
      </c>
      <c r="B653" s="1" t="s">
        <v>2636</v>
      </c>
      <c r="C653" s="1" t="s">
        <v>2637</v>
      </c>
      <c r="D653" s="1" t="s">
        <v>2189</v>
      </c>
      <c r="E653" s="1" t="s">
        <v>28</v>
      </c>
      <c r="F653" s="1">
        <v>39.996722600714875</v>
      </c>
      <c r="G653" s="1">
        <v>-75.113190973249075</v>
      </c>
      <c r="H653" s="1" t="s">
        <v>436</v>
      </c>
      <c r="I653" s="1"/>
      <c r="J653" s="1"/>
      <c r="K653" s="1"/>
      <c r="L653" s="1" t="s">
        <v>2203</v>
      </c>
      <c r="M653" s="1">
        <f>IF(OR(NOT(ISNUMBER('School Profile'!$K$4)),NOT(ISNUMBER('School Profile'!$K$5)),NOT(ISNUMBER(F653)),NOT(ISNUMBER(G653))),"",3958.7613*2*ASIN(MIN(1,SQRT(SIN(RADIANS(F653-'School Profile'!$K$4)/2)^2+COS(RADIANS('School Profile'!$K$4))*COS(RADIANS(F653))*SIN(RADIANS(G653-'School Profile'!$K$5)/2)^2))))</f>
        <v>8.2454757057250099</v>
      </c>
      <c r="N653" s="1" t="str">
        <f>IF(AND(H653="Yes",ISNUMBER(M653),M653&lt;=1),COUNTIFS($H$511:$H$1010,"Yes",$M$511:$M$1010,"&lt;"&amp;M653)+COUNTIFS($H$511:H653,"Yes",$M$511:M653,M653),"")</f>
        <v/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:40" ht="22" customHeight="1">
      <c r="A654" s="1" t="s">
        <v>2638</v>
      </c>
      <c r="B654" s="1" t="s">
        <v>2639</v>
      </c>
      <c r="C654" s="1" t="s">
        <v>2640</v>
      </c>
      <c r="D654" s="1" t="s">
        <v>2215</v>
      </c>
      <c r="E654" s="1" t="s">
        <v>28</v>
      </c>
      <c r="F654" s="1">
        <v>40.000395500331848</v>
      </c>
      <c r="G654" s="1">
        <v>-75.138103570137886</v>
      </c>
      <c r="H654" s="1" t="s">
        <v>88</v>
      </c>
      <c r="I654" s="1"/>
      <c r="J654" s="1"/>
      <c r="K654" s="1"/>
      <c r="L654" s="1" t="s">
        <v>2216</v>
      </c>
      <c r="M654" s="1">
        <f>IF(OR(NOT(ISNUMBER('School Profile'!$K$4)),NOT(ISNUMBER('School Profile'!$K$5)),NOT(ISNUMBER(F654)),NOT(ISNUMBER(G654))),"",3958.7613*2*ASIN(MIN(1,SQRT(SIN(RADIANS(F654-'School Profile'!$K$4)/2)^2+COS(RADIANS('School Profile'!$K$4))*COS(RADIANS(F654))*SIN(RADIANS(G654-'School Profile'!$K$5)/2)^2))))</f>
        <v>7.452442174199188</v>
      </c>
      <c r="N654" s="1" t="str">
        <f>IF(AND(H654="Yes",ISNUMBER(M654),M654&lt;=1),COUNTIFS($H$511:$H$1010,"Yes",$M$511:$M$1010,"&lt;"&amp;M654)+COUNTIFS($H$511:H654,"Yes",$M$511:M654,M654),"")</f>
        <v/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:40" ht="22" customHeight="1">
      <c r="A655" s="1" t="s">
        <v>2641</v>
      </c>
      <c r="B655" s="1" t="s">
        <v>2642</v>
      </c>
      <c r="C655" s="1" t="s">
        <v>2640</v>
      </c>
      <c r="D655" s="1" t="s">
        <v>2256</v>
      </c>
      <c r="E655" s="1" t="s">
        <v>28</v>
      </c>
      <c r="F655" s="1">
        <v>39.999804565948068</v>
      </c>
      <c r="G655" s="1">
        <v>-75.138430202066772</v>
      </c>
      <c r="H655" s="1" t="s">
        <v>88</v>
      </c>
      <c r="I655" s="1"/>
      <c r="J655" s="1"/>
      <c r="K655" s="1"/>
      <c r="L655" s="1" t="s">
        <v>2261</v>
      </c>
      <c r="M655" s="1">
        <f>IF(OR(NOT(ISNUMBER('School Profile'!$K$4)),NOT(ISNUMBER('School Profile'!$K$5)),NOT(ISNUMBER(F655)),NOT(ISNUMBER(G655))),"",3958.7613*2*ASIN(MIN(1,SQRT(SIN(RADIANS(F655-'School Profile'!$K$4)/2)^2+COS(RADIANS('School Profile'!$K$4))*COS(RADIANS(F655))*SIN(RADIANS(G655-'School Profile'!$K$5)/2)^2))))</f>
        <v>7.4108116190732236</v>
      </c>
      <c r="N655" s="1" t="str">
        <f>IF(AND(H655="Yes",ISNUMBER(M655),M655&lt;=1),COUNTIFS($H$511:$H$1010,"Yes",$M$511:$M$1010,"&lt;"&amp;M655)+COUNTIFS($H$511:H655,"Yes",$M$511:M655,M655),"")</f>
        <v/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:40" ht="22" customHeight="1">
      <c r="A656" s="1" t="s">
        <v>2643</v>
      </c>
      <c r="B656" s="1" t="s">
        <v>2644</v>
      </c>
      <c r="C656" s="1" t="s">
        <v>2645</v>
      </c>
      <c r="D656" s="1" t="s">
        <v>2189</v>
      </c>
      <c r="E656" s="1" t="s">
        <v>28</v>
      </c>
      <c r="F656" s="1">
        <v>40.004111716291064</v>
      </c>
      <c r="G656" s="1">
        <v>-75.182845626219049</v>
      </c>
      <c r="H656" s="1" t="s">
        <v>436</v>
      </c>
      <c r="I656" s="1"/>
      <c r="J656" s="1"/>
      <c r="K656" s="1"/>
      <c r="L656" s="1" t="s">
        <v>2646</v>
      </c>
      <c r="M656" s="1">
        <f>IF(OR(NOT(ISNUMBER('School Profile'!$K$4)),NOT(ISNUMBER('School Profile'!$K$5)),NOT(ISNUMBER(F656)),NOT(ISNUMBER(G656))),"",3958.7613*2*ASIN(MIN(1,SQRT(SIN(RADIANS(F656-'School Profile'!$K$4)/2)^2+COS(RADIANS('School Profile'!$K$4))*COS(RADIANS(F656))*SIN(RADIANS(G656-'School Profile'!$K$5)/2)^2))))</f>
        <v>6.3195858486300258</v>
      </c>
      <c r="N656" s="1" t="str">
        <f>IF(AND(H656="Yes",ISNUMBER(M656),M656&lt;=1),COUNTIFS($H$511:$H$1010,"Yes",$M$511:$M$1010,"&lt;"&amp;M656)+COUNTIFS($H$511:H656,"Yes",$M$511:M656,M656),"")</f>
        <v/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:40" ht="22" customHeight="1">
      <c r="A657" s="1" t="s">
        <v>2647</v>
      </c>
      <c r="B657" s="1" t="s">
        <v>2648</v>
      </c>
      <c r="C657" s="1" t="s">
        <v>2649</v>
      </c>
      <c r="D657" s="1" t="s">
        <v>2189</v>
      </c>
      <c r="E657" s="1" t="s">
        <v>28</v>
      </c>
      <c r="F657" s="1">
        <v>39.990040161128029</v>
      </c>
      <c r="G657" s="1">
        <v>-75.185737003081329</v>
      </c>
      <c r="H657" s="1" t="s">
        <v>436</v>
      </c>
      <c r="I657" s="1"/>
      <c r="J657" s="1"/>
      <c r="K657" s="1"/>
      <c r="L657" s="1" t="s">
        <v>2192</v>
      </c>
      <c r="M657" s="1">
        <f>IF(OR(NOT(ISNUMBER('School Profile'!$K$4)),NOT(ISNUMBER('School Profile'!$K$5)),NOT(ISNUMBER(F657)),NOT(ISNUMBER(G657))),"",3958.7613*2*ASIN(MIN(1,SQRT(SIN(RADIANS(F657-'School Profile'!$K$4)/2)^2+COS(RADIANS('School Profile'!$K$4))*COS(RADIANS(F657))*SIN(RADIANS(G657-'School Profile'!$K$5)/2)^2))))</f>
        <v>5.38305580328021</v>
      </c>
      <c r="N657" s="1" t="str">
        <f>IF(AND(H657="Yes",ISNUMBER(M657),M657&lt;=1),COUNTIFS($H$511:$H$1010,"Yes",$M$511:$M$1010,"&lt;"&amp;M657)+COUNTIFS($H$511:H657,"Yes",$M$511:M657,M657),"")</f>
        <v/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:40" ht="22" customHeight="1">
      <c r="A658" s="1" t="s">
        <v>2650</v>
      </c>
      <c r="B658" s="1" t="s">
        <v>2651</v>
      </c>
      <c r="C658" s="1" t="s">
        <v>2652</v>
      </c>
      <c r="D658" s="1" t="s">
        <v>2189</v>
      </c>
      <c r="E658" s="1" t="s">
        <v>28</v>
      </c>
      <c r="F658" s="1">
        <v>39.983303215156496</v>
      </c>
      <c r="G658" s="1">
        <v>-75.187280912407317</v>
      </c>
      <c r="H658" s="1" t="s">
        <v>436</v>
      </c>
      <c r="I658" s="1"/>
      <c r="J658" s="1"/>
      <c r="K658" s="1"/>
      <c r="L658" s="1" t="s">
        <v>2192</v>
      </c>
      <c r="M658" s="1">
        <f>IF(OR(NOT(ISNUMBER('School Profile'!$K$4)),NOT(ISNUMBER('School Profile'!$K$5)),NOT(ISNUMBER(F658)),NOT(ISNUMBER(G658))),"",3958.7613*2*ASIN(MIN(1,SQRT(SIN(RADIANS(F658-'School Profile'!$K$4)/2)^2+COS(RADIANS('School Profile'!$K$4))*COS(RADIANS(F658))*SIN(RADIANS(G658-'School Profile'!$K$5)/2)^2))))</f>
        <v>4.9369888060153331</v>
      </c>
      <c r="N658" s="1" t="str">
        <f>IF(AND(H658="Yes",ISNUMBER(M658),M658&lt;=1),COUNTIFS($H$511:$H$1010,"Yes",$M$511:$M$1010,"&lt;"&amp;M658)+COUNTIFS($H$511:H658,"Yes",$M$511:M658,M658),"")</f>
        <v/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:40" ht="22" customHeight="1">
      <c r="A659" s="1" t="s">
        <v>2653</v>
      </c>
      <c r="B659" s="1" t="s">
        <v>2654</v>
      </c>
      <c r="C659" s="1" t="s">
        <v>2655</v>
      </c>
      <c r="D659" s="1" t="s">
        <v>2189</v>
      </c>
      <c r="E659" s="1" t="s">
        <v>28</v>
      </c>
      <c r="F659" s="1">
        <v>40.049917054213232</v>
      </c>
      <c r="G659" s="1">
        <v>-75.192079882436673</v>
      </c>
      <c r="H659" s="1" t="s">
        <v>436</v>
      </c>
      <c r="I659" s="1"/>
      <c r="J659" s="1"/>
      <c r="K659" s="1" t="s">
        <v>2656</v>
      </c>
      <c r="L659" s="1" t="s">
        <v>2203</v>
      </c>
      <c r="M659" s="1">
        <f>IF(OR(NOT(ISNUMBER('School Profile'!$K$4)),NOT(ISNUMBER('School Profile'!$K$5)),NOT(ISNUMBER(F659)),NOT(ISNUMBER(G659))),"",3958.7613*2*ASIN(MIN(1,SQRT(SIN(RADIANS(F659-'School Profile'!$K$4)/2)^2+COS(RADIANS('School Profile'!$K$4))*COS(RADIANS(F659))*SIN(RADIANS(G659-'School Profile'!$K$5)/2)^2))))</f>
        <v>9.1469898399545553</v>
      </c>
      <c r="N659" s="1" t="str">
        <f>IF(AND(H659="Yes",ISNUMBER(M659),M659&lt;=1),COUNTIFS($H$511:$H$1010,"Yes",$M$511:$M$1010,"&lt;"&amp;M659)+COUNTIFS($H$511:H659,"Yes",$M$511:M659,M659),"")</f>
        <v/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:40" ht="22" customHeight="1">
      <c r="A660" s="1" t="s">
        <v>2657</v>
      </c>
      <c r="B660" s="1" t="s">
        <v>2658</v>
      </c>
      <c r="C660" s="1" t="s">
        <v>2659</v>
      </c>
      <c r="D660" s="1" t="s">
        <v>2215</v>
      </c>
      <c r="E660" s="1" t="s">
        <v>28</v>
      </c>
      <c r="F660" s="1">
        <v>39.986910009863919</v>
      </c>
      <c r="G660" s="1">
        <v>-75.102783030383506</v>
      </c>
      <c r="H660" s="1" t="s">
        <v>88</v>
      </c>
      <c r="I660" s="1"/>
      <c r="J660" s="1"/>
      <c r="K660" s="1"/>
      <c r="L660" s="1" t="s">
        <v>2216</v>
      </c>
      <c r="M660" s="1">
        <f>IF(OR(NOT(ISNUMBER('School Profile'!$K$4)),NOT(ISNUMBER('School Profile'!$K$5)),NOT(ISNUMBER(F660)),NOT(ISNUMBER(G660))),"",3958.7613*2*ASIN(MIN(1,SQRT(SIN(RADIANS(F660-'School Profile'!$K$4)/2)^2+COS(RADIANS('School Profile'!$K$4))*COS(RADIANS(F660))*SIN(RADIANS(G660-'School Profile'!$K$5)/2)^2))))</f>
        <v>8.2925957113379418</v>
      </c>
      <c r="N660" s="1" t="str">
        <f>IF(AND(H660="Yes",ISNUMBER(M660),M660&lt;=1),COUNTIFS($H$511:$H$1010,"Yes",$M$511:$M$1010,"&lt;"&amp;M660)+COUNTIFS($H$511:H660,"Yes",$M$511:M660,M660),"")</f>
        <v/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:40" ht="22" customHeight="1">
      <c r="A661" s="1" t="s">
        <v>2660</v>
      </c>
      <c r="B661" s="1" t="s">
        <v>2661</v>
      </c>
      <c r="C661" s="1" t="s">
        <v>2662</v>
      </c>
      <c r="D661" s="1" t="s">
        <v>2189</v>
      </c>
      <c r="E661" s="1" t="s">
        <v>28</v>
      </c>
      <c r="F661" s="1">
        <v>39.995131860130968</v>
      </c>
      <c r="G661" s="1">
        <v>-75.105521489729924</v>
      </c>
      <c r="H661" s="1" t="s">
        <v>436</v>
      </c>
      <c r="I661" s="1"/>
      <c r="J661" s="1"/>
      <c r="K661" s="1" t="s">
        <v>2663</v>
      </c>
      <c r="L661" s="1" t="s">
        <v>2203</v>
      </c>
      <c r="M661" s="1">
        <f>IF(OR(NOT(ISNUMBER('School Profile'!$K$4)),NOT(ISNUMBER('School Profile'!$K$5)),NOT(ISNUMBER(F661)),NOT(ISNUMBER(G661))),"",3958.7613*2*ASIN(MIN(1,SQRT(SIN(RADIANS(F661-'School Profile'!$K$4)/2)^2+COS(RADIANS('School Profile'!$K$4))*COS(RADIANS(F661))*SIN(RADIANS(G661-'School Profile'!$K$5)/2)^2))))</f>
        <v>8.4984349404237296</v>
      </c>
      <c r="N661" s="1" t="str">
        <f>IF(AND(H661="Yes",ISNUMBER(M661),M661&lt;=1),COUNTIFS($H$511:$H$1010,"Yes",$M$511:$M$1010,"&lt;"&amp;M661)+COUNTIFS($H$511:H661,"Yes",$M$511:M661,M661),"")</f>
        <v/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:40" ht="22" customHeight="1">
      <c r="A662" s="1" t="s">
        <v>2664</v>
      </c>
      <c r="B662" s="1" t="s">
        <v>2665</v>
      </c>
      <c r="C662" s="1" t="s">
        <v>2666</v>
      </c>
      <c r="D662" s="1" t="s">
        <v>2189</v>
      </c>
      <c r="E662" s="1" t="s">
        <v>28</v>
      </c>
      <c r="F662" s="1">
        <v>40.005916711166527</v>
      </c>
      <c r="G662" s="1">
        <v>-75.244067205220489</v>
      </c>
      <c r="H662" s="1" t="s">
        <v>436</v>
      </c>
      <c r="I662" s="1"/>
      <c r="J662" s="1"/>
      <c r="K662" s="1"/>
      <c r="L662" s="1" t="s">
        <v>2192</v>
      </c>
      <c r="M662" s="1">
        <f>IF(OR(NOT(ISNUMBER('School Profile'!$K$4)),NOT(ISNUMBER('School Profile'!$K$5)),NOT(ISNUMBER(F662)),NOT(ISNUMBER(G662))),"",3958.7613*2*ASIN(MIN(1,SQRT(SIN(RADIANS(F662-'School Profile'!$K$4)/2)^2+COS(RADIANS('School Profile'!$K$4))*COS(RADIANS(F662))*SIN(RADIANS(G662-'School Profile'!$K$5)/2)^2))))</f>
        <v>5.8568670404171783</v>
      </c>
      <c r="N662" s="1" t="str">
        <f>IF(AND(H662="Yes",ISNUMBER(M662),M662&lt;=1),COUNTIFS($H$511:$H$1010,"Yes",$M$511:$M$1010,"&lt;"&amp;M662)+COUNTIFS($H$511:H662,"Yes",$M$511:M662,M662),"")</f>
        <v/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:40" ht="22" customHeight="1">
      <c r="A663" s="1" t="s">
        <v>2667</v>
      </c>
      <c r="B663" s="1" t="s">
        <v>2668</v>
      </c>
      <c r="C663" s="1" t="s">
        <v>2669</v>
      </c>
      <c r="D663" s="1" t="s">
        <v>2189</v>
      </c>
      <c r="E663" s="1" t="s">
        <v>28</v>
      </c>
      <c r="F663" s="1">
        <v>40.034884972870536</v>
      </c>
      <c r="G663" s="1">
        <v>-75.175781081686949</v>
      </c>
      <c r="H663" s="1" t="s">
        <v>436</v>
      </c>
      <c r="I663" s="1"/>
      <c r="J663" s="1"/>
      <c r="K663" s="1"/>
      <c r="L663" s="1" t="s">
        <v>2203</v>
      </c>
      <c r="M663" s="1">
        <f>IF(OR(NOT(ISNUMBER('School Profile'!$K$4)),NOT(ISNUMBER('School Profile'!$K$5)),NOT(ISNUMBER(F663)),NOT(ISNUMBER(G663))),"",3958.7613*2*ASIN(MIN(1,SQRT(SIN(RADIANS(F663-'School Profile'!$K$4)/2)^2+COS(RADIANS('School Profile'!$K$4))*COS(RADIANS(F663))*SIN(RADIANS(G663-'School Profile'!$K$5)/2)^2))))</f>
        <v>8.4199985703096338</v>
      </c>
      <c r="N663" s="1" t="str">
        <f>IF(AND(H663="Yes",ISNUMBER(M663),M663&lt;=1),COUNTIFS($H$511:$H$1010,"Yes",$M$511:$M$1010,"&lt;"&amp;M663)+COUNTIFS($H$511:H663,"Yes",$M$511:M663,M663),"")</f>
        <v/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:40" ht="22" customHeight="1">
      <c r="A664" s="1" t="s">
        <v>2670</v>
      </c>
      <c r="B664" s="1" t="s">
        <v>2671</v>
      </c>
      <c r="C664" s="1" t="s">
        <v>2672</v>
      </c>
      <c r="D664" s="1" t="s">
        <v>2189</v>
      </c>
      <c r="E664" s="1" t="s">
        <v>28</v>
      </c>
      <c r="F664" s="1">
        <v>40.013652870301463</v>
      </c>
      <c r="G664" s="1">
        <v>-75.192596860187749</v>
      </c>
      <c r="H664" s="1" t="s">
        <v>436</v>
      </c>
      <c r="I664" s="1"/>
      <c r="J664" s="1"/>
      <c r="K664" s="1"/>
      <c r="L664" s="1" t="s">
        <v>2673</v>
      </c>
      <c r="M664" s="1">
        <f>IF(OR(NOT(ISNUMBER('School Profile'!$K$4)),NOT(ISNUMBER('School Profile'!$K$5)),NOT(ISNUMBER(F664)),NOT(ISNUMBER(G664))),"",3958.7613*2*ASIN(MIN(1,SQRT(SIN(RADIANS(F664-'School Profile'!$K$4)/2)^2+COS(RADIANS('School Profile'!$K$4))*COS(RADIANS(F664))*SIN(RADIANS(G664-'School Profile'!$K$5)/2)^2))))</f>
        <v>6.7351886020026797</v>
      </c>
      <c r="N664" s="1" t="str">
        <f>IF(AND(H664="Yes",ISNUMBER(M664),M664&lt;=1),COUNTIFS($H$511:$H$1010,"Yes",$M$511:$M$1010,"&lt;"&amp;M664)+COUNTIFS($H$511:H664,"Yes",$M$511:M664,M664),"")</f>
        <v/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:40" ht="22" customHeight="1">
      <c r="A665" s="1" t="s">
        <v>2674</v>
      </c>
      <c r="B665" s="1" t="s">
        <v>2675</v>
      </c>
      <c r="C665" s="1" t="s">
        <v>2676</v>
      </c>
      <c r="D665" s="1" t="s">
        <v>2189</v>
      </c>
      <c r="E665" s="1" t="s">
        <v>28</v>
      </c>
      <c r="F665" s="1">
        <v>39.963386481018809</v>
      </c>
      <c r="G665" s="1">
        <v>-75.193142393585049</v>
      </c>
      <c r="H665" s="1" t="s">
        <v>436</v>
      </c>
      <c r="I665" s="1"/>
      <c r="J665" s="1"/>
      <c r="K665" s="1"/>
      <c r="L665" s="1" t="s">
        <v>2677</v>
      </c>
      <c r="M665" s="1">
        <f>IF(OR(NOT(ISNUMBER('School Profile'!$K$4)),NOT(ISNUMBER('School Profile'!$K$5)),NOT(ISNUMBER(F665)),NOT(ISNUMBER(G665))),"",3958.7613*2*ASIN(MIN(1,SQRT(SIN(RADIANS(F665-'School Profile'!$K$4)/2)^2+COS(RADIANS('School Profile'!$K$4))*COS(RADIANS(F665))*SIN(RADIANS(G665-'School Profile'!$K$5)/2)^2))))</f>
        <v>3.6157936089099483</v>
      </c>
      <c r="N665" s="1" t="str">
        <f>IF(AND(H665="Yes",ISNUMBER(M665),M665&lt;=1),COUNTIFS($H$511:$H$1010,"Yes",$M$511:$M$1010,"&lt;"&amp;M665)+COUNTIFS($H$511:H665,"Yes",$M$511:M665,M665),"")</f>
        <v/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:40" ht="22" customHeight="1">
      <c r="A666" s="1" t="s">
        <v>2678</v>
      </c>
      <c r="B666" s="1" t="s">
        <v>2675</v>
      </c>
      <c r="C666" s="1" t="s">
        <v>2676</v>
      </c>
      <c r="D666" s="1" t="s">
        <v>2207</v>
      </c>
      <c r="E666" s="1" t="s">
        <v>28</v>
      </c>
      <c r="F666" s="1">
        <v>39.963386481018809</v>
      </c>
      <c r="G666" s="1">
        <v>-75.193142393585049</v>
      </c>
      <c r="H666" s="1" t="s">
        <v>88</v>
      </c>
      <c r="I666" s="1"/>
      <c r="J666" s="1"/>
      <c r="K666" s="1"/>
      <c r="L666" s="1" t="s">
        <v>2677</v>
      </c>
      <c r="M666" s="1">
        <f>IF(OR(NOT(ISNUMBER('School Profile'!$K$4)),NOT(ISNUMBER('School Profile'!$K$5)),NOT(ISNUMBER(F666)),NOT(ISNUMBER(G666))),"",3958.7613*2*ASIN(MIN(1,SQRT(SIN(RADIANS(F666-'School Profile'!$K$4)/2)^2+COS(RADIANS('School Profile'!$K$4))*COS(RADIANS(F666))*SIN(RADIANS(G666-'School Profile'!$K$5)/2)^2))))</f>
        <v>3.6157936089099483</v>
      </c>
      <c r="N666" s="1" t="str">
        <f>IF(AND(H666="Yes",ISNUMBER(M666),M666&lt;=1),COUNTIFS($H$511:$H$1010,"Yes",$M$511:$M$1010,"&lt;"&amp;M666)+COUNTIFS($H$511:H666,"Yes",$M$511:M666,M666),"")</f>
        <v/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:40" ht="22" customHeight="1">
      <c r="A667" s="1" t="s">
        <v>2679</v>
      </c>
      <c r="B667" s="1" t="s">
        <v>2680</v>
      </c>
      <c r="C667" s="1" t="s">
        <v>2681</v>
      </c>
      <c r="D667" s="1" t="s">
        <v>2189</v>
      </c>
      <c r="E667" s="1" t="s">
        <v>28</v>
      </c>
      <c r="F667" s="1">
        <v>40.002982298787551</v>
      </c>
      <c r="G667" s="1">
        <v>-75.126423473591132</v>
      </c>
      <c r="H667" s="1" t="s">
        <v>436</v>
      </c>
      <c r="I667" s="1"/>
      <c r="J667" s="1"/>
      <c r="K667" s="1"/>
      <c r="L667" s="1" t="s">
        <v>2280</v>
      </c>
      <c r="M667" s="1">
        <f>IF(OR(NOT(ISNUMBER('School Profile'!$K$4)),NOT(ISNUMBER('School Profile'!$K$5)),NOT(ISNUMBER(F667)),NOT(ISNUMBER(G667))),"",3958.7613*2*ASIN(MIN(1,SQRT(SIN(RADIANS(F667-'School Profile'!$K$4)/2)^2+COS(RADIANS('School Profile'!$K$4))*COS(RADIANS(F667))*SIN(RADIANS(G667-'School Profile'!$K$5)/2)^2))))</f>
        <v>8.0117017052820234</v>
      </c>
      <c r="N667" s="1" t="str">
        <f>IF(AND(H667="Yes",ISNUMBER(M667),M667&lt;=1),COUNTIFS($H$511:$H$1010,"Yes",$M$511:$M$1010,"&lt;"&amp;M667)+COUNTIFS($H$511:H667,"Yes",$M$511:M667,M667),"")</f>
        <v/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:40" ht="22" customHeight="1">
      <c r="A668" s="1" t="s">
        <v>2682</v>
      </c>
      <c r="B668" s="1" t="s">
        <v>2683</v>
      </c>
      <c r="C668" s="1" t="s">
        <v>2684</v>
      </c>
      <c r="D668" s="1" t="s">
        <v>2189</v>
      </c>
      <c r="E668" s="1" t="s">
        <v>28</v>
      </c>
      <c r="F668" s="1">
        <v>39.96390865817461</v>
      </c>
      <c r="G668" s="1">
        <v>-75.193514070635544</v>
      </c>
      <c r="H668" s="1" t="s">
        <v>436</v>
      </c>
      <c r="I668" s="1"/>
      <c r="J668" s="1"/>
      <c r="K668" s="1"/>
      <c r="L668" s="1" t="s">
        <v>2203</v>
      </c>
      <c r="M668" s="1">
        <f>IF(OR(NOT(ISNUMBER('School Profile'!$K$4)),NOT(ISNUMBER('School Profile'!$K$5)),NOT(ISNUMBER(F668)),NOT(ISNUMBER(G668))),"",3958.7613*2*ASIN(MIN(1,SQRT(SIN(RADIANS(F668-'School Profile'!$K$4)/2)^2+COS(RADIANS('School Profile'!$K$4))*COS(RADIANS(F668))*SIN(RADIANS(G668-'School Profile'!$K$5)/2)^2))))</f>
        <v>3.6330590287326996</v>
      </c>
      <c r="N668" s="1" t="str">
        <f>IF(AND(H668="Yes",ISNUMBER(M668),M668&lt;=1),COUNTIFS($H$511:$H$1010,"Yes",$M$511:$M$1010,"&lt;"&amp;M668)+COUNTIFS($H$511:H668,"Yes",$M$511:M668,M668),"")</f>
        <v/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:40" ht="22" customHeight="1">
      <c r="A669" s="1" t="s">
        <v>2685</v>
      </c>
      <c r="B669" s="1" t="s">
        <v>2686</v>
      </c>
      <c r="C669" s="1" t="s">
        <v>2687</v>
      </c>
      <c r="D669" s="1" t="s">
        <v>2189</v>
      </c>
      <c r="E669" s="1" t="s">
        <v>28</v>
      </c>
      <c r="F669" s="1">
        <v>39.998870462847023</v>
      </c>
      <c r="G669" s="1">
        <v>-75.102317341943589</v>
      </c>
      <c r="H669" s="1" t="s">
        <v>436</v>
      </c>
      <c r="I669" s="1"/>
      <c r="J669" s="1"/>
      <c r="K669" s="1"/>
      <c r="L669" s="1" t="s">
        <v>2192</v>
      </c>
      <c r="M669" s="1">
        <f>IF(OR(NOT(ISNUMBER('School Profile'!$K$4)),NOT(ISNUMBER('School Profile'!$K$5)),NOT(ISNUMBER(F669)),NOT(ISNUMBER(G669))),"",3958.7613*2*ASIN(MIN(1,SQRT(SIN(RADIANS(F669-'School Profile'!$K$4)/2)^2+COS(RADIANS('School Profile'!$K$4))*COS(RADIANS(F669))*SIN(RADIANS(G669-'School Profile'!$K$5)/2)^2))))</f>
        <v>8.7894816821183888</v>
      </c>
      <c r="N669" s="1" t="str">
        <f>IF(AND(H669="Yes",ISNUMBER(M669),M669&lt;=1),COUNTIFS($H$511:$H$1010,"Yes",$M$511:$M$1010,"&lt;"&amp;M669)+COUNTIFS($H$511:H669,"Yes",$M$511:M669,M669),"")</f>
        <v/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:40" ht="22" customHeight="1">
      <c r="A670" s="1" t="s">
        <v>2688</v>
      </c>
      <c r="B670" s="1" t="s">
        <v>2689</v>
      </c>
      <c r="C670" s="1" t="s">
        <v>2690</v>
      </c>
      <c r="D670" s="1" t="s">
        <v>2189</v>
      </c>
      <c r="E670" s="1" t="s">
        <v>28</v>
      </c>
      <c r="F670" s="1">
        <v>39.960880859935152</v>
      </c>
      <c r="G670" s="1">
        <v>-75.19417975999032</v>
      </c>
      <c r="H670" s="1" t="s">
        <v>436</v>
      </c>
      <c r="I670" s="1"/>
      <c r="J670" s="1"/>
      <c r="K670" s="1"/>
      <c r="L670" s="1" t="s">
        <v>2192</v>
      </c>
      <c r="M670" s="1">
        <f>IF(OR(NOT(ISNUMBER('School Profile'!$K$4)),NOT(ISNUMBER('School Profile'!$K$5)),NOT(ISNUMBER(F670)),NOT(ISNUMBER(G670))),"",3958.7613*2*ASIN(MIN(1,SQRT(SIN(RADIANS(F670-'School Profile'!$K$4)/2)^2+COS(RADIANS('School Profile'!$K$4))*COS(RADIANS(F670))*SIN(RADIANS(G670-'School Profile'!$K$5)/2)^2))))</f>
        <v>3.4448220924189283</v>
      </c>
      <c r="N670" s="1" t="str">
        <f>IF(AND(H670="Yes",ISNUMBER(M670),M670&lt;=1),COUNTIFS($H$511:$H$1010,"Yes",$M$511:$M$1010,"&lt;"&amp;M670)+COUNTIFS($H$511:H670,"Yes",$M$511:M670,M670),"")</f>
        <v/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:40" ht="22" customHeight="1">
      <c r="A671" s="1" t="s">
        <v>2691</v>
      </c>
      <c r="B671" s="1" t="s">
        <v>2692</v>
      </c>
      <c r="C671" s="1" t="s">
        <v>2693</v>
      </c>
      <c r="D671" s="1" t="s">
        <v>2189</v>
      </c>
      <c r="E671" s="1" t="s">
        <v>28</v>
      </c>
      <c r="F671" s="1">
        <v>40.012093367743837</v>
      </c>
      <c r="G671" s="1">
        <v>-75.141997737250136</v>
      </c>
      <c r="H671" s="1" t="s">
        <v>436</v>
      </c>
      <c r="I671" s="1"/>
      <c r="J671" s="1"/>
      <c r="K671" s="1"/>
      <c r="L671" s="1"/>
      <c r="M671" s="1">
        <f>IF(OR(NOT(ISNUMBER('School Profile'!$K$4)),NOT(ISNUMBER('School Profile'!$K$5)),NOT(ISNUMBER(F671)),NOT(ISNUMBER(G671))),"",3958.7613*2*ASIN(MIN(1,SQRT(SIN(RADIANS(F671-'School Profile'!$K$4)/2)^2+COS(RADIANS('School Profile'!$K$4))*COS(RADIANS(F671))*SIN(RADIANS(G671-'School Profile'!$K$5)/2)^2))))</f>
        <v>7.933897849537825</v>
      </c>
      <c r="N671" s="1" t="str">
        <f>IF(AND(H671="Yes",ISNUMBER(M671),M671&lt;=1),COUNTIFS($H$511:$H$1010,"Yes",$M$511:$M$1010,"&lt;"&amp;M671)+COUNTIFS($H$511:H671,"Yes",$M$511:M671,M671),"")</f>
        <v/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:40" ht="22" customHeight="1">
      <c r="A672" s="1" t="s">
        <v>2694</v>
      </c>
      <c r="B672" s="1" t="s">
        <v>2695</v>
      </c>
      <c r="C672" s="1" t="s">
        <v>2696</v>
      </c>
      <c r="D672" s="1" t="s">
        <v>2189</v>
      </c>
      <c r="E672" s="1" t="s">
        <v>28</v>
      </c>
      <c r="F672" s="1">
        <v>39.963143569960522</v>
      </c>
      <c r="G672" s="1">
        <v>-75.202014599997071</v>
      </c>
      <c r="H672" s="1" t="s">
        <v>436</v>
      </c>
      <c r="I672" s="1"/>
      <c r="J672" s="1"/>
      <c r="K672" s="1"/>
      <c r="L672" s="1" t="s">
        <v>2203</v>
      </c>
      <c r="M672" s="1">
        <f>IF(OR(NOT(ISNUMBER('School Profile'!$K$4)),NOT(ISNUMBER('School Profile'!$K$5)),NOT(ISNUMBER(F672)),NOT(ISNUMBER(G672))),"",3958.7613*2*ASIN(MIN(1,SQRT(SIN(RADIANS(F672-'School Profile'!$K$4)/2)^2+COS(RADIANS('School Profile'!$K$4))*COS(RADIANS(F672))*SIN(RADIANS(G672-'School Profile'!$K$5)/2)^2))))</f>
        <v>3.3407742937642304</v>
      </c>
      <c r="N672" s="1" t="str">
        <f>IF(AND(H672="Yes",ISNUMBER(M672),M672&lt;=1),COUNTIFS($H$511:$H$1010,"Yes",$M$511:$M$1010,"&lt;"&amp;M672)+COUNTIFS($H$511:H672,"Yes",$M$511:M672,M672),"")</f>
        <v/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:40" ht="22" customHeight="1">
      <c r="A673" s="1" t="s">
        <v>2697</v>
      </c>
      <c r="B673" s="1" t="s">
        <v>2698</v>
      </c>
      <c r="C673" s="1" t="s">
        <v>2699</v>
      </c>
      <c r="D673" s="1" t="s">
        <v>2207</v>
      </c>
      <c r="E673" s="1" t="s">
        <v>28</v>
      </c>
      <c r="F673" s="1">
        <v>39.951668496020289</v>
      </c>
      <c r="G673" s="1">
        <v>-75.176216855329585</v>
      </c>
      <c r="H673" s="1" t="s">
        <v>88</v>
      </c>
      <c r="I673" s="1"/>
      <c r="J673" s="1"/>
      <c r="K673" s="1"/>
      <c r="L673" s="1" t="s">
        <v>2208</v>
      </c>
      <c r="M673" s="1">
        <f>IF(OR(NOT(ISNUMBER('School Profile'!$K$4)),NOT(ISNUMBER('School Profile'!$K$5)),NOT(ISNUMBER(F673)),NOT(ISNUMBER(G673))),"",3958.7613*2*ASIN(MIN(1,SQRT(SIN(RADIANS(F673-'School Profile'!$K$4)/2)^2+COS(RADIANS('School Profile'!$K$4))*COS(RADIANS(F673))*SIN(RADIANS(G673-'School Profile'!$K$5)/2)^2))))</f>
        <v>3.7060478106852992</v>
      </c>
      <c r="N673" s="1" t="str">
        <f>IF(AND(H673="Yes",ISNUMBER(M673),M673&lt;=1),COUNTIFS($H$511:$H$1010,"Yes",$M$511:$M$1010,"&lt;"&amp;M673)+COUNTIFS($H$511:H673,"Yes",$M$511:M673,M673),"")</f>
        <v/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:40" ht="22" customHeight="1">
      <c r="A674" s="1" t="s">
        <v>2700</v>
      </c>
      <c r="B674" s="1" t="s">
        <v>2701</v>
      </c>
      <c r="C674" s="1" t="s">
        <v>2702</v>
      </c>
      <c r="D674" s="1" t="s">
        <v>2215</v>
      </c>
      <c r="E674" s="1" t="s">
        <v>28</v>
      </c>
      <c r="F674" s="1">
        <v>40.027630109903512</v>
      </c>
      <c r="G674" s="1">
        <v>-75.214027199861405</v>
      </c>
      <c r="H674" s="1" t="s">
        <v>88</v>
      </c>
      <c r="I674" s="1"/>
      <c r="J674" s="1"/>
      <c r="K674" s="1"/>
      <c r="L674" s="1" t="s">
        <v>2216</v>
      </c>
      <c r="M674" s="1">
        <f>IF(OR(NOT(ISNUMBER('School Profile'!$K$4)),NOT(ISNUMBER('School Profile'!$K$5)),NOT(ISNUMBER(F674)),NOT(ISNUMBER(G674))),"",3958.7613*2*ASIN(MIN(1,SQRT(SIN(RADIANS(F674-'School Profile'!$K$4)/2)^2+COS(RADIANS('School Profile'!$K$4))*COS(RADIANS(F674))*SIN(RADIANS(G674-'School Profile'!$K$5)/2)^2))))</f>
        <v>7.4093570157004214</v>
      </c>
      <c r="N674" s="1" t="str">
        <f>IF(AND(H674="Yes",ISNUMBER(M674),M674&lt;=1),COUNTIFS($H$511:$H$1010,"Yes",$M$511:$M$1010,"&lt;"&amp;M674)+COUNTIFS($H$511:H674,"Yes",$M$511:M674,M674),"")</f>
        <v/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:40" ht="22" customHeight="1">
      <c r="A675" s="1" t="s">
        <v>2703</v>
      </c>
      <c r="B675" s="1" t="s">
        <v>2704</v>
      </c>
      <c r="C675" s="1" t="s">
        <v>2705</v>
      </c>
      <c r="D675" s="1" t="s">
        <v>2189</v>
      </c>
      <c r="E675" s="1" t="s">
        <v>28</v>
      </c>
      <c r="F675" s="1">
        <v>39.962474033290768</v>
      </c>
      <c r="G675" s="1">
        <v>-75.206327715306699</v>
      </c>
      <c r="H675" s="1" t="s">
        <v>436</v>
      </c>
      <c r="I675" s="1"/>
      <c r="J675" s="1"/>
      <c r="K675" s="1"/>
      <c r="L675" s="1" t="s">
        <v>2203</v>
      </c>
      <c r="M675" s="1">
        <f>IF(OR(NOT(ISNUMBER('School Profile'!$K$4)),NOT(ISNUMBER('School Profile'!$K$5)),NOT(ISNUMBER(F675)),NOT(ISNUMBER(G675))),"",3958.7613*2*ASIN(MIN(1,SQRT(SIN(RADIANS(F675-'School Profile'!$K$4)/2)^2+COS(RADIANS('School Profile'!$K$4))*COS(RADIANS(F675))*SIN(RADIANS(G675-'School Profile'!$K$5)/2)^2))))</f>
        <v>3.1895615296405655</v>
      </c>
      <c r="N675" s="1" t="str">
        <f>IF(AND(H675="Yes",ISNUMBER(M675),M675&lt;=1),COUNTIFS($H$511:$H$1010,"Yes",$M$511:$M$1010,"&lt;"&amp;M675)+COUNTIFS($H$511:H675,"Yes",$M$511:M675,M675),"")</f>
        <v/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:40" ht="22" customHeight="1">
      <c r="A676" s="1" t="s">
        <v>2706</v>
      </c>
      <c r="B676" s="1" t="s">
        <v>2707</v>
      </c>
      <c r="C676" s="1" t="s">
        <v>2708</v>
      </c>
      <c r="D676" s="1" t="s">
        <v>2189</v>
      </c>
      <c r="E676" s="1" t="s">
        <v>28</v>
      </c>
      <c r="F676" s="1">
        <v>39.956959939770407</v>
      </c>
      <c r="G676" s="1">
        <v>-75.205631720387515</v>
      </c>
      <c r="H676" s="1" t="s">
        <v>436</v>
      </c>
      <c r="I676" s="1"/>
      <c r="J676" s="1"/>
      <c r="K676" s="1"/>
      <c r="L676" s="1" t="s">
        <v>2203</v>
      </c>
      <c r="M676" s="1">
        <f>IF(OR(NOT(ISNUMBER('School Profile'!$K$4)),NOT(ISNUMBER('School Profile'!$K$5)),NOT(ISNUMBER(F676)),NOT(ISNUMBER(G676))),"",3958.7613*2*ASIN(MIN(1,SQRT(SIN(RADIANS(F676-'School Profile'!$K$4)/2)^2+COS(RADIANS('School Profile'!$K$4))*COS(RADIANS(F676))*SIN(RADIANS(G676-'School Profile'!$K$5)/2)^2))))</f>
        <v>2.8759328205192913</v>
      </c>
      <c r="N676" s="1" t="str">
        <f>IF(AND(H676="Yes",ISNUMBER(M676),M676&lt;=1),COUNTIFS($H$511:$H$1010,"Yes",$M$511:$M$1010,"&lt;"&amp;M676)+COUNTIFS($H$511:H676,"Yes",$M$511:M676,M676),"")</f>
        <v/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:40" ht="22" customHeight="1">
      <c r="A677" s="1" t="s">
        <v>2709</v>
      </c>
      <c r="B677" s="1" t="s">
        <v>2710</v>
      </c>
      <c r="C677" s="1" t="s">
        <v>2711</v>
      </c>
      <c r="D677" s="1" t="s">
        <v>2256</v>
      </c>
      <c r="E677" s="1" t="s">
        <v>28</v>
      </c>
      <c r="F677" s="1">
        <v>40.01626080013623</v>
      </c>
      <c r="G677" s="1">
        <v>-75.134167389718115</v>
      </c>
      <c r="H677" s="1" t="s">
        <v>88</v>
      </c>
      <c r="I677" s="1"/>
      <c r="J677" s="1"/>
      <c r="K677" s="1"/>
      <c r="L677" s="1" t="s">
        <v>2712</v>
      </c>
      <c r="M677" s="1">
        <f>IF(OR(NOT(ISNUMBER('School Profile'!$K$4)),NOT(ISNUMBER('School Profile'!$K$5)),NOT(ISNUMBER(F677)),NOT(ISNUMBER(G677))),"",3958.7613*2*ASIN(MIN(1,SQRT(SIN(RADIANS(F677-'School Profile'!$K$4)/2)^2+COS(RADIANS('School Profile'!$K$4))*COS(RADIANS(F677))*SIN(RADIANS(G677-'School Profile'!$K$5)/2)^2))))</f>
        <v>8.4170900574422909</v>
      </c>
      <c r="N677" s="1" t="str">
        <f>IF(AND(H677="Yes",ISNUMBER(M677),M677&lt;=1),COUNTIFS($H$511:$H$1010,"Yes",$M$511:$M$1010,"&lt;"&amp;M677)+COUNTIFS($H$511:H677,"Yes",$M$511:M677,M677),"")</f>
        <v/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:40" ht="22" customHeight="1">
      <c r="A678" s="1" t="s">
        <v>2713</v>
      </c>
      <c r="B678" s="1" t="s">
        <v>2714</v>
      </c>
      <c r="C678" s="1" t="s">
        <v>2715</v>
      </c>
      <c r="D678" s="1" t="s">
        <v>2189</v>
      </c>
      <c r="E678" s="1" t="s">
        <v>28</v>
      </c>
      <c r="F678" s="1">
        <v>40.011561419930899</v>
      </c>
      <c r="G678" s="1">
        <v>-75.08627001018462</v>
      </c>
      <c r="H678" s="1" t="s">
        <v>436</v>
      </c>
      <c r="I678" s="1"/>
      <c r="J678" s="1"/>
      <c r="K678" s="1"/>
      <c r="L678" s="1"/>
      <c r="M678" s="1">
        <f>IF(OR(NOT(ISNUMBER('School Profile'!$K$4)),NOT(ISNUMBER('School Profile'!$K$5)),NOT(ISNUMBER(F678)),NOT(ISNUMBER(G678))),"",3958.7613*2*ASIN(MIN(1,SQRT(SIN(RADIANS(F678-'School Profile'!$K$4)/2)^2+COS(RADIANS('School Profile'!$K$4))*COS(RADIANS(F678))*SIN(RADIANS(G678-'School Profile'!$K$5)/2)^2))))</f>
        <v>9.9984331352913252</v>
      </c>
      <c r="N678" s="1" t="str">
        <f>IF(AND(H678="Yes",ISNUMBER(M678),M678&lt;=1),COUNTIFS($H$511:$H$1010,"Yes",$M$511:$M$1010,"&lt;"&amp;M678)+COUNTIFS($H$511:H678,"Yes",$M$511:M678,M678),"")</f>
        <v/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:40" ht="22" customHeight="1">
      <c r="A679" s="1" t="s">
        <v>2716</v>
      </c>
      <c r="B679" s="1" t="s">
        <v>2717</v>
      </c>
      <c r="C679" s="1" t="s">
        <v>2718</v>
      </c>
      <c r="D679" s="1" t="s">
        <v>2189</v>
      </c>
      <c r="E679" s="1" t="s">
        <v>28</v>
      </c>
      <c r="F679" s="1">
        <v>40.011277669756133</v>
      </c>
      <c r="G679" s="1">
        <v>-75.084577645274763</v>
      </c>
      <c r="H679" s="1" t="s">
        <v>436</v>
      </c>
      <c r="I679" s="1"/>
      <c r="J679" s="1"/>
      <c r="K679" s="1"/>
      <c r="L679" s="1" t="s">
        <v>2203</v>
      </c>
      <c r="M679" s="1">
        <f>IF(OR(NOT(ISNUMBER('School Profile'!$K$4)),NOT(ISNUMBER('School Profile'!$K$5)),NOT(ISNUMBER(F679)),NOT(ISNUMBER(G679))),"",3958.7613*2*ASIN(MIN(1,SQRT(SIN(RADIANS(F679-'School Profile'!$K$4)/2)^2+COS(RADIANS('School Profile'!$K$4))*COS(RADIANS(F679))*SIN(RADIANS(G679-'School Profile'!$K$5)/2)^2))))</f>
        <v>10.056641248273246</v>
      </c>
      <c r="N679" s="1" t="str">
        <f>IF(AND(H679="Yes",ISNUMBER(M679),M679&lt;=1),COUNTIFS($H$511:$H$1010,"Yes",$M$511:$M$1010,"&lt;"&amp;M679)+COUNTIFS($H$511:H679,"Yes",$M$511:M679,M679),"")</f>
        <v/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:40" ht="22" customHeight="1">
      <c r="A680" s="1" t="s">
        <v>2719</v>
      </c>
      <c r="B680" s="1" t="s">
        <v>2720</v>
      </c>
      <c r="C680" s="1" t="s">
        <v>2721</v>
      </c>
      <c r="D680" s="1" t="s">
        <v>2189</v>
      </c>
      <c r="E680" s="1" t="s">
        <v>28</v>
      </c>
      <c r="F680" s="1">
        <v>40.019076564298516</v>
      </c>
      <c r="G680" s="1">
        <v>-75.135061693126161</v>
      </c>
      <c r="H680" s="1" t="s">
        <v>436</v>
      </c>
      <c r="I680" s="1"/>
      <c r="J680" s="1"/>
      <c r="K680" s="1"/>
      <c r="L680" s="1" t="s">
        <v>2203</v>
      </c>
      <c r="M680" s="1">
        <f>IF(OR(NOT(ISNUMBER('School Profile'!$K$4)),NOT(ISNUMBER('School Profile'!$K$5)),NOT(ISNUMBER(F680)),NOT(ISNUMBER(G680))),"",3958.7613*2*ASIN(MIN(1,SQRT(SIN(RADIANS(F680-'School Profile'!$K$4)/2)^2+COS(RADIANS('School Profile'!$K$4))*COS(RADIANS(F680))*SIN(RADIANS(G680-'School Profile'!$K$5)/2)^2))))</f>
        <v>8.5400852002132659</v>
      </c>
      <c r="N680" s="1" t="str">
        <f>IF(AND(H680="Yes",ISNUMBER(M680),M680&lt;=1),COUNTIFS($H$511:$H$1010,"Yes",$M$511:$M$1010,"&lt;"&amp;M680)+COUNTIFS($H$511:H680,"Yes",$M$511:M680,M680),"")</f>
        <v/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:40" ht="22" customHeight="1">
      <c r="A681" s="1" t="s">
        <v>2722</v>
      </c>
      <c r="B681" s="1" t="s">
        <v>2723</v>
      </c>
      <c r="C681" s="1" t="s">
        <v>2724</v>
      </c>
      <c r="D681" s="1" t="s">
        <v>2189</v>
      </c>
      <c r="E681" s="1" t="s">
        <v>28</v>
      </c>
      <c r="F681" s="1">
        <v>40.01987578969775</v>
      </c>
      <c r="G681" s="1">
        <v>-75.059050459696124</v>
      </c>
      <c r="H681" s="1" t="s">
        <v>436</v>
      </c>
      <c r="I681" s="1"/>
      <c r="J681" s="1"/>
      <c r="K681" s="1"/>
      <c r="L681" s="1" t="s">
        <v>2192</v>
      </c>
      <c r="M681" s="1">
        <f>IF(OR(NOT(ISNUMBER('School Profile'!$K$4)),NOT(ISNUMBER('School Profile'!$K$5)),NOT(ISNUMBER(F681)),NOT(ISNUMBER(G681))),"",3958.7613*2*ASIN(MIN(1,SQRT(SIN(RADIANS(F681-'School Profile'!$K$4)/2)^2+COS(RADIANS('School Profile'!$K$4))*COS(RADIANS(F681))*SIN(RADIANS(G681-'School Profile'!$K$5)/2)^2))))</f>
        <v>11.492433491224087</v>
      </c>
      <c r="N681" s="1" t="str">
        <f>IF(AND(H681="Yes",ISNUMBER(M681),M681&lt;=1),COUNTIFS($H$511:$H$1010,"Yes",$M$511:$M$1010,"&lt;"&amp;M681)+COUNTIFS($H$511:H681,"Yes",$M$511:M681,M681),"")</f>
        <v/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:40" ht="22" customHeight="1">
      <c r="A682" s="1" t="s">
        <v>2725</v>
      </c>
      <c r="B682" s="1" t="s">
        <v>2726</v>
      </c>
      <c r="C682" s="1" t="s">
        <v>2727</v>
      </c>
      <c r="D682" s="1" t="s">
        <v>2189</v>
      </c>
      <c r="E682" s="1" t="s">
        <v>28</v>
      </c>
      <c r="F682" s="1">
        <v>39.962622474143927</v>
      </c>
      <c r="G682" s="1">
        <v>-75.213327653901899</v>
      </c>
      <c r="H682" s="1" t="s">
        <v>436</v>
      </c>
      <c r="I682" s="1"/>
      <c r="J682" s="1"/>
      <c r="K682" s="1"/>
      <c r="L682" s="1" t="s">
        <v>2203</v>
      </c>
      <c r="M682" s="1">
        <f>IF(OR(NOT(ISNUMBER('School Profile'!$K$4)),NOT(ISNUMBER('School Profile'!$K$5)),NOT(ISNUMBER(F682)),NOT(ISNUMBER(G682))),"",3958.7613*2*ASIN(MIN(1,SQRT(SIN(RADIANS(F682-'School Profile'!$K$4)/2)^2+COS(RADIANS('School Profile'!$K$4))*COS(RADIANS(F682))*SIN(RADIANS(G682-'School Profile'!$K$5)/2)^2))))</f>
        <v>3.0462520498492256</v>
      </c>
      <c r="N682" s="1" t="str">
        <f>IF(AND(H682="Yes",ISNUMBER(M682),M682&lt;=1),COUNTIFS($H$511:$H$1010,"Yes",$M$511:$M$1010,"&lt;"&amp;M682)+COUNTIFS($H$511:H682,"Yes",$M$511:M682,M682),"")</f>
        <v/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:40" ht="22" customHeight="1">
      <c r="A683" s="1" t="s">
        <v>2728</v>
      </c>
      <c r="B683" s="1" t="s">
        <v>2726</v>
      </c>
      <c r="C683" s="1" t="s">
        <v>2727</v>
      </c>
      <c r="D683" s="1" t="s">
        <v>2207</v>
      </c>
      <c r="E683" s="1" t="s">
        <v>28</v>
      </c>
      <c r="F683" s="1">
        <v>39.962622474143927</v>
      </c>
      <c r="G683" s="1">
        <v>-75.213327653901899</v>
      </c>
      <c r="H683" s="1" t="s">
        <v>88</v>
      </c>
      <c r="I683" s="1"/>
      <c r="J683" s="1"/>
      <c r="K683" s="1"/>
      <c r="L683" s="1" t="s">
        <v>2203</v>
      </c>
      <c r="M683" s="1">
        <f>IF(OR(NOT(ISNUMBER('School Profile'!$K$4)),NOT(ISNUMBER('School Profile'!$K$5)),NOT(ISNUMBER(F683)),NOT(ISNUMBER(G683))),"",3958.7613*2*ASIN(MIN(1,SQRT(SIN(RADIANS(F683-'School Profile'!$K$4)/2)^2+COS(RADIANS('School Profile'!$K$4))*COS(RADIANS(F683))*SIN(RADIANS(G683-'School Profile'!$K$5)/2)^2))))</f>
        <v>3.0462520498492256</v>
      </c>
      <c r="N683" s="1" t="str">
        <f>IF(AND(H683="Yes",ISNUMBER(M683),M683&lt;=1),COUNTIFS($H$511:$H$1010,"Yes",$M$511:$M$1010,"&lt;"&amp;M683)+COUNTIFS($H$511:H683,"Yes",$M$511:M683,M683),"")</f>
        <v/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:40" ht="22" customHeight="1">
      <c r="A684" s="1" t="s">
        <v>2729</v>
      </c>
      <c r="B684" s="1" t="s">
        <v>2730</v>
      </c>
      <c r="C684" s="1" t="s">
        <v>2731</v>
      </c>
      <c r="D684" s="1" t="s">
        <v>2189</v>
      </c>
      <c r="E684" s="1" t="s">
        <v>28</v>
      </c>
      <c r="F684" s="1">
        <v>40.042348960806407</v>
      </c>
      <c r="G684" s="1">
        <v>-75.170999712348959</v>
      </c>
      <c r="H684" s="1" t="s">
        <v>436</v>
      </c>
      <c r="I684" s="1"/>
      <c r="J684" s="1"/>
      <c r="K684" s="1"/>
      <c r="L684" s="1"/>
      <c r="M684" s="1">
        <f>IF(OR(NOT(ISNUMBER('School Profile'!$K$4)),NOT(ISNUMBER('School Profile'!$K$5)),NOT(ISNUMBER(F684)),NOT(ISNUMBER(G684))),"",3958.7613*2*ASIN(MIN(1,SQRT(SIN(RADIANS(F684-'School Profile'!$K$4)/2)^2+COS(RADIANS('School Profile'!$K$4))*COS(RADIANS(F684))*SIN(RADIANS(G684-'School Profile'!$K$5)/2)^2))))</f>
        <v>8.9926564544955667</v>
      </c>
      <c r="N684" s="1" t="str">
        <f>IF(AND(H684="Yes",ISNUMBER(M684),M684&lt;=1),COUNTIFS($H$511:$H$1010,"Yes",$M$511:$M$1010,"&lt;"&amp;M684)+COUNTIFS($H$511:H684,"Yes",$M$511:M684,M684),"")</f>
        <v/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:40" ht="22" customHeight="1">
      <c r="A685" s="1" t="s">
        <v>2732</v>
      </c>
      <c r="B685" s="1" t="s">
        <v>2733</v>
      </c>
      <c r="C685" s="1" t="s">
        <v>2734</v>
      </c>
      <c r="D685" s="1" t="s">
        <v>2189</v>
      </c>
      <c r="E685" s="1" t="s">
        <v>28</v>
      </c>
      <c r="F685" s="1">
        <v>39.944335121744494</v>
      </c>
      <c r="G685" s="1">
        <v>-75.209760982897819</v>
      </c>
      <c r="H685" s="1" t="s">
        <v>436</v>
      </c>
      <c r="I685" s="1"/>
      <c r="J685" s="1"/>
      <c r="K685" s="1"/>
      <c r="L685" s="1" t="s">
        <v>2735</v>
      </c>
      <c r="M685" s="1">
        <f>IF(OR(NOT(ISNUMBER('School Profile'!$K$4)),NOT(ISNUMBER('School Profile'!$K$5)),NOT(ISNUMBER(F685)),NOT(ISNUMBER(G685))),"",3958.7613*2*ASIN(MIN(1,SQRT(SIN(RADIANS(F685-'School Profile'!$K$4)/2)^2+COS(RADIANS('School Profile'!$K$4))*COS(RADIANS(F685))*SIN(RADIANS(G685-'School Profile'!$K$5)/2)^2))))</f>
        <v>2.0363275146916804</v>
      </c>
      <c r="N685" s="1" t="str">
        <f>IF(AND(H685="Yes",ISNUMBER(M685),M685&lt;=1),COUNTIFS($H$511:$H$1010,"Yes",$M$511:$M$1010,"&lt;"&amp;M685)+COUNTIFS($H$511:H685,"Yes",$M$511:M685,M685),"")</f>
        <v/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:40" ht="22" customHeight="1">
      <c r="A686" s="1" t="s">
        <v>2736</v>
      </c>
      <c r="B686" s="1" t="s">
        <v>2737</v>
      </c>
      <c r="C686" s="1" t="s">
        <v>2738</v>
      </c>
      <c r="D686" s="1" t="s">
        <v>2189</v>
      </c>
      <c r="E686" s="1" t="s">
        <v>28</v>
      </c>
      <c r="F686" s="1">
        <v>40.020195710037214</v>
      </c>
      <c r="G686" s="1">
        <v>-75.056380140258966</v>
      </c>
      <c r="H686" s="1" t="s">
        <v>436</v>
      </c>
      <c r="I686" s="1"/>
      <c r="J686" s="1"/>
      <c r="K686" s="1"/>
      <c r="L686" s="1" t="s">
        <v>2203</v>
      </c>
      <c r="M686" s="1">
        <f>IF(OR(NOT(ISNUMBER('School Profile'!$K$4)),NOT(ISNUMBER('School Profile'!$K$5)),NOT(ISNUMBER(F686)),NOT(ISNUMBER(G686))),"",3958.7613*2*ASIN(MIN(1,SQRT(SIN(RADIANS(F686-'School Profile'!$K$4)/2)^2+COS(RADIANS('School Profile'!$K$4))*COS(RADIANS(F686))*SIN(RADIANS(G686-'School Profile'!$K$5)/2)^2))))</f>
        <v>11.619689111221767</v>
      </c>
      <c r="N686" s="1" t="str">
        <f>IF(AND(H686="Yes",ISNUMBER(M686),M686&lt;=1),COUNTIFS($H$511:$H$1010,"Yes",$M$511:$M$1010,"&lt;"&amp;M686)+COUNTIFS($H$511:H686,"Yes",$M$511:M686,M686),"")</f>
        <v/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:40" ht="22" customHeight="1">
      <c r="A687" s="1" t="s">
        <v>2739</v>
      </c>
      <c r="B687" s="1" t="s">
        <v>2737</v>
      </c>
      <c r="C687" s="1" t="s">
        <v>2738</v>
      </c>
      <c r="D687" s="1" t="s">
        <v>2207</v>
      </c>
      <c r="E687" s="1" t="s">
        <v>28</v>
      </c>
      <c r="F687" s="1">
        <v>40.020195710037214</v>
      </c>
      <c r="G687" s="1">
        <v>-75.056380140258966</v>
      </c>
      <c r="H687" s="1" t="s">
        <v>88</v>
      </c>
      <c r="I687" s="1"/>
      <c r="J687" s="1"/>
      <c r="K687" s="1"/>
      <c r="L687" s="1" t="s">
        <v>2203</v>
      </c>
      <c r="M687" s="1">
        <f>IF(OR(NOT(ISNUMBER('School Profile'!$K$4)),NOT(ISNUMBER('School Profile'!$K$5)),NOT(ISNUMBER(F687)),NOT(ISNUMBER(G687))),"",3958.7613*2*ASIN(MIN(1,SQRT(SIN(RADIANS(F687-'School Profile'!$K$4)/2)^2+COS(RADIANS('School Profile'!$K$4))*COS(RADIANS(F687))*SIN(RADIANS(G687-'School Profile'!$K$5)/2)^2))))</f>
        <v>11.619689111221767</v>
      </c>
      <c r="N687" s="1" t="str">
        <f>IF(AND(H687="Yes",ISNUMBER(M687),M687&lt;=1),COUNTIFS($H$511:$H$1010,"Yes",$M$511:$M$1010,"&lt;"&amp;M687)+COUNTIFS($H$511:H687,"Yes",$M$511:M687,M687),"")</f>
        <v/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:40" ht="22" customHeight="1">
      <c r="A688" s="1" t="s">
        <v>2740</v>
      </c>
      <c r="B688" s="1" t="s">
        <v>2741</v>
      </c>
      <c r="C688" s="1" t="s">
        <v>2742</v>
      </c>
      <c r="D688" s="1" t="s">
        <v>2189</v>
      </c>
      <c r="E688" s="1" t="s">
        <v>28</v>
      </c>
      <c r="F688" s="1">
        <v>40.024266760666144</v>
      </c>
      <c r="G688" s="1">
        <v>-75.149733131060003</v>
      </c>
      <c r="H688" s="1" t="s">
        <v>436</v>
      </c>
      <c r="I688" s="1"/>
      <c r="J688" s="1"/>
      <c r="K688" s="1"/>
      <c r="L688" s="1" t="s">
        <v>2203</v>
      </c>
      <c r="M688" s="1">
        <f>IF(OR(NOT(ISNUMBER('School Profile'!$K$4)),NOT(ISNUMBER('School Profile'!$K$5)),NOT(ISNUMBER(F688)),NOT(ISNUMBER(G688))),"",3958.7613*2*ASIN(MIN(1,SQRT(SIN(RADIANS(F688-'School Profile'!$K$4)/2)^2+COS(RADIANS('School Profile'!$K$4))*COS(RADIANS(F688))*SIN(RADIANS(G688-'School Profile'!$K$5)/2)^2))))</f>
        <v>8.3877653641255012</v>
      </c>
      <c r="N688" s="1" t="str">
        <f>IF(AND(H688="Yes",ISNUMBER(M688),M688&lt;=1),COUNTIFS($H$511:$H$1010,"Yes",$M$511:$M$1010,"&lt;"&amp;M688)+COUNTIFS($H$511:H688,"Yes",$M$511:M688,M688),"")</f>
        <v/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:40" ht="22" customHeight="1">
      <c r="A689" s="1" t="s">
        <v>2743</v>
      </c>
      <c r="B689" s="1" t="s">
        <v>2744</v>
      </c>
      <c r="C689" s="1" t="s">
        <v>2745</v>
      </c>
      <c r="D689" s="1" t="s">
        <v>2256</v>
      </c>
      <c r="E689" s="1" t="s">
        <v>28</v>
      </c>
      <c r="F689" s="1">
        <v>40.035131660023005</v>
      </c>
      <c r="G689" s="1">
        <v>-75.176082990182579</v>
      </c>
      <c r="H689" s="1" t="s">
        <v>88</v>
      </c>
      <c r="I689" s="1"/>
      <c r="J689" s="1"/>
      <c r="K689" s="1"/>
      <c r="L689" s="1" t="s">
        <v>2257</v>
      </c>
      <c r="M689" s="1">
        <f>IF(OR(NOT(ISNUMBER('School Profile'!$K$4)),NOT(ISNUMBER('School Profile'!$K$5)),NOT(ISNUMBER(F689)),NOT(ISNUMBER(G689))),"",3958.7613*2*ASIN(MIN(1,SQRT(SIN(RADIANS(F689-'School Profile'!$K$4)/2)^2+COS(RADIANS('School Profile'!$K$4))*COS(RADIANS(F689))*SIN(RADIANS(G689-'School Profile'!$K$5)/2)^2))))</f>
        <v>8.4300245795386868</v>
      </c>
      <c r="N689" s="1" t="str">
        <f>IF(AND(H689="Yes",ISNUMBER(M689),M689&lt;=1),COUNTIFS($H$511:$H$1010,"Yes",$M$511:$M$1010,"&lt;"&amp;M689)+COUNTIFS($H$511:H689,"Yes",$M$511:M689,M689),"")</f>
        <v/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:40" ht="22" customHeight="1">
      <c r="A690" s="1" t="s">
        <v>2746</v>
      </c>
      <c r="B690" s="1" t="s">
        <v>2747</v>
      </c>
      <c r="C690" s="1" t="s">
        <v>2748</v>
      </c>
      <c r="D690" s="1" t="s">
        <v>2215</v>
      </c>
      <c r="E690" s="1" t="s">
        <v>28</v>
      </c>
      <c r="F690" s="1">
        <v>39.946730169733854</v>
      </c>
      <c r="G690" s="1">
        <v>-75.215080709890643</v>
      </c>
      <c r="H690" s="1" t="s">
        <v>88</v>
      </c>
      <c r="I690" s="1"/>
      <c r="J690" s="1"/>
      <c r="K690" s="1"/>
      <c r="L690" s="1" t="s">
        <v>2216</v>
      </c>
      <c r="M690" s="1">
        <f>IF(OR(NOT(ISNUMBER('School Profile'!$K$4)),NOT(ISNUMBER('School Profile'!$K$5)),NOT(ISNUMBER(F690)),NOT(ISNUMBER(G690))),"",3958.7613*2*ASIN(MIN(1,SQRT(SIN(RADIANS(F690-'School Profile'!$K$4)/2)^2+COS(RADIANS('School Profile'!$K$4))*COS(RADIANS(F690))*SIN(RADIANS(G690-'School Profile'!$K$5)/2)^2))))</f>
        <v>2.0124888500430949</v>
      </c>
      <c r="N690" s="1" t="str">
        <f>IF(AND(H690="Yes",ISNUMBER(M690),M690&lt;=1),COUNTIFS($H$511:$H$1010,"Yes",$M$511:$M$1010,"&lt;"&amp;M690)+COUNTIFS($H$511:H690,"Yes",$M$511:M690,M690),"")</f>
        <v/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:40" ht="22" customHeight="1">
      <c r="A691" s="1" t="s">
        <v>2749</v>
      </c>
      <c r="B691" s="1" t="s">
        <v>2750</v>
      </c>
      <c r="C691" s="1" t="s">
        <v>2751</v>
      </c>
      <c r="D691" s="1" t="s">
        <v>2189</v>
      </c>
      <c r="E691" s="1" t="s">
        <v>28</v>
      </c>
      <c r="F691" s="1">
        <v>39.969868269722681</v>
      </c>
      <c r="G691" s="1">
        <v>-75.2162266197317</v>
      </c>
      <c r="H691" s="1" t="s">
        <v>436</v>
      </c>
      <c r="I691" s="1"/>
      <c r="J691" s="1"/>
      <c r="K691" s="1"/>
      <c r="L691" s="1" t="s">
        <v>2192</v>
      </c>
      <c r="M691" s="1">
        <f>IF(OR(NOT(ISNUMBER('School Profile'!$K$4)),NOT(ISNUMBER('School Profile'!$K$5)),NOT(ISNUMBER(F691)),NOT(ISNUMBER(G691))),"",3958.7613*2*ASIN(MIN(1,SQRT(SIN(RADIANS(F691-'School Profile'!$K$4)/2)^2+COS(RADIANS('School Profile'!$K$4))*COS(RADIANS(F691))*SIN(RADIANS(G691-'School Profile'!$K$5)/2)^2))))</f>
        <v>3.4729848845717117</v>
      </c>
      <c r="N691" s="1" t="str">
        <f>IF(AND(H691="Yes",ISNUMBER(M691),M691&lt;=1),COUNTIFS($H$511:$H$1010,"Yes",$M$511:$M$1010,"&lt;"&amp;M691)+COUNTIFS($H$511:H691,"Yes",$M$511:M691,M691),"")</f>
        <v/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:40" ht="22" customHeight="1">
      <c r="A692" s="1" t="s">
        <v>2752</v>
      </c>
      <c r="B692" s="1" t="s">
        <v>2753</v>
      </c>
      <c r="C692" s="1" t="s">
        <v>2754</v>
      </c>
      <c r="D692" s="1" t="s">
        <v>2189</v>
      </c>
      <c r="E692" s="1" t="s">
        <v>28</v>
      </c>
      <c r="F692" s="1">
        <v>40.025442059986716</v>
      </c>
      <c r="G692" s="1">
        <v>-75.147907260329276</v>
      </c>
      <c r="H692" s="1" t="s">
        <v>436</v>
      </c>
      <c r="I692" s="1"/>
      <c r="J692" s="1"/>
      <c r="K692" s="1"/>
      <c r="L692" s="1" t="s">
        <v>2192</v>
      </c>
      <c r="M692" s="1">
        <f>IF(OR(NOT(ISNUMBER('School Profile'!$K$4)),NOT(ISNUMBER('School Profile'!$K$5)),NOT(ISNUMBER(F692)),NOT(ISNUMBER(G692))),"",3958.7613*2*ASIN(MIN(1,SQRT(SIN(RADIANS(F692-'School Profile'!$K$4)/2)^2+COS(RADIANS('School Profile'!$K$4))*COS(RADIANS(F692))*SIN(RADIANS(G692-'School Profile'!$K$5)/2)^2))))</f>
        <v>8.508039410756826</v>
      </c>
      <c r="N692" s="1" t="str">
        <f>IF(AND(H692="Yes",ISNUMBER(M692),M692&lt;=1),COUNTIFS($H$511:$H$1010,"Yes",$M$511:$M$1010,"&lt;"&amp;M692)+COUNTIFS($H$511:H692,"Yes",$M$511:M692,M692),"")</f>
        <v/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:40" ht="22" customHeight="1">
      <c r="A693" s="1" t="s">
        <v>2755</v>
      </c>
      <c r="B693" s="1" t="s">
        <v>2756</v>
      </c>
      <c r="C693" s="1" t="s">
        <v>2757</v>
      </c>
      <c r="D693" s="1" t="s">
        <v>2189</v>
      </c>
      <c r="E693" s="1" t="s">
        <v>28</v>
      </c>
      <c r="F693" s="1">
        <v>40.014608498266853</v>
      </c>
      <c r="G693" s="1">
        <v>-75.077688700719449</v>
      </c>
      <c r="H693" s="1" t="s">
        <v>436</v>
      </c>
      <c r="I693" s="1"/>
      <c r="J693" s="1"/>
      <c r="K693" s="1"/>
      <c r="L693" s="1"/>
      <c r="M693" s="1">
        <f>IF(OR(NOT(ISNUMBER('School Profile'!$K$4)),NOT(ISNUMBER('School Profile'!$K$5)),NOT(ISNUMBER(F693)),NOT(ISNUMBER(G693))),"",3958.7613*2*ASIN(MIN(1,SQRT(SIN(RADIANS(F693-'School Profile'!$K$4)/2)^2+COS(RADIANS('School Profile'!$K$4))*COS(RADIANS(F693))*SIN(RADIANS(G693-'School Profile'!$K$5)/2)^2))))</f>
        <v>10.485663892999286</v>
      </c>
      <c r="N693" s="1" t="str">
        <f>IF(AND(H693="Yes",ISNUMBER(M693),M693&lt;=1),COUNTIFS($H$511:$H$1010,"Yes",$M$511:$M$1010,"&lt;"&amp;M693)+COUNTIFS($H$511:H693,"Yes",$M$511:M693,M693),"")</f>
        <v/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:40" ht="22" customHeight="1">
      <c r="A694" s="1" t="s">
        <v>2758</v>
      </c>
      <c r="B694" s="1" t="s">
        <v>2759</v>
      </c>
      <c r="C694" s="1" t="s">
        <v>2760</v>
      </c>
      <c r="D694" s="1" t="s">
        <v>2215</v>
      </c>
      <c r="E694" s="1" t="s">
        <v>28</v>
      </c>
      <c r="F694" s="1">
        <v>40.017980619822701</v>
      </c>
      <c r="G694" s="1">
        <v>-75.083265970212679</v>
      </c>
      <c r="H694" s="1" t="s">
        <v>88</v>
      </c>
      <c r="I694" s="1"/>
      <c r="J694" s="1"/>
      <c r="K694" s="1"/>
      <c r="L694" s="1" t="s">
        <v>2216</v>
      </c>
      <c r="M694" s="1">
        <f>IF(OR(NOT(ISNUMBER('School Profile'!$K$4)),NOT(ISNUMBER('School Profile'!$K$5)),NOT(ISNUMBER(F694)),NOT(ISNUMBER(G694))),"",3958.7613*2*ASIN(MIN(1,SQRT(SIN(RADIANS(F694-'School Profile'!$K$4)/2)^2+COS(RADIANS('School Profile'!$K$4))*COS(RADIANS(F694))*SIN(RADIANS(G694-'School Profile'!$K$5)/2)^2))))</f>
        <v>10.401658760183139</v>
      </c>
      <c r="N694" s="1" t="str">
        <f>IF(AND(H694="Yes",ISNUMBER(M694),M694&lt;=1),COUNTIFS($H$511:$H$1010,"Yes",$M$511:$M$1010,"&lt;"&amp;M694)+COUNTIFS($H$511:H694,"Yes",$M$511:M694,M694),"")</f>
        <v/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:40" ht="22" customHeight="1">
      <c r="A695" s="1" t="s">
        <v>2761</v>
      </c>
      <c r="B695" s="1" t="s">
        <v>2762</v>
      </c>
      <c r="C695" s="1" t="s">
        <v>2763</v>
      </c>
      <c r="D695" s="1" t="s">
        <v>2189</v>
      </c>
      <c r="E695" s="1" t="s">
        <v>28</v>
      </c>
      <c r="F695" s="1">
        <v>40.024586189892645</v>
      </c>
      <c r="G695" s="1">
        <v>-75.125050500188976</v>
      </c>
      <c r="H695" s="1" t="s">
        <v>436</v>
      </c>
      <c r="I695" s="1"/>
      <c r="J695" s="1"/>
      <c r="K695" s="1"/>
      <c r="L695" s="1" t="s">
        <v>2192</v>
      </c>
      <c r="M695" s="1">
        <f>IF(OR(NOT(ISNUMBER('School Profile'!$K$4)),NOT(ISNUMBER('School Profile'!$K$5)),NOT(ISNUMBER(F695)),NOT(ISNUMBER(G695))),"",3958.7613*2*ASIN(MIN(1,SQRT(SIN(RADIANS(F695-'School Profile'!$K$4)/2)^2+COS(RADIANS('School Profile'!$K$4))*COS(RADIANS(F695))*SIN(RADIANS(G695-'School Profile'!$K$5)/2)^2))))</f>
        <v>9.1677139544534771</v>
      </c>
      <c r="N695" s="1" t="str">
        <f>IF(AND(H695="Yes",ISNUMBER(M695),M695&lt;=1),COUNTIFS($H$511:$H$1010,"Yes",$M$511:$M$1010,"&lt;"&amp;M695)+COUNTIFS($H$511:H695,"Yes",$M$511:M695,M695),"")</f>
        <v/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:40" ht="22" customHeight="1">
      <c r="A696" s="1" t="s">
        <v>2764</v>
      </c>
      <c r="B696" s="1" t="s">
        <v>2765</v>
      </c>
      <c r="C696" s="1" t="s">
        <v>2766</v>
      </c>
      <c r="D696" s="1" t="s">
        <v>2207</v>
      </c>
      <c r="E696" s="1" t="s">
        <v>28</v>
      </c>
      <c r="F696" s="1">
        <v>40.026421254828669</v>
      </c>
      <c r="G696" s="1">
        <v>-75.132609913136378</v>
      </c>
      <c r="H696" s="1" t="s">
        <v>88</v>
      </c>
      <c r="I696" s="1"/>
      <c r="J696" s="1"/>
      <c r="K696" s="1"/>
      <c r="L696" s="1" t="s">
        <v>2767</v>
      </c>
      <c r="M696" s="1">
        <f>IF(OR(NOT(ISNUMBER('School Profile'!$K$4)),NOT(ISNUMBER('School Profile'!$K$5)),NOT(ISNUMBER(F696)),NOT(ISNUMBER(G696))),"",3958.7613*2*ASIN(MIN(1,SQRT(SIN(RADIANS(F696-'School Profile'!$K$4)/2)^2+COS(RADIANS('School Profile'!$K$4))*COS(RADIANS(F696))*SIN(RADIANS(G696-'School Profile'!$K$5)/2)^2))))</f>
        <v>9.0226492739431379</v>
      </c>
      <c r="N696" s="1" t="str">
        <f>IF(AND(H696="Yes",ISNUMBER(M696),M696&lt;=1),COUNTIFS($H$511:$H$1010,"Yes",$M$511:$M$1010,"&lt;"&amp;M696)+COUNTIFS($H$511:H696,"Yes",$M$511:M696,M696),"")</f>
        <v/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:40" ht="22" customHeight="1">
      <c r="A697" s="1" t="s">
        <v>2768</v>
      </c>
      <c r="B697" s="1" t="s">
        <v>2769</v>
      </c>
      <c r="C697" s="1" t="s">
        <v>2770</v>
      </c>
      <c r="D697" s="1" t="s">
        <v>2207</v>
      </c>
      <c r="E697" s="1" t="s">
        <v>28</v>
      </c>
      <c r="F697" s="1">
        <v>39.955788970263129</v>
      </c>
      <c r="G697" s="1">
        <v>-75.198029570090483</v>
      </c>
      <c r="H697" s="1" t="s">
        <v>88</v>
      </c>
      <c r="I697" s="1"/>
      <c r="J697" s="1"/>
      <c r="K697" s="1"/>
      <c r="L697" s="1" t="s">
        <v>2208</v>
      </c>
      <c r="M697" s="1">
        <f>IF(OR(NOT(ISNUMBER('School Profile'!$K$4)),NOT(ISNUMBER('School Profile'!$K$5)),NOT(ISNUMBER(F697)),NOT(ISNUMBER(G697))),"",3958.7613*2*ASIN(MIN(1,SQRT(SIN(RADIANS(F697-'School Profile'!$K$4)/2)^2+COS(RADIANS('School Profile'!$K$4))*COS(RADIANS(F697))*SIN(RADIANS(G697-'School Profile'!$K$5)/2)^2))))</f>
        <v>3.0423922698783321</v>
      </c>
      <c r="N697" s="1" t="str">
        <f>IF(AND(H697="Yes",ISNUMBER(M697),M697&lt;=1),COUNTIFS($H$511:$H$1010,"Yes",$M$511:$M$1010,"&lt;"&amp;M697)+COUNTIFS($H$511:H697,"Yes",$M$511:M697,M697),"")</f>
        <v/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:40" ht="22" customHeight="1">
      <c r="A698" s="1" t="s">
        <v>2771</v>
      </c>
      <c r="B698" s="1" t="s">
        <v>2772</v>
      </c>
      <c r="C698" s="1" t="s">
        <v>2773</v>
      </c>
      <c r="D698" s="1" t="s">
        <v>2189</v>
      </c>
      <c r="E698" s="1" t="s">
        <v>28</v>
      </c>
      <c r="F698" s="1">
        <v>39.922443811285213</v>
      </c>
      <c r="G698" s="1">
        <v>-75.155137724592677</v>
      </c>
      <c r="H698" s="1" t="s">
        <v>436</v>
      </c>
      <c r="I698" s="1"/>
      <c r="J698" s="1"/>
      <c r="K698" s="1"/>
      <c r="L698" s="1" t="s">
        <v>2203</v>
      </c>
      <c r="M698" s="1">
        <f>IF(OR(NOT(ISNUMBER('School Profile'!$K$4)),NOT(ISNUMBER('School Profile'!$K$5)),NOT(ISNUMBER(F698)),NOT(ISNUMBER(G698))),"",3958.7613*2*ASIN(MIN(1,SQRT(SIN(RADIANS(F698-'School Profile'!$K$4)/2)^2+COS(RADIANS('School Profile'!$K$4))*COS(RADIANS(F698))*SIN(RADIANS(G698-'School Profile'!$K$5)/2)^2))))</f>
        <v>4.1822965727739874</v>
      </c>
      <c r="N698" s="1" t="str">
        <f>IF(AND(H698="Yes",ISNUMBER(M698),M698&lt;=1),COUNTIFS($H$511:$H$1010,"Yes",$M$511:$M$1010,"&lt;"&amp;M698)+COUNTIFS($H$511:H698,"Yes",$M$511:M698,M698),"")</f>
        <v/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:40" ht="22" customHeight="1">
      <c r="A699" s="1" t="s">
        <v>2774</v>
      </c>
      <c r="B699" s="1" t="s">
        <v>2775</v>
      </c>
      <c r="C699" s="1" t="s">
        <v>2776</v>
      </c>
      <c r="D699" s="1" t="s">
        <v>2207</v>
      </c>
      <c r="E699" s="1" t="s">
        <v>28</v>
      </c>
      <c r="F699" s="1">
        <v>39.952266919699078</v>
      </c>
      <c r="G699" s="1">
        <v>-75.195823899742464</v>
      </c>
      <c r="H699" s="1" t="s">
        <v>88</v>
      </c>
      <c r="I699" s="1"/>
      <c r="J699" s="1"/>
      <c r="K699" s="1"/>
      <c r="L699" s="1" t="s">
        <v>2208</v>
      </c>
      <c r="M699" s="1">
        <f>IF(OR(NOT(ISNUMBER('School Profile'!$K$4)),NOT(ISNUMBER('School Profile'!$K$5)),NOT(ISNUMBER(F699)),NOT(ISNUMBER(G699))),"",3958.7613*2*ASIN(MIN(1,SQRT(SIN(RADIANS(F699-'School Profile'!$K$4)/2)^2+COS(RADIANS('School Profile'!$K$4))*COS(RADIANS(F699))*SIN(RADIANS(G699-'School Profile'!$K$5)/2)^2))))</f>
        <v>2.9363405952670361</v>
      </c>
      <c r="N699" s="1" t="str">
        <f>IF(AND(H699="Yes",ISNUMBER(M699),M699&lt;=1),COUNTIFS($H$511:$H$1010,"Yes",$M$511:$M$1010,"&lt;"&amp;M699)+COUNTIFS($H$511:H699,"Yes",$M$511:M699,M699),"")</f>
        <v/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:40" ht="22" customHeight="1">
      <c r="A700" s="1" t="s">
        <v>2777</v>
      </c>
      <c r="B700" s="1" t="s">
        <v>2778</v>
      </c>
      <c r="C700" s="1" t="s">
        <v>2779</v>
      </c>
      <c r="D700" s="1" t="s">
        <v>2189</v>
      </c>
      <c r="E700" s="1" t="s">
        <v>28</v>
      </c>
      <c r="F700" s="1">
        <v>39.919547947496902</v>
      </c>
      <c r="G700" s="1">
        <v>-75.231473076465406</v>
      </c>
      <c r="H700" s="1" t="s">
        <v>436</v>
      </c>
      <c r="I700" s="1"/>
      <c r="J700" s="1"/>
      <c r="K700" s="1"/>
      <c r="L700" s="1" t="s">
        <v>2192</v>
      </c>
      <c r="M700" s="1">
        <f>IF(OR(NOT(ISNUMBER('School Profile'!$K$4)),NOT(ISNUMBER('School Profile'!$K$5)),NOT(ISNUMBER(F700)),NOT(ISNUMBER(G700))),"",3958.7613*2*ASIN(MIN(1,SQRT(SIN(RADIANS(F700-'School Profile'!$K$4)/2)^2+COS(RADIANS('School Profile'!$K$4))*COS(RADIANS(F700))*SIN(RADIANS(G700-'School Profile'!$K$5)/2)^2))))</f>
        <v>0.19201505426076063</v>
      </c>
      <c r="N700" s="1">
        <f>IF(AND(H700="Yes",ISNUMBER(M700),M700&lt;=1),COUNTIFS($H$511:$H$1010,"Yes",$M$511:$M$1010,"&lt;"&amp;M700)+COUNTIFS($H$511:H700,"Yes",$M$511:M700,M700),"")</f>
        <v>1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:40" ht="22" customHeight="1">
      <c r="A701" s="1" t="s">
        <v>2780</v>
      </c>
      <c r="B701" s="1" t="s">
        <v>2781</v>
      </c>
      <c r="C701" s="1" t="s">
        <v>2782</v>
      </c>
      <c r="D701" s="1" t="s">
        <v>2207</v>
      </c>
      <c r="E701" s="1" t="s">
        <v>28</v>
      </c>
      <c r="F701" s="1">
        <v>39.955220139715117</v>
      </c>
      <c r="G701" s="1">
        <v>-75.196202089578762</v>
      </c>
      <c r="H701" s="1" t="s">
        <v>88</v>
      </c>
      <c r="I701" s="1"/>
      <c r="J701" s="1"/>
      <c r="K701" s="1"/>
      <c r="L701" s="1" t="s">
        <v>2208</v>
      </c>
      <c r="M701" s="1">
        <f>IF(OR(NOT(ISNUMBER('School Profile'!$K$4)),NOT(ISNUMBER('School Profile'!$K$5)),NOT(ISNUMBER(F701)),NOT(ISNUMBER(G701))),"",3958.7613*2*ASIN(MIN(1,SQRT(SIN(RADIANS(F701-'School Profile'!$K$4)/2)^2+COS(RADIANS('School Profile'!$K$4))*COS(RADIANS(F701))*SIN(RADIANS(G701-'School Profile'!$K$5)/2)^2))))</f>
        <v>3.0741503107020001</v>
      </c>
      <c r="N701" s="1" t="str">
        <f>IF(AND(H701="Yes",ISNUMBER(M701),M701&lt;=1),COUNTIFS($H$511:$H$1010,"Yes",$M$511:$M$1010,"&lt;"&amp;M701)+COUNTIFS($H$511:H701,"Yes",$M$511:M701,M701),"")</f>
        <v/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:40" ht="22" customHeight="1">
      <c r="A702" s="1" t="s">
        <v>2783</v>
      </c>
      <c r="B702" s="1" t="s">
        <v>2784</v>
      </c>
      <c r="C702" s="1" t="s">
        <v>2696</v>
      </c>
      <c r="D702" s="1" t="s">
        <v>2207</v>
      </c>
      <c r="E702" s="1" t="s">
        <v>28</v>
      </c>
      <c r="F702" s="1">
        <v>39.963143569960522</v>
      </c>
      <c r="G702" s="1">
        <v>-75.202014599997071</v>
      </c>
      <c r="H702" s="1" t="s">
        <v>88</v>
      </c>
      <c r="I702" s="1"/>
      <c r="J702" s="1"/>
      <c r="K702" s="1"/>
      <c r="L702" s="1" t="s">
        <v>2208</v>
      </c>
      <c r="M702" s="1">
        <f>IF(OR(NOT(ISNUMBER('School Profile'!$K$4)),NOT(ISNUMBER('School Profile'!$K$5)),NOT(ISNUMBER(F702)),NOT(ISNUMBER(G702))),"",3958.7613*2*ASIN(MIN(1,SQRT(SIN(RADIANS(F702-'School Profile'!$K$4)/2)^2+COS(RADIANS('School Profile'!$K$4))*COS(RADIANS(F702))*SIN(RADIANS(G702-'School Profile'!$K$5)/2)^2))))</f>
        <v>3.3407742937642304</v>
      </c>
      <c r="N702" s="1" t="str">
        <f>IF(AND(H702="Yes",ISNUMBER(M702),M702&lt;=1),COUNTIFS($H$511:$H$1010,"Yes",$M$511:$M$1010,"&lt;"&amp;M702)+COUNTIFS($H$511:H702,"Yes",$M$511:M702,M702),"")</f>
        <v/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:40" ht="22" customHeight="1">
      <c r="A703" s="1" t="s">
        <v>2785</v>
      </c>
      <c r="B703" s="1" t="s">
        <v>2786</v>
      </c>
      <c r="C703" s="1" t="s">
        <v>2787</v>
      </c>
      <c r="D703" s="1" t="s">
        <v>2189</v>
      </c>
      <c r="E703" s="1" t="s">
        <v>28</v>
      </c>
      <c r="F703" s="1">
        <v>40.044509269804742</v>
      </c>
      <c r="G703" s="1">
        <v>-75.170454053187498</v>
      </c>
      <c r="H703" s="1" t="s">
        <v>436</v>
      </c>
      <c r="I703" s="1"/>
      <c r="J703" s="1"/>
      <c r="K703" s="1"/>
      <c r="L703" s="1" t="s">
        <v>2203</v>
      </c>
      <c r="M703" s="1">
        <f>IF(OR(NOT(ISNUMBER('School Profile'!$K$4)),NOT(ISNUMBER('School Profile'!$K$5)),NOT(ISNUMBER(F703)),NOT(ISNUMBER(G703))),"",3958.7613*2*ASIN(MIN(1,SQRT(SIN(RADIANS(F703-'School Profile'!$K$4)/2)^2+COS(RADIANS('School Profile'!$K$4))*COS(RADIANS(F703))*SIN(RADIANS(G703-'School Profile'!$K$5)/2)^2))))</f>
        <v>9.1420027694240318</v>
      </c>
      <c r="N703" s="1" t="str">
        <f>IF(AND(H703="Yes",ISNUMBER(M703),M703&lt;=1),COUNTIFS($H$511:$H$1010,"Yes",$M$511:$M$1010,"&lt;"&amp;M703)+COUNTIFS($H$511:H703,"Yes",$M$511:M703,M703),"")</f>
        <v/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:40" ht="22" customHeight="1">
      <c r="A704" s="1" t="s">
        <v>2788</v>
      </c>
      <c r="B704" s="1" t="s">
        <v>2789</v>
      </c>
      <c r="C704" s="1" t="s">
        <v>2790</v>
      </c>
      <c r="D704" s="1" t="s">
        <v>2215</v>
      </c>
      <c r="E704" s="1" t="s">
        <v>28</v>
      </c>
      <c r="F704" s="1">
        <v>39.944237410241065</v>
      </c>
      <c r="G704" s="1">
        <v>-75.165076830423232</v>
      </c>
      <c r="H704" s="1" t="s">
        <v>88</v>
      </c>
      <c r="I704" s="1"/>
      <c r="J704" s="1"/>
      <c r="K704" s="1"/>
      <c r="L704" s="1" t="s">
        <v>2216</v>
      </c>
      <c r="M704" s="1">
        <f>IF(OR(NOT(ISNUMBER('School Profile'!$K$4)),NOT(ISNUMBER('School Profile'!$K$5)),NOT(ISNUMBER(F704)),NOT(ISNUMBER(G704))),"",3958.7613*2*ASIN(MIN(1,SQRT(SIN(RADIANS(F704-'School Profile'!$K$4)/2)^2+COS(RADIANS('School Profile'!$K$4))*COS(RADIANS(F704))*SIN(RADIANS(G704-'School Profile'!$K$5)/2)^2))))</f>
        <v>3.9779754580898832</v>
      </c>
      <c r="N704" s="1" t="str">
        <f>IF(AND(H704="Yes",ISNUMBER(M704),M704&lt;=1),COUNTIFS($H$511:$H$1010,"Yes",$M$511:$M$1010,"&lt;"&amp;M704)+COUNTIFS($H$511:H704,"Yes",$M$511:M704,M704),"")</f>
        <v/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:40" ht="22" customHeight="1">
      <c r="A705" s="1" t="s">
        <v>2791</v>
      </c>
      <c r="B705" s="1" t="s">
        <v>2792</v>
      </c>
      <c r="C705" s="1" t="s">
        <v>2793</v>
      </c>
      <c r="D705" s="1" t="s">
        <v>2189</v>
      </c>
      <c r="E705" s="1" t="s">
        <v>28</v>
      </c>
      <c r="F705" s="1">
        <v>40.122936778838046</v>
      </c>
      <c r="G705" s="1">
        <v>-75.019308284552551</v>
      </c>
      <c r="H705" s="1" t="s">
        <v>436</v>
      </c>
      <c r="I705" s="1"/>
      <c r="J705" s="1"/>
      <c r="K705" s="1" t="s">
        <v>2794</v>
      </c>
      <c r="L705" s="1" t="s">
        <v>2203</v>
      </c>
      <c r="M705" s="1">
        <f>IF(OR(NOT(ISNUMBER('School Profile'!$K$4)),NOT(ISNUMBER('School Profile'!$K$5)),NOT(ISNUMBER(F705)),NOT(ISNUMBER(G705))),"",3958.7613*2*ASIN(MIN(1,SQRT(SIN(RADIANS(F705-'School Profile'!$K$4)/2)^2+COS(RADIANS('School Profile'!$K$4))*COS(RADIANS(F705))*SIN(RADIANS(G705-'School Profile'!$K$5)/2)^2))))</f>
        <v>17.967258230696924</v>
      </c>
      <c r="N705" s="1" t="str">
        <f>IF(AND(H705="Yes",ISNUMBER(M705),M705&lt;=1),COUNTIFS($H$511:$H$1010,"Yes",$M$511:$M$1010,"&lt;"&amp;M705)+COUNTIFS($H$511:H705,"Yes",$M$511:M705,M705),"")</f>
        <v/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:40" ht="22" customHeight="1">
      <c r="A706" s="1" t="s">
        <v>2795</v>
      </c>
      <c r="B706" s="1" t="s">
        <v>2796</v>
      </c>
      <c r="C706" s="1" t="s">
        <v>2797</v>
      </c>
      <c r="D706" s="1" t="s">
        <v>2189</v>
      </c>
      <c r="E706" s="1" t="s">
        <v>28</v>
      </c>
      <c r="F706" s="1">
        <v>39.959671111331183</v>
      </c>
      <c r="G706" s="1">
        <v>-75.223290206659698</v>
      </c>
      <c r="H706" s="1" t="s">
        <v>436</v>
      </c>
      <c r="I706" s="1"/>
      <c r="J706" s="1"/>
      <c r="K706" s="1"/>
      <c r="L706" s="1" t="s">
        <v>2203</v>
      </c>
      <c r="M706" s="1">
        <f>IF(OR(NOT(ISNUMBER('School Profile'!$K$4)),NOT(ISNUMBER('School Profile'!$K$5)),NOT(ISNUMBER(F706)),NOT(ISNUMBER(G706))),"",3958.7613*2*ASIN(MIN(1,SQRT(SIN(RADIANS(F706-'School Profile'!$K$4)/2)^2+COS(RADIANS('School Profile'!$K$4))*COS(RADIANS(F706))*SIN(RADIANS(G706-'School Profile'!$K$5)/2)^2))))</f>
        <v>2.6985047719666744</v>
      </c>
      <c r="N706" s="1" t="str">
        <f>IF(AND(H706="Yes",ISNUMBER(M706),M706&lt;=1),COUNTIFS($H$511:$H$1010,"Yes",$M$511:$M$1010,"&lt;"&amp;M706)+COUNTIFS($H$511:H706,"Yes",$M$511:M706,M706),"")</f>
        <v/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:40" ht="22" customHeight="1">
      <c r="A707" s="1" t="s">
        <v>2798</v>
      </c>
      <c r="B707" s="1" t="s">
        <v>2799</v>
      </c>
      <c r="C707" s="1" t="s">
        <v>2800</v>
      </c>
      <c r="D707" s="1" t="s">
        <v>2189</v>
      </c>
      <c r="E707" s="1" t="s">
        <v>28</v>
      </c>
      <c r="F707" s="1">
        <v>39.95822238995104</v>
      </c>
      <c r="G707" s="1">
        <v>-75.223671892739077</v>
      </c>
      <c r="H707" s="1" t="s">
        <v>436</v>
      </c>
      <c r="I707" s="1"/>
      <c r="J707" s="1"/>
      <c r="K707" s="1"/>
      <c r="L707" s="1" t="s">
        <v>2801</v>
      </c>
      <c r="M707" s="1">
        <f>IF(OR(NOT(ISNUMBER('School Profile'!$K$4)),NOT(ISNUMBER('School Profile'!$K$5)),NOT(ISNUMBER(F707)),NOT(ISNUMBER(G707))),"",3958.7613*2*ASIN(MIN(1,SQRT(SIN(RADIANS(F707-'School Profile'!$K$4)/2)^2+COS(RADIANS('School Profile'!$K$4))*COS(RADIANS(F707))*SIN(RADIANS(G707-'School Profile'!$K$5)/2)^2))))</f>
        <v>2.5963969653649182</v>
      </c>
      <c r="N707" s="1" t="str">
        <f>IF(AND(H707="Yes",ISNUMBER(M707),M707&lt;=1),COUNTIFS($H$511:$H$1010,"Yes",$M$511:$M$1010,"&lt;"&amp;M707)+COUNTIFS($H$511:H707,"Yes",$M$511:M707,M707),"")</f>
        <v/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:40" ht="22" customHeight="1">
      <c r="A708" s="1" t="s">
        <v>2802</v>
      </c>
      <c r="B708" s="1" t="s">
        <v>2803</v>
      </c>
      <c r="C708" s="1" t="s">
        <v>2804</v>
      </c>
      <c r="D708" s="1" t="s">
        <v>2189</v>
      </c>
      <c r="E708" s="1" t="s">
        <v>28</v>
      </c>
      <c r="F708" s="1">
        <v>39.920058510089483</v>
      </c>
      <c r="G708" s="1">
        <v>-75.156376960408579</v>
      </c>
      <c r="H708" s="1" t="s">
        <v>436</v>
      </c>
      <c r="I708" s="1"/>
      <c r="J708" s="1"/>
      <c r="K708" s="1"/>
      <c r="L708" s="1" t="s">
        <v>2241</v>
      </c>
      <c r="M708" s="1">
        <f>IF(OR(NOT(ISNUMBER('School Profile'!$K$4)),NOT(ISNUMBER('School Profile'!$K$5)),NOT(ISNUMBER(F708)),NOT(ISNUMBER(G708))),"",3958.7613*2*ASIN(MIN(1,SQRT(SIN(RADIANS(F708-'School Profile'!$K$4)/2)^2+COS(RADIANS('School Profile'!$K$4))*COS(RADIANS(F708))*SIN(RADIANS(G708-'School Profile'!$K$5)/2)^2))))</f>
        <v>4.11739145374864</v>
      </c>
      <c r="N708" s="1" t="str">
        <f>IF(AND(H708="Yes",ISNUMBER(M708),M708&lt;=1),COUNTIFS($H$511:$H$1010,"Yes",$M$511:$M$1010,"&lt;"&amp;M708)+COUNTIFS($H$511:H708,"Yes",$M$511:M708,M708),"")</f>
        <v/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:40" ht="22" customHeight="1">
      <c r="A709" s="1" t="s">
        <v>2805</v>
      </c>
      <c r="B709" s="1" t="s">
        <v>2806</v>
      </c>
      <c r="C709" s="1" t="s">
        <v>2807</v>
      </c>
      <c r="D709" s="1" t="s">
        <v>2189</v>
      </c>
      <c r="E709" s="1" t="s">
        <v>28</v>
      </c>
      <c r="F709" s="1">
        <v>40.032403920263526</v>
      </c>
      <c r="G709" s="1">
        <v>-75.146509470069077</v>
      </c>
      <c r="H709" s="1" t="s">
        <v>436</v>
      </c>
      <c r="I709" s="1"/>
      <c r="J709" s="1"/>
      <c r="K709" s="1"/>
      <c r="L709" s="1" t="s">
        <v>2298</v>
      </c>
      <c r="M709" s="1">
        <f>IF(OR(NOT(ISNUMBER('School Profile'!$K$4)),NOT(ISNUMBER('School Profile'!$K$5)),NOT(ISNUMBER(F709)),NOT(ISNUMBER(G709))),"",3958.7613*2*ASIN(MIN(1,SQRT(SIN(RADIANS(F709-'School Profile'!$K$4)/2)^2+COS(RADIANS('School Profile'!$K$4))*COS(RADIANS(F709))*SIN(RADIANS(G709-'School Profile'!$K$5)/2)^2))))</f>
        <v>8.9557723577770805</v>
      </c>
      <c r="N709" s="1" t="str">
        <f>IF(AND(H709="Yes",ISNUMBER(M709),M709&lt;=1),COUNTIFS($H$511:$H$1010,"Yes",$M$511:$M$1010,"&lt;"&amp;M709)+COUNTIFS($H$511:H709,"Yes",$M$511:M709,M709),"")</f>
        <v/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:40" ht="22" customHeight="1">
      <c r="A710" s="1" t="s">
        <v>2808</v>
      </c>
      <c r="B710" s="1" t="s">
        <v>2809</v>
      </c>
      <c r="C710" s="1" t="s">
        <v>2810</v>
      </c>
      <c r="D710" s="1" t="s">
        <v>2189</v>
      </c>
      <c r="E710" s="1" t="s">
        <v>28</v>
      </c>
      <c r="F710" s="1">
        <v>39.992291252155361</v>
      </c>
      <c r="G710" s="1">
        <v>-75.141032018675304</v>
      </c>
      <c r="H710" s="1" t="s">
        <v>436</v>
      </c>
      <c r="I710" s="1"/>
      <c r="J710" s="1"/>
      <c r="K710" s="1"/>
      <c r="L710" s="1" t="s">
        <v>2192</v>
      </c>
      <c r="M710" s="1">
        <f>IF(OR(NOT(ISNUMBER('School Profile'!$K$4)),NOT(ISNUMBER('School Profile'!$K$5)),NOT(ISNUMBER(F710)),NOT(ISNUMBER(G710))),"",3958.7613*2*ASIN(MIN(1,SQRT(SIN(RADIANS(F710-'School Profile'!$K$4)/2)^2+COS(RADIANS('School Profile'!$K$4))*COS(RADIANS(F710))*SIN(RADIANS(G710-'School Profile'!$K$5)/2)^2))))</f>
        <v>6.9424961914375229</v>
      </c>
      <c r="N710" s="1" t="str">
        <f>IF(AND(H710="Yes",ISNUMBER(M710),M710&lt;=1),COUNTIFS($H$511:$H$1010,"Yes",$M$511:$M$1010,"&lt;"&amp;M710)+COUNTIFS($H$511:H710,"Yes",$M$511:M710,M710),"")</f>
        <v/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:40" ht="22" customHeight="1">
      <c r="A711" s="1" t="s">
        <v>2811</v>
      </c>
      <c r="B711" s="1" t="s">
        <v>2812</v>
      </c>
      <c r="C711" s="1" t="s">
        <v>2813</v>
      </c>
      <c r="D711" s="1" t="s">
        <v>2207</v>
      </c>
      <c r="E711" s="1" t="s">
        <v>28</v>
      </c>
      <c r="F711" s="1">
        <v>39.953971068265624</v>
      </c>
      <c r="G711" s="1">
        <v>-75.248515232214444</v>
      </c>
      <c r="H711" s="1" t="s">
        <v>88</v>
      </c>
      <c r="I711" s="1"/>
      <c r="J711" s="1"/>
      <c r="K711" s="1"/>
      <c r="L711" s="1" t="s">
        <v>2203</v>
      </c>
      <c r="M711" s="1">
        <f>IF(OR(NOT(ISNUMBER('School Profile'!$K$4)),NOT(ISNUMBER('School Profile'!$K$5)),NOT(ISNUMBER(F711)),NOT(ISNUMBER(G711))),"",3958.7613*2*ASIN(MIN(1,SQRT(SIN(RADIANS(F711-'School Profile'!$K$4)/2)^2+COS(RADIANS('School Profile'!$K$4))*COS(RADIANS(F711))*SIN(RADIANS(G711-'School Profile'!$K$5)/2)^2))))</f>
        <v>2.370879231459301</v>
      </c>
      <c r="N711" s="1" t="str">
        <f>IF(AND(H711="Yes",ISNUMBER(M711),M711&lt;=1),COUNTIFS($H$511:$H$1010,"Yes",$M$511:$M$1010,"&lt;"&amp;M711)+COUNTIFS($H$511:H711,"Yes",$M$511:M711,M711),"")</f>
        <v/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:40" ht="22" customHeight="1">
      <c r="A712" s="1" t="s">
        <v>2814</v>
      </c>
      <c r="B712" s="1" t="s">
        <v>2815</v>
      </c>
      <c r="C712" s="1" t="s">
        <v>2816</v>
      </c>
      <c r="D712" s="1" t="s">
        <v>2189</v>
      </c>
      <c r="E712" s="1" t="s">
        <v>28</v>
      </c>
      <c r="F712" s="1">
        <v>40.032555210837707</v>
      </c>
      <c r="G712" s="1">
        <v>-75.16947916101698</v>
      </c>
      <c r="H712" s="1" t="s">
        <v>436</v>
      </c>
      <c r="I712" s="1"/>
      <c r="J712" s="1"/>
      <c r="K712" s="1"/>
      <c r="L712" s="1" t="s">
        <v>2203</v>
      </c>
      <c r="M712" s="1">
        <f>IF(OR(NOT(ISNUMBER('School Profile'!$K$4)),NOT(ISNUMBER('School Profile'!$K$5)),NOT(ISNUMBER(F712)),NOT(ISNUMBER(G712))),"",3958.7613*2*ASIN(MIN(1,SQRT(SIN(RADIANS(F712-'School Profile'!$K$4)/2)^2+COS(RADIANS('School Profile'!$K$4))*COS(RADIANS(F712))*SIN(RADIANS(G712-'School Profile'!$K$5)/2)^2))))</f>
        <v>8.4006387229138699</v>
      </c>
      <c r="N712" s="1" t="str">
        <f>IF(AND(H712="Yes",ISNUMBER(M712),M712&lt;=1),COUNTIFS($H$511:$H$1010,"Yes",$M$511:$M$1010,"&lt;"&amp;M712)+COUNTIFS($H$511:H712,"Yes",$M$511:M712,M712),"")</f>
        <v/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:40" ht="22" customHeight="1">
      <c r="A713" s="1" t="s">
        <v>2817</v>
      </c>
      <c r="B713" s="1" t="s">
        <v>2818</v>
      </c>
      <c r="C713" s="1" t="s">
        <v>2819</v>
      </c>
      <c r="D713" s="1" t="s">
        <v>2215</v>
      </c>
      <c r="E713" s="1" t="s">
        <v>28</v>
      </c>
      <c r="F713" s="1">
        <v>39.966303409803267</v>
      </c>
      <c r="G713" s="1">
        <v>-75.227530270072094</v>
      </c>
      <c r="H713" s="1" t="s">
        <v>88</v>
      </c>
      <c r="I713" s="1"/>
      <c r="J713" s="1"/>
      <c r="K713" s="1"/>
      <c r="L713" s="1" t="s">
        <v>2216</v>
      </c>
      <c r="M713" s="1">
        <f>IF(OR(NOT(ISNUMBER('School Profile'!$K$4)),NOT(ISNUMBER('School Profile'!$K$5)),NOT(ISNUMBER(F713)),NOT(ISNUMBER(G713))),"",3958.7613*2*ASIN(MIN(1,SQRT(SIN(RADIANS(F713-'School Profile'!$K$4)/2)^2+COS(RADIANS('School Profile'!$K$4))*COS(RADIANS(F713))*SIN(RADIANS(G713-'School Profile'!$K$5)/2)^2))))</f>
        <v>3.1150400962414952</v>
      </c>
      <c r="N713" s="1" t="str">
        <f>IF(AND(H713="Yes",ISNUMBER(M713),M713&lt;=1),COUNTIFS($H$511:$H$1010,"Yes",$M$511:$M$1010,"&lt;"&amp;M713)+COUNTIFS($H$511:H713,"Yes",$M$511:M713,M713),"")</f>
        <v/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:40" ht="22" customHeight="1">
      <c r="A714" s="1" t="s">
        <v>2820</v>
      </c>
      <c r="B714" s="1" t="s">
        <v>2821</v>
      </c>
      <c r="C714" s="1" t="s">
        <v>2822</v>
      </c>
      <c r="D714" s="1" t="s">
        <v>2189</v>
      </c>
      <c r="E714" s="1" t="s">
        <v>28</v>
      </c>
      <c r="F714" s="1">
        <v>39.949336530709097</v>
      </c>
      <c r="G714" s="1">
        <v>-75.229905580973337</v>
      </c>
      <c r="H714" s="1" t="s">
        <v>436</v>
      </c>
      <c r="I714" s="1"/>
      <c r="J714" s="1"/>
      <c r="K714" s="1"/>
      <c r="L714" s="1" t="s">
        <v>2203</v>
      </c>
      <c r="M714" s="1">
        <f>IF(OR(NOT(ISNUMBER('School Profile'!$K$4)),NOT(ISNUMBER('School Profile'!$K$5)),NOT(ISNUMBER(F714)),NOT(ISNUMBER(G714))),"",3958.7613*2*ASIN(MIN(1,SQRT(SIN(RADIANS(F714-'School Profile'!$K$4)/2)^2+COS(RADIANS('School Profile'!$K$4))*COS(RADIANS(F714))*SIN(RADIANS(G714-'School Profile'!$K$5)/2)^2))))</f>
        <v>1.9360276227252635</v>
      </c>
      <c r="N714" s="1" t="str">
        <f>IF(AND(H714="Yes",ISNUMBER(M714),M714&lt;=1),COUNTIFS($H$511:$H$1010,"Yes",$M$511:$M$1010,"&lt;"&amp;M714)+COUNTIFS($H$511:H714,"Yes",$M$511:M714,M714),"")</f>
        <v/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:40" ht="22" customHeight="1">
      <c r="A715" s="1" t="s">
        <v>2823</v>
      </c>
      <c r="B715" s="1" t="s">
        <v>2824</v>
      </c>
      <c r="C715" s="1" t="s">
        <v>2825</v>
      </c>
      <c r="D715" s="1" t="s">
        <v>2189</v>
      </c>
      <c r="E715" s="1" t="s">
        <v>28</v>
      </c>
      <c r="F715" s="1">
        <v>39.987691680308657</v>
      </c>
      <c r="G715" s="1">
        <v>-75.231858900184989</v>
      </c>
      <c r="H715" s="1" t="s">
        <v>436</v>
      </c>
      <c r="I715" s="1"/>
      <c r="J715" s="1"/>
      <c r="K715" s="1"/>
      <c r="L715" s="1" t="s">
        <v>2298</v>
      </c>
      <c r="M715" s="1">
        <f>IF(OR(NOT(ISNUMBER('School Profile'!$K$4)),NOT(ISNUMBER('School Profile'!$K$5)),NOT(ISNUMBER(F715)),NOT(ISNUMBER(G715))),"",3958.7613*2*ASIN(MIN(1,SQRT(SIN(RADIANS(F715-'School Profile'!$K$4)/2)^2+COS(RADIANS('School Profile'!$K$4))*COS(RADIANS(F715))*SIN(RADIANS(G715-'School Profile'!$K$5)/2)^2))))</f>
        <v>4.5750708360155166</v>
      </c>
      <c r="N715" s="1" t="str">
        <f>IF(AND(H715="Yes",ISNUMBER(M715),M715&lt;=1),COUNTIFS($H$511:$H$1010,"Yes",$M$511:$M$1010,"&lt;"&amp;M715)+COUNTIFS($H$511:H715,"Yes",$M$511:M715,M715),"")</f>
        <v/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:40" ht="22" customHeight="1">
      <c r="A716" s="1" t="s">
        <v>2826</v>
      </c>
      <c r="B716" s="1" t="s">
        <v>2827</v>
      </c>
      <c r="C716" s="1" t="s">
        <v>2828</v>
      </c>
      <c r="D716" s="1" t="s">
        <v>2189</v>
      </c>
      <c r="E716" s="1" t="s">
        <v>28</v>
      </c>
      <c r="F716" s="1">
        <v>40.020559240297921</v>
      </c>
      <c r="G716" s="1">
        <v>-75.114839960310476</v>
      </c>
      <c r="H716" s="1" t="s">
        <v>436</v>
      </c>
      <c r="I716" s="1"/>
      <c r="J716" s="1"/>
      <c r="K716" s="1"/>
      <c r="L716" s="1" t="s">
        <v>2192</v>
      </c>
      <c r="M716" s="1">
        <f>IF(OR(NOT(ISNUMBER('School Profile'!$K$4)),NOT(ISNUMBER('School Profile'!$K$5)),NOT(ISNUMBER(F716)),NOT(ISNUMBER(G716))),"",3958.7613*2*ASIN(MIN(1,SQRT(SIN(RADIANS(F716-'School Profile'!$K$4)/2)^2+COS(RADIANS('School Profile'!$K$4))*COS(RADIANS(F716))*SIN(RADIANS(G716-'School Profile'!$K$5)/2)^2))))</f>
        <v>9.3110877650502921</v>
      </c>
      <c r="N716" s="1" t="str">
        <f>IF(AND(H716="Yes",ISNUMBER(M716),M716&lt;=1),COUNTIFS($H$511:$H$1010,"Yes",$M$511:$M$1010,"&lt;"&amp;M716)+COUNTIFS($H$511:H716,"Yes",$M$511:M716,M716),"")</f>
        <v/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:40" ht="22" customHeight="1">
      <c r="A717" s="1" t="s">
        <v>2829</v>
      </c>
      <c r="B717" s="1" t="s">
        <v>2830</v>
      </c>
      <c r="C717" s="1" t="s">
        <v>2831</v>
      </c>
      <c r="D717" s="1" t="s">
        <v>2189</v>
      </c>
      <c r="E717" s="1" t="s">
        <v>28</v>
      </c>
      <c r="F717" s="1">
        <v>40.035118082255693</v>
      </c>
      <c r="G717" s="1">
        <v>-75.169568973680782</v>
      </c>
      <c r="H717" s="1" t="s">
        <v>436</v>
      </c>
      <c r="I717" s="1"/>
      <c r="J717" s="1"/>
      <c r="K717" s="1"/>
      <c r="L717" s="1" t="s">
        <v>2832</v>
      </c>
      <c r="M717" s="1">
        <f>IF(OR(NOT(ISNUMBER('School Profile'!$K$4)),NOT(ISNUMBER('School Profile'!$K$5)),NOT(ISNUMBER(F717)),NOT(ISNUMBER(G717))),"",3958.7613*2*ASIN(MIN(1,SQRT(SIN(RADIANS(F717-'School Profile'!$K$4)/2)^2+COS(RADIANS('School Profile'!$K$4))*COS(RADIANS(F717))*SIN(RADIANS(G717-'School Profile'!$K$5)/2)^2))))</f>
        <v>8.5607661241050597</v>
      </c>
      <c r="N717" s="1" t="str">
        <f>IF(AND(H717="Yes",ISNUMBER(M717),M717&lt;=1),COUNTIFS($H$511:$H$1010,"Yes",$M$511:$M$1010,"&lt;"&amp;M717)+COUNTIFS($H$511:H717,"Yes",$M$511:M717,M717),"")</f>
        <v/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:40" ht="22" customHeight="1">
      <c r="A718" s="1" t="s">
        <v>2833</v>
      </c>
      <c r="B718" s="1" t="s">
        <v>2834</v>
      </c>
      <c r="C718" s="1" t="s">
        <v>2835</v>
      </c>
      <c r="D718" s="1" t="s">
        <v>2207</v>
      </c>
      <c r="E718" s="1" t="s">
        <v>28</v>
      </c>
      <c r="F718" s="1">
        <v>39.954137649766317</v>
      </c>
      <c r="G718" s="1">
        <v>-75.162941349939942</v>
      </c>
      <c r="H718" s="1" t="s">
        <v>88</v>
      </c>
      <c r="I718" s="1"/>
      <c r="J718" s="1"/>
      <c r="K718" s="1"/>
      <c r="L718" s="1" t="s">
        <v>2208</v>
      </c>
      <c r="M718" s="1">
        <f>IF(OR(NOT(ISNUMBER('School Profile'!$K$4)),NOT(ISNUMBER('School Profile'!$K$5)),NOT(ISNUMBER(F718)),NOT(ISNUMBER(G718))),"",3958.7613*2*ASIN(MIN(1,SQRT(SIN(RADIANS(F718-'School Profile'!$K$4)/2)^2+COS(RADIANS('School Profile'!$K$4))*COS(RADIANS(F718))*SIN(RADIANS(G718-'School Profile'!$K$5)/2)^2))))</f>
        <v>4.3908318754312008</v>
      </c>
      <c r="N718" s="1" t="str">
        <f>IF(AND(H718="Yes",ISNUMBER(M718),M718&lt;=1),COUNTIFS($H$511:$H$1010,"Yes",$M$511:$M$1010,"&lt;"&amp;M718)+COUNTIFS($H$511:H718,"Yes",$M$511:M718,M718),"")</f>
        <v/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:40" ht="22" customHeight="1">
      <c r="A719" s="1" t="s">
        <v>2836</v>
      </c>
      <c r="B719" s="1" t="s">
        <v>2837</v>
      </c>
      <c r="C719" s="1" t="s">
        <v>2835</v>
      </c>
      <c r="D719" s="1" t="s">
        <v>2207</v>
      </c>
      <c r="E719" s="1" t="s">
        <v>28</v>
      </c>
      <c r="F719" s="1">
        <v>39.954137649766317</v>
      </c>
      <c r="G719" s="1">
        <v>-75.162941349939942</v>
      </c>
      <c r="H719" s="1" t="s">
        <v>88</v>
      </c>
      <c r="I719" s="1"/>
      <c r="J719" s="1"/>
      <c r="K719" s="1"/>
      <c r="L719" s="1" t="s">
        <v>2208</v>
      </c>
      <c r="M719" s="1">
        <f>IF(OR(NOT(ISNUMBER('School Profile'!$K$4)),NOT(ISNUMBER('School Profile'!$K$5)),NOT(ISNUMBER(F719)),NOT(ISNUMBER(G719))),"",3958.7613*2*ASIN(MIN(1,SQRT(SIN(RADIANS(F719-'School Profile'!$K$4)/2)^2+COS(RADIANS('School Profile'!$K$4))*COS(RADIANS(F719))*SIN(RADIANS(G719-'School Profile'!$K$5)/2)^2))))</f>
        <v>4.3908318754312008</v>
      </c>
      <c r="N719" s="1" t="str">
        <f>IF(AND(H719="Yes",ISNUMBER(M719),M719&lt;=1),COUNTIFS($H$511:$H$1010,"Yes",$M$511:$M$1010,"&lt;"&amp;M719)+COUNTIFS($H$511:H719,"Yes",$M$511:M719,M719),"")</f>
        <v/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:40" ht="22" customHeight="1">
      <c r="A720" s="1" t="s">
        <v>2838</v>
      </c>
      <c r="B720" s="1" t="s">
        <v>2839</v>
      </c>
      <c r="C720" s="1" t="s">
        <v>2840</v>
      </c>
      <c r="D720" s="1" t="s">
        <v>2189</v>
      </c>
      <c r="E720" s="1" t="s">
        <v>28</v>
      </c>
      <c r="F720" s="1">
        <v>40.036410899724366</v>
      </c>
      <c r="G720" s="1">
        <v>-75.104087580008795</v>
      </c>
      <c r="H720" s="1" t="s">
        <v>436</v>
      </c>
      <c r="I720" s="1"/>
      <c r="J720" s="1"/>
      <c r="K720" s="1"/>
      <c r="L720" s="1" t="s">
        <v>2203</v>
      </c>
      <c r="M720" s="1">
        <f>IF(OR(NOT(ISNUMBER('School Profile'!$K$4)),NOT(ISNUMBER('School Profile'!$K$5)),NOT(ISNUMBER(F720)),NOT(ISNUMBER(G720))),"",3958.7613*2*ASIN(MIN(1,SQRT(SIN(RADIANS(F720-'School Profile'!$K$4)/2)^2+COS(RADIANS('School Profile'!$K$4))*COS(RADIANS(F720))*SIN(RADIANS(G720-'School Profile'!$K$5)/2)^2))))</f>
        <v>10.506669042165987</v>
      </c>
      <c r="N720" s="1" t="str">
        <f>IF(AND(H720="Yes",ISNUMBER(M720),M720&lt;=1),COUNTIFS($H$511:$H$1010,"Yes",$M$511:$M$1010,"&lt;"&amp;M720)+COUNTIFS($H$511:H720,"Yes",$M$511:M720,M720),"")</f>
        <v/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:40" ht="22" customHeight="1">
      <c r="A721" s="1" t="s">
        <v>2841</v>
      </c>
      <c r="B721" s="1" t="s">
        <v>2842</v>
      </c>
      <c r="C721" s="1" t="s">
        <v>2843</v>
      </c>
      <c r="D721" s="1" t="s">
        <v>2189</v>
      </c>
      <c r="E721" s="1" t="s">
        <v>28</v>
      </c>
      <c r="F721" s="1">
        <v>39.96087831370118</v>
      </c>
      <c r="G721" s="1">
        <v>-75.230852550809857</v>
      </c>
      <c r="H721" s="1" t="s">
        <v>436</v>
      </c>
      <c r="I721" s="1"/>
      <c r="J721" s="1"/>
      <c r="K721" s="1"/>
      <c r="L721" s="1" t="s">
        <v>2203</v>
      </c>
      <c r="M721" s="1">
        <f>IF(OR(NOT(ISNUMBER('School Profile'!$K$4)),NOT(ISNUMBER('School Profile'!$K$5)),NOT(ISNUMBER(F721)),NOT(ISNUMBER(G721))),"",3958.7613*2*ASIN(MIN(1,SQRT(SIN(RADIANS(F721-'School Profile'!$K$4)/2)^2+COS(RADIANS('School Profile'!$K$4))*COS(RADIANS(F721))*SIN(RADIANS(G721-'School Profile'!$K$5)/2)^2))))</f>
        <v>2.7262495522898509</v>
      </c>
      <c r="N721" s="1" t="str">
        <f>IF(AND(H721="Yes",ISNUMBER(M721),M721&lt;=1),COUNTIFS($H$511:$H$1010,"Yes",$M$511:$M$1010,"&lt;"&amp;M721)+COUNTIFS($H$511:H721,"Yes",$M$511:M721,M721),"")</f>
        <v/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:40" ht="22" customHeight="1">
      <c r="A722" s="1" t="s">
        <v>2844</v>
      </c>
      <c r="B722" s="1" t="s">
        <v>2845</v>
      </c>
      <c r="C722" s="1" t="s">
        <v>2846</v>
      </c>
      <c r="D722" s="1" t="s">
        <v>2207</v>
      </c>
      <c r="E722" s="1" t="s">
        <v>28</v>
      </c>
      <c r="F722" s="1">
        <v>40.004095575340017</v>
      </c>
      <c r="G722" s="1">
        <v>-75.1718131170758</v>
      </c>
      <c r="H722" s="1" t="s">
        <v>88</v>
      </c>
      <c r="I722" s="1"/>
      <c r="J722" s="1"/>
      <c r="K722" s="1"/>
      <c r="L722" s="1" t="s">
        <v>2208</v>
      </c>
      <c r="M722" s="1">
        <f>IF(OR(NOT(ISNUMBER('School Profile'!$K$4)),NOT(ISNUMBER('School Profile'!$K$5)),NOT(ISNUMBER(F722)),NOT(ISNUMBER(G722))),"",3958.7613*2*ASIN(MIN(1,SQRT(SIN(RADIANS(F722-'School Profile'!$K$4)/2)^2+COS(RADIANS('School Profile'!$K$4))*COS(RADIANS(F722))*SIN(RADIANS(G722-'School Profile'!$K$5)/2)^2))))</f>
        <v>6.5905023423240996</v>
      </c>
      <c r="N722" s="1" t="str">
        <f>IF(AND(H722="Yes",ISNUMBER(M722),M722&lt;=1),COUNTIFS($H$511:$H$1010,"Yes",$M$511:$M$1010,"&lt;"&amp;M722)+COUNTIFS($H$511:H722,"Yes",$M$511:M722,M722),"")</f>
        <v/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:40" ht="22" customHeight="1">
      <c r="A723" s="1" t="s">
        <v>2847</v>
      </c>
      <c r="B723" s="1" t="s">
        <v>2848</v>
      </c>
      <c r="C723" s="1" t="s">
        <v>2849</v>
      </c>
      <c r="D723" s="1" t="s">
        <v>2189</v>
      </c>
      <c r="E723" s="1" t="s">
        <v>28</v>
      </c>
      <c r="F723" s="1">
        <v>39.965521940134757</v>
      </c>
      <c r="G723" s="1">
        <v>-75.230954282320852</v>
      </c>
      <c r="H723" s="1" t="s">
        <v>436</v>
      </c>
      <c r="I723" s="1"/>
      <c r="J723" s="1"/>
      <c r="K723" s="1"/>
      <c r="L723" s="1" t="s">
        <v>2203</v>
      </c>
      <c r="M723" s="1">
        <f>IF(OR(NOT(ISNUMBER('School Profile'!$K$4)),NOT(ISNUMBER('School Profile'!$K$5)),NOT(ISNUMBER(F723)),NOT(ISNUMBER(G723))),"",3958.7613*2*ASIN(MIN(1,SQRT(SIN(RADIANS(F723-'School Profile'!$K$4)/2)^2+COS(RADIANS('School Profile'!$K$4))*COS(RADIANS(F723))*SIN(RADIANS(G723-'School Profile'!$K$5)/2)^2))))</f>
        <v>3.0462412875767515</v>
      </c>
      <c r="N723" s="1" t="str">
        <f>IF(AND(H723="Yes",ISNUMBER(M723),M723&lt;=1),COUNTIFS($H$511:$H$1010,"Yes",$M$511:$M$1010,"&lt;"&amp;M723)+COUNTIFS($H$511:H723,"Yes",$M$511:M723,M723),"")</f>
        <v/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:40" ht="22" customHeight="1">
      <c r="A724" s="1" t="s">
        <v>2850</v>
      </c>
      <c r="B724" s="1" t="s">
        <v>2851</v>
      </c>
      <c r="C724" s="1" t="s">
        <v>2852</v>
      </c>
      <c r="D724" s="1" t="s">
        <v>2189</v>
      </c>
      <c r="E724" s="1" t="s">
        <v>28</v>
      </c>
      <c r="F724" s="1">
        <v>39.936285014936374</v>
      </c>
      <c r="G724" s="1">
        <v>-75.22491404987629</v>
      </c>
      <c r="H724" s="1" t="s">
        <v>436</v>
      </c>
      <c r="I724" s="1"/>
      <c r="J724" s="1"/>
      <c r="K724" s="1"/>
      <c r="L724" s="1" t="s">
        <v>2203</v>
      </c>
      <c r="M724" s="1">
        <f>IF(OR(NOT(ISNUMBER('School Profile'!$K$4)),NOT(ISNUMBER('School Profile'!$K$5)),NOT(ISNUMBER(F724)),NOT(ISNUMBER(G724))),"",3958.7613*2*ASIN(MIN(1,SQRT(SIN(RADIANS(F724-'School Profile'!$K$4)/2)^2+COS(RADIANS('School Profile'!$K$4))*COS(RADIANS(F724))*SIN(RADIANS(G724-'School Profile'!$K$5)/2)^2))))</f>
        <v>1.1307206159828527</v>
      </c>
      <c r="N724" s="1" t="str">
        <f>IF(AND(H724="Yes",ISNUMBER(M724),M724&lt;=1),COUNTIFS($H$511:$H$1010,"Yes",$M$511:$M$1010,"&lt;"&amp;M724)+COUNTIFS($H$511:H724,"Yes",$M$511:M724,M724),"")</f>
        <v/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:40" ht="22" customHeight="1">
      <c r="A725" s="1" t="s">
        <v>2853</v>
      </c>
      <c r="B725" s="1" t="s">
        <v>2854</v>
      </c>
      <c r="C725" s="1" t="s">
        <v>2855</v>
      </c>
      <c r="D725" s="1" t="s">
        <v>2256</v>
      </c>
      <c r="E725" s="1" t="s">
        <v>28</v>
      </c>
      <c r="F725" s="1">
        <v>39.965599930251123</v>
      </c>
      <c r="G725" s="1">
        <v>-75.232511180387519</v>
      </c>
      <c r="H725" s="1" t="s">
        <v>88</v>
      </c>
      <c r="I725" s="1"/>
      <c r="J725" s="1"/>
      <c r="K725" s="1"/>
      <c r="L725" s="1" t="s">
        <v>2261</v>
      </c>
      <c r="M725" s="1">
        <f>IF(OR(NOT(ISNUMBER('School Profile'!$K$4)),NOT(ISNUMBER('School Profile'!$K$5)),NOT(ISNUMBER(F725)),NOT(ISNUMBER(G725))),"",3958.7613*2*ASIN(MIN(1,SQRT(SIN(RADIANS(F725-'School Profile'!$K$4)/2)^2+COS(RADIANS('School Profile'!$K$4))*COS(RADIANS(F725))*SIN(RADIANS(G725-'School Profile'!$K$5)/2)^2))))</f>
        <v>3.0482947481147948</v>
      </c>
      <c r="N725" s="1" t="str">
        <f>IF(AND(H725="Yes",ISNUMBER(M725),M725&lt;=1),COUNTIFS($H$511:$H$1010,"Yes",$M$511:$M$1010,"&lt;"&amp;M725)+COUNTIFS($H$511:H725,"Yes",$M$511:M725,M725),"")</f>
        <v/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:40" ht="22" customHeight="1">
      <c r="A726" s="1" t="s">
        <v>2856</v>
      </c>
      <c r="B726" s="1" t="s">
        <v>2857</v>
      </c>
      <c r="C726" s="1" t="s">
        <v>2858</v>
      </c>
      <c r="D726" s="1" t="s">
        <v>2189</v>
      </c>
      <c r="E726" s="1" t="s">
        <v>28</v>
      </c>
      <c r="F726" s="1">
        <v>40.035672077176926</v>
      </c>
      <c r="G726" s="1">
        <v>-75.121259766895179</v>
      </c>
      <c r="H726" s="1" t="s">
        <v>436</v>
      </c>
      <c r="I726" s="1"/>
      <c r="J726" s="1"/>
      <c r="K726" s="1"/>
      <c r="L726" s="1" t="s">
        <v>2859</v>
      </c>
      <c r="M726" s="1">
        <f>IF(OR(NOT(ISNUMBER('School Profile'!$K$4)),NOT(ISNUMBER('School Profile'!$K$5)),NOT(ISNUMBER(F726)),NOT(ISNUMBER(G726))),"",3958.7613*2*ASIN(MIN(1,SQRT(SIN(RADIANS(F726-'School Profile'!$K$4)/2)^2+COS(RADIANS('School Profile'!$K$4))*COS(RADIANS(F726))*SIN(RADIANS(G726-'School Profile'!$K$5)/2)^2))))</f>
        <v>9.894275244020049</v>
      </c>
      <c r="N726" s="1" t="str">
        <f>IF(AND(H726="Yes",ISNUMBER(M726),M726&lt;=1),COUNTIFS($H$511:$H$1010,"Yes",$M$511:$M$1010,"&lt;"&amp;M726)+COUNTIFS($H$511:H726,"Yes",$M$511:M726,M726),"")</f>
        <v/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:40" ht="22" customHeight="1">
      <c r="A727" s="1" t="s">
        <v>2860</v>
      </c>
      <c r="B727" s="1" t="s">
        <v>2861</v>
      </c>
      <c r="C727" s="1" t="s">
        <v>2862</v>
      </c>
      <c r="D727" s="1" t="s">
        <v>2189</v>
      </c>
      <c r="E727" s="1" t="s">
        <v>28</v>
      </c>
      <c r="F727" s="1">
        <v>39.930961420256736</v>
      </c>
      <c r="G727" s="1">
        <v>-75.221631170145216</v>
      </c>
      <c r="H727" s="1" t="s">
        <v>436</v>
      </c>
      <c r="I727" s="1"/>
      <c r="J727" s="1"/>
      <c r="K727" s="1"/>
      <c r="L727" s="1" t="s">
        <v>2203</v>
      </c>
      <c r="M727" s="1">
        <f>IF(OR(NOT(ISNUMBER('School Profile'!$K$4)),NOT(ISNUMBER('School Profile'!$K$5)),NOT(ISNUMBER(F727)),NOT(ISNUMBER(G727))),"",3958.7613*2*ASIN(MIN(1,SQRT(SIN(RADIANS(F727-'School Profile'!$K$4)/2)^2+COS(RADIANS('School Profile'!$K$4))*COS(RADIANS(F727))*SIN(RADIANS(G727-'School Profile'!$K$5)/2)^2))))</f>
        <v>0.92788675930907405</v>
      </c>
      <c r="N727" s="1">
        <f>IF(AND(H727="Yes",ISNUMBER(M727),M727&lt;=1),COUNTIFS($H$511:$H$1010,"Yes",$M$511:$M$1010,"&lt;"&amp;M727)+COUNTIFS($H$511:H727,"Yes",$M$511:M727,M727),"")</f>
        <v>4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:40" ht="22" customHeight="1">
      <c r="A728" s="1" t="s">
        <v>2863</v>
      </c>
      <c r="B728" s="1" t="s">
        <v>2864</v>
      </c>
      <c r="C728" s="1" t="s">
        <v>2865</v>
      </c>
      <c r="D728" s="1" t="s">
        <v>2215</v>
      </c>
      <c r="E728" s="1" t="s">
        <v>28</v>
      </c>
      <c r="F728" s="1">
        <v>40.066091370516794</v>
      </c>
      <c r="G728" s="1">
        <v>-75.048417701752626</v>
      </c>
      <c r="H728" s="1" t="s">
        <v>88</v>
      </c>
      <c r="I728" s="1"/>
      <c r="J728" s="1"/>
      <c r="K728" s="1"/>
      <c r="L728" s="1" t="s">
        <v>2212</v>
      </c>
      <c r="M728" s="1">
        <f>IF(OR(NOT(ISNUMBER('School Profile'!$K$4)),NOT(ISNUMBER('School Profile'!$K$5)),NOT(ISNUMBER(F728)),NOT(ISNUMBER(G728))),"",3958.7613*2*ASIN(MIN(1,SQRT(SIN(RADIANS(F728-'School Profile'!$K$4)/2)^2+COS(RADIANS('School Profile'!$K$4))*COS(RADIANS(F728))*SIN(RADIANS(G728-'School Profile'!$K$5)/2)^2))))</f>
        <v>14.013171029428422</v>
      </c>
      <c r="N728" s="1" t="str">
        <f>IF(AND(H728="Yes",ISNUMBER(M728),M728&lt;=1),COUNTIFS($H$511:$H$1010,"Yes",$M$511:$M$1010,"&lt;"&amp;M728)+COUNTIFS($H$511:H728,"Yes",$M$511:M728,M728),"")</f>
        <v/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:40" ht="22" customHeight="1">
      <c r="A729" s="1" t="s">
        <v>2866</v>
      </c>
      <c r="B729" s="1" t="s">
        <v>2867</v>
      </c>
      <c r="C729" s="1" t="s">
        <v>2868</v>
      </c>
      <c r="D729" s="1" t="s">
        <v>2189</v>
      </c>
      <c r="E729" s="1" t="s">
        <v>28</v>
      </c>
      <c r="F729" s="1">
        <v>39.93846611579702</v>
      </c>
      <c r="G729" s="1">
        <v>-75.230474863131803</v>
      </c>
      <c r="H729" s="1" t="s">
        <v>436</v>
      </c>
      <c r="I729" s="1"/>
      <c r="J729" s="1"/>
      <c r="K729" s="1"/>
      <c r="L729" s="1" t="s">
        <v>2203</v>
      </c>
      <c r="M729" s="1">
        <f>IF(OR(NOT(ISNUMBER('School Profile'!$K$4)),NOT(ISNUMBER('School Profile'!$K$5)),NOT(ISNUMBER(F729)),NOT(ISNUMBER(G729))),"",3958.7613*2*ASIN(MIN(1,SQRT(SIN(RADIANS(F729-'School Profile'!$K$4)/2)^2+COS(RADIANS('School Profile'!$K$4))*COS(RADIANS(F729))*SIN(RADIANS(G729-'School Profile'!$K$5)/2)^2))))</f>
        <v>1.187679323331704</v>
      </c>
      <c r="N729" s="1" t="str">
        <f>IF(AND(H729="Yes",ISNUMBER(M729),M729&lt;=1),COUNTIFS($H$511:$H$1010,"Yes",$M$511:$M$1010,"&lt;"&amp;M729)+COUNTIFS($H$511:H729,"Yes",$M$511:M729,M729),"")</f>
        <v/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:40" ht="22" customHeight="1">
      <c r="A730" s="1" t="s">
        <v>2869</v>
      </c>
      <c r="B730" s="1" t="s">
        <v>2870</v>
      </c>
      <c r="C730" s="1" t="s">
        <v>2871</v>
      </c>
      <c r="D730" s="1" t="s">
        <v>2256</v>
      </c>
      <c r="E730" s="1" t="s">
        <v>28</v>
      </c>
      <c r="F730" s="1">
        <v>40.041252410174899</v>
      </c>
      <c r="G730" s="1">
        <v>-75.143938780085136</v>
      </c>
      <c r="H730" s="1" t="s">
        <v>88</v>
      </c>
      <c r="I730" s="1"/>
      <c r="J730" s="1"/>
      <c r="K730" s="1"/>
      <c r="L730" s="1" t="s">
        <v>2257</v>
      </c>
      <c r="M730" s="1">
        <f>IF(OR(NOT(ISNUMBER('School Profile'!$K$4)),NOT(ISNUMBER('School Profile'!$K$5)),NOT(ISNUMBER(F730)),NOT(ISNUMBER(G730))),"",3958.7613*2*ASIN(MIN(1,SQRT(SIN(RADIANS(F730-'School Profile'!$K$4)/2)^2+COS(RADIANS('School Profile'!$K$4))*COS(RADIANS(F730))*SIN(RADIANS(G730-'School Profile'!$K$5)/2)^2))))</f>
        <v>9.5512719734456599</v>
      </c>
      <c r="N730" s="1" t="str">
        <f>IF(AND(H730="Yes",ISNUMBER(M730),M730&lt;=1),COUNTIFS($H$511:$H$1010,"Yes",$M$511:$M$1010,"&lt;"&amp;M730)+COUNTIFS($H$511:H730,"Yes",$M$511:M730,M730),"")</f>
        <v/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:40" ht="22" customHeight="1">
      <c r="A731" s="1" t="s">
        <v>2872</v>
      </c>
      <c r="B731" s="1" t="s">
        <v>2873</v>
      </c>
      <c r="C731" s="1" t="s">
        <v>2874</v>
      </c>
      <c r="D731" s="1" t="s">
        <v>2189</v>
      </c>
      <c r="E731" s="1" t="s">
        <v>28</v>
      </c>
      <c r="F731" s="1">
        <v>40.044004080277134</v>
      </c>
      <c r="G731" s="1">
        <v>-75.168920249908453</v>
      </c>
      <c r="H731" s="1" t="s">
        <v>436</v>
      </c>
      <c r="I731" s="1"/>
      <c r="J731" s="1"/>
      <c r="K731" s="1"/>
      <c r="L731" s="1" t="s">
        <v>2192</v>
      </c>
      <c r="M731" s="1">
        <f>IF(OR(NOT(ISNUMBER('School Profile'!$K$4)),NOT(ISNUMBER('School Profile'!$K$5)),NOT(ISNUMBER(F731)),NOT(ISNUMBER(G731))),"",3958.7613*2*ASIN(MIN(1,SQRT(SIN(RADIANS(F731-'School Profile'!$K$4)/2)^2+COS(RADIANS('School Profile'!$K$4))*COS(RADIANS(F731))*SIN(RADIANS(G731-'School Profile'!$K$5)/2)^2))))</f>
        <v>9.1398915947321324</v>
      </c>
      <c r="N731" s="1" t="str">
        <f>IF(AND(H731="Yes",ISNUMBER(M731),M731&lt;=1),COUNTIFS($H$511:$H$1010,"Yes",$M$511:$M$1010,"&lt;"&amp;M731)+COUNTIFS($H$511:H731,"Yes",$M$511:M731,M731),"")</f>
        <v/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:40" ht="22" customHeight="1">
      <c r="A732" s="1" t="s">
        <v>2875</v>
      </c>
      <c r="B732" s="1" t="s">
        <v>2876</v>
      </c>
      <c r="C732" s="1" t="s">
        <v>2877</v>
      </c>
      <c r="D732" s="1" t="s">
        <v>2215</v>
      </c>
      <c r="E732" s="1" t="s">
        <v>28</v>
      </c>
      <c r="F732" s="1">
        <v>40.03713672013518</v>
      </c>
      <c r="G732" s="1">
        <v>-75.176318600315312</v>
      </c>
      <c r="H732" s="1" t="s">
        <v>88</v>
      </c>
      <c r="I732" s="1"/>
      <c r="J732" s="1"/>
      <c r="K732" s="1"/>
      <c r="L732" s="1" t="s">
        <v>2216</v>
      </c>
      <c r="M732" s="1">
        <f>IF(OR(NOT(ISNUMBER('School Profile'!$K$4)),NOT(ISNUMBER('School Profile'!$K$5)),NOT(ISNUMBER(F732)),NOT(ISNUMBER(G732))),"",3958.7613*2*ASIN(MIN(1,SQRT(SIN(RADIANS(F732-'School Profile'!$K$4)/2)^2+COS(RADIANS('School Profile'!$K$4))*COS(RADIANS(F732))*SIN(RADIANS(G732-'School Profile'!$K$5)/2)^2))))</f>
        <v>8.5547188811411683</v>
      </c>
      <c r="N732" s="1" t="str">
        <f>IF(AND(H732="Yes",ISNUMBER(M732),M732&lt;=1),COUNTIFS($H$511:$H$1010,"Yes",$M$511:$M$1010,"&lt;"&amp;M732)+COUNTIFS($H$511:H732,"Yes",$M$511:M732,M732),"")</f>
        <v/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:40" ht="22" customHeight="1">
      <c r="A733" s="1" t="s">
        <v>2878</v>
      </c>
      <c r="B733" s="1" t="s">
        <v>2879</v>
      </c>
      <c r="C733" s="1" t="s">
        <v>2880</v>
      </c>
      <c r="D733" s="1" t="s">
        <v>2189</v>
      </c>
      <c r="E733" s="1" t="s">
        <v>28</v>
      </c>
      <c r="F733" s="1">
        <v>40.043532793893419</v>
      </c>
      <c r="G733" s="1">
        <v>-75.103497933042817</v>
      </c>
      <c r="H733" s="1" t="s">
        <v>436</v>
      </c>
      <c r="I733" s="1"/>
      <c r="J733" s="1"/>
      <c r="K733" s="1"/>
      <c r="L733" s="1" t="s">
        <v>2203</v>
      </c>
      <c r="M733" s="1">
        <f>IF(OR(NOT(ISNUMBER('School Profile'!$K$4)),NOT(ISNUMBER('School Profile'!$K$5)),NOT(ISNUMBER(F733)),NOT(ISNUMBER(G733))),"",3958.7613*2*ASIN(MIN(1,SQRT(SIN(RADIANS(F733-'School Profile'!$K$4)/2)^2+COS(RADIANS('School Profile'!$K$4))*COS(RADIANS(F733))*SIN(RADIANS(G733-'School Profile'!$K$5)/2)^2))))</f>
        <v>10.902834640813214</v>
      </c>
      <c r="N733" s="1" t="str">
        <f>IF(AND(H733="Yes",ISNUMBER(M733),M733&lt;=1),COUNTIFS($H$511:$H$1010,"Yes",$M$511:$M$1010,"&lt;"&amp;M733)+COUNTIFS($H$511:H733,"Yes",$M$511:M733,M733),"")</f>
        <v/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:40" ht="22" customHeight="1">
      <c r="A734" s="1" t="s">
        <v>2881</v>
      </c>
      <c r="B734" s="1" t="s">
        <v>2882</v>
      </c>
      <c r="C734" s="1" t="s">
        <v>2883</v>
      </c>
      <c r="D734" s="1" t="s">
        <v>2256</v>
      </c>
      <c r="E734" s="1" t="s">
        <v>28</v>
      </c>
      <c r="F734" s="1">
        <v>40.038491760336065</v>
      </c>
      <c r="G734" s="1">
        <v>-75.176549579632749</v>
      </c>
      <c r="H734" s="1" t="s">
        <v>88</v>
      </c>
      <c r="I734" s="1"/>
      <c r="J734" s="1"/>
      <c r="K734" s="1"/>
      <c r="L734" s="1" t="s">
        <v>2884</v>
      </c>
      <c r="M734" s="1">
        <f>IF(OR(NOT(ISNUMBER('School Profile'!$K$4)),NOT(ISNUMBER('School Profile'!$K$5)),NOT(ISNUMBER(F734)),NOT(ISNUMBER(G734))),"",3958.7613*2*ASIN(MIN(1,SQRT(SIN(RADIANS(F734-'School Profile'!$K$4)/2)^2+COS(RADIANS('School Profile'!$K$4))*COS(RADIANS(F734))*SIN(RADIANS(G734-'School Profile'!$K$5)/2)^2))))</f>
        <v>8.6378980422307645</v>
      </c>
      <c r="N734" s="1" t="str">
        <f>IF(AND(H734="Yes",ISNUMBER(M734),M734&lt;=1),COUNTIFS($H$511:$H$1010,"Yes",$M$511:$M$1010,"&lt;"&amp;M734)+COUNTIFS($H$511:H734,"Yes",$M$511:M734,M734),"")</f>
        <v/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:40" ht="22" customHeight="1">
      <c r="A735" s="1" t="s">
        <v>2885</v>
      </c>
      <c r="B735" s="1" t="s">
        <v>2886</v>
      </c>
      <c r="C735" s="1" t="s">
        <v>2887</v>
      </c>
      <c r="D735" s="1" t="s">
        <v>2189</v>
      </c>
      <c r="E735" s="1" t="s">
        <v>28</v>
      </c>
      <c r="F735" s="1">
        <v>40.041117909311552</v>
      </c>
      <c r="G735" s="1">
        <v>-75.129549540711281</v>
      </c>
      <c r="H735" s="1" t="s">
        <v>436</v>
      </c>
      <c r="I735" s="1"/>
      <c r="J735" s="1"/>
      <c r="K735" s="1"/>
      <c r="L735" s="1" t="s">
        <v>2203</v>
      </c>
      <c r="M735" s="1">
        <f>IF(OR(NOT(ISNUMBER('School Profile'!$K$4)),NOT(ISNUMBER('School Profile'!$K$5)),NOT(ISNUMBER(F735)),NOT(ISNUMBER(G735))),"",3958.7613*2*ASIN(MIN(1,SQRT(SIN(RADIANS(F735-'School Profile'!$K$4)/2)^2+COS(RADIANS('School Profile'!$K$4))*COS(RADIANS(F735))*SIN(RADIANS(G735-'School Profile'!$K$5)/2)^2))))</f>
        <v>9.9459935992413744</v>
      </c>
      <c r="N735" s="1" t="str">
        <f>IF(AND(H735="Yes",ISNUMBER(M735),M735&lt;=1),COUNTIFS($H$511:$H$1010,"Yes",$M$511:$M$1010,"&lt;"&amp;M735)+COUNTIFS($H$511:H735,"Yes",$M$511:M735,M735),"")</f>
        <v/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:40" ht="22" customHeight="1">
      <c r="A736" s="1" t="s">
        <v>2888</v>
      </c>
      <c r="B736" s="1" t="s">
        <v>2889</v>
      </c>
      <c r="C736" s="1" t="s">
        <v>2890</v>
      </c>
      <c r="D736" s="1" t="s">
        <v>2189</v>
      </c>
      <c r="E736" s="1" t="s">
        <v>2190</v>
      </c>
      <c r="F736" s="1">
        <v>39.953809460912041</v>
      </c>
      <c r="G736" s="1">
        <v>-75.240537231294098</v>
      </c>
      <c r="H736" s="1" t="s">
        <v>88</v>
      </c>
      <c r="I736" s="1"/>
      <c r="J736" s="1" t="s">
        <v>2191</v>
      </c>
      <c r="K736" s="1"/>
      <c r="L736" s="1" t="s">
        <v>2192</v>
      </c>
      <c r="M736" s="1">
        <f>IF(OR(NOT(ISNUMBER('School Profile'!$K$4)),NOT(ISNUMBER('School Profile'!$K$5)),NOT(ISNUMBER(F736)),NOT(ISNUMBER(G736))),"",3958.7613*2*ASIN(MIN(1,SQRT(SIN(RADIANS(F736-'School Profile'!$K$4)/2)^2+COS(RADIANS('School Profile'!$K$4))*COS(RADIANS(F736))*SIN(RADIANS(G736-'School Profile'!$K$5)/2)^2))))</f>
        <v>2.2588047995187313</v>
      </c>
      <c r="N736" s="1" t="str">
        <f>IF(AND(H736="Yes",ISNUMBER(M736),M736&lt;=1),COUNTIFS($H$511:$H$1010,"Yes",$M$511:$M$1010,"&lt;"&amp;M736)+COUNTIFS($H$511:H736,"Yes",$M$511:M736,M736),"")</f>
        <v/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:40" ht="22" customHeight="1">
      <c r="A737" s="1" t="s">
        <v>2891</v>
      </c>
      <c r="B737" s="1" t="s">
        <v>2892</v>
      </c>
      <c r="C737" s="1" t="s">
        <v>2893</v>
      </c>
      <c r="D737" s="1" t="s">
        <v>2189</v>
      </c>
      <c r="E737" s="1" t="s">
        <v>28</v>
      </c>
      <c r="F737" s="1">
        <v>40.015165839681075</v>
      </c>
      <c r="G737" s="1">
        <v>-75.137577010057683</v>
      </c>
      <c r="H737" s="1" t="s">
        <v>436</v>
      </c>
      <c r="I737" s="1"/>
      <c r="J737" s="1"/>
      <c r="K737" s="1"/>
      <c r="L737" s="1" t="s">
        <v>2203</v>
      </c>
      <c r="M737" s="1">
        <f>IF(OR(NOT(ISNUMBER('School Profile'!$K$4)),NOT(ISNUMBER('School Profile'!$K$5)),NOT(ISNUMBER(F737)),NOT(ISNUMBER(G737))),"",3958.7613*2*ASIN(MIN(1,SQRT(SIN(RADIANS(F737-'School Profile'!$K$4)/2)^2+COS(RADIANS('School Profile'!$K$4))*COS(RADIANS(F737))*SIN(RADIANS(G737-'School Profile'!$K$5)/2)^2))))</f>
        <v>8.245330344194489</v>
      </c>
      <c r="N737" s="1" t="str">
        <f>IF(AND(H737="Yes",ISNUMBER(M737),M737&lt;=1),COUNTIFS($H$511:$H$1010,"Yes",$M$511:$M$1010,"&lt;"&amp;M737)+COUNTIFS($H$511:H737,"Yes",$M$511:M737,M737),"")</f>
        <v/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:40" ht="22" customHeight="1">
      <c r="A738" s="1" t="s">
        <v>2894</v>
      </c>
      <c r="B738" s="1" t="s">
        <v>2895</v>
      </c>
      <c r="C738" s="1" t="s">
        <v>2896</v>
      </c>
      <c r="D738" s="1" t="s">
        <v>2189</v>
      </c>
      <c r="E738" s="1" t="s">
        <v>28</v>
      </c>
      <c r="F738" s="1">
        <v>40.044647670109796</v>
      </c>
      <c r="G738" s="1">
        <v>-75.10014904959624</v>
      </c>
      <c r="H738" s="1" t="s">
        <v>436</v>
      </c>
      <c r="I738" s="1"/>
      <c r="J738" s="1"/>
      <c r="K738" s="1"/>
      <c r="L738" s="1" t="s">
        <v>2203</v>
      </c>
      <c r="M738" s="1">
        <f>IF(OR(NOT(ISNUMBER('School Profile'!$K$4)),NOT(ISNUMBER('School Profile'!$K$5)),NOT(ISNUMBER(F738)),NOT(ISNUMBER(G738))),"",3958.7613*2*ASIN(MIN(1,SQRT(SIN(RADIANS(F738-'School Profile'!$K$4)/2)^2+COS(RADIANS('School Profile'!$K$4))*COS(RADIANS(F738))*SIN(RADIANS(G738-'School Profile'!$K$5)/2)^2))))</f>
        <v>11.075121937509243</v>
      </c>
      <c r="N738" s="1" t="str">
        <f>IF(AND(H738="Yes",ISNUMBER(M738),M738&lt;=1),COUNTIFS($H$511:$H$1010,"Yes",$M$511:$M$1010,"&lt;"&amp;M738)+COUNTIFS($H$511:H738,"Yes",$M$511:M738,M738),"")</f>
        <v/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:40" ht="22" customHeight="1">
      <c r="A739" s="1" t="s">
        <v>2897</v>
      </c>
      <c r="B739" s="1" t="s">
        <v>2898</v>
      </c>
      <c r="C739" s="1" t="s">
        <v>2899</v>
      </c>
      <c r="D739" s="1" t="s">
        <v>2189</v>
      </c>
      <c r="E739" s="1" t="s">
        <v>28</v>
      </c>
      <c r="F739" s="1">
        <v>39.969853850072965</v>
      </c>
      <c r="G739" s="1">
        <v>-75.239804830351375</v>
      </c>
      <c r="H739" s="1" t="s">
        <v>436</v>
      </c>
      <c r="I739" s="1"/>
      <c r="J739" s="1"/>
      <c r="K739" s="1"/>
      <c r="L739" s="1" t="s">
        <v>2203</v>
      </c>
      <c r="M739" s="1">
        <f>IF(OR(NOT(ISNUMBER('School Profile'!$K$4)),NOT(ISNUMBER('School Profile'!$K$5)),NOT(ISNUMBER(F739)),NOT(ISNUMBER(G739))),"",3958.7613*2*ASIN(MIN(1,SQRT(SIN(RADIANS(F739-'School Profile'!$K$4)/2)^2+COS(RADIANS('School Profile'!$K$4))*COS(RADIANS(F739))*SIN(RADIANS(G739-'School Profile'!$K$5)/2)^2))))</f>
        <v>3.3549650997765479</v>
      </c>
      <c r="N739" s="1" t="str">
        <f>IF(AND(H739="Yes",ISNUMBER(M739),M739&lt;=1),COUNTIFS($H$511:$H$1010,"Yes",$M$511:$M$1010,"&lt;"&amp;M739)+COUNTIFS($H$511:H739,"Yes",$M$511:M739,M739),"")</f>
        <v/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:40" ht="22" customHeight="1">
      <c r="A740" s="1" t="s">
        <v>2900</v>
      </c>
      <c r="B740" s="1" t="s">
        <v>2901</v>
      </c>
      <c r="C740" s="1" t="s">
        <v>2902</v>
      </c>
      <c r="D740" s="1" t="s">
        <v>2189</v>
      </c>
      <c r="E740" s="1" t="s">
        <v>28</v>
      </c>
      <c r="F740" s="1">
        <v>39.969853848696083</v>
      </c>
      <c r="G740" s="1">
        <v>-75.239804833944632</v>
      </c>
      <c r="H740" s="1" t="s">
        <v>436</v>
      </c>
      <c r="I740" s="1"/>
      <c r="J740" s="1"/>
      <c r="K740" s="1"/>
      <c r="L740" s="1" t="s">
        <v>2192</v>
      </c>
      <c r="M740" s="1">
        <f>IF(OR(NOT(ISNUMBER('School Profile'!$K$4)),NOT(ISNUMBER('School Profile'!$K$5)),NOT(ISNUMBER(F740)),NOT(ISNUMBER(G740))),"",3958.7613*2*ASIN(MIN(1,SQRT(SIN(RADIANS(F740-'School Profile'!$K$4)/2)^2+COS(RADIANS('School Profile'!$K$4))*COS(RADIANS(F740))*SIN(RADIANS(G740-'School Profile'!$K$5)/2)^2))))</f>
        <v>3.3549650223135195</v>
      </c>
      <c r="N740" s="1" t="str">
        <f>IF(AND(H740="Yes",ISNUMBER(M740),M740&lt;=1),COUNTIFS($H$511:$H$1010,"Yes",$M$511:$M$1010,"&lt;"&amp;M740)+COUNTIFS($H$511:H740,"Yes",$M$511:M740,M740),"")</f>
        <v/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:40" ht="22" customHeight="1">
      <c r="A741" s="1" t="s">
        <v>2903</v>
      </c>
      <c r="B741" s="1" t="s">
        <v>2904</v>
      </c>
      <c r="C741" s="1" t="s">
        <v>2905</v>
      </c>
      <c r="D741" s="1" t="s">
        <v>2189</v>
      </c>
      <c r="E741" s="1" t="s">
        <v>28</v>
      </c>
      <c r="F741" s="1">
        <v>40.007609490858307</v>
      </c>
      <c r="G741" s="1">
        <v>-75.139000254979763</v>
      </c>
      <c r="H741" s="1" t="s">
        <v>436</v>
      </c>
      <c r="I741" s="1"/>
      <c r="J741" s="1"/>
      <c r="K741" s="1"/>
      <c r="L741" s="1" t="s">
        <v>2203</v>
      </c>
      <c r="M741" s="1">
        <f>IF(OR(NOT(ISNUMBER('School Profile'!$K$4)),NOT(ISNUMBER('School Profile'!$K$5)),NOT(ISNUMBER(F741)),NOT(ISNUMBER(G741))),"",3958.7613*2*ASIN(MIN(1,SQRT(SIN(RADIANS(F741-'School Profile'!$K$4)/2)^2+COS(RADIANS('School Profile'!$K$4))*COS(RADIANS(F741))*SIN(RADIANS(G741-'School Profile'!$K$5)/2)^2))))</f>
        <v>7.7934988777219729</v>
      </c>
      <c r="N741" s="1" t="str">
        <f>IF(AND(H741="Yes",ISNUMBER(M741),M741&lt;=1),COUNTIFS($H$511:$H$1010,"Yes",$M$511:$M$1010,"&lt;"&amp;M741)+COUNTIFS($H$511:H741,"Yes",$M$511:M741,M741),"")</f>
        <v/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:40" ht="22" customHeight="1">
      <c r="A742" s="1" t="s">
        <v>2906</v>
      </c>
      <c r="B742" s="1" t="s">
        <v>2907</v>
      </c>
      <c r="C742" s="1" t="s">
        <v>2908</v>
      </c>
      <c r="D742" s="1" t="s">
        <v>2189</v>
      </c>
      <c r="E742" s="1" t="s">
        <v>28</v>
      </c>
      <c r="F742" s="1">
        <v>39.960755020229819</v>
      </c>
      <c r="G742" s="1">
        <v>-75.241988069766748</v>
      </c>
      <c r="H742" s="1" t="s">
        <v>436</v>
      </c>
      <c r="I742" s="1"/>
      <c r="J742" s="1"/>
      <c r="K742" s="1"/>
      <c r="L742" s="1" t="s">
        <v>2192</v>
      </c>
      <c r="M742" s="1">
        <f>IF(OR(NOT(ISNUMBER('School Profile'!$K$4)),NOT(ISNUMBER('School Profile'!$K$5)),NOT(ISNUMBER(F742)),NOT(ISNUMBER(G742))),"",3958.7613*2*ASIN(MIN(1,SQRT(SIN(RADIANS(F742-'School Profile'!$K$4)/2)^2+COS(RADIANS('School Profile'!$K$4))*COS(RADIANS(F742))*SIN(RADIANS(G742-'School Profile'!$K$5)/2)^2))))</f>
        <v>2.7448024334708441</v>
      </c>
      <c r="N742" s="1" t="str">
        <f>IF(AND(H742="Yes",ISNUMBER(M742),M742&lt;=1),COUNTIFS($H$511:$H$1010,"Yes",$M$511:$M$1010,"&lt;"&amp;M742)+COUNTIFS($H$511:H742,"Yes",$M$511:M742,M742),"")</f>
        <v/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:40" ht="22" customHeight="1">
      <c r="A743" s="1" t="s">
        <v>2909</v>
      </c>
      <c r="B743" s="1" t="s">
        <v>2910</v>
      </c>
      <c r="C743" s="1" t="s">
        <v>2911</v>
      </c>
      <c r="D743" s="1" t="s">
        <v>2207</v>
      </c>
      <c r="E743" s="1" t="s">
        <v>28</v>
      </c>
      <c r="F743" s="1">
        <v>39.954603391885627</v>
      </c>
      <c r="G743" s="1">
        <v>-75.196882731391426</v>
      </c>
      <c r="H743" s="1" t="s">
        <v>88</v>
      </c>
      <c r="I743" s="1"/>
      <c r="J743" s="1"/>
      <c r="K743" s="1"/>
      <c r="L743" s="1" t="s">
        <v>2208</v>
      </c>
      <c r="M743" s="1">
        <f>IF(OR(NOT(ISNUMBER('School Profile'!$K$4)),NOT(ISNUMBER('School Profile'!$K$5)),NOT(ISNUMBER(F743)),NOT(ISNUMBER(G743))),"",3958.7613*2*ASIN(MIN(1,SQRT(SIN(RADIANS(F743-'School Profile'!$K$4)/2)^2+COS(RADIANS('School Profile'!$K$4))*COS(RADIANS(F743))*SIN(RADIANS(G743-'School Profile'!$K$5)/2)^2))))</f>
        <v>3.0183364104960648</v>
      </c>
      <c r="N743" s="1" t="str">
        <f>IF(AND(H743="Yes",ISNUMBER(M743),M743&lt;=1),COUNTIFS($H$511:$H$1010,"Yes",$M$511:$M$1010,"&lt;"&amp;M743)+COUNTIFS($H$511:H743,"Yes",$M$511:M743,M743),"")</f>
        <v/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:40" ht="22" customHeight="1">
      <c r="A744" s="1" t="s">
        <v>2912</v>
      </c>
      <c r="B744" s="1" t="s">
        <v>2913</v>
      </c>
      <c r="C744" s="1" t="s">
        <v>2914</v>
      </c>
      <c r="D744" s="1" t="s">
        <v>2207</v>
      </c>
      <c r="E744" s="1" t="s">
        <v>28</v>
      </c>
      <c r="F744" s="1">
        <v>39.956493879734154</v>
      </c>
      <c r="G744" s="1">
        <v>-75.167905370131379</v>
      </c>
      <c r="H744" s="1" t="s">
        <v>88</v>
      </c>
      <c r="I744" s="1"/>
      <c r="J744" s="1"/>
      <c r="K744" s="1"/>
      <c r="L744" s="1" t="s">
        <v>2208</v>
      </c>
      <c r="M744" s="1">
        <f>IF(OR(NOT(ISNUMBER('School Profile'!$K$4)),NOT(ISNUMBER('School Profile'!$K$5)),NOT(ISNUMBER(F744)),NOT(ISNUMBER(G744))),"",3958.7613*2*ASIN(MIN(1,SQRT(SIN(RADIANS(F744-'School Profile'!$K$4)/2)^2+COS(RADIANS('School Profile'!$K$4))*COS(RADIANS(F744))*SIN(RADIANS(G744-'School Profile'!$K$5)/2)^2))))</f>
        <v>4.2576350507104488</v>
      </c>
      <c r="N744" s="1" t="str">
        <f>IF(AND(H744="Yes",ISNUMBER(M744),M744&lt;=1),COUNTIFS($H$511:$H$1010,"Yes",$M$511:$M$1010,"&lt;"&amp;M744)+COUNTIFS($H$511:H744,"Yes",$M$511:M744,M744),"")</f>
        <v/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:40" ht="22" customHeight="1">
      <c r="A745" s="1" t="s">
        <v>2915</v>
      </c>
      <c r="B745" s="1" t="s">
        <v>2916</v>
      </c>
      <c r="C745" s="1" t="s">
        <v>2917</v>
      </c>
      <c r="D745" s="1" t="s">
        <v>2189</v>
      </c>
      <c r="E745" s="1" t="s">
        <v>28</v>
      </c>
      <c r="F745" s="1">
        <v>39.969700810208984</v>
      </c>
      <c r="G745" s="1">
        <v>-75.225120830376596</v>
      </c>
      <c r="H745" s="1" t="s">
        <v>436</v>
      </c>
      <c r="I745" s="1"/>
      <c r="J745" s="1"/>
      <c r="K745" s="1"/>
      <c r="L745" s="1" t="s">
        <v>2192</v>
      </c>
      <c r="M745" s="1">
        <f>IF(OR(NOT(ISNUMBER('School Profile'!$K$4)),NOT(ISNUMBER('School Profile'!$K$5)),NOT(ISNUMBER(F745)),NOT(ISNUMBER(G745))),"",3958.7613*2*ASIN(MIN(1,SQRT(SIN(RADIANS(F745-'School Profile'!$K$4)/2)^2+COS(RADIANS('School Profile'!$K$4))*COS(RADIANS(F745))*SIN(RADIANS(G745-'School Profile'!$K$5)/2)^2))))</f>
        <v>3.3640000679850548</v>
      </c>
      <c r="N745" s="1" t="str">
        <f>IF(AND(H745="Yes",ISNUMBER(M745),M745&lt;=1),COUNTIFS($H$511:$H$1010,"Yes",$M$511:$M$1010,"&lt;"&amp;M745)+COUNTIFS($H$511:H745,"Yes",$M$511:M745,M745),"")</f>
        <v/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:40" ht="22" customHeight="1">
      <c r="A746" s="1" t="s">
        <v>2918</v>
      </c>
      <c r="B746" s="1" t="s">
        <v>2919</v>
      </c>
      <c r="C746" s="1" t="s">
        <v>2920</v>
      </c>
      <c r="D746" s="1" t="s">
        <v>2189</v>
      </c>
      <c r="E746" s="1" t="s">
        <v>28</v>
      </c>
      <c r="F746" s="1">
        <v>40.043316635821725</v>
      </c>
      <c r="G746" s="1">
        <v>-75.167139202415456</v>
      </c>
      <c r="H746" s="1" t="s">
        <v>436</v>
      </c>
      <c r="I746" s="1"/>
      <c r="J746" s="1"/>
      <c r="K746" s="1"/>
      <c r="L746" s="1" t="s">
        <v>2203</v>
      </c>
      <c r="M746" s="1">
        <f>IF(OR(NOT(ISNUMBER('School Profile'!$K$4)),NOT(ISNUMBER('School Profile'!$K$5)),NOT(ISNUMBER(F746)),NOT(ISNUMBER(G746))),"",3958.7613*2*ASIN(MIN(1,SQRT(SIN(RADIANS(F746-'School Profile'!$K$4)/2)^2+COS(RADIANS('School Profile'!$K$4))*COS(RADIANS(F746))*SIN(RADIANS(G746-'School Profile'!$K$5)/2)^2))))</f>
        <v>9.1320929683423948</v>
      </c>
      <c r="N746" s="1" t="str">
        <f>IF(AND(H746="Yes",ISNUMBER(M746),M746&lt;=1),COUNTIFS($H$511:$H$1010,"Yes",$M$511:$M$1010,"&lt;"&amp;M746)+COUNTIFS($H$511:H746,"Yes",$M$511:M746,M746),"")</f>
        <v/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:40" ht="22" customHeight="1">
      <c r="A747" s="1" t="s">
        <v>2921</v>
      </c>
      <c r="B747" s="1" t="s">
        <v>2922</v>
      </c>
      <c r="C747" s="1" t="s">
        <v>2923</v>
      </c>
      <c r="D747" s="1" t="s">
        <v>2189</v>
      </c>
      <c r="E747" s="1" t="s">
        <v>28</v>
      </c>
      <c r="F747" s="1">
        <v>39.980980316216332</v>
      </c>
      <c r="G747" s="1">
        <v>-75.242862512322191</v>
      </c>
      <c r="H747" s="1" t="s">
        <v>436</v>
      </c>
      <c r="I747" s="1"/>
      <c r="J747" s="1"/>
      <c r="K747" s="1"/>
      <c r="L747" s="1" t="s">
        <v>2203</v>
      </c>
      <c r="M747" s="1">
        <f>IF(OR(NOT(ISNUMBER('School Profile'!$K$4)),NOT(ISNUMBER('School Profile'!$K$5)),NOT(ISNUMBER(F747)),NOT(ISNUMBER(G747))),"",3958.7613*2*ASIN(MIN(1,SQRT(SIN(RADIANS(F747-'School Profile'!$K$4)/2)^2+COS(RADIANS('School Profile'!$K$4))*COS(RADIANS(F747))*SIN(RADIANS(G747-'School Profile'!$K$5)/2)^2))))</f>
        <v>4.1362674392086793</v>
      </c>
      <c r="N747" s="1" t="str">
        <f>IF(AND(H747="Yes",ISNUMBER(M747),M747&lt;=1),COUNTIFS($H$511:$H$1010,"Yes",$M$511:$M$1010,"&lt;"&amp;M747)+COUNTIFS($H$511:H747,"Yes",$M$511:M747,M747),"")</f>
        <v/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:40" ht="22" customHeight="1">
      <c r="A748" s="1" t="s">
        <v>2924</v>
      </c>
      <c r="B748" s="1" t="s">
        <v>2925</v>
      </c>
      <c r="C748" s="1" t="s">
        <v>2926</v>
      </c>
      <c r="D748" s="1" t="s">
        <v>2189</v>
      </c>
      <c r="E748" s="1" t="s">
        <v>28</v>
      </c>
      <c r="F748" s="1">
        <v>40.046529170077164</v>
      </c>
      <c r="G748" s="1">
        <v>-75.148854600271719</v>
      </c>
      <c r="H748" s="1" t="s">
        <v>436</v>
      </c>
      <c r="I748" s="1"/>
      <c r="J748" s="1"/>
      <c r="K748" s="1"/>
      <c r="L748" s="1" t="s">
        <v>2203</v>
      </c>
      <c r="M748" s="1">
        <f>IF(OR(NOT(ISNUMBER('School Profile'!$K$4)),NOT(ISNUMBER('School Profile'!$K$5)),NOT(ISNUMBER(F748)),NOT(ISNUMBER(G748))),"",3958.7613*2*ASIN(MIN(1,SQRT(SIN(RADIANS(F748-'School Profile'!$K$4)/2)^2+COS(RADIANS('School Profile'!$K$4))*COS(RADIANS(F748))*SIN(RADIANS(G748-'School Profile'!$K$5)/2)^2))))</f>
        <v>9.7455579365128351</v>
      </c>
      <c r="N748" s="1" t="str">
        <f>IF(AND(H748="Yes",ISNUMBER(M748),M748&lt;=1),COUNTIFS($H$511:$H$1010,"Yes",$M$511:$M$1010,"&lt;"&amp;M748)+COUNTIFS($H$511:H748,"Yes",$M$511:M748,M748),"")</f>
        <v/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:40" ht="22" customHeight="1">
      <c r="A749" s="1" t="s">
        <v>2927</v>
      </c>
      <c r="B749" s="1" t="s">
        <v>2928</v>
      </c>
      <c r="C749" s="1" t="s">
        <v>2929</v>
      </c>
      <c r="D749" s="1" t="s">
        <v>2189</v>
      </c>
      <c r="E749" s="1" t="s">
        <v>28</v>
      </c>
      <c r="F749" s="1">
        <v>39.971062962759547</v>
      </c>
      <c r="G749" s="1">
        <v>-75.241274878398059</v>
      </c>
      <c r="H749" s="1" t="s">
        <v>436</v>
      </c>
      <c r="I749" s="1"/>
      <c r="J749" s="1"/>
      <c r="K749" s="1"/>
      <c r="L749" s="1" t="s">
        <v>2203</v>
      </c>
      <c r="M749" s="1">
        <f>IF(OR(NOT(ISNUMBER('School Profile'!$K$4)),NOT(ISNUMBER('School Profile'!$K$5)),NOT(ISNUMBER(F749)),NOT(ISNUMBER(G749))),"",3958.7613*2*ASIN(MIN(1,SQRT(SIN(RADIANS(F749-'School Profile'!$K$4)/2)^2+COS(RADIANS('School Profile'!$K$4))*COS(RADIANS(F749))*SIN(RADIANS(G749-'School Profile'!$K$5)/2)^2))))</f>
        <v>3.4459403356026312</v>
      </c>
      <c r="N749" s="1" t="str">
        <f>IF(AND(H749="Yes",ISNUMBER(M749),M749&lt;=1),COUNTIFS($H$511:$H$1010,"Yes",$M$511:$M$1010,"&lt;"&amp;M749)+COUNTIFS($H$511:H749,"Yes",$M$511:M749,M749),"")</f>
        <v/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:40" ht="22" customHeight="1">
      <c r="A750" s="1" t="s">
        <v>2930</v>
      </c>
      <c r="B750" s="1" t="s">
        <v>2931</v>
      </c>
      <c r="C750" s="1" t="s">
        <v>2932</v>
      </c>
      <c r="D750" s="1" t="s">
        <v>2189</v>
      </c>
      <c r="E750" s="1" t="s">
        <v>28</v>
      </c>
      <c r="F750" s="1">
        <v>39.975395099816595</v>
      </c>
      <c r="G750" s="1">
        <v>-75.243403660144281</v>
      </c>
      <c r="H750" s="1" t="s">
        <v>436</v>
      </c>
      <c r="I750" s="1"/>
      <c r="J750" s="1"/>
      <c r="K750" s="1"/>
      <c r="L750" s="1" t="s">
        <v>2203</v>
      </c>
      <c r="M750" s="1">
        <f>IF(OR(NOT(ISNUMBER('School Profile'!$K$4)),NOT(ISNUMBER('School Profile'!$K$5)),NOT(ISNUMBER(F750)),NOT(ISNUMBER(G750))),"",3958.7613*2*ASIN(MIN(1,SQRT(SIN(RADIANS(F750-'School Profile'!$K$4)/2)^2+COS(RADIANS('School Profile'!$K$4))*COS(RADIANS(F750))*SIN(RADIANS(G750-'School Profile'!$K$5)/2)^2))))</f>
        <v>3.7567527329730597</v>
      </c>
      <c r="N750" s="1" t="str">
        <f>IF(AND(H750="Yes",ISNUMBER(M750),M750&lt;=1),COUNTIFS($H$511:$H$1010,"Yes",$M$511:$M$1010,"&lt;"&amp;M750)+COUNTIFS($H$511:H750,"Yes",$M$511:M750,M750),"")</f>
        <v/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:40" ht="22" customHeight="1">
      <c r="A751" s="1" t="s">
        <v>2933</v>
      </c>
      <c r="B751" s="1" t="s">
        <v>2934</v>
      </c>
      <c r="C751" s="1" t="s">
        <v>2935</v>
      </c>
      <c r="D751" s="1" t="s">
        <v>2189</v>
      </c>
      <c r="E751" s="1" t="s">
        <v>28</v>
      </c>
      <c r="F751" s="1">
        <v>39.964160327811136</v>
      </c>
      <c r="G751" s="1">
        <v>-75.160971060654234</v>
      </c>
      <c r="H751" s="1" t="s">
        <v>436</v>
      </c>
      <c r="I751" s="1"/>
      <c r="J751" s="1"/>
      <c r="K751" s="1"/>
      <c r="L751" s="1" t="s">
        <v>2203</v>
      </c>
      <c r="M751" s="1">
        <f>IF(OR(NOT(ISNUMBER('School Profile'!$K$4)),NOT(ISNUMBER('School Profile'!$K$5)),NOT(ISNUMBER(F751)),NOT(ISNUMBER(G751))),"",3958.7613*2*ASIN(MIN(1,SQRT(SIN(RADIANS(F751-'School Profile'!$K$4)/2)^2+COS(RADIANS('School Profile'!$K$4))*COS(RADIANS(F751))*SIN(RADIANS(G751-'School Profile'!$K$5)/2)^2))))</f>
        <v>4.8659673385641167</v>
      </c>
      <c r="N751" s="1" t="str">
        <f>IF(AND(H751="Yes",ISNUMBER(M751),M751&lt;=1),COUNTIFS($H$511:$H$1010,"Yes",$M$511:$M$1010,"&lt;"&amp;M751)+COUNTIFS($H$511:H751,"Yes",$M$511:M751,M751),"")</f>
        <v/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:40" ht="22" customHeight="1">
      <c r="A752" s="1" t="s">
        <v>2936</v>
      </c>
      <c r="B752" s="1" t="s">
        <v>2937</v>
      </c>
      <c r="C752" s="1" t="s">
        <v>2938</v>
      </c>
      <c r="D752" s="1" t="s">
        <v>2207</v>
      </c>
      <c r="E752" s="1" t="s">
        <v>28</v>
      </c>
      <c r="F752" s="1">
        <v>39.952762547127506</v>
      </c>
      <c r="G752" s="1">
        <v>-75.245855464388598</v>
      </c>
      <c r="H752" s="1" t="s">
        <v>88</v>
      </c>
      <c r="I752" s="1"/>
      <c r="J752" s="1"/>
      <c r="K752" s="1"/>
      <c r="L752" s="1" t="s">
        <v>2208</v>
      </c>
      <c r="M752" s="1">
        <f>IF(OR(NOT(ISNUMBER('School Profile'!$K$4)),NOT(ISNUMBER('School Profile'!$K$5)),NOT(ISNUMBER(F752)),NOT(ISNUMBER(G752))),"",3958.7613*2*ASIN(MIN(1,SQRT(SIN(RADIANS(F752-'School Profile'!$K$4)/2)^2+COS(RADIANS('School Profile'!$K$4))*COS(RADIANS(F752))*SIN(RADIANS(G752-'School Profile'!$K$5)/2)^2))))</f>
        <v>2.2488490492910032</v>
      </c>
      <c r="N752" s="1" t="str">
        <f>IF(AND(H752="Yes",ISNUMBER(M752),M752&lt;=1),COUNTIFS($H$511:$H$1010,"Yes",$M$511:$M$1010,"&lt;"&amp;M752)+COUNTIFS($H$511:H752,"Yes",$M$511:M752,M752),"")</f>
        <v/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:40" ht="22" customHeight="1">
      <c r="A753" s="1" t="s">
        <v>2939</v>
      </c>
      <c r="B753" s="1" t="s">
        <v>2940</v>
      </c>
      <c r="C753" s="1" t="s">
        <v>2938</v>
      </c>
      <c r="D753" s="1" t="s">
        <v>2256</v>
      </c>
      <c r="E753" s="1" t="s">
        <v>28</v>
      </c>
      <c r="F753" s="1">
        <v>39.952762547127506</v>
      </c>
      <c r="G753" s="1">
        <v>-75.245855464388598</v>
      </c>
      <c r="H753" s="1" t="s">
        <v>88</v>
      </c>
      <c r="I753" s="1"/>
      <c r="J753" s="1"/>
      <c r="K753" s="1"/>
      <c r="L753" s="1" t="s">
        <v>2261</v>
      </c>
      <c r="M753" s="1">
        <f>IF(OR(NOT(ISNUMBER('School Profile'!$K$4)),NOT(ISNUMBER('School Profile'!$K$5)),NOT(ISNUMBER(F753)),NOT(ISNUMBER(G753))),"",3958.7613*2*ASIN(MIN(1,SQRT(SIN(RADIANS(F753-'School Profile'!$K$4)/2)^2+COS(RADIANS('School Profile'!$K$4))*COS(RADIANS(F753))*SIN(RADIANS(G753-'School Profile'!$K$5)/2)^2))))</f>
        <v>2.2488490492910032</v>
      </c>
      <c r="N753" s="1" t="str">
        <f>IF(AND(H753="Yes",ISNUMBER(M753),M753&lt;=1),COUNTIFS($H$511:$H$1010,"Yes",$M$511:$M$1010,"&lt;"&amp;M753)+COUNTIFS($H$511:H753,"Yes",$M$511:M753,M753),"")</f>
        <v/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:40" ht="22" customHeight="1">
      <c r="A754" s="1" t="s">
        <v>2941</v>
      </c>
      <c r="B754" s="1" t="s">
        <v>2942</v>
      </c>
      <c r="C754" s="1" t="s">
        <v>2943</v>
      </c>
      <c r="D754" s="1" t="s">
        <v>2189</v>
      </c>
      <c r="E754" s="1" t="s">
        <v>28</v>
      </c>
      <c r="F754" s="1">
        <v>39.922242440074612</v>
      </c>
      <c r="G754" s="1">
        <v>-75.223918889916348</v>
      </c>
      <c r="H754" s="1" t="s">
        <v>436</v>
      </c>
      <c r="I754" s="1"/>
      <c r="J754" s="1"/>
      <c r="K754" s="1"/>
      <c r="L754" s="1" t="s">
        <v>2192</v>
      </c>
      <c r="M754" s="1">
        <f>IF(OR(NOT(ISNUMBER('School Profile'!$K$4)),NOT(ISNUMBER('School Profile'!$K$5)),NOT(ISNUMBER(F754)),NOT(ISNUMBER(G754))),"",3958.7613*2*ASIN(MIN(1,SQRT(SIN(RADIANS(F754-'School Profile'!$K$4)/2)^2+COS(RADIANS('School Profile'!$K$4))*COS(RADIANS(F754))*SIN(RADIANS(G754-'School Profile'!$K$5)/2)^2))))</f>
        <v>0.53959790189621015</v>
      </c>
      <c r="N754" s="1">
        <f>IF(AND(H754="Yes",ISNUMBER(M754),M754&lt;=1),COUNTIFS($H$511:$H$1010,"Yes",$M$511:$M$1010,"&lt;"&amp;M754)+COUNTIFS($H$511:H754,"Yes",$M$511:M754,M754),"")</f>
        <v>3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:40" ht="22" customHeight="1">
      <c r="A755" s="1" t="s">
        <v>2944</v>
      </c>
      <c r="B755" s="1" t="s">
        <v>2945</v>
      </c>
      <c r="C755" s="1" t="s">
        <v>2946</v>
      </c>
      <c r="D755" s="1" t="s">
        <v>2189</v>
      </c>
      <c r="E755" s="1" t="s">
        <v>28</v>
      </c>
      <c r="F755" s="1">
        <v>39.925657869718172</v>
      </c>
      <c r="G755" s="1">
        <v>-75.228232860422125</v>
      </c>
      <c r="H755" s="1" t="s">
        <v>436</v>
      </c>
      <c r="I755" s="1"/>
      <c r="J755" s="1"/>
      <c r="K755" s="1"/>
      <c r="L755" s="1" t="s">
        <v>2298</v>
      </c>
      <c r="M755" s="1">
        <f>IF(OR(NOT(ISNUMBER('School Profile'!$K$4)),NOT(ISNUMBER('School Profile'!$K$5)),NOT(ISNUMBER(F755)),NOT(ISNUMBER(G755))),"",3958.7613*2*ASIN(MIN(1,SQRT(SIN(RADIANS(F755-'School Profile'!$K$4)/2)^2+COS(RADIANS('School Profile'!$K$4))*COS(RADIANS(F755))*SIN(RADIANS(G755-'School Profile'!$K$5)/2)^2))))</f>
        <v>0.4216979004909554</v>
      </c>
      <c r="N755" s="1">
        <f>IF(AND(H755="Yes",ISNUMBER(M755),M755&lt;=1),COUNTIFS($H$511:$H$1010,"Yes",$M$511:$M$1010,"&lt;"&amp;M755)+COUNTIFS($H$511:H755,"Yes",$M$511:M755,M755),"")</f>
        <v>2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:40" ht="22" customHeight="1">
      <c r="A756" s="1" t="s">
        <v>2947</v>
      </c>
      <c r="B756" s="1" t="s">
        <v>2948</v>
      </c>
      <c r="C756" s="1" t="s">
        <v>2949</v>
      </c>
      <c r="D756" s="1" t="s">
        <v>2256</v>
      </c>
      <c r="E756" s="1" t="s">
        <v>28</v>
      </c>
      <c r="F756" s="1">
        <v>39.925624569755101</v>
      </c>
      <c r="G756" s="1">
        <v>-75.228238689589986</v>
      </c>
      <c r="H756" s="1" t="s">
        <v>88</v>
      </c>
      <c r="I756" s="1"/>
      <c r="J756" s="1"/>
      <c r="K756" s="1"/>
      <c r="L756" s="1" t="s">
        <v>2950</v>
      </c>
      <c r="M756" s="1">
        <f>IF(OR(NOT(ISNUMBER('School Profile'!$K$4)),NOT(ISNUMBER('School Profile'!$K$5)),NOT(ISNUMBER(F756)),NOT(ISNUMBER(G756))),"",3958.7613*2*ASIN(MIN(1,SQRT(SIN(RADIANS(F756-'School Profile'!$K$4)/2)^2+COS(RADIANS('School Profile'!$K$4))*COS(RADIANS(F756))*SIN(RADIANS(G756-'School Profile'!$K$5)/2)^2))))</f>
        <v>0.41990613446167857</v>
      </c>
      <c r="N756" s="1" t="str">
        <f>IF(AND(H756="Yes",ISNUMBER(M756),M756&lt;=1),COUNTIFS($H$511:$H$1010,"Yes",$M$511:$M$1010,"&lt;"&amp;M756)+COUNTIFS($H$511:H756,"Yes",$M$511:M756,M756),"")</f>
        <v/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:40" ht="22" customHeight="1">
      <c r="A757" s="1" t="s">
        <v>2951</v>
      </c>
      <c r="B757" s="1" t="s">
        <v>2952</v>
      </c>
      <c r="C757" s="1" t="s">
        <v>2953</v>
      </c>
      <c r="D757" s="1" t="s">
        <v>2189</v>
      </c>
      <c r="E757" s="1" t="s">
        <v>28</v>
      </c>
      <c r="F757" s="1">
        <v>40.043738579949654</v>
      </c>
      <c r="G757" s="1">
        <v>-75.180665699790438</v>
      </c>
      <c r="H757" s="1" t="s">
        <v>436</v>
      </c>
      <c r="I757" s="1"/>
      <c r="J757" s="1"/>
      <c r="K757" s="1"/>
      <c r="L757" s="1" t="s">
        <v>2203</v>
      </c>
      <c r="M757" s="1">
        <f>IF(OR(NOT(ISNUMBER('School Profile'!$K$4)),NOT(ISNUMBER('School Profile'!$K$5)),NOT(ISNUMBER(F757)),NOT(ISNUMBER(G757))),"",3958.7613*2*ASIN(MIN(1,SQRT(SIN(RADIANS(F757-'School Profile'!$K$4)/2)^2+COS(RADIANS('School Profile'!$K$4))*COS(RADIANS(F757))*SIN(RADIANS(G757-'School Profile'!$K$5)/2)^2))))</f>
        <v>8.9064862010854711</v>
      </c>
      <c r="N757" s="1" t="str">
        <f>IF(AND(H757="Yes",ISNUMBER(M757),M757&lt;=1),COUNTIFS($H$511:$H$1010,"Yes",$M$511:$M$1010,"&lt;"&amp;M757)+COUNTIFS($H$511:H757,"Yes",$M$511:M757,M757),"")</f>
        <v/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:40" ht="22" customHeight="1">
      <c r="A758" s="1" t="s">
        <v>2954</v>
      </c>
      <c r="B758" s="1" t="s">
        <v>2955</v>
      </c>
      <c r="C758" s="1" t="s">
        <v>2956</v>
      </c>
      <c r="D758" s="1" t="s">
        <v>2189</v>
      </c>
      <c r="E758" s="1" t="s">
        <v>28</v>
      </c>
      <c r="F758" s="1">
        <v>40.027967079826276</v>
      </c>
      <c r="G758" s="1">
        <v>-75.058764289684262</v>
      </c>
      <c r="H758" s="1" t="s">
        <v>436</v>
      </c>
      <c r="I758" s="1"/>
      <c r="J758" s="1"/>
      <c r="K758" s="1"/>
      <c r="L758" s="1" t="s">
        <v>2192</v>
      </c>
      <c r="M758" s="1">
        <f>IF(OR(NOT(ISNUMBER('School Profile'!$K$4)),NOT(ISNUMBER('School Profile'!$K$5)),NOT(ISNUMBER(F758)),NOT(ISNUMBER(G758))),"",3958.7613*2*ASIN(MIN(1,SQRT(SIN(RADIANS(F758-'School Profile'!$K$4)/2)^2+COS(RADIANS('School Profile'!$K$4))*COS(RADIANS(F758))*SIN(RADIANS(G758-'School Profile'!$K$5)/2)^2))))</f>
        <v>11.843122840114425</v>
      </c>
      <c r="N758" s="1" t="str">
        <f>IF(AND(H758="Yes",ISNUMBER(M758),M758&lt;=1),COUNTIFS($H$511:$H$1010,"Yes",$M$511:$M$1010,"&lt;"&amp;M758)+COUNTIFS($H$511:H758,"Yes",$M$511:M758,M758),"")</f>
        <v/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:40" ht="22" customHeight="1">
      <c r="A759" s="1" t="s">
        <v>2957</v>
      </c>
      <c r="B759" s="1" t="s">
        <v>2958</v>
      </c>
      <c r="C759" s="1" t="s">
        <v>2959</v>
      </c>
      <c r="D759" s="1" t="s">
        <v>2189</v>
      </c>
      <c r="E759" s="1" t="s">
        <v>28</v>
      </c>
      <c r="F759" s="1">
        <v>40.038567550219973</v>
      </c>
      <c r="G759" s="1">
        <v>-75.078538179991469</v>
      </c>
      <c r="H759" s="1" t="s">
        <v>436</v>
      </c>
      <c r="I759" s="1"/>
      <c r="J759" s="1"/>
      <c r="K759" s="1" t="s">
        <v>2615</v>
      </c>
      <c r="L759" s="1" t="s">
        <v>2616</v>
      </c>
      <c r="M759" s="1">
        <f>IF(OR(NOT(ISNUMBER('School Profile'!$K$4)),NOT(ISNUMBER('School Profile'!$K$5)),NOT(ISNUMBER(F759)),NOT(ISNUMBER(G759))),"",3958.7613*2*ASIN(MIN(1,SQRT(SIN(RADIANS(F759-'School Profile'!$K$4)/2)^2+COS(RADIANS('School Profile'!$K$4))*COS(RADIANS(F759))*SIN(RADIANS(G759-'School Profile'!$K$5)/2)^2))))</f>
        <v>11.542209081018566</v>
      </c>
      <c r="N759" s="1" t="str">
        <f>IF(AND(H759="Yes",ISNUMBER(M759),M759&lt;=1),COUNTIFS($H$511:$H$1010,"Yes",$M$511:$M$1010,"&lt;"&amp;M759)+COUNTIFS($H$511:H759,"Yes",$M$511:M759,M759),"")</f>
        <v/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:40" ht="22" customHeight="1">
      <c r="A760" s="1" t="s">
        <v>2960</v>
      </c>
      <c r="B760" s="1" t="s">
        <v>2961</v>
      </c>
      <c r="C760" s="1" t="s">
        <v>2962</v>
      </c>
      <c r="D760" s="1" t="s">
        <v>2189</v>
      </c>
      <c r="E760" s="1" t="s">
        <v>28</v>
      </c>
      <c r="F760" s="1">
        <v>39.967673705867206</v>
      </c>
      <c r="G760" s="1">
        <v>-75.249173814996979</v>
      </c>
      <c r="H760" s="1" t="s">
        <v>436</v>
      </c>
      <c r="I760" s="1"/>
      <c r="J760" s="1"/>
      <c r="K760" s="1"/>
      <c r="L760" s="1" t="s">
        <v>2203</v>
      </c>
      <c r="M760" s="1">
        <f>IF(OR(NOT(ISNUMBER('School Profile'!$K$4)),NOT(ISNUMBER('School Profile'!$K$5)),NOT(ISNUMBER(F760)),NOT(ISNUMBER(G760))),"",3958.7613*2*ASIN(MIN(1,SQRT(SIN(RADIANS(F760-'School Profile'!$K$4)/2)^2+COS(RADIANS('School Profile'!$K$4))*COS(RADIANS(F760))*SIN(RADIANS(G760-'School Profile'!$K$5)/2)^2))))</f>
        <v>3.2894534606076662</v>
      </c>
      <c r="N760" s="1" t="str">
        <f>IF(AND(H760="Yes",ISNUMBER(M760),M760&lt;=1),COUNTIFS($H$511:$H$1010,"Yes",$M$511:$M$1010,"&lt;"&amp;M760)+COUNTIFS($H$511:H760,"Yes",$M$511:M760,M760),"")</f>
        <v/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:40" ht="22" customHeight="1">
      <c r="A761" s="1" t="s">
        <v>2963</v>
      </c>
      <c r="B761" s="1" t="s">
        <v>2964</v>
      </c>
      <c r="C761" s="1" t="s">
        <v>2965</v>
      </c>
      <c r="D761" s="1" t="s">
        <v>2189</v>
      </c>
      <c r="E761" s="1" t="s">
        <v>28</v>
      </c>
      <c r="F761" s="1">
        <v>40.040766905036662</v>
      </c>
      <c r="G761" s="1">
        <v>-75.076231433004324</v>
      </c>
      <c r="H761" s="1" t="s">
        <v>436</v>
      </c>
      <c r="I761" s="1"/>
      <c r="J761" s="1"/>
      <c r="K761" s="1"/>
      <c r="L761" s="1" t="s">
        <v>2192</v>
      </c>
      <c r="M761" s="1">
        <f>IF(OR(NOT(ISNUMBER('School Profile'!$K$4)),NOT(ISNUMBER('School Profile'!$K$5)),NOT(ISNUMBER(F761)),NOT(ISNUMBER(G761))),"",3958.7613*2*ASIN(MIN(1,SQRT(SIN(RADIANS(F761-'School Profile'!$K$4)/2)^2+COS(RADIANS('School Profile'!$K$4))*COS(RADIANS(F761))*SIN(RADIANS(G761-'School Profile'!$K$5)/2)^2))))</f>
        <v>11.73575096293804</v>
      </c>
      <c r="N761" s="1" t="str">
        <f>IF(AND(H761="Yes",ISNUMBER(M761),M761&lt;=1),COUNTIFS($H$511:$H$1010,"Yes",$M$511:$M$1010,"&lt;"&amp;M761)+COUNTIFS($H$511:H761,"Yes",$M$511:M761,M761),"")</f>
        <v/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:40" ht="22" customHeight="1">
      <c r="A762" s="1" t="s">
        <v>2966</v>
      </c>
      <c r="B762" s="1" t="s">
        <v>2967</v>
      </c>
      <c r="C762" s="1" t="s">
        <v>2968</v>
      </c>
      <c r="D762" s="1" t="s">
        <v>2189</v>
      </c>
      <c r="E762" s="1" t="s">
        <v>28</v>
      </c>
      <c r="F762" s="1">
        <v>40.055568929797232</v>
      </c>
      <c r="G762" s="1">
        <v>-75.15397331035507</v>
      </c>
      <c r="H762" s="1" t="s">
        <v>436</v>
      </c>
      <c r="I762" s="1"/>
      <c r="J762" s="1"/>
      <c r="K762" s="1"/>
      <c r="L762" s="1" t="s">
        <v>2203</v>
      </c>
      <c r="M762" s="1">
        <f>IF(OR(NOT(ISNUMBER('School Profile'!$K$4)),NOT(ISNUMBER('School Profile'!$K$5)),NOT(ISNUMBER(F762)),NOT(ISNUMBER(G762))),"",3958.7613*2*ASIN(MIN(1,SQRT(SIN(RADIANS(F762-'School Profile'!$K$4)/2)^2+COS(RADIANS('School Profile'!$K$4))*COS(RADIANS(F762))*SIN(RADIANS(G762-'School Profile'!$K$5)/2)^2))))</f>
        <v>10.187436947293691</v>
      </c>
      <c r="N762" s="1" t="str">
        <f>IF(AND(H762="Yes",ISNUMBER(M762),M762&lt;=1),COUNTIFS($H$511:$H$1010,"Yes",$M$511:$M$1010,"&lt;"&amp;M762)+COUNTIFS($H$511:H762,"Yes",$M$511:M762,M762),"")</f>
        <v/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:40" ht="22" customHeight="1">
      <c r="A763" s="1" t="s">
        <v>2969</v>
      </c>
      <c r="B763" s="1" t="s">
        <v>2970</v>
      </c>
      <c r="C763" s="1" t="s">
        <v>2971</v>
      </c>
      <c r="D763" s="1" t="s">
        <v>2215</v>
      </c>
      <c r="E763" s="1" t="s">
        <v>28</v>
      </c>
      <c r="F763" s="1">
        <v>40.049552450206782</v>
      </c>
      <c r="G763" s="1">
        <v>-75.189704799707528</v>
      </c>
      <c r="H763" s="1" t="s">
        <v>88</v>
      </c>
      <c r="I763" s="1"/>
      <c r="J763" s="1"/>
      <c r="K763" s="1"/>
      <c r="L763" s="1" t="s">
        <v>2216</v>
      </c>
      <c r="M763" s="1">
        <f>IF(OR(NOT(ISNUMBER('School Profile'!$K$4)),NOT(ISNUMBER('School Profile'!$K$5)),NOT(ISNUMBER(F763)),NOT(ISNUMBER(G763))),"",3958.7613*2*ASIN(MIN(1,SQRT(SIN(RADIANS(F763-'School Profile'!$K$4)/2)^2+COS(RADIANS('School Profile'!$K$4))*COS(RADIANS(F763))*SIN(RADIANS(G763-'School Profile'!$K$5)/2)^2))))</f>
        <v>9.1539971274877967</v>
      </c>
      <c r="N763" s="1" t="str">
        <f>IF(AND(H763="Yes",ISNUMBER(M763),M763&lt;=1),COUNTIFS($H$511:$H$1010,"Yes",$M$511:$M$1010,"&lt;"&amp;M763)+COUNTIFS($H$511:H763,"Yes",$M$511:M763,M763),"")</f>
        <v/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:40" ht="22" customHeight="1">
      <c r="A764" s="1" t="s">
        <v>2972</v>
      </c>
      <c r="B764" s="1" t="s">
        <v>2973</v>
      </c>
      <c r="C764" s="1" t="s">
        <v>2974</v>
      </c>
      <c r="D764" s="1" t="s">
        <v>2256</v>
      </c>
      <c r="E764" s="1" t="s">
        <v>28</v>
      </c>
      <c r="F764" s="1">
        <v>40.034173073739666</v>
      </c>
      <c r="G764" s="1">
        <v>-75.17634918795072</v>
      </c>
      <c r="H764" s="1" t="s">
        <v>88</v>
      </c>
      <c r="I764" s="1"/>
      <c r="J764" s="1"/>
      <c r="K764" s="1"/>
      <c r="L764" s="1" t="s">
        <v>2261</v>
      </c>
      <c r="M764" s="1">
        <f>IF(OR(NOT(ISNUMBER('School Profile'!$K$4)),NOT(ISNUMBER('School Profile'!$K$5)),NOT(ISNUMBER(F764)),NOT(ISNUMBER(G764))),"",3958.7613*2*ASIN(MIN(1,SQRT(SIN(RADIANS(F764-'School Profile'!$K$4)/2)^2+COS(RADIANS('School Profile'!$K$4))*COS(RADIANS(F764))*SIN(RADIANS(G764-'School Profile'!$K$5)/2)^2))))</f>
        <v>8.363222218005113</v>
      </c>
      <c r="N764" s="1" t="str">
        <f>IF(AND(H764="Yes",ISNUMBER(M764),M764&lt;=1),COUNTIFS($H$511:$H$1010,"Yes",$M$511:$M$1010,"&lt;"&amp;M764)+COUNTIFS($H$511:H764,"Yes",$M$511:M764,M764),"")</f>
        <v/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:40" ht="22" customHeight="1">
      <c r="A765" s="1" t="s">
        <v>2975</v>
      </c>
      <c r="B765" s="1" t="s">
        <v>2976</v>
      </c>
      <c r="C765" s="1" t="s">
        <v>2977</v>
      </c>
      <c r="D765" s="1" t="s">
        <v>2189</v>
      </c>
      <c r="E765" s="1" t="s">
        <v>28</v>
      </c>
      <c r="F765" s="1">
        <v>40.06586372392173</v>
      </c>
      <c r="G765" s="1">
        <v>-75.176684970119098</v>
      </c>
      <c r="H765" s="1" t="s">
        <v>436</v>
      </c>
      <c r="I765" s="1"/>
      <c r="J765" s="1"/>
      <c r="K765" s="1"/>
      <c r="L765" s="1" t="s">
        <v>2978</v>
      </c>
      <c r="M765" s="1">
        <f>IF(OR(NOT(ISNUMBER('School Profile'!$K$4)),NOT(ISNUMBER('School Profile'!$K$5)),NOT(ISNUMBER(F765)),NOT(ISNUMBER(G765))),"",3958.7613*2*ASIN(MIN(1,SQRT(SIN(RADIANS(F765-'School Profile'!$K$4)/2)^2+COS(RADIANS('School Profile'!$K$4))*COS(RADIANS(F765))*SIN(RADIANS(G765-'School Profile'!$K$5)/2)^2))))</f>
        <v>10.426805011660615</v>
      </c>
      <c r="N765" s="1" t="str">
        <f>IF(AND(H765="Yes",ISNUMBER(M765),M765&lt;=1),COUNTIFS($H$511:$H$1010,"Yes",$M$511:$M$1010,"&lt;"&amp;M765)+COUNTIFS($H$511:H765,"Yes",$M$511:M765,M765),"")</f>
        <v/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:40" ht="22" customHeight="1">
      <c r="A766" s="1" t="s">
        <v>2979</v>
      </c>
      <c r="B766" s="1" t="s">
        <v>2980</v>
      </c>
      <c r="C766" s="1" t="s">
        <v>2981</v>
      </c>
      <c r="D766" s="1" t="s">
        <v>2215</v>
      </c>
      <c r="E766" s="1" t="s">
        <v>28</v>
      </c>
      <c r="F766" s="1">
        <v>39.917636510033894</v>
      </c>
      <c r="G766" s="1">
        <v>-75.236397339917332</v>
      </c>
      <c r="H766" s="1" t="s">
        <v>88</v>
      </c>
      <c r="I766" s="1"/>
      <c r="J766" s="1"/>
      <c r="K766" s="1"/>
      <c r="L766" s="1" t="s">
        <v>2216</v>
      </c>
      <c r="M766" s="1">
        <f>IF(OR(NOT(ISNUMBER('School Profile'!$K$4)),NOT(ISNUMBER('School Profile'!$K$5)),NOT(ISNUMBER(F766)),NOT(ISNUMBER(G766))),"",3958.7613*2*ASIN(MIN(1,SQRT(SIN(RADIANS(F766-'School Profile'!$K$4)/2)^2+COS(RADIANS('School Profile'!$K$4))*COS(RADIANS(F766))*SIN(RADIANS(G766-'School Profile'!$K$5)/2)^2))))</f>
        <v>0.29420946601202602</v>
      </c>
      <c r="N766" s="1" t="str">
        <f>IF(AND(H766="Yes",ISNUMBER(M766),M766&lt;=1),COUNTIFS($H$511:$H$1010,"Yes",$M$511:$M$1010,"&lt;"&amp;M766)+COUNTIFS($H$511:H766,"Yes",$M$511:M766,M766),"")</f>
        <v/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:40" ht="22" customHeight="1">
      <c r="A767" s="1" t="s">
        <v>2982</v>
      </c>
      <c r="B767" s="1" t="s">
        <v>2983</v>
      </c>
      <c r="C767" s="1" t="s">
        <v>2984</v>
      </c>
      <c r="D767" s="1" t="s">
        <v>2189</v>
      </c>
      <c r="E767" s="1" t="s">
        <v>28</v>
      </c>
      <c r="F767" s="1">
        <v>40.058869454875015</v>
      </c>
      <c r="G767" s="1">
        <v>-75.138622875423849</v>
      </c>
      <c r="H767" s="1" t="s">
        <v>436</v>
      </c>
      <c r="I767" s="1"/>
      <c r="J767" s="1"/>
      <c r="K767" s="1"/>
      <c r="L767" s="1" t="s">
        <v>2203</v>
      </c>
      <c r="M767" s="1">
        <f>IF(OR(NOT(ISNUMBER('School Profile'!$K$4)),NOT(ISNUMBER('School Profile'!$K$5)),NOT(ISNUMBER(F767)),NOT(ISNUMBER(G767))),"",3958.7613*2*ASIN(MIN(1,SQRT(SIN(RADIANS(F767-'School Profile'!$K$4)/2)^2+COS(RADIANS('School Profile'!$K$4))*COS(RADIANS(F767))*SIN(RADIANS(G767-'School Profile'!$K$5)/2)^2))))</f>
        <v>10.75220249074653</v>
      </c>
      <c r="N767" s="1" t="str">
        <f>IF(AND(H767="Yes",ISNUMBER(M767),M767&lt;=1),COUNTIFS($H$511:$H$1010,"Yes",$M$511:$M$1010,"&lt;"&amp;M767)+COUNTIFS($H$511:H767,"Yes",$M$511:M767,M767),"")</f>
        <v/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:40" ht="22" customHeight="1">
      <c r="A768" s="1" t="s">
        <v>2985</v>
      </c>
      <c r="B768" s="1" t="s">
        <v>2986</v>
      </c>
      <c r="C768" s="1" t="s">
        <v>2987</v>
      </c>
      <c r="D768" s="1" t="s">
        <v>2189</v>
      </c>
      <c r="E768" s="1" t="s">
        <v>28</v>
      </c>
      <c r="F768" s="1">
        <v>39.970216179939506</v>
      </c>
      <c r="G768" s="1">
        <v>-75.148480119579219</v>
      </c>
      <c r="H768" s="1" t="s">
        <v>436</v>
      </c>
      <c r="I768" s="1"/>
      <c r="J768" s="1"/>
      <c r="K768" s="1" t="s">
        <v>901</v>
      </c>
      <c r="L768" s="1" t="s">
        <v>2192</v>
      </c>
      <c r="M768" s="1">
        <f>IF(OR(NOT(ISNUMBER('School Profile'!$K$4)),NOT(ISNUMBER('School Profile'!$K$5)),NOT(ISNUMBER(F768)),NOT(ISNUMBER(G768))),"",3958.7613*2*ASIN(MIN(1,SQRT(SIN(RADIANS(F768-'School Profile'!$K$4)/2)^2+COS(RADIANS('School Profile'!$K$4))*COS(RADIANS(F768))*SIN(RADIANS(G768-'School Profile'!$K$5)/2)^2))))</f>
        <v>5.6461397031117473</v>
      </c>
      <c r="N768" s="1" t="str">
        <f>IF(AND(H768="Yes",ISNUMBER(M768),M768&lt;=1),COUNTIFS($H$511:$H$1010,"Yes",$M$511:$M$1010,"&lt;"&amp;M768)+COUNTIFS($H$511:H768,"Yes",$M$511:M768,M768),"")</f>
        <v/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:40" ht="22" customHeight="1">
      <c r="A769" s="1" t="s">
        <v>2988</v>
      </c>
      <c r="B769" s="1" t="s">
        <v>2989</v>
      </c>
      <c r="C769" s="1" t="s">
        <v>2990</v>
      </c>
      <c r="D769" s="1" t="s">
        <v>2189</v>
      </c>
      <c r="E769" s="1" t="s">
        <v>28</v>
      </c>
      <c r="F769" s="1">
        <v>40.044680881162286</v>
      </c>
      <c r="G769" s="1">
        <v>-75.165734755639008</v>
      </c>
      <c r="H769" s="1" t="s">
        <v>436</v>
      </c>
      <c r="I769" s="1"/>
      <c r="J769" s="1"/>
      <c r="K769" s="1"/>
      <c r="L769" s="1" t="s">
        <v>2991</v>
      </c>
      <c r="M769" s="1">
        <f>IF(OR(NOT(ISNUMBER('School Profile'!$K$4)),NOT(ISNUMBER('School Profile'!$K$5)),NOT(ISNUMBER(F769)),NOT(ISNUMBER(G769))),"",3958.7613*2*ASIN(MIN(1,SQRT(SIN(RADIANS(F769-'School Profile'!$K$4)/2)^2+COS(RADIANS('School Profile'!$K$4))*COS(RADIANS(F769))*SIN(RADIANS(G769-'School Profile'!$K$5)/2)^2))))</f>
        <v>9.2478575074720375</v>
      </c>
      <c r="N769" s="1" t="str">
        <f>IF(AND(H769="Yes",ISNUMBER(M769),M769&lt;=1),COUNTIFS($H$511:$H$1010,"Yes",$M$511:$M$1010,"&lt;"&amp;M769)+COUNTIFS($H$511:H769,"Yes",$M$511:M769,M769),"")</f>
        <v/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:40" ht="22" customHeight="1">
      <c r="A770" s="1" t="s">
        <v>2992</v>
      </c>
      <c r="B770" s="1" t="s">
        <v>2993</v>
      </c>
      <c r="C770" s="1" t="s">
        <v>2994</v>
      </c>
      <c r="D770" s="1" t="s">
        <v>2215</v>
      </c>
      <c r="E770" s="1" t="s">
        <v>28</v>
      </c>
      <c r="F770" s="1">
        <v>40.064392590074782</v>
      </c>
      <c r="G770" s="1">
        <v>-75.15424453958714</v>
      </c>
      <c r="H770" s="1" t="s">
        <v>88</v>
      </c>
      <c r="I770" s="1"/>
      <c r="J770" s="1"/>
      <c r="K770" s="1"/>
      <c r="L770" s="1" t="s">
        <v>2291</v>
      </c>
      <c r="M770" s="1">
        <f>IF(OR(NOT(ISNUMBER('School Profile'!$K$4)),NOT(ISNUMBER('School Profile'!$K$5)),NOT(ISNUMBER(F770)),NOT(ISNUMBER(G770))),"",3958.7613*2*ASIN(MIN(1,SQRT(SIN(RADIANS(F770-'School Profile'!$K$4)/2)^2+COS(RADIANS('School Profile'!$K$4))*COS(RADIANS(F770))*SIN(RADIANS(G770-'School Profile'!$K$5)/2)^2))))</f>
        <v>10.739030580021574</v>
      </c>
      <c r="N770" s="1" t="str">
        <f>IF(AND(H770="Yes",ISNUMBER(M770),M770&lt;=1),COUNTIFS($H$511:$H$1010,"Yes",$M$511:$M$1010,"&lt;"&amp;M770)+COUNTIFS($H$511:H770,"Yes",$M$511:M770,M770),"")</f>
        <v/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:40" ht="22" customHeight="1">
      <c r="A771" s="1" t="s">
        <v>2995</v>
      </c>
      <c r="B771" s="1" t="s">
        <v>2996</v>
      </c>
      <c r="C771" s="1" t="s">
        <v>2997</v>
      </c>
      <c r="D771" s="1" t="s">
        <v>2189</v>
      </c>
      <c r="E771" s="1" t="s">
        <v>28</v>
      </c>
      <c r="F771" s="1">
        <v>40.026956747696673</v>
      </c>
      <c r="G771" s="1">
        <v>-75.034235651612519</v>
      </c>
      <c r="H771" s="1" t="s">
        <v>436</v>
      </c>
      <c r="I771" s="1"/>
      <c r="J771" s="1"/>
      <c r="K771" s="1"/>
      <c r="L771" s="1" t="s">
        <v>2203</v>
      </c>
      <c r="M771" s="1">
        <f>IF(OR(NOT(ISNUMBER('School Profile'!$K$4)),NOT(ISNUMBER('School Profile'!$K$5)),NOT(ISNUMBER(F771)),NOT(ISNUMBER(G771))),"",3958.7613*2*ASIN(MIN(1,SQRT(SIN(RADIANS(F771-'School Profile'!$K$4)/2)^2+COS(RADIANS('School Profile'!$K$4))*COS(RADIANS(F771))*SIN(RADIANS(G771-'School Profile'!$K$5)/2)^2))))</f>
        <v>12.846557069162031</v>
      </c>
      <c r="N771" s="1" t="str">
        <f>IF(AND(H771="Yes",ISNUMBER(M771),M771&lt;=1),COUNTIFS($H$511:$H$1010,"Yes",$M$511:$M$1010,"&lt;"&amp;M771)+COUNTIFS($H$511:H771,"Yes",$M$511:M771,M771),"")</f>
        <v/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:40" ht="22" customHeight="1">
      <c r="A772" s="1" t="s">
        <v>2998</v>
      </c>
      <c r="B772" s="1" t="s">
        <v>2999</v>
      </c>
      <c r="C772" s="1" t="s">
        <v>3000</v>
      </c>
      <c r="D772" s="1" t="s">
        <v>2189</v>
      </c>
      <c r="E772" s="1" t="s">
        <v>28</v>
      </c>
      <c r="F772" s="1">
        <v>40.064742000078965</v>
      </c>
      <c r="G772" s="1">
        <v>-75.155098499655779</v>
      </c>
      <c r="H772" s="1" t="s">
        <v>436</v>
      </c>
      <c r="I772" s="1"/>
      <c r="J772" s="1"/>
      <c r="K772" s="1"/>
      <c r="L772" s="1" t="s">
        <v>2203</v>
      </c>
      <c r="M772" s="1">
        <f>IF(OR(NOT(ISNUMBER('School Profile'!$K$4)),NOT(ISNUMBER('School Profile'!$K$5)),NOT(ISNUMBER(F772)),NOT(ISNUMBER(G772))),"",3958.7613*2*ASIN(MIN(1,SQRT(SIN(RADIANS(F772-'School Profile'!$K$4)/2)^2+COS(RADIANS('School Profile'!$K$4))*COS(RADIANS(F772))*SIN(RADIANS(G772-'School Profile'!$K$5)/2)^2))))</f>
        <v>10.743560008911853</v>
      </c>
      <c r="N772" s="1" t="str">
        <f>IF(AND(H772="Yes",ISNUMBER(M772),M772&lt;=1),COUNTIFS($H$511:$H$1010,"Yes",$M$511:$M$1010,"&lt;"&amp;M772)+COUNTIFS($H$511:H772,"Yes",$M$511:M772,M772),"")</f>
        <v/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:40" ht="22" customHeight="1">
      <c r="A773" s="1" t="s">
        <v>3001</v>
      </c>
      <c r="B773" s="1" t="s">
        <v>3002</v>
      </c>
      <c r="C773" s="1" t="s">
        <v>3003</v>
      </c>
      <c r="D773" s="1" t="s">
        <v>2189</v>
      </c>
      <c r="E773" s="1" t="s">
        <v>28</v>
      </c>
      <c r="F773" s="1">
        <v>40.033236380185755</v>
      </c>
      <c r="G773" s="1">
        <v>-75.035387960153329</v>
      </c>
      <c r="H773" s="1" t="s">
        <v>436</v>
      </c>
      <c r="I773" s="1"/>
      <c r="J773" s="1"/>
      <c r="K773" s="1"/>
      <c r="L773" s="1" t="s">
        <v>2298</v>
      </c>
      <c r="M773" s="1">
        <f>IF(OR(NOT(ISNUMBER('School Profile'!$K$4)),NOT(ISNUMBER('School Profile'!$K$5)),NOT(ISNUMBER(F773)),NOT(ISNUMBER(G773))),"",3958.7613*2*ASIN(MIN(1,SQRT(SIN(RADIANS(F773-'School Profile'!$K$4)/2)^2+COS(RADIANS('School Profile'!$K$4))*COS(RADIANS(F773))*SIN(RADIANS(G773-'School Profile'!$K$5)/2)^2))))</f>
        <v>13.047902551116554</v>
      </c>
      <c r="N773" s="1" t="str">
        <f>IF(AND(H773="Yes",ISNUMBER(M773),M773&lt;=1),COUNTIFS($H$511:$H$1010,"Yes",$M$511:$M$1010,"&lt;"&amp;M773)+COUNTIFS($H$511:H773,"Yes",$M$511:M773,M773),"")</f>
        <v/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:40" ht="22" customHeight="1">
      <c r="A774" s="1" t="s">
        <v>3004</v>
      </c>
      <c r="B774" s="1" t="s">
        <v>3005</v>
      </c>
      <c r="C774" s="1" t="s">
        <v>3006</v>
      </c>
      <c r="D774" s="1" t="s">
        <v>2256</v>
      </c>
      <c r="E774" s="1" t="s">
        <v>28</v>
      </c>
      <c r="F774" s="1">
        <v>40.029887723980735</v>
      </c>
      <c r="G774" s="1">
        <v>-75.031583406278884</v>
      </c>
      <c r="H774" s="1" t="s">
        <v>88</v>
      </c>
      <c r="I774" s="1"/>
      <c r="J774" s="1"/>
      <c r="K774" s="1"/>
      <c r="L774" s="1" t="s">
        <v>2261</v>
      </c>
      <c r="M774" s="1">
        <f>IF(OR(NOT(ISNUMBER('School Profile'!$K$4)),NOT(ISNUMBER('School Profile'!$K$5)),NOT(ISNUMBER(F774)),NOT(ISNUMBER(G774))),"",3958.7613*2*ASIN(MIN(1,SQRT(SIN(RADIANS(F774-'School Profile'!$K$4)/2)^2+COS(RADIANS('School Profile'!$K$4))*COS(RADIANS(F774))*SIN(RADIANS(G774-'School Profile'!$K$5)/2)^2))))</f>
        <v>13.077180293400117</v>
      </c>
      <c r="N774" s="1" t="str">
        <f>IF(AND(H774="Yes",ISNUMBER(M774),M774&lt;=1),COUNTIFS($H$511:$H$1010,"Yes",$M$511:$M$1010,"&lt;"&amp;M774)+COUNTIFS($H$511:H774,"Yes",$M$511:M774,M774),"")</f>
        <v/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:40" ht="22" customHeight="1">
      <c r="A775" s="1" t="s">
        <v>3007</v>
      </c>
      <c r="B775" s="1" t="s">
        <v>3008</v>
      </c>
      <c r="C775" s="1" t="s">
        <v>3009</v>
      </c>
      <c r="D775" s="1" t="s">
        <v>2189</v>
      </c>
      <c r="E775" s="1" t="s">
        <v>28</v>
      </c>
      <c r="F775" s="1">
        <v>40.067046039714882</v>
      </c>
      <c r="G775" s="1">
        <v>-75.158295500445703</v>
      </c>
      <c r="H775" s="1" t="s">
        <v>436</v>
      </c>
      <c r="I775" s="1"/>
      <c r="J775" s="1"/>
      <c r="K775" s="1"/>
      <c r="L775" s="1" t="s">
        <v>2203</v>
      </c>
      <c r="M775" s="1">
        <f>IF(OR(NOT(ISNUMBER('School Profile'!$K$4)),NOT(ISNUMBER('School Profile'!$K$5)),NOT(ISNUMBER(F775)),NOT(ISNUMBER(G775))),"",3958.7613*2*ASIN(MIN(1,SQRT(SIN(RADIANS(F775-'School Profile'!$K$4)/2)^2+COS(RADIANS('School Profile'!$K$4))*COS(RADIANS(F775))*SIN(RADIANS(G775-'School Profile'!$K$5)/2)^2))))</f>
        <v>10.826545780846322</v>
      </c>
      <c r="N775" s="1" t="str">
        <f>IF(AND(H775="Yes",ISNUMBER(M775),M775&lt;=1),COUNTIFS($H$511:$H$1010,"Yes",$M$511:$M$1010,"&lt;"&amp;M775)+COUNTIFS($H$511:H775,"Yes",$M$511:M775,M775),"")</f>
        <v/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:40" ht="22" customHeight="1">
      <c r="A776" s="1" t="s">
        <v>3010</v>
      </c>
      <c r="B776" s="1" t="s">
        <v>3011</v>
      </c>
      <c r="C776" s="1" t="s">
        <v>3012</v>
      </c>
      <c r="D776" s="1" t="s">
        <v>2207</v>
      </c>
      <c r="E776" s="1" t="s">
        <v>28</v>
      </c>
      <c r="F776" s="1">
        <v>39.9968387183308</v>
      </c>
      <c r="G776" s="1">
        <v>-75.116539731829832</v>
      </c>
      <c r="H776" s="1" t="s">
        <v>88</v>
      </c>
      <c r="I776" s="1"/>
      <c r="J776" s="1"/>
      <c r="K776" s="1"/>
      <c r="L776" s="1" t="s">
        <v>2208</v>
      </c>
      <c r="M776" s="1">
        <f>IF(OR(NOT(ISNUMBER('School Profile'!$K$4)),NOT(ISNUMBER('School Profile'!$K$5)),NOT(ISNUMBER(F776)),NOT(ISNUMBER(G776))),"",3958.7613*2*ASIN(MIN(1,SQRT(SIN(RADIANS(F776-'School Profile'!$K$4)/2)^2+COS(RADIANS('School Profile'!$K$4))*COS(RADIANS(F776))*SIN(RADIANS(G776-'School Profile'!$K$5)/2)^2))))</f>
        <v>8.113708237206998</v>
      </c>
      <c r="N776" s="1" t="str">
        <f>IF(AND(H776="Yes",ISNUMBER(M776),M776&lt;=1),COUNTIFS($H$511:$H$1010,"Yes",$M$511:$M$1010,"&lt;"&amp;M776)+COUNTIFS($H$511:H776,"Yes",$M$511:M776,M776),"")</f>
        <v/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:40" ht="22" customHeight="1">
      <c r="A777" s="1" t="s">
        <v>3013</v>
      </c>
      <c r="B777" s="1" t="s">
        <v>3014</v>
      </c>
      <c r="C777" s="1" t="s">
        <v>3015</v>
      </c>
      <c r="D777" s="1" t="s">
        <v>2207</v>
      </c>
      <c r="E777" s="1" t="s">
        <v>28</v>
      </c>
      <c r="F777" s="1">
        <v>39.941541274317927</v>
      </c>
      <c r="G777" s="1">
        <v>-75.166097103685274</v>
      </c>
      <c r="H777" s="1" t="s">
        <v>88</v>
      </c>
      <c r="I777" s="1"/>
      <c r="J777" s="1"/>
      <c r="K777" s="1"/>
      <c r="L777" s="1" t="s">
        <v>3016</v>
      </c>
      <c r="M777" s="1">
        <f>IF(OR(NOT(ISNUMBER('School Profile'!$K$4)),NOT(ISNUMBER('School Profile'!$K$5)),NOT(ISNUMBER(F777)),NOT(ISNUMBER(G777))),"",3958.7613*2*ASIN(MIN(1,SQRT(SIN(RADIANS(F777-'School Profile'!$K$4)/2)^2+COS(RADIANS('School Profile'!$K$4))*COS(RADIANS(F777))*SIN(RADIANS(G777-'School Profile'!$K$5)/2)^2))))</f>
        <v>3.8577137586720354</v>
      </c>
      <c r="N777" s="1" t="str">
        <f>IF(AND(H777="Yes",ISNUMBER(M777),M777&lt;=1),COUNTIFS($H$511:$H$1010,"Yes",$M$511:$M$1010,"&lt;"&amp;M777)+COUNTIFS($H$511:H777,"Yes",$M$511:M777,M777),"")</f>
        <v/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:40" ht="22" customHeight="1">
      <c r="A778" s="1" t="s">
        <v>3017</v>
      </c>
      <c r="B778" s="1" t="s">
        <v>3018</v>
      </c>
      <c r="C778" s="1" t="s">
        <v>3019</v>
      </c>
      <c r="D778" s="1" t="s">
        <v>2189</v>
      </c>
      <c r="E778" s="1" t="s">
        <v>28</v>
      </c>
      <c r="F778" s="1">
        <v>39.96736561393999</v>
      </c>
      <c r="G778" s="1">
        <v>-75.200338682341794</v>
      </c>
      <c r="H778" s="1" t="s">
        <v>436</v>
      </c>
      <c r="I778" s="1"/>
      <c r="J778" s="1"/>
      <c r="K778" s="1"/>
      <c r="L778" s="1" t="s">
        <v>2192</v>
      </c>
      <c r="M778" s="1">
        <f>IF(OR(NOT(ISNUMBER('School Profile'!$K$4)),NOT(ISNUMBER('School Profile'!$K$5)),NOT(ISNUMBER(F778)),NOT(ISNUMBER(G778))),"",3958.7613*2*ASIN(MIN(1,SQRT(SIN(RADIANS(F778-'School Profile'!$K$4)/2)^2+COS(RADIANS('School Profile'!$K$4))*COS(RADIANS(F778))*SIN(RADIANS(G778-'School Profile'!$K$5)/2)^2))))</f>
        <v>3.6378204389140865</v>
      </c>
      <c r="N778" s="1" t="str">
        <f>IF(AND(H778="Yes",ISNUMBER(M778),M778&lt;=1),COUNTIFS($H$511:$H$1010,"Yes",$M$511:$M$1010,"&lt;"&amp;M778)+COUNTIFS($H$511:H778,"Yes",$M$511:M778,M778),"")</f>
        <v/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:40" ht="22" customHeight="1">
      <c r="A779" s="1" t="s">
        <v>3020</v>
      </c>
      <c r="B779" s="1" t="s">
        <v>3021</v>
      </c>
      <c r="C779" s="1" t="s">
        <v>3022</v>
      </c>
      <c r="D779" s="1" t="s">
        <v>2189</v>
      </c>
      <c r="E779" s="1" t="s">
        <v>28</v>
      </c>
      <c r="F779" s="1">
        <v>40.073436938284402</v>
      </c>
      <c r="G779" s="1">
        <v>-75.158259232762745</v>
      </c>
      <c r="H779" s="1" t="s">
        <v>436</v>
      </c>
      <c r="I779" s="1"/>
      <c r="J779" s="1"/>
      <c r="K779" s="1"/>
      <c r="L779" s="1" t="s">
        <v>2203</v>
      </c>
      <c r="M779" s="1">
        <f>IF(OR(NOT(ISNUMBER('School Profile'!$K$4)),NOT(ISNUMBER('School Profile'!$K$5)),NOT(ISNUMBER(F779)),NOT(ISNUMBER(G779))),"",3958.7613*2*ASIN(MIN(1,SQRT(SIN(RADIANS(F779-'School Profile'!$K$4)/2)^2+COS(RADIANS('School Profile'!$K$4))*COS(RADIANS(F779))*SIN(RADIANS(G779-'School Profile'!$K$5)/2)^2))))</f>
        <v>11.238514464565972</v>
      </c>
      <c r="N779" s="1" t="str">
        <f>IF(AND(H779="Yes",ISNUMBER(M779),M779&lt;=1),COUNTIFS($H$511:$H$1010,"Yes",$M$511:$M$1010,"&lt;"&amp;M779)+COUNTIFS($H$511:H779,"Yes",$M$511:M779,M779),"")</f>
        <v/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:40" ht="22" customHeight="1">
      <c r="A780" s="1" t="s">
        <v>3023</v>
      </c>
      <c r="B780" s="1" t="s">
        <v>3024</v>
      </c>
      <c r="C780" s="1" t="s">
        <v>3025</v>
      </c>
      <c r="D780" s="1" t="s">
        <v>2189</v>
      </c>
      <c r="E780" s="1" t="s">
        <v>28</v>
      </c>
      <c r="F780" s="1">
        <v>40.07397384503696</v>
      </c>
      <c r="G780" s="1">
        <v>-75.084821155192103</v>
      </c>
      <c r="H780" s="1" t="s">
        <v>436</v>
      </c>
      <c r="I780" s="1"/>
      <c r="J780" s="1"/>
      <c r="K780" s="1"/>
      <c r="L780" s="1"/>
      <c r="M780" s="1">
        <f>IF(OR(NOT(ISNUMBER('School Profile'!$K$4)),NOT(ISNUMBER('School Profile'!$K$5)),NOT(ISNUMBER(F780)),NOT(ISNUMBER(G780))),"",3958.7613*2*ASIN(MIN(1,SQRT(SIN(RADIANS(F780-'School Profile'!$K$4)/2)^2+COS(RADIANS('School Profile'!$K$4))*COS(RADIANS(F780))*SIN(RADIANS(G780-'School Profile'!$K$5)/2)^2))))</f>
        <v>13.16751459790795</v>
      </c>
      <c r="N780" s="1" t="str">
        <f>IF(AND(H780="Yes",ISNUMBER(M780),M780&lt;=1),COUNTIFS($H$511:$H$1010,"Yes",$M$511:$M$1010,"&lt;"&amp;M780)+COUNTIFS($H$511:H780,"Yes",$M$511:M780,M780),"")</f>
        <v/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:40" ht="22" customHeight="1">
      <c r="A781" s="1" t="s">
        <v>3026</v>
      </c>
      <c r="B781" s="1" t="s">
        <v>3027</v>
      </c>
      <c r="C781" s="1" t="s">
        <v>3028</v>
      </c>
      <c r="D781" s="1" t="s">
        <v>2189</v>
      </c>
      <c r="E781" s="1" t="s">
        <v>28</v>
      </c>
      <c r="F781" s="1">
        <v>40.07397384503696</v>
      </c>
      <c r="G781" s="1">
        <v>-75.084821155192103</v>
      </c>
      <c r="H781" s="1" t="s">
        <v>436</v>
      </c>
      <c r="I781" s="1"/>
      <c r="J781" s="1"/>
      <c r="K781" s="1"/>
      <c r="L781" s="1" t="s">
        <v>3029</v>
      </c>
      <c r="M781" s="1">
        <f>IF(OR(NOT(ISNUMBER('School Profile'!$K$4)),NOT(ISNUMBER('School Profile'!$K$5)),NOT(ISNUMBER(F781)),NOT(ISNUMBER(G781))),"",3958.7613*2*ASIN(MIN(1,SQRT(SIN(RADIANS(F781-'School Profile'!$K$4)/2)^2+COS(RADIANS('School Profile'!$K$4))*COS(RADIANS(F781))*SIN(RADIANS(G781-'School Profile'!$K$5)/2)^2))))</f>
        <v>13.16751459790795</v>
      </c>
      <c r="N781" s="1" t="str">
        <f>IF(AND(H781="Yes",ISNUMBER(M781),M781&lt;=1),COUNTIFS($H$511:$H$1010,"Yes",$M$511:$M$1010,"&lt;"&amp;M781)+COUNTIFS($H$511:H781,"Yes",$M$511:M781,M781),"")</f>
        <v/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:40" ht="22" customHeight="1">
      <c r="A782" s="1" t="s">
        <v>3030</v>
      </c>
      <c r="B782" s="1" t="s">
        <v>3031</v>
      </c>
      <c r="C782" s="1" t="s">
        <v>3032</v>
      </c>
      <c r="D782" s="1" t="s">
        <v>2256</v>
      </c>
      <c r="E782" s="1" t="s">
        <v>28</v>
      </c>
      <c r="F782" s="1">
        <v>40.058898079878922</v>
      </c>
      <c r="G782" s="1">
        <v>-75.051933779639882</v>
      </c>
      <c r="H782" s="1" t="s">
        <v>88</v>
      </c>
      <c r="I782" s="1"/>
      <c r="J782" s="1"/>
      <c r="K782" s="1"/>
      <c r="L782" s="1" t="s">
        <v>2257</v>
      </c>
      <c r="M782" s="1">
        <f>IF(OR(NOT(ISNUMBER('School Profile'!$K$4)),NOT(ISNUMBER('School Profile'!$K$5)),NOT(ISNUMBER(F782)),NOT(ISNUMBER(G782))),"",3958.7613*2*ASIN(MIN(1,SQRT(SIN(RADIANS(F782-'School Profile'!$K$4)/2)^2+COS(RADIANS('School Profile'!$K$4))*COS(RADIANS(F782))*SIN(RADIANS(G782-'School Profile'!$K$5)/2)^2))))</f>
        <v>13.530407925152335</v>
      </c>
      <c r="N782" s="1" t="str">
        <f>IF(AND(H782="Yes",ISNUMBER(M782),M782&lt;=1),COUNTIFS($H$511:$H$1010,"Yes",$M$511:$M$1010,"&lt;"&amp;M782)+COUNTIFS($H$511:H782,"Yes",$M$511:M782,M782),"")</f>
        <v/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:40" ht="22" customHeight="1">
      <c r="A783" s="1" t="s">
        <v>3033</v>
      </c>
      <c r="B783" s="1" t="s">
        <v>3034</v>
      </c>
      <c r="C783" s="1" t="s">
        <v>3035</v>
      </c>
      <c r="D783" s="1" t="s">
        <v>2207</v>
      </c>
      <c r="E783" s="1" t="s">
        <v>28</v>
      </c>
      <c r="F783" s="1">
        <v>39.952654540302589</v>
      </c>
      <c r="G783" s="1">
        <v>-75.200486159660286</v>
      </c>
      <c r="H783" s="1" t="s">
        <v>88</v>
      </c>
      <c r="I783" s="1"/>
      <c r="J783" s="1"/>
      <c r="K783" s="1"/>
      <c r="L783" s="1" t="s">
        <v>2208</v>
      </c>
      <c r="M783" s="1">
        <f>IF(OR(NOT(ISNUMBER('School Profile'!$K$4)),NOT(ISNUMBER('School Profile'!$K$5)),NOT(ISNUMBER(F783)),NOT(ISNUMBER(G783))),"",3958.7613*2*ASIN(MIN(1,SQRT(SIN(RADIANS(F783-'School Profile'!$K$4)/2)^2+COS(RADIANS('School Profile'!$K$4))*COS(RADIANS(F783))*SIN(RADIANS(G783-'School Profile'!$K$5)/2)^2))))</f>
        <v>2.7923359013356954</v>
      </c>
      <c r="N783" s="1" t="str">
        <f>IF(AND(H783="Yes",ISNUMBER(M783),M783&lt;=1),COUNTIFS($H$511:$H$1010,"Yes",$M$511:$M$1010,"&lt;"&amp;M783)+COUNTIFS($H$511:H783,"Yes",$M$511:M783,M783),"")</f>
        <v/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:40" ht="22" customHeight="1">
      <c r="A784" s="1" t="s">
        <v>3036</v>
      </c>
      <c r="B784" s="1" t="s">
        <v>3037</v>
      </c>
      <c r="C784" s="1" t="s">
        <v>3038</v>
      </c>
      <c r="D784" s="1" t="s">
        <v>2207</v>
      </c>
      <c r="E784" s="1" t="s">
        <v>28</v>
      </c>
      <c r="F784" s="1">
        <v>39.953764099779889</v>
      </c>
      <c r="G784" s="1">
        <v>-75.146204030296062</v>
      </c>
      <c r="H784" s="1" t="s">
        <v>88</v>
      </c>
      <c r="I784" s="1"/>
      <c r="J784" s="1"/>
      <c r="K784" s="1"/>
      <c r="L784" s="1" t="s">
        <v>2208</v>
      </c>
      <c r="M784" s="1">
        <f>IF(OR(NOT(ISNUMBER('School Profile'!$K$4)),NOT(ISNUMBER('School Profile'!$K$5)),NOT(ISNUMBER(F784)),NOT(ISNUMBER(G784))),"",3958.7613*2*ASIN(MIN(1,SQRT(SIN(RADIANS(F784-'School Profile'!$K$4)/2)^2+COS(RADIANS('School Profile'!$K$4))*COS(RADIANS(F784))*SIN(RADIANS(G784-'School Profile'!$K$5)/2)^2))))</f>
        <v>5.1605263150930183</v>
      </c>
      <c r="N784" s="1" t="str">
        <f>IF(AND(H784="Yes",ISNUMBER(M784),M784&lt;=1),COUNTIFS($H$511:$H$1010,"Yes",$M$511:$M$1010,"&lt;"&amp;M784)+COUNTIFS($H$511:H784,"Yes",$M$511:M784,M784),"")</f>
        <v/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:40" ht="22" customHeight="1">
      <c r="A785" s="1" t="s">
        <v>3039</v>
      </c>
      <c r="B785" s="1" t="s">
        <v>3040</v>
      </c>
      <c r="C785" s="1" t="s">
        <v>3041</v>
      </c>
      <c r="D785" s="1" t="s">
        <v>2189</v>
      </c>
      <c r="E785" s="1" t="s">
        <v>28</v>
      </c>
      <c r="F785" s="1">
        <v>40.03378440026578</v>
      </c>
      <c r="G785" s="1">
        <v>-75.170977300280938</v>
      </c>
      <c r="H785" s="1" t="s">
        <v>436</v>
      </c>
      <c r="I785" s="1"/>
      <c r="J785" s="1"/>
      <c r="K785" s="1"/>
      <c r="L785" s="1" t="s">
        <v>2203</v>
      </c>
      <c r="M785" s="1">
        <f>IF(OR(NOT(ISNUMBER('School Profile'!$K$4)),NOT(ISNUMBER('School Profile'!$K$5)),NOT(ISNUMBER(F785)),NOT(ISNUMBER(G785))),"",3958.7613*2*ASIN(MIN(1,SQRT(SIN(RADIANS(F785-'School Profile'!$K$4)/2)^2+COS(RADIANS('School Profile'!$K$4))*COS(RADIANS(F785))*SIN(RADIANS(G785-'School Profile'!$K$5)/2)^2))))</f>
        <v>8.4465971725559168</v>
      </c>
      <c r="N785" s="1" t="str">
        <f>IF(AND(H785="Yes",ISNUMBER(M785),M785&lt;=1),COUNTIFS($H$511:$H$1010,"Yes",$M$511:$M$1010,"&lt;"&amp;M785)+COUNTIFS($H$511:H785,"Yes",$M$511:M785,M785),"")</f>
        <v/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:40" ht="22" customHeight="1">
      <c r="A786" s="1" t="s">
        <v>3042</v>
      </c>
      <c r="B786" s="1" t="s">
        <v>3043</v>
      </c>
      <c r="C786" s="1" t="s">
        <v>3044</v>
      </c>
      <c r="D786" s="1" t="s">
        <v>2207</v>
      </c>
      <c r="E786" s="1" t="s">
        <v>28</v>
      </c>
      <c r="F786" s="1">
        <v>40.01042800291286</v>
      </c>
      <c r="G786" s="1">
        <v>-75.166305898208435</v>
      </c>
      <c r="H786" s="1" t="s">
        <v>88</v>
      </c>
      <c r="I786" s="1"/>
      <c r="J786" s="1"/>
      <c r="K786" s="1"/>
      <c r="L786" s="1"/>
      <c r="M786" s="1">
        <f>IF(OR(NOT(ISNUMBER('School Profile'!$K$4)),NOT(ISNUMBER('School Profile'!$K$5)),NOT(ISNUMBER(F786)),NOT(ISNUMBER(G786))),"",3958.7613*2*ASIN(MIN(1,SQRT(SIN(RADIANS(F786-'School Profile'!$K$4)/2)^2+COS(RADIANS('School Profile'!$K$4))*COS(RADIANS(F786))*SIN(RADIANS(G786-'School Profile'!$K$5)/2)^2))))</f>
        <v>7.1152394278550606</v>
      </c>
      <c r="N786" s="1" t="str">
        <f>IF(AND(H786="Yes",ISNUMBER(M786),M786&lt;=1),COUNTIFS($H$511:$H$1010,"Yes",$M$511:$M$1010,"&lt;"&amp;M786)+COUNTIFS($H$511:H786,"Yes",$M$511:M786,M786),"")</f>
        <v/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:40" ht="22" customHeight="1">
      <c r="A787" s="1" t="s">
        <v>3045</v>
      </c>
      <c r="B787" s="1" t="s">
        <v>2312</v>
      </c>
      <c r="C787" s="1" t="s">
        <v>3046</v>
      </c>
      <c r="D787" s="1" t="s">
        <v>2207</v>
      </c>
      <c r="E787" s="1" t="s">
        <v>28</v>
      </c>
      <c r="F787" s="1">
        <v>39.971379257970476</v>
      </c>
      <c r="G787" s="1">
        <v>-75.13468973310637</v>
      </c>
      <c r="H787" s="1" t="s">
        <v>88</v>
      </c>
      <c r="I787" s="1"/>
      <c r="J787" s="1"/>
      <c r="K787" s="1"/>
      <c r="L787" s="1"/>
      <c r="M787" s="1">
        <f>IF(OR(NOT(ISNUMBER('School Profile'!$K$4)),NOT(ISNUMBER('School Profile'!$K$5)),NOT(ISNUMBER(F787)),NOT(ISNUMBER(G787))),"",3958.7613*2*ASIN(MIN(1,SQRT(SIN(RADIANS(F787-'School Profile'!$K$4)/2)^2+COS(RADIANS('School Profile'!$K$4))*COS(RADIANS(F787))*SIN(RADIANS(G787-'School Profile'!$K$5)/2)^2))))</f>
        <v>6.2914267081027164</v>
      </c>
      <c r="N787" s="1" t="str">
        <f>IF(AND(H787="Yes",ISNUMBER(M787),M787&lt;=1),COUNTIFS($H$511:$H$1010,"Yes",$M$511:$M$1010,"&lt;"&amp;M787)+COUNTIFS($H$511:H787,"Yes",$M$511:M787,M787),"")</f>
        <v/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:40" ht="22" customHeight="1">
      <c r="A788" s="1" t="s">
        <v>3047</v>
      </c>
      <c r="B788" s="1" t="s">
        <v>3048</v>
      </c>
      <c r="C788" s="1" t="s">
        <v>3049</v>
      </c>
      <c r="D788" s="1" t="s">
        <v>2215</v>
      </c>
      <c r="E788" s="1" t="s">
        <v>28</v>
      </c>
      <c r="F788" s="1">
        <v>40.062638869689174</v>
      </c>
      <c r="G788" s="1">
        <v>-75.051292720293574</v>
      </c>
      <c r="H788" s="1" t="s">
        <v>88</v>
      </c>
      <c r="I788" s="1"/>
      <c r="J788" s="1"/>
      <c r="K788" s="1"/>
      <c r="L788" s="1" t="s">
        <v>2291</v>
      </c>
      <c r="M788" s="1">
        <f>IF(OR(NOT(ISNUMBER('School Profile'!$K$4)),NOT(ISNUMBER('School Profile'!$K$5)),NOT(ISNUMBER(F788)),NOT(ISNUMBER(G788))),"",3958.7613*2*ASIN(MIN(1,SQRT(SIN(RADIANS(F788-'School Profile'!$K$4)/2)^2+COS(RADIANS('School Profile'!$K$4))*COS(RADIANS(F788))*SIN(RADIANS(G788-'School Profile'!$K$5)/2)^2))))</f>
        <v>13.736685735614275</v>
      </c>
      <c r="N788" s="1" t="str">
        <f>IF(AND(H788="Yes",ISNUMBER(M788),M788&lt;=1),COUNTIFS($H$511:$H$1010,"Yes",$M$511:$M$1010,"&lt;"&amp;M788)+COUNTIFS($H$511:H788,"Yes",$M$511:M788,M788),"")</f>
        <v/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:40" ht="22" customHeight="1">
      <c r="A789" s="1" t="s">
        <v>3050</v>
      </c>
      <c r="B789" s="1" t="s">
        <v>3051</v>
      </c>
      <c r="C789" s="1" t="s">
        <v>3052</v>
      </c>
      <c r="D789" s="1" t="s">
        <v>2189</v>
      </c>
      <c r="E789" s="1" t="s">
        <v>28</v>
      </c>
      <c r="F789" s="1">
        <v>40.045815944240516</v>
      </c>
      <c r="G789" s="1">
        <v>-75.164377438973943</v>
      </c>
      <c r="H789" s="1" t="s">
        <v>436</v>
      </c>
      <c r="I789" s="1"/>
      <c r="J789" s="1"/>
      <c r="K789" s="1"/>
      <c r="L789" s="1" t="s">
        <v>2203</v>
      </c>
      <c r="M789" s="1">
        <f>IF(OR(NOT(ISNUMBER('School Profile'!$K$4)),NOT(ISNUMBER('School Profile'!$K$5)),NOT(ISNUMBER(F789)),NOT(ISNUMBER(G789))),"",3958.7613*2*ASIN(MIN(1,SQRT(SIN(RADIANS(F789-'School Profile'!$K$4)/2)^2+COS(RADIANS('School Profile'!$K$4))*COS(RADIANS(F789))*SIN(RADIANS(G789-'School Profile'!$K$5)/2)^2))))</f>
        <v>9.3481960140150644</v>
      </c>
      <c r="N789" s="1" t="str">
        <f>IF(AND(H789="Yes",ISNUMBER(M789),M789&lt;=1),COUNTIFS($H$511:$H$1010,"Yes",$M$511:$M$1010,"&lt;"&amp;M789)+COUNTIFS($H$511:H789,"Yes",$M$511:M789,M789),"")</f>
        <v/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:40" ht="22" customHeight="1">
      <c r="A790" s="1" t="s">
        <v>3053</v>
      </c>
      <c r="B790" s="1" t="s">
        <v>3054</v>
      </c>
      <c r="C790" s="1" t="s">
        <v>3055</v>
      </c>
      <c r="D790" s="1" t="s">
        <v>2189</v>
      </c>
      <c r="E790" s="1" t="s">
        <v>28</v>
      </c>
      <c r="F790" s="1">
        <v>39.967707169879979</v>
      </c>
      <c r="G790" s="1">
        <v>-75.205751439763745</v>
      </c>
      <c r="H790" s="1" t="s">
        <v>436</v>
      </c>
      <c r="I790" s="1"/>
      <c r="J790" s="1"/>
      <c r="K790" s="1"/>
      <c r="L790" s="1" t="s">
        <v>2203</v>
      </c>
      <c r="M790" s="1">
        <f>IF(OR(NOT(ISNUMBER('School Profile'!$K$4)),NOT(ISNUMBER('School Profile'!$K$5)),NOT(ISNUMBER(F790)),NOT(ISNUMBER(G790))),"",3958.7613*2*ASIN(MIN(1,SQRT(SIN(RADIANS(F790-'School Profile'!$K$4)/2)^2+COS(RADIANS('School Profile'!$K$4))*COS(RADIANS(F790))*SIN(RADIANS(G790-'School Profile'!$K$5)/2)^2))))</f>
        <v>3.5273043791727461</v>
      </c>
      <c r="N790" s="1" t="str">
        <f>IF(AND(H790="Yes",ISNUMBER(M790),M790&lt;=1),COUNTIFS($H$511:$H$1010,"Yes",$M$511:$M$1010,"&lt;"&amp;M790)+COUNTIFS($H$511:H790,"Yes",$M$511:M790,M790),"")</f>
        <v/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:40" ht="22" customHeight="1">
      <c r="A791" s="1" t="s">
        <v>3056</v>
      </c>
      <c r="B791" s="1" t="s">
        <v>3057</v>
      </c>
      <c r="C791" s="1" t="s">
        <v>3058</v>
      </c>
      <c r="D791" s="1" t="s">
        <v>2215</v>
      </c>
      <c r="E791" s="1" t="s">
        <v>28</v>
      </c>
      <c r="F791" s="1">
        <v>39.966345689893942</v>
      </c>
      <c r="G791" s="1">
        <v>-75.149842739897707</v>
      </c>
      <c r="H791" s="1" t="s">
        <v>88</v>
      </c>
      <c r="I791" s="1"/>
      <c r="J791" s="1"/>
      <c r="K791" s="1"/>
      <c r="L791" s="1" t="s">
        <v>2216</v>
      </c>
      <c r="M791" s="1">
        <f>IF(OR(NOT(ISNUMBER('School Profile'!$K$4)),NOT(ISNUMBER('School Profile'!$K$5)),NOT(ISNUMBER(F791)),NOT(ISNUMBER(G791))),"",3958.7613*2*ASIN(MIN(1,SQRT(SIN(RADIANS(F791-'School Profile'!$K$4)/2)^2+COS(RADIANS('School Profile'!$K$4))*COS(RADIANS(F791))*SIN(RADIANS(G791-'School Profile'!$K$5)/2)^2))))</f>
        <v>5.4315732777465247</v>
      </c>
      <c r="N791" s="1" t="str">
        <f>IF(AND(H791="Yes",ISNUMBER(M791),M791&lt;=1),COUNTIFS($H$511:$H$1010,"Yes",$M$511:$M$1010,"&lt;"&amp;M791)+COUNTIFS($H$511:H791,"Yes",$M$511:M791,M791),"")</f>
        <v/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:40" ht="22" customHeight="1">
      <c r="A792" s="1" t="s">
        <v>3059</v>
      </c>
      <c r="B792" s="1" t="s">
        <v>3060</v>
      </c>
      <c r="C792" s="1" t="s">
        <v>3061</v>
      </c>
      <c r="D792" s="1" t="s">
        <v>2189</v>
      </c>
      <c r="E792" s="1" t="s">
        <v>28</v>
      </c>
      <c r="F792" s="1">
        <v>39.897667689820885</v>
      </c>
      <c r="G792" s="1">
        <v>-75.251623689660065</v>
      </c>
      <c r="H792" s="1" t="s">
        <v>436</v>
      </c>
      <c r="I792" s="1"/>
      <c r="J792" s="1"/>
      <c r="K792" s="1"/>
      <c r="L792" s="1" t="s">
        <v>2192</v>
      </c>
      <c r="M792" s="1">
        <f>IF(OR(NOT(ISNUMBER('School Profile'!$K$4)),NOT(ISNUMBER('School Profile'!$K$5)),NOT(ISNUMBER(F792)),NOT(ISNUMBER(G792))),"",3958.7613*2*ASIN(MIN(1,SQRT(SIN(RADIANS(F792-'School Profile'!$K$4)/2)^2+COS(RADIANS('School Profile'!$K$4))*COS(RADIANS(F792))*SIN(RADIANS(G792-'School Profile'!$K$5)/2)^2))))</f>
        <v>1.8915058070971504</v>
      </c>
      <c r="N792" s="1" t="str">
        <f>IF(AND(H792="Yes",ISNUMBER(M792),M792&lt;=1),COUNTIFS($H$511:$H$1010,"Yes",$M$511:$M$1010,"&lt;"&amp;M792)+COUNTIFS($H$511:H792,"Yes",$M$511:M792,M792),"")</f>
        <v/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:40" ht="22" customHeight="1">
      <c r="A793" s="1" t="s">
        <v>3062</v>
      </c>
      <c r="B793" s="1" t="s">
        <v>3063</v>
      </c>
      <c r="C793" s="1" t="s">
        <v>3064</v>
      </c>
      <c r="D793" s="1" t="s">
        <v>2189</v>
      </c>
      <c r="E793" s="1" t="s">
        <v>28</v>
      </c>
      <c r="F793" s="1">
        <v>39.947619586063965</v>
      </c>
      <c r="G793" s="1">
        <v>-75.237785413101093</v>
      </c>
      <c r="H793" s="1" t="s">
        <v>436</v>
      </c>
      <c r="I793" s="1"/>
      <c r="J793" s="1"/>
      <c r="K793" s="1"/>
      <c r="L793" s="1" t="s">
        <v>2203</v>
      </c>
      <c r="M793" s="1">
        <f>IF(OR(NOT(ISNUMBER('School Profile'!$K$4)),NOT(ISNUMBER('School Profile'!$K$5)),NOT(ISNUMBER(F793)),NOT(ISNUMBER(G793))),"",3958.7613*2*ASIN(MIN(1,SQRT(SIN(RADIANS(F793-'School Profile'!$K$4)/2)^2+COS(RADIANS('School Profile'!$K$4))*COS(RADIANS(F793))*SIN(RADIANS(G793-'School Profile'!$K$5)/2)^2))))</f>
        <v>1.8156579661281804</v>
      </c>
      <c r="N793" s="1" t="str">
        <f>IF(AND(H793="Yes",ISNUMBER(M793),M793&lt;=1),COUNTIFS($H$511:$H$1010,"Yes",$M$511:$M$1010,"&lt;"&amp;M793)+COUNTIFS($H$511:H793,"Yes",$M$511:M793,M793),"")</f>
        <v/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:40" ht="22" customHeight="1">
      <c r="A794" s="1" t="s">
        <v>3065</v>
      </c>
      <c r="B794" s="1" t="s">
        <v>3066</v>
      </c>
      <c r="C794" s="1" t="s">
        <v>3067</v>
      </c>
      <c r="D794" s="1" t="s">
        <v>2189</v>
      </c>
      <c r="E794" s="1" t="s">
        <v>28</v>
      </c>
      <c r="F794" s="1">
        <v>39.967794802334772</v>
      </c>
      <c r="G794" s="1">
        <v>-75.154873654933439</v>
      </c>
      <c r="H794" s="1" t="s">
        <v>436</v>
      </c>
      <c r="I794" s="1"/>
      <c r="J794" s="1"/>
      <c r="K794" s="1"/>
      <c r="L794" s="1" t="s">
        <v>3068</v>
      </c>
      <c r="M794" s="1">
        <f>IF(OR(NOT(ISNUMBER('School Profile'!$K$4)),NOT(ISNUMBER('School Profile'!$K$5)),NOT(ISNUMBER(F794)),NOT(ISNUMBER(G794))),"",3958.7613*2*ASIN(MIN(1,SQRT(SIN(RADIANS(F794-'School Profile'!$K$4)/2)^2+COS(RADIANS('School Profile'!$K$4))*COS(RADIANS(F794))*SIN(RADIANS(G794-'School Profile'!$K$5)/2)^2))))</f>
        <v>5.2749898525766747</v>
      </c>
      <c r="N794" s="1" t="str">
        <f>IF(AND(H794="Yes",ISNUMBER(M794),M794&lt;=1),COUNTIFS($H$511:$H$1010,"Yes",$M$511:$M$1010,"&lt;"&amp;M794)+COUNTIFS($H$511:H794,"Yes",$M$511:M794,M794),"")</f>
        <v/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:40" ht="22" customHeight="1">
      <c r="A795" s="1" t="s">
        <v>3069</v>
      </c>
      <c r="B795" s="1" t="s">
        <v>3070</v>
      </c>
      <c r="C795" s="1" t="s">
        <v>3071</v>
      </c>
      <c r="D795" s="1" t="s">
        <v>2189</v>
      </c>
      <c r="E795" s="1" t="s">
        <v>28</v>
      </c>
      <c r="F795" s="1">
        <v>40.058763800846151</v>
      </c>
      <c r="G795" s="1">
        <v>-75.0264805829013</v>
      </c>
      <c r="H795" s="1" t="s">
        <v>436</v>
      </c>
      <c r="I795" s="1"/>
      <c r="J795" s="1"/>
      <c r="K795" s="1"/>
      <c r="L795" s="1" t="s">
        <v>2203</v>
      </c>
      <c r="M795" s="1">
        <f>IF(OR(NOT(ISNUMBER('School Profile'!$K$4)),NOT(ISNUMBER('School Profile'!$K$5)),NOT(ISNUMBER(F795)),NOT(ISNUMBER(G795))),"",3958.7613*2*ASIN(MIN(1,SQRT(SIN(RADIANS(F795-'School Profile'!$K$4)/2)^2+COS(RADIANS('School Profile'!$K$4))*COS(RADIANS(F795))*SIN(RADIANS(G795-'School Profile'!$K$5)/2)^2))))</f>
        <v>14.51521921112151</v>
      </c>
      <c r="N795" s="1" t="str">
        <f>IF(AND(H795="Yes",ISNUMBER(M795),M795&lt;=1),COUNTIFS($H$511:$H$1010,"Yes",$M$511:$M$1010,"&lt;"&amp;M795)+COUNTIFS($H$511:H795,"Yes",$M$511:M795,M795),"")</f>
        <v/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:40" ht="22" customHeight="1">
      <c r="A796" s="1" t="s">
        <v>3072</v>
      </c>
      <c r="B796" s="1" t="s">
        <v>3073</v>
      </c>
      <c r="C796" s="1" t="s">
        <v>3074</v>
      </c>
      <c r="D796" s="1" t="s">
        <v>2207</v>
      </c>
      <c r="E796" s="1" t="s">
        <v>28</v>
      </c>
      <c r="F796" s="1">
        <v>39.960235730178404</v>
      </c>
      <c r="G796" s="1">
        <v>-75.154474739166886</v>
      </c>
      <c r="H796" s="1" t="s">
        <v>88</v>
      </c>
      <c r="I796" s="1"/>
      <c r="J796" s="1"/>
      <c r="K796" s="1"/>
      <c r="L796" s="1" t="s">
        <v>2208</v>
      </c>
      <c r="M796" s="1">
        <f>IF(OR(NOT(ISNUMBER('School Profile'!$K$4)),NOT(ISNUMBER('School Profile'!$K$5)),NOT(ISNUMBER(F796)),NOT(ISNUMBER(G796))),"",3958.7613*2*ASIN(MIN(1,SQRT(SIN(RADIANS(F796-'School Profile'!$K$4)/2)^2+COS(RADIANS('School Profile'!$K$4))*COS(RADIANS(F796))*SIN(RADIANS(G796-'School Profile'!$K$5)/2)^2))))</f>
        <v>4.9936529485950958</v>
      </c>
      <c r="N796" s="1" t="str">
        <f>IF(AND(H796="Yes",ISNUMBER(M796),M796&lt;=1),COUNTIFS($H$511:$H$1010,"Yes",$M$511:$M$1010,"&lt;"&amp;M796)+COUNTIFS($H$511:H796,"Yes",$M$511:M796,M796),"")</f>
        <v/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:40" ht="22" customHeight="1">
      <c r="A797" s="1" t="s">
        <v>3075</v>
      </c>
      <c r="B797" s="1" t="s">
        <v>3076</v>
      </c>
      <c r="C797" s="1" t="s">
        <v>3077</v>
      </c>
      <c r="D797" s="1" t="s">
        <v>2189</v>
      </c>
      <c r="E797" s="1" t="s">
        <v>28</v>
      </c>
      <c r="F797" s="1">
        <v>40.038290770036454</v>
      </c>
      <c r="G797" s="1">
        <v>-75.091092969723633</v>
      </c>
      <c r="H797" s="1" t="s">
        <v>436</v>
      </c>
      <c r="I797" s="1"/>
      <c r="J797" s="1"/>
      <c r="K797" s="1"/>
      <c r="L797" s="1" t="s">
        <v>2192</v>
      </c>
      <c r="M797" s="1">
        <f>IF(OR(NOT(ISNUMBER('School Profile'!$K$4)),NOT(ISNUMBER('School Profile'!$K$5)),NOT(ISNUMBER(F797)),NOT(ISNUMBER(G797))),"",3958.7613*2*ASIN(MIN(1,SQRT(SIN(RADIANS(F797-'School Profile'!$K$4)/2)^2+COS(RADIANS('School Profile'!$K$4))*COS(RADIANS(F797))*SIN(RADIANS(G797-'School Profile'!$K$5)/2)^2))))</f>
        <v>11.063891805601545</v>
      </c>
      <c r="N797" s="1" t="str">
        <f>IF(AND(H797="Yes",ISNUMBER(M797),M797&lt;=1),COUNTIFS($H$511:$H$1010,"Yes",$M$511:$M$1010,"&lt;"&amp;M797)+COUNTIFS($H$511:H797,"Yes",$M$511:M797,M797),"")</f>
        <v/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:40" ht="22" customHeight="1">
      <c r="A798" s="1" t="s">
        <v>3078</v>
      </c>
      <c r="B798" s="1" t="s">
        <v>3079</v>
      </c>
      <c r="C798" s="1" t="s">
        <v>3080</v>
      </c>
      <c r="D798" s="1" t="s">
        <v>2189</v>
      </c>
      <c r="E798" s="1" t="s">
        <v>28</v>
      </c>
      <c r="F798" s="1">
        <v>39.97080191990225</v>
      </c>
      <c r="G798" s="1">
        <v>-75.206079139789495</v>
      </c>
      <c r="H798" s="1" t="s">
        <v>436</v>
      </c>
      <c r="I798" s="1"/>
      <c r="J798" s="1"/>
      <c r="K798" s="1"/>
      <c r="L798" s="1" t="s">
        <v>2192</v>
      </c>
      <c r="M798" s="1">
        <f>IF(OR(NOT(ISNUMBER('School Profile'!$K$4)),NOT(ISNUMBER('School Profile'!$K$5)),NOT(ISNUMBER(F798)),NOT(ISNUMBER(G798))),"",3958.7613*2*ASIN(MIN(1,SQRT(SIN(RADIANS(F798-'School Profile'!$K$4)/2)^2+COS(RADIANS('School Profile'!$K$4))*COS(RADIANS(F798))*SIN(RADIANS(G798-'School Profile'!$K$5)/2)^2))))</f>
        <v>3.714990887208097</v>
      </c>
      <c r="N798" s="1" t="str">
        <f>IF(AND(H798="Yes",ISNUMBER(M798),M798&lt;=1),COUNTIFS($H$511:$H$1010,"Yes",$M$511:$M$1010,"&lt;"&amp;M798)+COUNTIFS($H$511:H798,"Yes",$M$511:M798,M798),"")</f>
        <v/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:40" ht="22" customHeight="1">
      <c r="A799" s="1" t="s">
        <v>3081</v>
      </c>
      <c r="B799" s="1" t="s">
        <v>3082</v>
      </c>
      <c r="C799" s="1" t="s">
        <v>3083</v>
      </c>
      <c r="D799" s="1" t="s">
        <v>2189</v>
      </c>
      <c r="E799" s="1" t="s">
        <v>28</v>
      </c>
      <c r="F799" s="1">
        <v>40.072409789918794</v>
      </c>
      <c r="G799" s="1">
        <v>-75.031335979706924</v>
      </c>
      <c r="H799" s="1" t="s">
        <v>436</v>
      </c>
      <c r="I799" s="1"/>
      <c r="J799" s="1"/>
      <c r="K799" s="1"/>
      <c r="L799" s="1" t="s">
        <v>2192</v>
      </c>
      <c r="M799" s="1">
        <f>IF(OR(NOT(ISNUMBER('School Profile'!$K$4)),NOT(ISNUMBER('School Profile'!$K$5)),NOT(ISNUMBER(F799)),NOT(ISNUMBER(G799))),"",3958.7613*2*ASIN(MIN(1,SQRT(SIN(RADIANS(F799-'School Profile'!$K$4)/2)^2+COS(RADIANS('School Profile'!$K$4))*COS(RADIANS(F799))*SIN(RADIANS(G799-'School Profile'!$K$5)/2)^2))))</f>
        <v>14.96193071597453</v>
      </c>
      <c r="N799" s="1" t="str">
        <f>IF(AND(H799="Yes",ISNUMBER(M799),M799&lt;=1),COUNTIFS($H$511:$H$1010,"Yes",$M$511:$M$1010,"&lt;"&amp;M799)+COUNTIFS($H$511:H799,"Yes",$M$511:M799,M799),"")</f>
        <v/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:40" ht="22" customHeight="1">
      <c r="A800" s="1" t="s">
        <v>3084</v>
      </c>
      <c r="B800" s="1" t="s">
        <v>3085</v>
      </c>
      <c r="C800" s="1" t="s">
        <v>3086</v>
      </c>
      <c r="D800" s="1" t="s">
        <v>2189</v>
      </c>
      <c r="E800" s="1" t="s">
        <v>28</v>
      </c>
      <c r="F800" s="1">
        <v>39.94560649976146</v>
      </c>
      <c r="G800" s="1">
        <v>-75.227040179795807</v>
      </c>
      <c r="H800" s="1" t="s">
        <v>436</v>
      </c>
      <c r="I800" s="1"/>
      <c r="J800" s="1"/>
      <c r="K800" s="1"/>
      <c r="L800" s="1" t="s">
        <v>2192</v>
      </c>
      <c r="M800" s="1">
        <f>IF(OR(NOT(ISNUMBER('School Profile'!$K$4)),NOT(ISNUMBER('School Profile'!$K$5)),NOT(ISNUMBER(F800)),NOT(ISNUMBER(G800))),"",3958.7613*2*ASIN(MIN(1,SQRT(SIN(RADIANS(F800-'School Profile'!$K$4)/2)^2+COS(RADIANS('School Profile'!$K$4))*COS(RADIANS(F800))*SIN(RADIANS(G800-'School Profile'!$K$5)/2)^2))))</f>
        <v>1.7067440998443328</v>
      </c>
      <c r="N800" s="1" t="str">
        <f>IF(AND(H800="Yes",ISNUMBER(M800),M800&lt;=1),COUNTIFS($H$511:$H$1010,"Yes",$M$511:$M$1010,"&lt;"&amp;M800)+COUNTIFS($H$511:H800,"Yes",$M$511:M800,M800),"")</f>
        <v/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:40" ht="22" customHeight="1">
      <c r="A801" s="1" t="s">
        <v>3087</v>
      </c>
      <c r="B801" s="1" t="s">
        <v>3088</v>
      </c>
      <c r="C801" s="1" t="s">
        <v>3089</v>
      </c>
      <c r="D801" s="1" t="s">
        <v>2189</v>
      </c>
      <c r="E801" s="1" t="s">
        <v>28</v>
      </c>
      <c r="F801" s="1">
        <v>39.968704843091366</v>
      </c>
      <c r="G801" s="1">
        <v>-75.148397570692822</v>
      </c>
      <c r="H801" s="1" t="s">
        <v>436</v>
      </c>
      <c r="I801" s="1"/>
      <c r="J801" s="1"/>
      <c r="K801" s="1"/>
      <c r="L801" s="1" t="s">
        <v>2203</v>
      </c>
      <c r="M801" s="1">
        <f>IF(OR(NOT(ISNUMBER('School Profile'!$K$4)),NOT(ISNUMBER('School Profile'!$K$5)),NOT(ISNUMBER(F801)),NOT(ISNUMBER(G801))),"",3958.7613*2*ASIN(MIN(1,SQRT(SIN(RADIANS(F801-'School Profile'!$K$4)/2)^2+COS(RADIANS('School Profile'!$K$4))*COS(RADIANS(F801))*SIN(RADIANS(G801-'School Profile'!$K$5)/2)^2))))</f>
        <v>5.5881038530875955</v>
      </c>
      <c r="N801" s="1" t="str">
        <f>IF(AND(H801="Yes",ISNUMBER(M801),M801&lt;=1),COUNTIFS($H$511:$H$1010,"Yes",$M$511:$M$1010,"&lt;"&amp;M801)+COUNTIFS($H$511:H801,"Yes",$M$511:M801,M801),"")</f>
        <v/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:40" ht="22" customHeight="1">
      <c r="A802" s="1" t="s">
        <v>3090</v>
      </c>
      <c r="B802" s="1" t="s">
        <v>3091</v>
      </c>
      <c r="C802" s="1" t="s">
        <v>3092</v>
      </c>
      <c r="D802" s="1" t="s">
        <v>2256</v>
      </c>
      <c r="E802" s="1" t="s">
        <v>28</v>
      </c>
      <c r="F802" s="1">
        <v>40.087709174184859</v>
      </c>
      <c r="G802" s="1">
        <v>-75.022531667065749</v>
      </c>
      <c r="H802" s="1" t="s">
        <v>88</v>
      </c>
      <c r="I802" s="1"/>
      <c r="J802" s="1"/>
      <c r="K802" s="1"/>
      <c r="L802" s="1" t="s">
        <v>2261</v>
      </c>
      <c r="M802" s="1">
        <f>IF(OR(NOT(ISNUMBER('School Profile'!$K$4)),NOT(ISNUMBER('School Profile'!$K$5)),NOT(ISNUMBER(F802)),NOT(ISNUMBER(G802))),"",3958.7613*2*ASIN(MIN(1,SQRT(SIN(RADIANS(F802-'School Profile'!$K$4)/2)^2+COS(RADIANS('School Profile'!$K$4))*COS(RADIANS(F802))*SIN(RADIANS(G802-'School Profile'!$K$5)/2)^2))))</f>
        <v>16.037810762968427</v>
      </c>
      <c r="N802" s="1" t="str">
        <f>IF(AND(H802="Yes",ISNUMBER(M802),M802&lt;=1),COUNTIFS($H$511:$H$1010,"Yes",$M$511:$M$1010,"&lt;"&amp;M802)+COUNTIFS($H$511:H802,"Yes",$M$511:M802,M802),"")</f>
        <v/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:40" ht="22" customHeight="1">
      <c r="A803" s="1" t="s">
        <v>3093</v>
      </c>
      <c r="B803" s="1" t="s">
        <v>3094</v>
      </c>
      <c r="C803" s="1" t="s">
        <v>3095</v>
      </c>
      <c r="D803" s="1" t="s">
        <v>2207</v>
      </c>
      <c r="E803" s="1" t="s">
        <v>28</v>
      </c>
      <c r="F803" s="1">
        <v>39.958476237800319</v>
      </c>
      <c r="G803" s="1">
        <v>-75.171553491382269</v>
      </c>
      <c r="H803" s="1" t="s">
        <v>88</v>
      </c>
      <c r="I803" s="1"/>
      <c r="J803" s="1"/>
      <c r="K803" s="1"/>
      <c r="L803" s="1" t="s">
        <v>2208</v>
      </c>
      <c r="M803" s="1">
        <f>IF(OR(NOT(ISNUMBER('School Profile'!$K$4)),NOT(ISNUMBER('School Profile'!$K$5)),NOT(ISNUMBER(F803)),NOT(ISNUMBER(G803))),"",3958.7613*2*ASIN(MIN(1,SQRT(SIN(RADIANS(F803-'School Profile'!$K$4)/2)^2+COS(RADIANS('School Profile'!$K$4))*COS(RADIANS(F803))*SIN(RADIANS(G803-'School Profile'!$K$5)/2)^2))))</f>
        <v>4.182237233543102</v>
      </c>
      <c r="N803" s="1" t="str">
        <f>IF(AND(H803="Yes",ISNUMBER(M803),M803&lt;=1),COUNTIFS($H$511:$H$1010,"Yes",$M$511:$M$1010,"&lt;"&amp;M803)+COUNTIFS($H$511:H803,"Yes",$M$511:M803,M803),"")</f>
        <v/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:40" ht="22" customHeight="1">
      <c r="A804" s="1" t="s">
        <v>3096</v>
      </c>
      <c r="B804" s="1" t="s">
        <v>3097</v>
      </c>
      <c r="C804" s="1" t="s">
        <v>3098</v>
      </c>
      <c r="D804" s="1" t="s">
        <v>2207</v>
      </c>
      <c r="E804" s="1" t="s">
        <v>28</v>
      </c>
      <c r="F804" s="1">
        <v>39.959307937173861</v>
      </c>
      <c r="G804" s="1">
        <v>-75.172351718174056</v>
      </c>
      <c r="H804" s="1" t="s">
        <v>88</v>
      </c>
      <c r="I804" s="1"/>
      <c r="J804" s="1"/>
      <c r="K804" s="1"/>
      <c r="L804" s="1" t="s">
        <v>2208</v>
      </c>
      <c r="M804" s="1">
        <f>IF(OR(NOT(ISNUMBER('School Profile'!$K$4)),NOT(ISNUMBER('School Profile'!$K$5)),NOT(ISNUMBER(F804)),NOT(ISNUMBER(G804))),"",3958.7613*2*ASIN(MIN(1,SQRT(SIN(RADIANS(F804-'School Profile'!$K$4)/2)^2+COS(RADIANS('School Profile'!$K$4))*COS(RADIANS(F804))*SIN(RADIANS(G804-'School Profile'!$K$5)/2)^2))))</f>
        <v>4.1844581987263574</v>
      </c>
      <c r="N804" s="1" t="str">
        <f>IF(AND(H804="Yes",ISNUMBER(M804),M804&lt;=1),COUNTIFS($H$511:$H$1010,"Yes",$M$511:$M$1010,"&lt;"&amp;M804)+COUNTIFS($H$511:H804,"Yes",$M$511:M804,M804),"")</f>
        <v/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:40" ht="22" customHeight="1">
      <c r="A805" s="1" t="s">
        <v>3099</v>
      </c>
      <c r="B805" s="1" t="s">
        <v>3100</v>
      </c>
      <c r="C805" s="1" t="s">
        <v>3101</v>
      </c>
      <c r="D805" s="1" t="s">
        <v>2207</v>
      </c>
      <c r="E805" s="1" t="s">
        <v>28</v>
      </c>
      <c r="F805" s="1">
        <v>39.996887025887567</v>
      </c>
      <c r="G805" s="1">
        <v>-75.112740878664169</v>
      </c>
      <c r="H805" s="1" t="s">
        <v>88</v>
      </c>
      <c r="I805" s="1"/>
      <c r="J805" s="1"/>
      <c r="K805" s="1"/>
      <c r="L805" s="1" t="s">
        <v>2208</v>
      </c>
      <c r="M805" s="1">
        <f>IF(OR(NOT(ISNUMBER('School Profile'!$K$4)),NOT(ISNUMBER('School Profile'!$K$5)),NOT(ISNUMBER(F805)),NOT(ISNUMBER(G805))),"",3958.7613*2*ASIN(MIN(1,SQRT(SIN(RADIANS(F805-'School Profile'!$K$4)/2)^2+COS(RADIANS('School Profile'!$K$4))*COS(RADIANS(F805))*SIN(RADIANS(G805-'School Profile'!$K$5)/2)^2))))</f>
        <v>8.2711382477412361</v>
      </c>
      <c r="N805" s="1" t="str">
        <f>IF(AND(H805="Yes",ISNUMBER(M805),M805&lt;=1),COUNTIFS($H$511:$H$1010,"Yes",$M$511:$M$1010,"&lt;"&amp;M805)+COUNTIFS($H$511:H805,"Yes",$M$511:M805,M805),"")</f>
        <v/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:40" ht="22" customHeight="1">
      <c r="A806" s="1" t="s">
        <v>3102</v>
      </c>
      <c r="B806" s="1" t="s">
        <v>3103</v>
      </c>
      <c r="C806" s="1" t="s">
        <v>3104</v>
      </c>
      <c r="D806" s="1" t="s">
        <v>2207</v>
      </c>
      <c r="E806" s="1" t="s">
        <v>28</v>
      </c>
      <c r="F806" s="1">
        <v>39.98817403785241</v>
      </c>
      <c r="G806" s="1">
        <v>-75.12847790267962</v>
      </c>
      <c r="H806" s="1" t="s">
        <v>88</v>
      </c>
      <c r="I806" s="1"/>
      <c r="J806" s="1"/>
      <c r="K806" s="1"/>
      <c r="L806" s="1" t="s">
        <v>2208</v>
      </c>
      <c r="M806" s="1">
        <f>IF(OR(NOT(ISNUMBER('School Profile'!$K$4)),NOT(ISNUMBER('School Profile'!$K$5)),NOT(ISNUMBER(F806)),NOT(ISNUMBER(G806))),"",3958.7613*2*ASIN(MIN(1,SQRT(SIN(RADIANS(F806-'School Profile'!$K$4)/2)^2+COS(RADIANS('School Profile'!$K$4))*COS(RADIANS(F806))*SIN(RADIANS(G806-'School Profile'!$K$5)/2)^2))))</f>
        <v>7.2451136819352628</v>
      </c>
      <c r="N806" s="1" t="str">
        <f>IF(AND(H806="Yes",ISNUMBER(M806),M806&lt;=1),COUNTIFS($H$511:$H$1010,"Yes",$M$511:$M$1010,"&lt;"&amp;M806)+COUNTIFS($H$511:H806,"Yes",$M$511:M806,M806),"")</f>
        <v/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:40" ht="22" customHeight="1">
      <c r="A807" s="1" t="s">
        <v>3105</v>
      </c>
      <c r="B807" s="1" t="s">
        <v>3106</v>
      </c>
      <c r="C807" s="1" t="s">
        <v>3107</v>
      </c>
      <c r="D807" s="1" t="s">
        <v>2207</v>
      </c>
      <c r="E807" s="1" t="s">
        <v>28</v>
      </c>
      <c r="F807" s="1">
        <v>39.958589976699976</v>
      </c>
      <c r="G807" s="1">
        <v>-75.170538590045638</v>
      </c>
      <c r="H807" s="1" t="s">
        <v>88</v>
      </c>
      <c r="I807" s="1"/>
      <c r="J807" s="1"/>
      <c r="K807" s="1"/>
      <c r="L807" s="1" t="s">
        <v>2208</v>
      </c>
      <c r="M807" s="1">
        <f>IF(OR(NOT(ISNUMBER('School Profile'!$K$4)),NOT(ISNUMBER('School Profile'!$K$5)),NOT(ISNUMBER(F807)),NOT(ISNUMBER(G807))),"",3958.7613*2*ASIN(MIN(1,SQRT(SIN(RADIANS(F807-'School Profile'!$K$4)/2)^2+COS(RADIANS('School Profile'!$K$4))*COS(RADIANS(F807))*SIN(RADIANS(G807-'School Profile'!$K$5)/2)^2))))</f>
        <v>4.2296848649698093</v>
      </c>
      <c r="N807" s="1" t="str">
        <f>IF(AND(H807="Yes",ISNUMBER(M807),M807&lt;=1),COUNTIFS($H$511:$H$1010,"Yes",$M$511:$M$1010,"&lt;"&amp;M807)+COUNTIFS($H$511:H807,"Yes",$M$511:M807,M807),"")</f>
        <v/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:40" ht="22" customHeight="1">
      <c r="A808" s="1" t="s">
        <v>3108</v>
      </c>
      <c r="B808" s="1" t="s">
        <v>3109</v>
      </c>
      <c r="C808" s="1" t="s">
        <v>3110</v>
      </c>
      <c r="D808" s="1" t="s">
        <v>2207</v>
      </c>
      <c r="E808" s="1" t="s">
        <v>28</v>
      </c>
      <c r="F808" s="1">
        <v>39.953609039305498</v>
      </c>
      <c r="G808" s="1">
        <v>-75.165058874897326</v>
      </c>
      <c r="H808" s="1" t="s">
        <v>88</v>
      </c>
      <c r="I808" s="1"/>
      <c r="J808" s="1"/>
      <c r="K808" s="1"/>
      <c r="L808" s="1" t="s">
        <v>2208</v>
      </c>
      <c r="M808" s="1">
        <f>IF(OR(NOT(ISNUMBER('School Profile'!$K$4)),NOT(ISNUMBER('School Profile'!$K$5)),NOT(ISNUMBER(F808)),NOT(ISNUMBER(G808))),"",3958.7613*2*ASIN(MIN(1,SQRT(SIN(RADIANS(F808-'School Profile'!$K$4)/2)^2+COS(RADIANS('School Profile'!$K$4))*COS(RADIANS(F808))*SIN(RADIANS(G808-'School Profile'!$K$5)/2)^2))))</f>
        <v>4.2759134137666281</v>
      </c>
      <c r="N808" s="1" t="str">
        <f>IF(AND(H808="Yes",ISNUMBER(M808),M808&lt;=1),COUNTIFS($H$511:$H$1010,"Yes",$M$511:$M$1010,"&lt;"&amp;M808)+COUNTIFS($H$511:H808,"Yes",$M$511:M808,M808),"")</f>
        <v/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:40" ht="22" customHeight="1">
      <c r="A809" s="1" t="s">
        <v>3111</v>
      </c>
      <c r="B809" s="1" t="s">
        <v>3112</v>
      </c>
      <c r="C809" s="1" t="s">
        <v>3113</v>
      </c>
      <c r="D809" s="1" t="s">
        <v>2256</v>
      </c>
      <c r="E809" s="1" t="s">
        <v>28</v>
      </c>
      <c r="F809" s="1">
        <v>40.006063900296859</v>
      </c>
      <c r="G809" s="1">
        <v>-75.127018479906098</v>
      </c>
      <c r="H809" s="1" t="s">
        <v>88</v>
      </c>
      <c r="I809" s="1"/>
      <c r="J809" s="1"/>
      <c r="K809" s="1"/>
      <c r="L809" s="1" t="s">
        <v>2257</v>
      </c>
      <c r="M809" s="1">
        <f>IF(OR(NOT(ISNUMBER('School Profile'!$K$4)),NOT(ISNUMBER('School Profile'!$K$5)),NOT(ISNUMBER(F809)),NOT(ISNUMBER(G809))),"",3958.7613*2*ASIN(MIN(1,SQRT(SIN(RADIANS(F809-'School Profile'!$K$4)/2)^2+COS(RADIANS('School Profile'!$K$4))*COS(RADIANS(F809))*SIN(RADIANS(G809-'School Profile'!$K$5)/2)^2))))</f>
        <v>8.140670649378567</v>
      </c>
      <c r="N809" s="1" t="str">
        <f>IF(AND(H809="Yes",ISNUMBER(M809),M809&lt;=1),COUNTIFS($H$511:$H$1010,"Yes",$M$511:$M$1010,"&lt;"&amp;M809)+COUNTIFS($H$511:H809,"Yes",$M$511:M809,M809),"")</f>
        <v/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:40" ht="22" customHeight="1">
      <c r="A810" s="1" t="s">
        <v>3114</v>
      </c>
      <c r="B810" s="1" t="s">
        <v>3115</v>
      </c>
      <c r="C810" s="1" t="s">
        <v>3116</v>
      </c>
      <c r="D810" s="1" t="s">
        <v>2207</v>
      </c>
      <c r="E810" s="1" t="s">
        <v>28</v>
      </c>
      <c r="F810" s="1">
        <v>39.955820142941946</v>
      </c>
      <c r="G810" s="1">
        <v>-75.167829094180604</v>
      </c>
      <c r="H810" s="1" t="s">
        <v>88</v>
      </c>
      <c r="I810" s="1"/>
      <c r="J810" s="1"/>
      <c r="K810" s="1"/>
      <c r="L810" s="1" t="s">
        <v>2208</v>
      </c>
      <c r="M810" s="1">
        <f>IF(OR(NOT(ISNUMBER('School Profile'!$K$4)),NOT(ISNUMBER('School Profile'!$K$5)),NOT(ISNUMBER(F810)),NOT(ISNUMBER(G810))),"",3958.7613*2*ASIN(MIN(1,SQRT(SIN(RADIANS(F810-'School Profile'!$K$4)/2)^2+COS(RADIANS('School Profile'!$K$4))*COS(RADIANS(F810))*SIN(RADIANS(G810-'School Profile'!$K$5)/2)^2))))</f>
        <v>4.2347324994535764</v>
      </c>
      <c r="N810" s="1" t="str">
        <f>IF(AND(H810="Yes",ISNUMBER(M810),M810&lt;=1),COUNTIFS($H$511:$H$1010,"Yes",$M$511:$M$1010,"&lt;"&amp;M810)+COUNTIFS($H$511:H810,"Yes",$M$511:M810,M810),"")</f>
        <v/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:40" ht="22" customHeight="1">
      <c r="A811" s="1" t="s">
        <v>3117</v>
      </c>
      <c r="B811" s="1" t="s">
        <v>3118</v>
      </c>
      <c r="C811" s="1" t="s">
        <v>3116</v>
      </c>
      <c r="D811" s="1" t="s">
        <v>2207</v>
      </c>
      <c r="E811" s="1" t="s">
        <v>28</v>
      </c>
      <c r="F811" s="1">
        <v>39.955820142941946</v>
      </c>
      <c r="G811" s="1">
        <v>-75.167829094180604</v>
      </c>
      <c r="H811" s="1" t="s">
        <v>88</v>
      </c>
      <c r="I811" s="1"/>
      <c r="J811" s="1"/>
      <c r="K811" s="1"/>
      <c r="L811" s="1" t="s">
        <v>2208</v>
      </c>
      <c r="M811" s="1">
        <f>IF(OR(NOT(ISNUMBER('School Profile'!$K$4)),NOT(ISNUMBER('School Profile'!$K$5)),NOT(ISNUMBER(F811)),NOT(ISNUMBER(G811))),"",3958.7613*2*ASIN(MIN(1,SQRT(SIN(RADIANS(F811-'School Profile'!$K$4)/2)^2+COS(RADIANS('School Profile'!$K$4))*COS(RADIANS(F811))*SIN(RADIANS(G811-'School Profile'!$K$5)/2)^2))))</f>
        <v>4.2347324994535764</v>
      </c>
      <c r="N811" s="1" t="str">
        <f>IF(AND(H811="Yes",ISNUMBER(M811),M811&lt;=1),COUNTIFS($H$511:$H$1010,"Yes",$M$511:$M$1010,"&lt;"&amp;M811)+COUNTIFS($H$511:H811,"Yes",$M$511:M811,M811),"")</f>
        <v/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:40" ht="22" customHeight="1">
      <c r="A812" s="1" t="s">
        <v>3119</v>
      </c>
      <c r="B812" s="1" t="s">
        <v>3120</v>
      </c>
      <c r="C812" s="1" t="s">
        <v>3121</v>
      </c>
      <c r="D812" s="1" t="s">
        <v>2207</v>
      </c>
      <c r="E812" s="1" t="s">
        <v>28</v>
      </c>
      <c r="F812" s="1">
        <v>39.946579060153887</v>
      </c>
      <c r="G812" s="1">
        <v>-75.147591750441919</v>
      </c>
      <c r="H812" s="1" t="s">
        <v>88</v>
      </c>
      <c r="I812" s="1"/>
      <c r="J812" s="1"/>
      <c r="K812" s="1"/>
      <c r="L812" s="1" t="s">
        <v>2208</v>
      </c>
      <c r="M812" s="1">
        <f>IF(OR(NOT(ISNUMBER('School Profile'!$K$4)),NOT(ISNUMBER('School Profile'!$K$5)),NOT(ISNUMBER(F812)),NOT(ISNUMBER(G812))),"",3958.7613*2*ASIN(MIN(1,SQRT(SIN(RADIANS(F812-'School Profile'!$K$4)/2)^2+COS(RADIANS('School Profile'!$K$4))*COS(RADIANS(F812))*SIN(RADIANS(G812-'School Profile'!$K$5)/2)^2))))</f>
        <v>4.8976767607117786</v>
      </c>
      <c r="N812" s="1" t="str">
        <f>IF(AND(H812="Yes",ISNUMBER(M812),M812&lt;=1),COUNTIFS($H$511:$H$1010,"Yes",$M$511:$M$1010,"&lt;"&amp;M812)+COUNTIFS($H$511:H812,"Yes",$M$511:M812,M812),"")</f>
        <v/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:40" ht="22" customHeight="1">
      <c r="A813" s="1" t="s">
        <v>3122</v>
      </c>
      <c r="B813" s="1" t="s">
        <v>1745</v>
      </c>
      <c r="C813" s="1" t="s">
        <v>3123</v>
      </c>
      <c r="D813" s="1" t="s">
        <v>2189</v>
      </c>
      <c r="E813" s="1" t="s">
        <v>28</v>
      </c>
      <c r="F813" s="1">
        <v>40.021476051945371</v>
      </c>
      <c r="G813" s="1">
        <v>-75.086348948741886</v>
      </c>
      <c r="H813" s="1" t="s">
        <v>436</v>
      </c>
      <c r="I813" s="1"/>
      <c r="J813" s="1"/>
      <c r="K813" s="1"/>
      <c r="L813" s="1" t="s">
        <v>2203</v>
      </c>
      <c r="M813" s="1">
        <f>IF(OR(NOT(ISNUMBER('School Profile'!$K$4)),NOT(ISNUMBER('School Profile'!$K$5)),NOT(ISNUMBER(F813)),NOT(ISNUMBER(G813))),"",3958.7613*2*ASIN(MIN(1,SQRT(SIN(RADIANS(F813-'School Profile'!$K$4)/2)^2+COS(RADIANS('School Profile'!$K$4))*COS(RADIANS(F813))*SIN(RADIANS(G813-'School Profile'!$K$5)/2)^2))))</f>
        <v>10.435007180696301</v>
      </c>
      <c r="N813" s="1" t="str">
        <f>IF(AND(H813="Yes",ISNUMBER(M813),M813&lt;=1),COUNTIFS($H$511:$H$1010,"Yes",$M$511:$M$1010,"&lt;"&amp;M813)+COUNTIFS($H$511:H813,"Yes",$M$511:M813,M813),"")</f>
        <v/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:40" ht="22" customHeight="1">
      <c r="A814" s="1" t="s">
        <v>3124</v>
      </c>
      <c r="B814" s="1" t="s">
        <v>3125</v>
      </c>
      <c r="C814" s="1" t="s">
        <v>3126</v>
      </c>
      <c r="D814" s="1" t="s">
        <v>2256</v>
      </c>
      <c r="E814" s="1" t="s">
        <v>28</v>
      </c>
      <c r="F814" s="1">
        <v>39.979565600281148</v>
      </c>
      <c r="G814" s="1">
        <v>-75.234892149776712</v>
      </c>
      <c r="H814" s="1" t="s">
        <v>88</v>
      </c>
      <c r="I814" s="1"/>
      <c r="J814" s="1"/>
      <c r="K814" s="1"/>
      <c r="L814" s="1" t="s">
        <v>2257</v>
      </c>
      <c r="M814" s="1">
        <f>IF(OR(NOT(ISNUMBER('School Profile'!$K$4)),NOT(ISNUMBER('School Profile'!$K$5)),NOT(ISNUMBER(F814)),NOT(ISNUMBER(G814))),"",3958.7613*2*ASIN(MIN(1,SQRT(SIN(RADIANS(F814-'School Profile'!$K$4)/2)^2+COS(RADIANS('School Profile'!$K$4))*COS(RADIANS(F814))*SIN(RADIANS(G814-'School Profile'!$K$5)/2)^2))))</f>
        <v>4.0123772196210608</v>
      </c>
      <c r="N814" s="1" t="str">
        <f>IF(AND(H814="Yes",ISNUMBER(M814),M814&lt;=1),COUNTIFS($H$511:$H$1010,"Yes",$M$511:$M$1010,"&lt;"&amp;M814)+COUNTIFS($H$511:H814,"Yes",$M$511:M814,M814),"")</f>
        <v/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:40" ht="22" customHeight="1">
      <c r="A815" s="1" t="s">
        <v>3127</v>
      </c>
      <c r="B815" s="1" t="s">
        <v>3128</v>
      </c>
      <c r="C815" s="1" t="s">
        <v>3129</v>
      </c>
      <c r="D815" s="1" t="s">
        <v>2189</v>
      </c>
      <c r="E815" s="1" t="s">
        <v>28</v>
      </c>
      <c r="F815" s="1">
        <v>40.031754025085561</v>
      </c>
      <c r="G815" s="1">
        <v>-75.17891491474272</v>
      </c>
      <c r="H815" s="1" t="s">
        <v>436</v>
      </c>
      <c r="I815" s="1"/>
      <c r="J815" s="1"/>
      <c r="K815" s="1"/>
      <c r="L815" s="1" t="s">
        <v>2203</v>
      </c>
      <c r="M815" s="1">
        <f>IF(OR(NOT(ISNUMBER('School Profile'!$K$4)),NOT(ISNUMBER('School Profile'!$K$5)),NOT(ISNUMBER(F815)),NOT(ISNUMBER(G815))),"",3958.7613*2*ASIN(MIN(1,SQRT(SIN(RADIANS(F815-'School Profile'!$K$4)/2)^2+COS(RADIANS('School Profile'!$K$4))*COS(RADIANS(F815))*SIN(RADIANS(G815-'School Profile'!$K$5)/2)^2))))</f>
        <v>8.1582877096873467</v>
      </c>
      <c r="N815" s="1" t="str">
        <f>IF(AND(H815="Yes",ISNUMBER(M815),M815&lt;=1),COUNTIFS($H$511:$H$1010,"Yes",$M$511:$M$1010,"&lt;"&amp;M815)+COUNTIFS($H$511:H815,"Yes",$M$511:M815,M815),"")</f>
        <v/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:40" ht="22" customHeight="1">
      <c r="A816" s="1" t="s">
        <v>3130</v>
      </c>
      <c r="B816" s="1" t="s">
        <v>3131</v>
      </c>
      <c r="C816" s="1" t="s">
        <v>3132</v>
      </c>
      <c r="D816" s="1" t="s">
        <v>2207</v>
      </c>
      <c r="E816" s="1" t="s">
        <v>28</v>
      </c>
      <c r="F816" s="1">
        <v>39.9542082096754</v>
      </c>
      <c r="G816" s="1">
        <v>-75.164445100081153</v>
      </c>
      <c r="H816" s="1" t="s">
        <v>88</v>
      </c>
      <c r="I816" s="1"/>
      <c r="J816" s="1"/>
      <c r="K816" s="1"/>
      <c r="L816" s="1"/>
      <c r="M816" s="1">
        <f>IF(OR(NOT(ISNUMBER('School Profile'!$K$4)),NOT(ISNUMBER('School Profile'!$K$5)),NOT(ISNUMBER(F816)),NOT(ISNUMBER(G816))),"",3958.7613*2*ASIN(MIN(1,SQRT(SIN(RADIANS(F816-'School Profile'!$K$4)/2)^2+COS(RADIANS('School Profile'!$K$4))*COS(RADIANS(F816))*SIN(RADIANS(G816-'School Profile'!$K$5)/2)^2))))</f>
        <v>4.3252165152496982</v>
      </c>
      <c r="N816" s="1" t="str">
        <f>IF(AND(H816="Yes",ISNUMBER(M816),M816&lt;=1),COUNTIFS($H$511:$H$1010,"Yes",$M$511:$M$1010,"&lt;"&amp;M816)+COUNTIFS($H$511:H816,"Yes",$M$511:M816,M816),"")</f>
        <v/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:40" ht="22" customHeight="1">
      <c r="A817" s="1" t="s">
        <v>3133</v>
      </c>
      <c r="B817" s="1" t="s">
        <v>3134</v>
      </c>
      <c r="C817" s="1" t="s">
        <v>3135</v>
      </c>
      <c r="D817" s="1" t="s">
        <v>2207</v>
      </c>
      <c r="E817" s="1" t="s">
        <v>28</v>
      </c>
      <c r="F817" s="1">
        <v>39.950329709964947</v>
      </c>
      <c r="G817" s="1">
        <v>-75.173241040423861</v>
      </c>
      <c r="H817" s="1" t="s">
        <v>88</v>
      </c>
      <c r="I817" s="1"/>
      <c r="J817" s="1"/>
      <c r="K817" s="1"/>
      <c r="L817" s="1" t="s">
        <v>2208</v>
      </c>
      <c r="M817" s="1">
        <f>IF(OR(NOT(ISNUMBER('School Profile'!$K$4)),NOT(ISNUMBER('School Profile'!$K$5)),NOT(ISNUMBER(F817)),NOT(ISNUMBER(G817))),"",3958.7613*2*ASIN(MIN(1,SQRT(SIN(RADIANS(F817-'School Profile'!$K$4)/2)^2+COS(RADIANS('School Profile'!$K$4))*COS(RADIANS(F817))*SIN(RADIANS(G817-'School Profile'!$K$5)/2)^2))))</f>
        <v>3.787992480703521</v>
      </c>
      <c r="N817" s="1" t="str">
        <f>IF(AND(H817="Yes",ISNUMBER(M817),M817&lt;=1),COUNTIFS($H$511:$H$1010,"Yes",$M$511:$M$1010,"&lt;"&amp;M817)+COUNTIFS($H$511:H817,"Yes",$M$511:M817,M817),"")</f>
        <v/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:40" ht="22" customHeight="1">
      <c r="A818" s="1" t="s">
        <v>3136</v>
      </c>
      <c r="B818" s="1" t="s">
        <v>3137</v>
      </c>
      <c r="C818" s="1" t="s">
        <v>3138</v>
      </c>
      <c r="D818" s="1" t="s">
        <v>2207</v>
      </c>
      <c r="E818" s="1" t="s">
        <v>28</v>
      </c>
      <c r="F818" s="1">
        <v>39.961547260084323</v>
      </c>
      <c r="G818" s="1">
        <v>-75.15689482030524</v>
      </c>
      <c r="H818" s="1" t="s">
        <v>88</v>
      </c>
      <c r="I818" s="1"/>
      <c r="J818" s="1"/>
      <c r="K818" s="1"/>
      <c r="L818" s="1" t="s">
        <v>2208</v>
      </c>
      <c r="M818" s="1">
        <f>IF(OR(NOT(ISNUMBER('School Profile'!$K$4)),NOT(ISNUMBER('School Profile'!$K$5)),NOT(ISNUMBER(F818)),NOT(ISNUMBER(G818))),"",3958.7613*2*ASIN(MIN(1,SQRT(SIN(RADIANS(F818-'School Profile'!$K$4)/2)^2+COS(RADIANS('School Profile'!$K$4))*COS(RADIANS(F818))*SIN(RADIANS(G818-'School Profile'!$K$5)/2)^2))))</f>
        <v>4.9360964520466064</v>
      </c>
      <c r="N818" s="1" t="str">
        <f>IF(AND(H818="Yes",ISNUMBER(M818),M818&lt;=1),COUNTIFS($H$511:$H$1010,"Yes",$M$511:$M$1010,"&lt;"&amp;M818)+COUNTIFS($H$511:H818,"Yes",$M$511:M818,M818),"")</f>
        <v/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:40" ht="22" customHeight="1">
      <c r="A819" s="1" t="s">
        <v>3139</v>
      </c>
      <c r="B819" s="1" t="s">
        <v>2312</v>
      </c>
      <c r="C819" s="1" t="s">
        <v>3046</v>
      </c>
      <c r="D819" s="1" t="s">
        <v>2189</v>
      </c>
      <c r="E819" s="1" t="s">
        <v>28</v>
      </c>
      <c r="F819" s="1">
        <v>39.971373830326755</v>
      </c>
      <c r="G819" s="1">
        <v>-75.134592859684446</v>
      </c>
      <c r="H819" s="1" t="s">
        <v>436</v>
      </c>
      <c r="I819" s="1"/>
      <c r="J819" s="1"/>
      <c r="K819" s="1"/>
      <c r="L819" s="1" t="s">
        <v>2203</v>
      </c>
      <c r="M819" s="1">
        <f>IF(OR(NOT(ISNUMBER('School Profile'!$K$4)),NOT(ISNUMBER('School Profile'!$K$5)),NOT(ISNUMBER(F819)),NOT(ISNUMBER(G819))),"",3958.7613*2*ASIN(MIN(1,SQRT(SIN(RADIANS(F819-'School Profile'!$K$4)/2)^2+COS(RADIANS('School Profile'!$K$4))*COS(RADIANS(F819))*SIN(RADIANS(G819-'School Profile'!$K$5)/2)^2))))</f>
        <v>6.2955151597752472</v>
      </c>
      <c r="N819" s="1" t="str">
        <f>IF(AND(H819="Yes",ISNUMBER(M819),M819&lt;=1),COUNTIFS($H$511:$H$1010,"Yes",$M$511:$M$1010,"&lt;"&amp;M819)+COUNTIFS($H$511:H819,"Yes",$M$511:M819,M819),"")</f>
        <v/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:40" ht="22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 t="str">
        <f>IF(OR(NOT(ISNUMBER('School Profile'!$K$4)),NOT(ISNUMBER('School Profile'!$K$5)),NOT(ISNUMBER(F820)),NOT(ISNUMBER(G820))),"",3958.7613*2*ASIN(MIN(1,SQRT(SIN(RADIANS(F820-'School Profile'!$K$4)/2)^2+COS(RADIANS('School Profile'!$K$4))*COS(RADIANS(F820))*SIN(RADIANS(G820-'School Profile'!$K$5)/2)^2))))</f>
        <v/>
      </c>
      <c r="N820" s="1" t="str">
        <f>IF(AND(H820="Yes",ISNUMBER(M820),M820&lt;=1),COUNTIFS($H$511:$H$1010,"Yes",$M$511:$M$1010,"&lt;"&amp;M820)+COUNTIFS($H$511:H820,"Yes",$M$511:M820,M820),"")</f>
        <v/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:40" ht="22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 t="str">
        <f>IF(OR(NOT(ISNUMBER('School Profile'!$K$4)),NOT(ISNUMBER('School Profile'!$K$5)),NOT(ISNUMBER(F821)),NOT(ISNUMBER(G821))),"",3958.7613*2*ASIN(MIN(1,SQRT(SIN(RADIANS(F821-'School Profile'!$K$4)/2)^2+COS(RADIANS('School Profile'!$K$4))*COS(RADIANS(F821))*SIN(RADIANS(G821-'School Profile'!$K$5)/2)^2))))</f>
        <v/>
      </c>
      <c r="N821" s="1" t="str">
        <f>IF(AND(H821="Yes",ISNUMBER(M821),M821&lt;=1),COUNTIFS($H$511:$H$1010,"Yes",$M$511:$M$1010,"&lt;"&amp;M821)+COUNTIFS($H$511:H821,"Yes",$M$511:M821,M821),"")</f>
        <v/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:40" ht="22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 t="str">
        <f>IF(OR(NOT(ISNUMBER('School Profile'!$K$4)),NOT(ISNUMBER('School Profile'!$K$5)),NOT(ISNUMBER(F822)),NOT(ISNUMBER(G822))),"",3958.7613*2*ASIN(MIN(1,SQRT(SIN(RADIANS(F822-'School Profile'!$K$4)/2)^2+COS(RADIANS('School Profile'!$K$4))*COS(RADIANS(F822))*SIN(RADIANS(G822-'School Profile'!$K$5)/2)^2))))</f>
        <v/>
      </c>
      <c r="N822" s="1" t="str">
        <f>IF(AND(H822="Yes",ISNUMBER(M822),M822&lt;=1),COUNTIFS($H$511:$H$1010,"Yes",$M$511:$M$1010,"&lt;"&amp;M822)+COUNTIFS($H$511:H822,"Yes",$M$511:M822,M822),"")</f>
        <v/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:40" ht="22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 t="str">
        <f>IF(OR(NOT(ISNUMBER('School Profile'!$K$4)),NOT(ISNUMBER('School Profile'!$K$5)),NOT(ISNUMBER(F823)),NOT(ISNUMBER(G823))),"",3958.7613*2*ASIN(MIN(1,SQRT(SIN(RADIANS(F823-'School Profile'!$K$4)/2)^2+COS(RADIANS('School Profile'!$K$4))*COS(RADIANS(F823))*SIN(RADIANS(G823-'School Profile'!$K$5)/2)^2))))</f>
        <v/>
      </c>
      <c r="N823" s="1" t="str">
        <f>IF(AND(H823="Yes",ISNUMBER(M823),M823&lt;=1),COUNTIFS($H$511:$H$1010,"Yes",$M$511:$M$1010,"&lt;"&amp;M823)+COUNTIFS($H$511:H823,"Yes",$M$511:M823,M823),"")</f>
        <v/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:40" ht="22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 t="str">
        <f>IF(OR(NOT(ISNUMBER('School Profile'!$K$4)),NOT(ISNUMBER('School Profile'!$K$5)),NOT(ISNUMBER(F824)),NOT(ISNUMBER(G824))),"",3958.7613*2*ASIN(MIN(1,SQRT(SIN(RADIANS(F824-'School Profile'!$K$4)/2)^2+COS(RADIANS('School Profile'!$K$4))*COS(RADIANS(F824))*SIN(RADIANS(G824-'School Profile'!$K$5)/2)^2))))</f>
        <v/>
      </c>
      <c r="N824" s="1" t="str">
        <f>IF(AND(H824="Yes",ISNUMBER(M824),M824&lt;=1),COUNTIFS($H$511:$H$1010,"Yes",$M$511:$M$1010,"&lt;"&amp;M824)+COUNTIFS($H$511:H824,"Yes",$M$511:M824,M824),"")</f>
        <v/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:40" ht="22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 t="str">
        <f>IF(OR(NOT(ISNUMBER('School Profile'!$K$4)),NOT(ISNUMBER('School Profile'!$K$5)),NOT(ISNUMBER(F825)),NOT(ISNUMBER(G825))),"",3958.7613*2*ASIN(MIN(1,SQRT(SIN(RADIANS(F825-'School Profile'!$K$4)/2)^2+COS(RADIANS('School Profile'!$K$4))*COS(RADIANS(F825))*SIN(RADIANS(G825-'School Profile'!$K$5)/2)^2))))</f>
        <v/>
      </c>
      <c r="N825" s="1" t="str">
        <f>IF(AND(H825="Yes",ISNUMBER(M825),M825&lt;=1),COUNTIFS($H$511:$H$1010,"Yes",$M$511:$M$1010,"&lt;"&amp;M825)+COUNTIFS($H$511:H825,"Yes",$M$511:M825,M825),"")</f>
        <v/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:40" ht="22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 t="str">
        <f>IF(OR(NOT(ISNUMBER('School Profile'!$K$4)),NOT(ISNUMBER('School Profile'!$K$5)),NOT(ISNUMBER(F826)),NOT(ISNUMBER(G826))),"",3958.7613*2*ASIN(MIN(1,SQRT(SIN(RADIANS(F826-'School Profile'!$K$4)/2)^2+COS(RADIANS('School Profile'!$K$4))*COS(RADIANS(F826))*SIN(RADIANS(G826-'School Profile'!$K$5)/2)^2))))</f>
        <v/>
      </c>
      <c r="N826" s="1" t="str">
        <f>IF(AND(H826="Yes",ISNUMBER(M826),M826&lt;=1),COUNTIFS($H$511:$H$1010,"Yes",$M$511:$M$1010,"&lt;"&amp;M826)+COUNTIFS($H$511:H826,"Yes",$M$511:M826,M826),"")</f>
        <v/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:40" ht="22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 t="str">
        <f>IF(OR(NOT(ISNUMBER('School Profile'!$K$4)),NOT(ISNUMBER('School Profile'!$K$5)),NOT(ISNUMBER(F827)),NOT(ISNUMBER(G827))),"",3958.7613*2*ASIN(MIN(1,SQRT(SIN(RADIANS(F827-'School Profile'!$K$4)/2)^2+COS(RADIANS('School Profile'!$K$4))*COS(RADIANS(F827))*SIN(RADIANS(G827-'School Profile'!$K$5)/2)^2))))</f>
        <v/>
      </c>
      <c r="N827" s="1" t="str">
        <f>IF(AND(H827="Yes",ISNUMBER(M827),M827&lt;=1),COUNTIFS($H$511:$H$1010,"Yes",$M$511:$M$1010,"&lt;"&amp;M827)+COUNTIFS($H$511:H827,"Yes",$M$511:M827,M827),"")</f>
        <v/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:40" ht="22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 t="str">
        <f>IF(OR(NOT(ISNUMBER('School Profile'!$K$4)),NOT(ISNUMBER('School Profile'!$K$5)),NOT(ISNUMBER(F828)),NOT(ISNUMBER(G828))),"",3958.7613*2*ASIN(MIN(1,SQRT(SIN(RADIANS(F828-'School Profile'!$K$4)/2)^2+COS(RADIANS('School Profile'!$K$4))*COS(RADIANS(F828))*SIN(RADIANS(G828-'School Profile'!$K$5)/2)^2))))</f>
        <v/>
      </c>
      <c r="N828" s="1" t="str">
        <f>IF(AND(H828="Yes",ISNUMBER(M828),M828&lt;=1),COUNTIFS($H$511:$H$1010,"Yes",$M$511:$M$1010,"&lt;"&amp;M828)+COUNTIFS($H$511:H828,"Yes",$M$511:M828,M828),"")</f>
        <v/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:40" ht="22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 t="str">
        <f>IF(OR(NOT(ISNUMBER('School Profile'!$K$4)),NOT(ISNUMBER('School Profile'!$K$5)),NOT(ISNUMBER(F829)),NOT(ISNUMBER(G829))),"",3958.7613*2*ASIN(MIN(1,SQRT(SIN(RADIANS(F829-'School Profile'!$K$4)/2)^2+COS(RADIANS('School Profile'!$K$4))*COS(RADIANS(F829))*SIN(RADIANS(G829-'School Profile'!$K$5)/2)^2))))</f>
        <v/>
      </c>
      <c r="N829" s="1" t="str">
        <f>IF(AND(H829="Yes",ISNUMBER(M829),M829&lt;=1),COUNTIFS($H$511:$H$1010,"Yes",$M$511:$M$1010,"&lt;"&amp;M829)+COUNTIFS($H$511:H829,"Yes",$M$511:M829,M829),"")</f>
        <v/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:40" ht="22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 t="str">
        <f>IF(OR(NOT(ISNUMBER('School Profile'!$K$4)),NOT(ISNUMBER('School Profile'!$K$5)),NOT(ISNUMBER(F830)),NOT(ISNUMBER(G830))),"",3958.7613*2*ASIN(MIN(1,SQRT(SIN(RADIANS(F830-'School Profile'!$K$4)/2)^2+COS(RADIANS('School Profile'!$K$4))*COS(RADIANS(F830))*SIN(RADIANS(G830-'School Profile'!$K$5)/2)^2))))</f>
        <v/>
      </c>
      <c r="N830" s="1" t="str">
        <f>IF(AND(H830="Yes",ISNUMBER(M830),M830&lt;=1),COUNTIFS($H$511:$H$1010,"Yes",$M$511:$M$1010,"&lt;"&amp;M830)+COUNTIFS($H$511:H830,"Yes",$M$511:M830,M830),"")</f>
        <v/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:40" ht="22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 t="str">
        <f>IF(OR(NOT(ISNUMBER('School Profile'!$K$4)),NOT(ISNUMBER('School Profile'!$K$5)),NOT(ISNUMBER(F831)),NOT(ISNUMBER(G831))),"",3958.7613*2*ASIN(MIN(1,SQRT(SIN(RADIANS(F831-'School Profile'!$K$4)/2)^2+COS(RADIANS('School Profile'!$K$4))*COS(RADIANS(F831))*SIN(RADIANS(G831-'School Profile'!$K$5)/2)^2))))</f>
        <v/>
      </c>
      <c r="N831" s="1" t="str">
        <f>IF(AND(H831="Yes",ISNUMBER(M831),M831&lt;=1),COUNTIFS($H$511:$H$1010,"Yes",$M$511:$M$1010,"&lt;"&amp;M831)+COUNTIFS($H$511:H831,"Yes",$M$511:M831,M831),"")</f>
        <v/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:40" ht="22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 t="str">
        <f>IF(OR(NOT(ISNUMBER('School Profile'!$K$4)),NOT(ISNUMBER('School Profile'!$K$5)),NOT(ISNUMBER(F832)),NOT(ISNUMBER(G832))),"",3958.7613*2*ASIN(MIN(1,SQRT(SIN(RADIANS(F832-'School Profile'!$K$4)/2)^2+COS(RADIANS('School Profile'!$K$4))*COS(RADIANS(F832))*SIN(RADIANS(G832-'School Profile'!$K$5)/2)^2))))</f>
        <v/>
      </c>
      <c r="N832" s="1" t="str">
        <f>IF(AND(H832="Yes",ISNUMBER(M832),M832&lt;=1),COUNTIFS($H$511:$H$1010,"Yes",$M$511:$M$1010,"&lt;"&amp;M832)+COUNTIFS($H$511:H832,"Yes",$M$511:M832,M832),"")</f>
        <v/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:40" ht="22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 t="str">
        <f>IF(OR(NOT(ISNUMBER('School Profile'!$K$4)),NOT(ISNUMBER('School Profile'!$K$5)),NOT(ISNUMBER(F833)),NOT(ISNUMBER(G833))),"",3958.7613*2*ASIN(MIN(1,SQRT(SIN(RADIANS(F833-'School Profile'!$K$4)/2)^2+COS(RADIANS('School Profile'!$K$4))*COS(RADIANS(F833))*SIN(RADIANS(G833-'School Profile'!$K$5)/2)^2))))</f>
        <v/>
      </c>
      <c r="N833" s="1" t="str">
        <f>IF(AND(H833="Yes",ISNUMBER(M833),M833&lt;=1),COUNTIFS($H$511:$H$1010,"Yes",$M$511:$M$1010,"&lt;"&amp;M833)+COUNTIFS($H$511:H833,"Yes",$M$511:M833,M833),"")</f>
        <v/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:40" ht="2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 t="str">
        <f>IF(OR(NOT(ISNUMBER('School Profile'!$K$4)),NOT(ISNUMBER('School Profile'!$K$5)),NOT(ISNUMBER(F834)),NOT(ISNUMBER(G834))),"",3958.7613*2*ASIN(MIN(1,SQRT(SIN(RADIANS(F834-'School Profile'!$K$4)/2)^2+COS(RADIANS('School Profile'!$K$4))*COS(RADIANS(F834))*SIN(RADIANS(G834-'School Profile'!$K$5)/2)^2))))</f>
        <v/>
      </c>
      <c r="N834" s="1" t="str">
        <f>IF(AND(H834="Yes",ISNUMBER(M834),M834&lt;=1),COUNTIFS($H$511:$H$1010,"Yes",$M$511:$M$1010,"&lt;"&amp;M834)+COUNTIFS($H$511:H834,"Yes",$M$511:M834,M834),"")</f>
        <v/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:40" ht="22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 t="str">
        <f>IF(OR(NOT(ISNUMBER('School Profile'!$K$4)),NOT(ISNUMBER('School Profile'!$K$5)),NOT(ISNUMBER(F835)),NOT(ISNUMBER(G835))),"",3958.7613*2*ASIN(MIN(1,SQRT(SIN(RADIANS(F835-'School Profile'!$K$4)/2)^2+COS(RADIANS('School Profile'!$K$4))*COS(RADIANS(F835))*SIN(RADIANS(G835-'School Profile'!$K$5)/2)^2))))</f>
        <v/>
      </c>
      <c r="N835" s="1" t="str">
        <f>IF(AND(H835="Yes",ISNUMBER(M835),M835&lt;=1),COUNTIFS($H$511:$H$1010,"Yes",$M$511:$M$1010,"&lt;"&amp;M835)+COUNTIFS($H$511:H835,"Yes",$M$511:M835,M835),"")</f>
        <v/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:40" ht="22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 t="str">
        <f>IF(OR(NOT(ISNUMBER('School Profile'!$K$4)),NOT(ISNUMBER('School Profile'!$K$5)),NOT(ISNUMBER(F836)),NOT(ISNUMBER(G836))),"",3958.7613*2*ASIN(MIN(1,SQRT(SIN(RADIANS(F836-'School Profile'!$K$4)/2)^2+COS(RADIANS('School Profile'!$K$4))*COS(RADIANS(F836))*SIN(RADIANS(G836-'School Profile'!$K$5)/2)^2))))</f>
        <v/>
      </c>
      <c r="N836" s="1" t="str">
        <f>IF(AND(H836="Yes",ISNUMBER(M836),M836&lt;=1),COUNTIFS($H$511:$H$1010,"Yes",$M$511:$M$1010,"&lt;"&amp;M836)+COUNTIFS($H$511:H836,"Yes",$M$511:M836,M836),"")</f>
        <v/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:40" ht="22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 t="str">
        <f>IF(OR(NOT(ISNUMBER('School Profile'!$K$4)),NOT(ISNUMBER('School Profile'!$K$5)),NOT(ISNUMBER(F837)),NOT(ISNUMBER(G837))),"",3958.7613*2*ASIN(MIN(1,SQRT(SIN(RADIANS(F837-'School Profile'!$K$4)/2)^2+COS(RADIANS('School Profile'!$K$4))*COS(RADIANS(F837))*SIN(RADIANS(G837-'School Profile'!$K$5)/2)^2))))</f>
        <v/>
      </c>
      <c r="N837" s="1" t="str">
        <f>IF(AND(H837="Yes",ISNUMBER(M837),M837&lt;=1),COUNTIFS($H$511:$H$1010,"Yes",$M$511:$M$1010,"&lt;"&amp;M837)+COUNTIFS($H$511:H837,"Yes",$M$511:M837,M837),"")</f>
        <v/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:40" ht="2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 t="str">
        <f>IF(OR(NOT(ISNUMBER('School Profile'!$K$4)),NOT(ISNUMBER('School Profile'!$K$5)),NOT(ISNUMBER(F838)),NOT(ISNUMBER(G838))),"",3958.7613*2*ASIN(MIN(1,SQRT(SIN(RADIANS(F838-'School Profile'!$K$4)/2)^2+COS(RADIANS('School Profile'!$K$4))*COS(RADIANS(F838))*SIN(RADIANS(G838-'School Profile'!$K$5)/2)^2))))</f>
        <v/>
      </c>
      <c r="N838" s="1" t="str">
        <f>IF(AND(H838="Yes",ISNUMBER(M838),M838&lt;=1),COUNTIFS($H$511:$H$1010,"Yes",$M$511:$M$1010,"&lt;"&amp;M838)+COUNTIFS($H$511:H838,"Yes",$M$511:M838,M838),"")</f>
        <v/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:40" ht="22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 t="str">
        <f>IF(OR(NOT(ISNUMBER('School Profile'!$K$4)),NOT(ISNUMBER('School Profile'!$K$5)),NOT(ISNUMBER(F839)),NOT(ISNUMBER(G839))),"",3958.7613*2*ASIN(MIN(1,SQRT(SIN(RADIANS(F839-'School Profile'!$K$4)/2)^2+COS(RADIANS('School Profile'!$K$4))*COS(RADIANS(F839))*SIN(RADIANS(G839-'School Profile'!$K$5)/2)^2))))</f>
        <v/>
      </c>
      <c r="N839" s="1" t="str">
        <f>IF(AND(H839="Yes",ISNUMBER(M839),M839&lt;=1),COUNTIFS($H$511:$H$1010,"Yes",$M$511:$M$1010,"&lt;"&amp;M839)+COUNTIFS($H$511:H839,"Yes",$M$511:M839,M839),"")</f>
        <v/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:40" ht="22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 t="str">
        <f>IF(OR(NOT(ISNUMBER('School Profile'!$K$4)),NOT(ISNUMBER('School Profile'!$K$5)),NOT(ISNUMBER(F840)),NOT(ISNUMBER(G840))),"",3958.7613*2*ASIN(MIN(1,SQRT(SIN(RADIANS(F840-'School Profile'!$K$4)/2)^2+COS(RADIANS('School Profile'!$K$4))*COS(RADIANS(F840))*SIN(RADIANS(G840-'School Profile'!$K$5)/2)^2))))</f>
        <v/>
      </c>
      <c r="N840" s="1" t="str">
        <f>IF(AND(H840="Yes",ISNUMBER(M840),M840&lt;=1),COUNTIFS($H$511:$H$1010,"Yes",$M$511:$M$1010,"&lt;"&amp;M840)+COUNTIFS($H$511:H840,"Yes",$M$511:M840,M840),"")</f>
        <v/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:40" ht="22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 t="str">
        <f>IF(OR(NOT(ISNUMBER('School Profile'!$K$4)),NOT(ISNUMBER('School Profile'!$K$5)),NOT(ISNUMBER(F841)),NOT(ISNUMBER(G841))),"",3958.7613*2*ASIN(MIN(1,SQRT(SIN(RADIANS(F841-'School Profile'!$K$4)/2)^2+COS(RADIANS('School Profile'!$K$4))*COS(RADIANS(F841))*SIN(RADIANS(G841-'School Profile'!$K$5)/2)^2))))</f>
        <v/>
      </c>
      <c r="N841" s="1" t="str">
        <f>IF(AND(H841="Yes",ISNUMBER(M841),M841&lt;=1),COUNTIFS($H$511:$H$1010,"Yes",$M$511:$M$1010,"&lt;"&amp;M841)+COUNTIFS($H$511:H841,"Yes",$M$511:M841,M841),"")</f>
        <v/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:40" ht="22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 t="str">
        <f>IF(OR(NOT(ISNUMBER('School Profile'!$K$4)),NOT(ISNUMBER('School Profile'!$K$5)),NOT(ISNUMBER(F842)),NOT(ISNUMBER(G842))),"",3958.7613*2*ASIN(MIN(1,SQRT(SIN(RADIANS(F842-'School Profile'!$K$4)/2)^2+COS(RADIANS('School Profile'!$K$4))*COS(RADIANS(F842))*SIN(RADIANS(G842-'School Profile'!$K$5)/2)^2))))</f>
        <v/>
      </c>
      <c r="N842" s="1" t="str">
        <f>IF(AND(H842="Yes",ISNUMBER(M842),M842&lt;=1),COUNTIFS($H$511:$H$1010,"Yes",$M$511:$M$1010,"&lt;"&amp;M842)+COUNTIFS($H$511:H842,"Yes",$M$511:M842,M842),"")</f>
        <v/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:40" ht="22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 t="str">
        <f>IF(OR(NOT(ISNUMBER('School Profile'!$K$4)),NOT(ISNUMBER('School Profile'!$K$5)),NOT(ISNUMBER(F843)),NOT(ISNUMBER(G843))),"",3958.7613*2*ASIN(MIN(1,SQRT(SIN(RADIANS(F843-'School Profile'!$K$4)/2)^2+COS(RADIANS('School Profile'!$K$4))*COS(RADIANS(F843))*SIN(RADIANS(G843-'School Profile'!$K$5)/2)^2))))</f>
        <v/>
      </c>
      <c r="N843" s="1" t="str">
        <f>IF(AND(H843="Yes",ISNUMBER(M843),M843&lt;=1),COUNTIFS($H$511:$H$1010,"Yes",$M$511:$M$1010,"&lt;"&amp;M843)+COUNTIFS($H$511:H843,"Yes",$M$511:M843,M843),"")</f>
        <v/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:40" ht="2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 t="str">
        <f>IF(OR(NOT(ISNUMBER('School Profile'!$K$4)),NOT(ISNUMBER('School Profile'!$K$5)),NOT(ISNUMBER(F844)),NOT(ISNUMBER(G844))),"",3958.7613*2*ASIN(MIN(1,SQRT(SIN(RADIANS(F844-'School Profile'!$K$4)/2)^2+COS(RADIANS('School Profile'!$K$4))*COS(RADIANS(F844))*SIN(RADIANS(G844-'School Profile'!$K$5)/2)^2))))</f>
        <v/>
      </c>
      <c r="N844" s="1" t="str">
        <f>IF(AND(H844="Yes",ISNUMBER(M844),M844&lt;=1),COUNTIFS($H$511:$H$1010,"Yes",$M$511:$M$1010,"&lt;"&amp;M844)+COUNTIFS($H$511:H844,"Yes",$M$511:M844,M844),"")</f>
        <v/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:40" ht="22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 t="str">
        <f>IF(OR(NOT(ISNUMBER('School Profile'!$K$4)),NOT(ISNUMBER('School Profile'!$K$5)),NOT(ISNUMBER(F845)),NOT(ISNUMBER(G845))),"",3958.7613*2*ASIN(MIN(1,SQRT(SIN(RADIANS(F845-'School Profile'!$K$4)/2)^2+COS(RADIANS('School Profile'!$K$4))*COS(RADIANS(F845))*SIN(RADIANS(G845-'School Profile'!$K$5)/2)^2))))</f>
        <v/>
      </c>
      <c r="N845" s="1" t="str">
        <f>IF(AND(H845="Yes",ISNUMBER(M845),M845&lt;=1),COUNTIFS($H$511:$H$1010,"Yes",$M$511:$M$1010,"&lt;"&amp;M845)+COUNTIFS($H$511:H845,"Yes",$M$511:M845,M845),"")</f>
        <v/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:40" ht="22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 t="str">
        <f>IF(OR(NOT(ISNUMBER('School Profile'!$K$4)),NOT(ISNUMBER('School Profile'!$K$5)),NOT(ISNUMBER(F846)),NOT(ISNUMBER(G846))),"",3958.7613*2*ASIN(MIN(1,SQRT(SIN(RADIANS(F846-'School Profile'!$K$4)/2)^2+COS(RADIANS('School Profile'!$K$4))*COS(RADIANS(F846))*SIN(RADIANS(G846-'School Profile'!$K$5)/2)^2))))</f>
        <v/>
      </c>
      <c r="N846" s="1" t="str">
        <f>IF(AND(H846="Yes",ISNUMBER(M846),M846&lt;=1),COUNTIFS($H$511:$H$1010,"Yes",$M$511:$M$1010,"&lt;"&amp;M846)+COUNTIFS($H$511:H846,"Yes",$M$511:M846,M846),"")</f>
        <v/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:40" ht="22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 t="str">
        <f>IF(OR(NOT(ISNUMBER('School Profile'!$K$4)),NOT(ISNUMBER('School Profile'!$K$5)),NOT(ISNUMBER(F847)),NOT(ISNUMBER(G847))),"",3958.7613*2*ASIN(MIN(1,SQRT(SIN(RADIANS(F847-'School Profile'!$K$4)/2)^2+COS(RADIANS('School Profile'!$K$4))*COS(RADIANS(F847))*SIN(RADIANS(G847-'School Profile'!$K$5)/2)^2))))</f>
        <v/>
      </c>
      <c r="N847" s="1" t="str">
        <f>IF(AND(H847="Yes",ISNUMBER(M847),M847&lt;=1),COUNTIFS($H$511:$H$1010,"Yes",$M$511:$M$1010,"&lt;"&amp;M847)+COUNTIFS($H$511:H847,"Yes",$M$511:M847,M847),"")</f>
        <v/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:40" ht="22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 t="str">
        <f>IF(OR(NOT(ISNUMBER('School Profile'!$K$4)),NOT(ISNUMBER('School Profile'!$K$5)),NOT(ISNUMBER(F848)),NOT(ISNUMBER(G848))),"",3958.7613*2*ASIN(MIN(1,SQRT(SIN(RADIANS(F848-'School Profile'!$K$4)/2)^2+COS(RADIANS('School Profile'!$K$4))*COS(RADIANS(F848))*SIN(RADIANS(G848-'School Profile'!$K$5)/2)^2))))</f>
        <v/>
      </c>
      <c r="N848" s="1" t="str">
        <f>IF(AND(H848="Yes",ISNUMBER(M848),M848&lt;=1),COUNTIFS($H$511:$H$1010,"Yes",$M$511:$M$1010,"&lt;"&amp;M848)+COUNTIFS($H$511:H848,"Yes",$M$511:M848,M848),"")</f>
        <v/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:40" ht="22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 t="str">
        <f>IF(OR(NOT(ISNUMBER('School Profile'!$K$4)),NOT(ISNUMBER('School Profile'!$K$5)),NOT(ISNUMBER(F849)),NOT(ISNUMBER(G849))),"",3958.7613*2*ASIN(MIN(1,SQRT(SIN(RADIANS(F849-'School Profile'!$K$4)/2)^2+COS(RADIANS('School Profile'!$K$4))*COS(RADIANS(F849))*SIN(RADIANS(G849-'School Profile'!$K$5)/2)^2))))</f>
        <v/>
      </c>
      <c r="N849" s="1" t="str">
        <f>IF(AND(H849="Yes",ISNUMBER(M849),M849&lt;=1),COUNTIFS($H$511:$H$1010,"Yes",$M$511:$M$1010,"&lt;"&amp;M849)+COUNTIFS($H$511:H849,"Yes",$M$511:M849,M849),"")</f>
        <v/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:40" ht="22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 t="str">
        <f>IF(OR(NOT(ISNUMBER('School Profile'!$K$4)),NOT(ISNUMBER('School Profile'!$K$5)),NOT(ISNUMBER(F850)),NOT(ISNUMBER(G850))),"",3958.7613*2*ASIN(MIN(1,SQRT(SIN(RADIANS(F850-'School Profile'!$K$4)/2)^2+COS(RADIANS('School Profile'!$K$4))*COS(RADIANS(F850))*SIN(RADIANS(G850-'School Profile'!$K$5)/2)^2))))</f>
        <v/>
      </c>
      <c r="N850" s="1" t="str">
        <f>IF(AND(H850="Yes",ISNUMBER(M850),M850&lt;=1),COUNTIFS($H$511:$H$1010,"Yes",$M$511:$M$1010,"&lt;"&amp;M850)+COUNTIFS($H$511:H850,"Yes",$M$511:M850,M850),"")</f>
        <v/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:40" ht="22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 t="str">
        <f>IF(OR(NOT(ISNUMBER('School Profile'!$K$4)),NOT(ISNUMBER('School Profile'!$K$5)),NOT(ISNUMBER(F851)),NOT(ISNUMBER(G851))),"",3958.7613*2*ASIN(MIN(1,SQRT(SIN(RADIANS(F851-'School Profile'!$K$4)/2)^2+COS(RADIANS('School Profile'!$K$4))*COS(RADIANS(F851))*SIN(RADIANS(G851-'School Profile'!$K$5)/2)^2))))</f>
        <v/>
      </c>
      <c r="N851" s="1" t="str">
        <f>IF(AND(H851="Yes",ISNUMBER(M851),M851&lt;=1),COUNTIFS($H$511:$H$1010,"Yes",$M$511:$M$1010,"&lt;"&amp;M851)+COUNTIFS($H$511:H851,"Yes",$M$511:M851,M851),"")</f>
        <v/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:40" ht="22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 t="str">
        <f>IF(OR(NOT(ISNUMBER('School Profile'!$K$4)),NOT(ISNUMBER('School Profile'!$K$5)),NOT(ISNUMBER(F852)),NOT(ISNUMBER(G852))),"",3958.7613*2*ASIN(MIN(1,SQRT(SIN(RADIANS(F852-'School Profile'!$K$4)/2)^2+COS(RADIANS('School Profile'!$K$4))*COS(RADIANS(F852))*SIN(RADIANS(G852-'School Profile'!$K$5)/2)^2))))</f>
        <v/>
      </c>
      <c r="N852" s="1" t="str">
        <f>IF(AND(H852="Yes",ISNUMBER(M852),M852&lt;=1),COUNTIFS($H$511:$H$1010,"Yes",$M$511:$M$1010,"&lt;"&amp;M852)+COUNTIFS($H$511:H852,"Yes",$M$511:M852,M852),"")</f>
        <v/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:40" ht="2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 t="str">
        <f>IF(OR(NOT(ISNUMBER('School Profile'!$K$4)),NOT(ISNUMBER('School Profile'!$K$5)),NOT(ISNUMBER(F853)),NOT(ISNUMBER(G853))),"",3958.7613*2*ASIN(MIN(1,SQRT(SIN(RADIANS(F853-'School Profile'!$K$4)/2)^2+COS(RADIANS('School Profile'!$K$4))*COS(RADIANS(F853))*SIN(RADIANS(G853-'School Profile'!$K$5)/2)^2))))</f>
        <v/>
      </c>
      <c r="N853" s="1" t="str">
        <f>IF(AND(H853="Yes",ISNUMBER(M853),M853&lt;=1),COUNTIFS($H$511:$H$1010,"Yes",$M$511:$M$1010,"&lt;"&amp;M853)+COUNTIFS($H$511:H853,"Yes",$M$511:M853,M853),"")</f>
        <v/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:40" ht="22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 t="str">
        <f>IF(OR(NOT(ISNUMBER('School Profile'!$K$4)),NOT(ISNUMBER('School Profile'!$K$5)),NOT(ISNUMBER(F854)),NOT(ISNUMBER(G854))),"",3958.7613*2*ASIN(MIN(1,SQRT(SIN(RADIANS(F854-'School Profile'!$K$4)/2)^2+COS(RADIANS('School Profile'!$K$4))*COS(RADIANS(F854))*SIN(RADIANS(G854-'School Profile'!$K$5)/2)^2))))</f>
        <v/>
      </c>
      <c r="N854" s="1" t="str">
        <f>IF(AND(H854="Yes",ISNUMBER(M854),M854&lt;=1),COUNTIFS($H$511:$H$1010,"Yes",$M$511:$M$1010,"&lt;"&amp;M854)+COUNTIFS($H$511:H854,"Yes",$M$511:M854,M854),"")</f>
        <v/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:40" ht="22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 t="str">
        <f>IF(OR(NOT(ISNUMBER('School Profile'!$K$4)),NOT(ISNUMBER('School Profile'!$K$5)),NOT(ISNUMBER(F855)),NOT(ISNUMBER(G855))),"",3958.7613*2*ASIN(MIN(1,SQRT(SIN(RADIANS(F855-'School Profile'!$K$4)/2)^2+COS(RADIANS('School Profile'!$K$4))*COS(RADIANS(F855))*SIN(RADIANS(G855-'School Profile'!$K$5)/2)^2))))</f>
        <v/>
      </c>
      <c r="N855" s="1" t="str">
        <f>IF(AND(H855="Yes",ISNUMBER(M855),M855&lt;=1),COUNTIFS($H$511:$H$1010,"Yes",$M$511:$M$1010,"&lt;"&amp;M855)+COUNTIFS($H$511:H855,"Yes",$M$511:M855,M855),"")</f>
        <v/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:40" ht="22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 t="str">
        <f>IF(OR(NOT(ISNUMBER('School Profile'!$K$4)),NOT(ISNUMBER('School Profile'!$K$5)),NOT(ISNUMBER(F856)),NOT(ISNUMBER(G856))),"",3958.7613*2*ASIN(MIN(1,SQRT(SIN(RADIANS(F856-'School Profile'!$K$4)/2)^2+COS(RADIANS('School Profile'!$K$4))*COS(RADIANS(F856))*SIN(RADIANS(G856-'School Profile'!$K$5)/2)^2))))</f>
        <v/>
      </c>
      <c r="N856" s="1" t="str">
        <f>IF(AND(H856="Yes",ISNUMBER(M856),M856&lt;=1),COUNTIFS($H$511:$H$1010,"Yes",$M$511:$M$1010,"&lt;"&amp;M856)+COUNTIFS($H$511:H856,"Yes",$M$511:M856,M856),"")</f>
        <v/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:40" ht="22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 t="str">
        <f>IF(OR(NOT(ISNUMBER('School Profile'!$K$4)),NOT(ISNUMBER('School Profile'!$K$5)),NOT(ISNUMBER(F857)),NOT(ISNUMBER(G857))),"",3958.7613*2*ASIN(MIN(1,SQRT(SIN(RADIANS(F857-'School Profile'!$K$4)/2)^2+COS(RADIANS('School Profile'!$K$4))*COS(RADIANS(F857))*SIN(RADIANS(G857-'School Profile'!$K$5)/2)^2))))</f>
        <v/>
      </c>
      <c r="N857" s="1" t="str">
        <f>IF(AND(H857="Yes",ISNUMBER(M857),M857&lt;=1),COUNTIFS($H$511:$H$1010,"Yes",$M$511:$M$1010,"&lt;"&amp;M857)+COUNTIFS($H$511:H857,"Yes",$M$511:M857,M857),"")</f>
        <v/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:40" ht="2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 t="str">
        <f>IF(OR(NOT(ISNUMBER('School Profile'!$K$4)),NOT(ISNUMBER('School Profile'!$K$5)),NOT(ISNUMBER(F858)),NOT(ISNUMBER(G858))),"",3958.7613*2*ASIN(MIN(1,SQRT(SIN(RADIANS(F858-'School Profile'!$K$4)/2)^2+COS(RADIANS('School Profile'!$K$4))*COS(RADIANS(F858))*SIN(RADIANS(G858-'School Profile'!$K$5)/2)^2))))</f>
        <v/>
      </c>
      <c r="N858" s="1" t="str">
        <f>IF(AND(H858="Yes",ISNUMBER(M858),M858&lt;=1),COUNTIFS($H$511:$H$1010,"Yes",$M$511:$M$1010,"&lt;"&amp;M858)+COUNTIFS($H$511:H858,"Yes",$M$511:M858,M858),"")</f>
        <v/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:40" ht="22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 t="str">
        <f>IF(OR(NOT(ISNUMBER('School Profile'!$K$4)),NOT(ISNUMBER('School Profile'!$K$5)),NOT(ISNUMBER(F859)),NOT(ISNUMBER(G859))),"",3958.7613*2*ASIN(MIN(1,SQRT(SIN(RADIANS(F859-'School Profile'!$K$4)/2)^2+COS(RADIANS('School Profile'!$K$4))*COS(RADIANS(F859))*SIN(RADIANS(G859-'School Profile'!$K$5)/2)^2))))</f>
        <v/>
      </c>
      <c r="N859" s="1" t="str">
        <f>IF(AND(H859="Yes",ISNUMBER(M859),M859&lt;=1),COUNTIFS($H$511:$H$1010,"Yes",$M$511:$M$1010,"&lt;"&amp;M859)+COUNTIFS($H$511:H859,"Yes",$M$511:M859,M859),"")</f>
        <v/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:40" ht="22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 t="str">
        <f>IF(OR(NOT(ISNUMBER('School Profile'!$K$4)),NOT(ISNUMBER('School Profile'!$K$5)),NOT(ISNUMBER(F860)),NOT(ISNUMBER(G860))),"",3958.7613*2*ASIN(MIN(1,SQRT(SIN(RADIANS(F860-'School Profile'!$K$4)/2)^2+COS(RADIANS('School Profile'!$K$4))*COS(RADIANS(F860))*SIN(RADIANS(G860-'School Profile'!$K$5)/2)^2))))</f>
        <v/>
      </c>
      <c r="N860" s="1" t="str">
        <f>IF(AND(H860="Yes",ISNUMBER(M860),M860&lt;=1),COUNTIFS($H$511:$H$1010,"Yes",$M$511:$M$1010,"&lt;"&amp;M860)+COUNTIFS($H$511:H860,"Yes",$M$511:M860,M860),"")</f>
        <v/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:40" ht="22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 t="str">
        <f>IF(OR(NOT(ISNUMBER('School Profile'!$K$4)),NOT(ISNUMBER('School Profile'!$K$5)),NOT(ISNUMBER(F861)),NOT(ISNUMBER(G861))),"",3958.7613*2*ASIN(MIN(1,SQRT(SIN(RADIANS(F861-'School Profile'!$K$4)/2)^2+COS(RADIANS('School Profile'!$K$4))*COS(RADIANS(F861))*SIN(RADIANS(G861-'School Profile'!$K$5)/2)^2))))</f>
        <v/>
      </c>
      <c r="N861" s="1" t="str">
        <f>IF(AND(H861="Yes",ISNUMBER(M861),M861&lt;=1),COUNTIFS($H$511:$H$1010,"Yes",$M$511:$M$1010,"&lt;"&amp;M861)+COUNTIFS($H$511:H861,"Yes",$M$511:M861,M861),"")</f>
        <v/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:40" ht="22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 t="str">
        <f>IF(OR(NOT(ISNUMBER('School Profile'!$K$4)),NOT(ISNUMBER('School Profile'!$K$5)),NOT(ISNUMBER(F862)),NOT(ISNUMBER(G862))),"",3958.7613*2*ASIN(MIN(1,SQRT(SIN(RADIANS(F862-'School Profile'!$K$4)/2)^2+COS(RADIANS('School Profile'!$K$4))*COS(RADIANS(F862))*SIN(RADIANS(G862-'School Profile'!$K$5)/2)^2))))</f>
        <v/>
      </c>
      <c r="N862" s="1" t="str">
        <f>IF(AND(H862="Yes",ISNUMBER(M862),M862&lt;=1),COUNTIFS($H$511:$H$1010,"Yes",$M$511:$M$1010,"&lt;"&amp;M862)+COUNTIFS($H$511:H862,"Yes",$M$511:M862,M862),"")</f>
        <v/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:40" ht="22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 t="str">
        <f>IF(OR(NOT(ISNUMBER('School Profile'!$K$4)),NOT(ISNUMBER('School Profile'!$K$5)),NOT(ISNUMBER(F863)),NOT(ISNUMBER(G863))),"",3958.7613*2*ASIN(MIN(1,SQRT(SIN(RADIANS(F863-'School Profile'!$K$4)/2)^2+COS(RADIANS('School Profile'!$K$4))*COS(RADIANS(F863))*SIN(RADIANS(G863-'School Profile'!$K$5)/2)^2))))</f>
        <v/>
      </c>
      <c r="N863" s="1" t="str">
        <f>IF(AND(H863="Yes",ISNUMBER(M863),M863&lt;=1),COUNTIFS($H$511:$H$1010,"Yes",$M$511:$M$1010,"&lt;"&amp;M863)+COUNTIFS($H$511:H863,"Yes",$M$511:M863,M863),"")</f>
        <v/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:40" ht="2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 t="str">
        <f>IF(OR(NOT(ISNUMBER('School Profile'!$K$4)),NOT(ISNUMBER('School Profile'!$K$5)),NOT(ISNUMBER(F864)),NOT(ISNUMBER(G864))),"",3958.7613*2*ASIN(MIN(1,SQRT(SIN(RADIANS(F864-'School Profile'!$K$4)/2)^2+COS(RADIANS('School Profile'!$K$4))*COS(RADIANS(F864))*SIN(RADIANS(G864-'School Profile'!$K$5)/2)^2))))</f>
        <v/>
      </c>
      <c r="N864" s="1" t="str">
        <f>IF(AND(H864="Yes",ISNUMBER(M864),M864&lt;=1),COUNTIFS($H$511:$H$1010,"Yes",$M$511:$M$1010,"&lt;"&amp;M864)+COUNTIFS($H$511:H864,"Yes",$M$511:M864,M864),"")</f>
        <v/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:40" ht="2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 t="str">
        <f>IF(OR(NOT(ISNUMBER('School Profile'!$K$4)),NOT(ISNUMBER('School Profile'!$K$5)),NOT(ISNUMBER(F865)),NOT(ISNUMBER(G865))),"",3958.7613*2*ASIN(MIN(1,SQRT(SIN(RADIANS(F865-'School Profile'!$K$4)/2)^2+COS(RADIANS('School Profile'!$K$4))*COS(RADIANS(F865))*SIN(RADIANS(G865-'School Profile'!$K$5)/2)^2))))</f>
        <v/>
      </c>
      <c r="N865" s="1" t="str">
        <f>IF(AND(H865="Yes",ISNUMBER(M865),M865&lt;=1),COUNTIFS($H$511:$H$1010,"Yes",$M$511:$M$1010,"&lt;"&amp;M865)+COUNTIFS($H$511:H865,"Yes",$M$511:M865,M865),"")</f>
        <v/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:40" ht="2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 t="str">
        <f>IF(OR(NOT(ISNUMBER('School Profile'!$K$4)),NOT(ISNUMBER('School Profile'!$K$5)),NOT(ISNUMBER(F866)),NOT(ISNUMBER(G866))),"",3958.7613*2*ASIN(MIN(1,SQRT(SIN(RADIANS(F866-'School Profile'!$K$4)/2)^2+COS(RADIANS('School Profile'!$K$4))*COS(RADIANS(F866))*SIN(RADIANS(G866-'School Profile'!$K$5)/2)^2))))</f>
        <v/>
      </c>
      <c r="N866" s="1" t="str">
        <f>IF(AND(H866="Yes",ISNUMBER(M866),M866&lt;=1),COUNTIFS($H$511:$H$1010,"Yes",$M$511:$M$1010,"&lt;"&amp;M866)+COUNTIFS($H$511:H866,"Yes",$M$511:M866,M866),"")</f>
        <v/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:40" ht="22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 t="str">
        <f>IF(OR(NOT(ISNUMBER('School Profile'!$K$4)),NOT(ISNUMBER('School Profile'!$K$5)),NOT(ISNUMBER(F867)),NOT(ISNUMBER(G867))),"",3958.7613*2*ASIN(MIN(1,SQRT(SIN(RADIANS(F867-'School Profile'!$K$4)/2)^2+COS(RADIANS('School Profile'!$K$4))*COS(RADIANS(F867))*SIN(RADIANS(G867-'School Profile'!$K$5)/2)^2))))</f>
        <v/>
      </c>
      <c r="N867" s="1" t="str">
        <f>IF(AND(H867="Yes",ISNUMBER(M867),M867&lt;=1),COUNTIFS($H$511:$H$1010,"Yes",$M$511:$M$1010,"&lt;"&amp;M867)+COUNTIFS($H$511:H867,"Yes",$M$511:M867,M867),"")</f>
        <v/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:40" ht="22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 t="str">
        <f>IF(OR(NOT(ISNUMBER('School Profile'!$K$4)),NOT(ISNUMBER('School Profile'!$K$5)),NOT(ISNUMBER(F868)),NOT(ISNUMBER(G868))),"",3958.7613*2*ASIN(MIN(1,SQRT(SIN(RADIANS(F868-'School Profile'!$K$4)/2)^2+COS(RADIANS('School Profile'!$K$4))*COS(RADIANS(F868))*SIN(RADIANS(G868-'School Profile'!$K$5)/2)^2))))</f>
        <v/>
      </c>
      <c r="N868" s="1" t="str">
        <f>IF(AND(H868="Yes",ISNUMBER(M868),M868&lt;=1),COUNTIFS($H$511:$H$1010,"Yes",$M$511:$M$1010,"&lt;"&amp;M868)+COUNTIFS($H$511:H868,"Yes",$M$511:M868,M868),"")</f>
        <v/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:40" ht="22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 t="str">
        <f>IF(OR(NOT(ISNUMBER('School Profile'!$K$4)),NOT(ISNUMBER('School Profile'!$K$5)),NOT(ISNUMBER(F869)),NOT(ISNUMBER(G869))),"",3958.7613*2*ASIN(MIN(1,SQRT(SIN(RADIANS(F869-'School Profile'!$K$4)/2)^2+COS(RADIANS('School Profile'!$K$4))*COS(RADIANS(F869))*SIN(RADIANS(G869-'School Profile'!$K$5)/2)^2))))</f>
        <v/>
      </c>
      <c r="N869" s="1" t="str">
        <f>IF(AND(H869="Yes",ISNUMBER(M869),M869&lt;=1),COUNTIFS($H$511:$H$1010,"Yes",$M$511:$M$1010,"&lt;"&amp;M869)+COUNTIFS($H$511:H869,"Yes",$M$511:M869,M869),"")</f>
        <v/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:40" ht="22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 t="str">
        <f>IF(OR(NOT(ISNUMBER('School Profile'!$K$4)),NOT(ISNUMBER('School Profile'!$K$5)),NOT(ISNUMBER(F870)),NOT(ISNUMBER(G870))),"",3958.7613*2*ASIN(MIN(1,SQRT(SIN(RADIANS(F870-'School Profile'!$K$4)/2)^2+COS(RADIANS('School Profile'!$K$4))*COS(RADIANS(F870))*SIN(RADIANS(G870-'School Profile'!$K$5)/2)^2))))</f>
        <v/>
      </c>
      <c r="N870" s="1" t="str">
        <f>IF(AND(H870="Yes",ISNUMBER(M870),M870&lt;=1),COUNTIFS($H$511:$H$1010,"Yes",$M$511:$M$1010,"&lt;"&amp;M870)+COUNTIFS($H$511:H870,"Yes",$M$511:M870,M870),"")</f>
        <v/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:40" ht="22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 t="str">
        <f>IF(OR(NOT(ISNUMBER('School Profile'!$K$4)),NOT(ISNUMBER('School Profile'!$K$5)),NOT(ISNUMBER(F871)),NOT(ISNUMBER(G871))),"",3958.7613*2*ASIN(MIN(1,SQRT(SIN(RADIANS(F871-'School Profile'!$K$4)/2)^2+COS(RADIANS('School Profile'!$K$4))*COS(RADIANS(F871))*SIN(RADIANS(G871-'School Profile'!$K$5)/2)^2))))</f>
        <v/>
      </c>
      <c r="N871" s="1" t="str">
        <f>IF(AND(H871="Yes",ISNUMBER(M871),M871&lt;=1),COUNTIFS($H$511:$H$1010,"Yes",$M$511:$M$1010,"&lt;"&amp;M871)+COUNTIFS($H$511:H871,"Yes",$M$511:M871,M871),"")</f>
        <v/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:40" ht="2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 t="str">
        <f>IF(OR(NOT(ISNUMBER('School Profile'!$K$4)),NOT(ISNUMBER('School Profile'!$K$5)),NOT(ISNUMBER(F872)),NOT(ISNUMBER(G872))),"",3958.7613*2*ASIN(MIN(1,SQRT(SIN(RADIANS(F872-'School Profile'!$K$4)/2)^2+COS(RADIANS('School Profile'!$K$4))*COS(RADIANS(F872))*SIN(RADIANS(G872-'School Profile'!$K$5)/2)^2))))</f>
        <v/>
      </c>
      <c r="N872" s="1" t="str">
        <f>IF(AND(H872="Yes",ISNUMBER(M872),M872&lt;=1),COUNTIFS($H$511:$H$1010,"Yes",$M$511:$M$1010,"&lt;"&amp;M872)+COUNTIFS($H$511:H872,"Yes",$M$511:M872,M872),"")</f>
        <v/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:40" ht="22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 t="str">
        <f>IF(OR(NOT(ISNUMBER('School Profile'!$K$4)),NOT(ISNUMBER('School Profile'!$K$5)),NOT(ISNUMBER(F873)),NOT(ISNUMBER(G873))),"",3958.7613*2*ASIN(MIN(1,SQRT(SIN(RADIANS(F873-'School Profile'!$K$4)/2)^2+COS(RADIANS('School Profile'!$K$4))*COS(RADIANS(F873))*SIN(RADIANS(G873-'School Profile'!$K$5)/2)^2))))</f>
        <v/>
      </c>
      <c r="N873" s="1" t="str">
        <f>IF(AND(H873="Yes",ISNUMBER(M873),M873&lt;=1),COUNTIFS($H$511:$H$1010,"Yes",$M$511:$M$1010,"&lt;"&amp;M873)+COUNTIFS($H$511:H873,"Yes",$M$511:M873,M873),"")</f>
        <v/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:40" ht="22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 t="str">
        <f>IF(OR(NOT(ISNUMBER('School Profile'!$K$4)),NOT(ISNUMBER('School Profile'!$K$5)),NOT(ISNUMBER(F874)),NOT(ISNUMBER(G874))),"",3958.7613*2*ASIN(MIN(1,SQRT(SIN(RADIANS(F874-'School Profile'!$K$4)/2)^2+COS(RADIANS('School Profile'!$K$4))*COS(RADIANS(F874))*SIN(RADIANS(G874-'School Profile'!$K$5)/2)^2))))</f>
        <v/>
      </c>
      <c r="N874" s="1" t="str">
        <f>IF(AND(H874="Yes",ISNUMBER(M874),M874&lt;=1),COUNTIFS($H$511:$H$1010,"Yes",$M$511:$M$1010,"&lt;"&amp;M874)+COUNTIFS($H$511:H874,"Yes",$M$511:M874,M874),"")</f>
        <v/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:40" ht="22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 t="str">
        <f>IF(OR(NOT(ISNUMBER('School Profile'!$K$4)),NOT(ISNUMBER('School Profile'!$K$5)),NOT(ISNUMBER(F875)),NOT(ISNUMBER(G875))),"",3958.7613*2*ASIN(MIN(1,SQRT(SIN(RADIANS(F875-'School Profile'!$K$4)/2)^2+COS(RADIANS('School Profile'!$K$4))*COS(RADIANS(F875))*SIN(RADIANS(G875-'School Profile'!$K$5)/2)^2))))</f>
        <v/>
      </c>
      <c r="N875" s="1" t="str">
        <f>IF(AND(H875="Yes",ISNUMBER(M875),M875&lt;=1),COUNTIFS($H$511:$H$1010,"Yes",$M$511:$M$1010,"&lt;"&amp;M875)+COUNTIFS($H$511:H875,"Yes",$M$511:M875,M875),"")</f>
        <v/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:40" ht="2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 t="str">
        <f>IF(OR(NOT(ISNUMBER('School Profile'!$K$4)),NOT(ISNUMBER('School Profile'!$K$5)),NOT(ISNUMBER(F876)),NOT(ISNUMBER(G876))),"",3958.7613*2*ASIN(MIN(1,SQRT(SIN(RADIANS(F876-'School Profile'!$K$4)/2)^2+COS(RADIANS('School Profile'!$K$4))*COS(RADIANS(F876))*SIN(RADIANS(G876-'School Profile'!$K$5)/2)^2))))</f>
        <v/>
      </c>
      <c r="N876" s="1" t="str">
        <f>IF(AND(H876="Yes",ISNUMBER(M876),M876&lt;=1),COUNTIFS($H$511:$H$1010,"Yes",$M$511:$M$1010,"&lt;"&amp;M876)+COUNTIFS($H$511:H876,"Yes",$M$511:M876,M876),"")</f>
        <v/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:40" ht="22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 t="str">
        <f>IF(OR(NOT(ISNUMBER('School Profile'!$K$4)),NOT(ISNUMBER('School Profile'!$K$5)),NOT(ISNUMBER(F877)),NOT(ISNUMBER(G877))),"",3958.7613*2*ASIN(MIN(1,SQRT(SIN(RADIANS(F877-'School Profile'!$K$4)/2)^2+COS(RADIANS('School Profile'!$K$4))*COS(RADIANS(F877))*SIN(RADIANS(G877-'School Profile'!$K$5)/2)^2))))</f>
        <v/>
      </c>
      <c r="N877" s="1" t="str">
        <f>IF(AND(H877="Yes",ISNUMBER(M877),M877&lt;=1),COUNTIFS($H$511:$H$1010,"Yes",$M$511:$M$1010,"&lt;"&amp;M877)+COUNTIFS($H$511:H877,"Yes",$M$511:M877,M877),"")</f>
        <v/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:40" ht="22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 t="str">
        <f>IF(OR(NOT(ISNUMBER('School Profile'!$K$4)),NOT(ISNUMBER('School Profile'!$K$5)),NOT(ISNUMBER(F878)),NOT(ISNUMBER(G878))),"",3958.7613*2*ASIN(MIN(1,SQRT(SIN(RADIANS(F878-'School Profile'!$K$4)/2)^2+COS(RADIANS('School Profile'!$K$4))*COS(RADIANS(F878))*SIN(RADIANS(G878-'School Profile'!$K$5)/2)^2))))</f>
        <v/>
      </c>
      <c r="N878" s="1" t="str">
        <f>IF(AND(H878="Yes",ISNUMBER(M878),M878&lt;=1),COUNTIFS($H$511:$H$1010,"Yes",$M$511:$M$1010,"&lt;"&amp;M878)+COUNTIFS($H$511:H878,"Yes",$M$511:M878,M878),"")</f>
        <v/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:40" ht="22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 t="str">
        <f>IF(OR(NOT(ISNUMBER('School Profile'!$K$4)),NOT(ISNUMBER('School Profile'!$K$5)),NOT(ISNUMBER(F879)),NOT(ISNUMBER(G879))),"",3958.7613*2*ASIN(MIN(1,SQRT(SIN(RADIANS(F879-'School Profile'!$K$4)/2)^2+COS(RADIANS('School Profile'!$K$4))*COS(RADIANS(F879))*SIN(RADIANS(G879-'School Profile'!$K$5)/2)^2))))</f>
        <v/>
      </c>
      <c r="N879" s="1" t="str">
        <f>IF(AND(H879="Yes",ISNUMBER(M879),M879&lt;=1),COUNTIFS($H$511:$H$1010,"Yes",$M$511:$M$1010,"&lt;"&amp;M879)+COUNTIFS($H$511:H879,"Yes",$M$511:M879,M879),"")</f>
        <v/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:40" ht="22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 t="str">
        <f>IF(OR(NOT(ISNUMBER('School Profile'!$K$4)),NOT(ISNUMBER('School Profile'!$K$5)),NOT(ISNUMBER(F880)),NOT(ISNUMBER(G880))),"",3958.7613*2*ASIN(MIN(1,SQRT(SIN(RADIANS(F880-'School Profile'!$K$4)/2)^2+COS(RADIANS('School Profile'!$K$4))*COS(RADIANS(F880))*SIN(RADIANS(G880-'School Profile'!$K$5)/2)^2))))</f>
        <v/>
      </c>
      <c r="N880" s="1" t="str">
        <f>IF(AND(H880="Yes",ISNUMBER(M880),M880&lt;=1),COUNTIFS($H$511:$H$1010,"Yes",$M$511:$M$1010,"&lt;"&amp;M880)+COUNTIFS($H$511:H880,"Yes",$M$511:M880,M880),"")</f>
        <v/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:40" ht="22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 t="str">
        <f>IF(OR(NOT(ISNUMBER('School Profile'!$K$4)),NOT(ISNUMBER('School Profile'!$K$5)),NOT(ISNUMBER(F881)),NOT(ISNUMBER(G881))),"",3958.7613*2*ASIN(MIN(1,SQRT(SIN(RADIANS(F881-'School Profile'!$K$4)/2)^2+COS(RADIANS('School Profile'!$K$4))*COS(RADIANS(F881))*SIN(RADIANS(G881-'School Profile'!$K$5)/2)^2))))</f>
        <v/>
      </c>
      <c r="N881" s="1" t="str">
        <f>IF(AND(H881="Yes",ISNUMBER(M881),M881&lt;=1),COUNTIFS($H$511:$H$1010,"Yes",$M$511:$M$1010,"&lt;"&amp;M881)+COUNTIFS($H$511:H881,"Yes",$M$511:M881,M881),"")</f>
        <v/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:40" ht="22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 t="str">
        <f>IF(OR(NOT(ISNUMBER('School Profile'!$K$4)),NOT(ISNUMBER('School Profile'!$K$5)),NOT(ISNUMBER(F882)),NOT(ISNUMBER(G882))),"",3958.7613*2*ASIN(MIN(1,SQRT(SIN(RADIANS(F882-'School Profile'!$K$4)/2)^2+COS(RADIANS('School Profile'!$K$4))*COS(RADIANS(F882))*SIN(RADIANS(G882-'School Profile'!$K$5)/2)^2))))</f>
        <v/>
      </c>
      <c r="N882" s="1" t="str">
        <f>IF(AND(H882="Yes",ISNUMBER(M882),M882&lt;=1),COUNTIFS($H$511:$H$1010,"Yes",$M$511:$M$1010,"&lt;"&amp;M882)+COUNTIFS($H$511:H882,"Yes",$M$511:M882,M882),"")</f>
        <v/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:40" ht="2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 t="str">
        <f>IF(OR(NOT(ISNUMBER('School Profile'!$K$4)),NOT(ISNUMBER('School Profile'!$K$5)),NOT(ISNUMBER(F883)),NOT(ISNUMBER(G883))),"",3958.7613*2*ASIN(MIN(1,SQRT(SIN(RADIANS(F883-'School Profile'!$K$4)/2)^2+COS(RADIANS('School Profile'!$K$4))*COS(RADIANS(F883))*SIN(RADIANS(G883-'School Profile'!$K$5)/2)^2))))</f>
        <v/>
      </c>
      <c r="N883" s="1" t="str">
        <f>IF(AND(H883="Yes",ISNUMBER(M883),M883&lt;=1),COUNTIFS($H$511:$H$1010,"Yes",$M$511:$M$1010,"&lt;"&amp;M883)+COUNTIFS($H$511:H883,"Yes",$M$511:M883,M883),"")</f>
        <v/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:40" ht="22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 t="str">
        <f>IF(OR(NOT(ISNUMBER('School Profile'!$K$4)),NOT(ISNUMBER('School Profile'!$K$5)),NOT(ISNUMBER(F884)),NOT(ISNUMBER(G884))),"",3958.7613*2*ASIN(MIN(1,SQRT(SIN(RADIANS(F884-'School Profile'!$K$4)/2)^2+COS(RADIANS('School Profile'!$K$4))*COS(RADIANS(F884))*SIN(RADIANS(G884-'School Profile'!$K$5)/2)^2))))</f>
        <v/>
      </c>
      <c r="N884" s="1" t="str">
        <f>IF(AND(H884="Yes",ISNUMBER(M884),M884&lt;=1),COUNTIFS($H$511:$H$1010,"Yes",$M$511:$M$1010,"&lt;"&amp;M884)+COUNTIFS($H$511:H884,"Yes",$M$511:M884,M884),"")</f>
        <v/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:40" ht="22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 t="str">
        <f>IF(OR(NOT(ISNUMBER('School Profile'!$K$4)),NOT(ISNUMBER('School Profile'!$K$5)),NOT(ISNUMBER(F885)),NOT(ISNUMBER(G885))),"",3958.7613*2*ASIN(MIN(1,SQRT(SIN(RADIANS(F885-'School Profile'!$K$4)/2)^2+COS(RADIANS('School Profile'!$K$4))*COS(RADIANS(F885))*SIN(RADIANS(G885-'School Profile'!$K$5)/2)^2))))</f>
        <v/>
      </c>
      <c r="N885" s="1" t="str">
        <f>IF(AND(H885="Yes",ISNUMBER(M885),M885&lt;=1),COUNTIFS($H$511:$H$1010,"Yes",$M$511:$M$1010,"&lt;"&amp;M885)+COUNTIFS($H$511:H885,"Yes",$M$511:M885,M885),"")</f>
        <v/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:40" ht="22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 t="str">
        <f>IF(OR(NOT(ISNUMBER('School Profile'!$K$4)),NOT(ISNUMBER('School Profile'!$K$5)),NOT(ISNUMBER(F886)),NOT(ISNUMBER(G886))),"",3958.7613*2*ASIN(MIN(1,SQRT(SIN(RADIANS(F886-'School Profile'!$K$4)/2)^2+COS(RADIANS('School Profile'!$K$4))*COS(RADIANS(F886))*SIN(RADIANS(G886-'School Profile'!$K$5)/2)^2))))</f>
        <v/>
      </c>
      <c r="N886" s="1" t="str">
        <f>IF(AND(H886="Yes",ISNUMBER(M886),M886&lt;=1),COUNTIFS($H$511:$H$1010,"Yes",$M$511:$M$1010,"&lt;"&amp;M886)+COUNTIFS($H$511:H886,"Yes",$M$511:M886,M886),"")</f>
        <v/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:40" ht="2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 t="str">
        <f>IF(OR(NOT(ISNUMBER('School Profile'!$K$4)),NOT(ISNUMBER('School Profile'!$K$5)),NOT(ISNUMBER(F887)),NOT(ISNUMBER(G887))),"",3958.7613*2*ASIN(MIN(1,SQRT(SIN(RADIANS(F887-'School Profile'!$K$4)/2)^2+COS(RADIANS('School Profile'!$K$4))*COS(RADIANS(F887))*SIN(RADIANS(G887-'School Profile'!$K$5)/2)^2))))</f>
        <v/>
      </c>
      <c r="N887" s="1" t="str">
        <f>IF(AND(H887="Yes",ISNUMBER(M887),M887&lt;=1),COUNTIFS($H$511:$H$1010,"Yes",$M$511:$M$1010,"&lt;"&amp;M887)+COUNTIFS($H$511:H887,"Yes",$M$511:M887,M887),"")</f>
        <v/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:40" ht="22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 t="str">
        <f>IF(OR(NOT(ISNUMBER('School Profile'!$K$4)),NOT(ISNUMBER('School Profile'!$K$5)),NOT(ISNUMBER(F888)),NOT(ISNUMBER(G888))),"",3958.7613*2*ASIN(MIN(1,SQRT(SIN(RADIANS(F888-'School Profile'!$K$4)/2)^2+COS(RADIANS('School Profile'!$K$4))*COS(RADIANS(F888))*SIN(RADIANS(G888-'School Profile'!$K$5)/2)^2))))</f>
        <v/>
      </c>
      <c r="N888" s="1" t="str">
        <f>IF(AND(H888="Yes",ISNUMBER(M888),M888&lt;=1),COUNTIFS($H$511:$H$1010,"Yes",$M$511:$M$1010,"&lt;"&amp;M888)+COUNTIFS($H$511:H888,"Yes",$M$511:M888,M888),"")</f>
        <v/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:40" ht="22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 t="str">
        <f>IF(OR(NOT(ISNUMBER('School Profile'!$K$4)),NOT(ISNUMBER('School Profile'!$K$5)),NOT(ISNUMBER(F889)),NOT(ISNUMBER(G889))),"",3958.7613*2*ASIN(MIN(1,SQRT(SIN(RADIANS(F889-'School Profile'!$K$4)/2)^2+COS(RADIANS('School Profile'!$K$4))*COS(RADIANS(F889))*SIN(RADIANS(G889-'School Profile'!$K$5)/2)^2))))</f>
        <v/>
      </c>
      <c r="N889" s="1" t="str">
        <f>IF(AND(H889="Yes",ISNUMBER(M889),M889&lt;=1),COUNTIFS($H$511:$H$1010,"Yes",$M$511:$M$1010,"&lt;"&amp;M889)+COUNTIFS($H$511:H889,"Yes",$M$511:M889,M889),"")</f>
        <v/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:40" ht="22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 t="str">
        <f>IF(OR(NOT(ISNUMBER('School Profile'!$K$4)),NOT(ISNUMBER('School Profile'!$K$5)),NOT(ISNUMBER(F890)),NOT(ISNUMBER(G890))),"",3958.7613*2*ASIN(MIN(1,SQRT(SIN(RADIANS(F890-'School Profile'!$K$4)/2)^2+COS(RADIANS('School Profile'!$K$4))*COS(RADIANS(F890))*SIN(RADIANS(G890-'School Profile'!$K$5)/2)^2))))</f>
        <v/>
      </c>
      <c r="N890" s="1" t="str">
        <f>IF(AND(H890="Yes",ISNUMBER(M890),M890&lt;=1),COUNTIFS($H$511:$H$1010,"Yes",$M$511:$M$1010,"&lt;"&amp;M890)+COUNTIFS($H$511:H890,"Yes",$M$511:M890,M890),"")</f>
        <v/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:40" ht="22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 t="str">
        <f>IF(OR(NOT(ISNUMBER('School Profile'!$K$4)),NOT(ISNUMBER('School Profile'!$K$5)),NOT(ISNUMBER(F891)),NOT(ISNUMBER(G891))),"",3958.7613*2*ASIN(MIN(1,SQRT(SIN(RADIANS(F891-'School Profile'!$K$4)/2)^2+COS(RADIANS('School Profile'!$K$4))*COS(RADIANS(F891))*SIN(RADIANS(G891-'School Profile'!$K$5)/2)^2))))</f>
        <v/>
      </c>
      <c r="N891" s="1" t="str">
        <f>IF(AND(H891="Yes",ISNUMBER(M891),M891&lt;=1),COUNTIFS($H$511:$H$1010,"Yes",$M$511:$M$1010,"&lt;"&amp;M891)+COUNTIFS($H$511:H891,"Yes",$M$511:M891,M891),"")</f>
        <v/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:40" ht="22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 t="str">
        <f>IF(OR(NOT(ISNUMBER('School Profile'!$K$4)),NOT(ISNUMBER('School Profile'!$K$5)),NOT(ISNUMBER(F892)),NOT(ISNUMBER(G892))),"",3958.7613*2*ASIN(MIN(1,SQRT(SIN(RADIANS(F892-'School Profile'!$K$4)/2)^2+COS(RADIANS('School Profile'!$K$4))*COS(RADIANS(F892))*SIN(RADIANS(G892-'School Profile'!$K$5)/2)^2))))</f>
        <v/>
      </c>
      <c r="N892" s="1" t="str">
        <f>IF(AND(H892="Yes",ISNUMBER(M892),M892&lt;=1),COUNTIFS($H$511:$H$1010,"Yes",$M$511:$M$1010,"&lt;"&amp;M892)+COUNTIFS($H$511:H892,"Yes",$M$511:M892,M892),"")</f>
        <v/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:40" ht="22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 t="str">
        <f>IF(OR(NOT(ISNUMBER('School Profile'!$K$4)),NOT(ISNUMBER('School Profile'!$K$5)),NOT(ISNUMBER(F893)),NOT(ISNUMBER(G893))),"",3958.7613*2*ASIN(MIN(1,SQRT(SIN(RADIANS(F893-'School Profile'!$K$4)/2)^2+COS(RADIANS('School Profile'!$K$4))*COS(RADIANS(F893))*SIN(RADIANS(G893-'School Profile'!$K$5)/2)^2))))</f>
        <v/>
      </c>
      <c r="N893" s="1" t="str">
        <f>IF(AND(H893="Yes",ISNUMBER(M893),M893&lt;=1),COUNTIFS($H$511:$H$1010,"Yes",$M$511:$M$1010,"&lt;"&amp;M893)+COUNTIFS($H$511:H893,"Yes",$M$511:M893,M893),"")</f>
        <v/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:40" ht="2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 t="str">
        <f>IF(OR(NOT(ISNUMBER('School Profile'!$K$4)),NOT(ISNUMBER('School Profile'!$K$5)),NOT(ISNUMBER(F894)),NOT(ISNUMBER(G894))),"",3958.7613*2*ASIN(MIN(1,SQRT(SIN(RADIANS(F894-'School Profile'!$K$4)/2)^2+COS(RADIANS('School Profile'!$K$4))*COS(RADIANS(F894))*SIN(RADIANS(G894-'School Profile'!$K$5)/2)^2))))</f>
        <v/>
      </c>
      <c r="N894" s="1" t="str">
        <f>IF(AND(H894="Yes",ISNUMBER(M894),M894&lt;=1),COUNTIFS($H$511:$H$1010,"Yes",$M$511:$M$1010,"&lt;"&amp;M894)+COUNTIFS($H$511:H894,"Yes",$M$511:M894,M894),"")</f>
        <v/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:40" ht="22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 t="str">
        <f>IF(OR(NOT(ISNUMBER('School Profile'!$K$4)),NOT(ISNUMBER('School Profile'!$K$5)),NOT(ISNUMBER(F895)),NOT(ISNUMBER(G895))),"",3958.7613*2*ASIN(MIN(1,SQRT(SIN(RADIANS(F895-'School Profile'!$K$4)/2)^2+COS(RADIANS('School Profile'!$K$4))*COS(RADIANS(F895))*SIN(RADIANS(G895-'School Profile'!$K$5)/2)^2))))</f>
        <v/>
      </c>
      <c r="N895" s="1" t="str">
        <f>IF(AND(H895="Yes",ISNUMBER(M895),M895&lt;=1),COUNTIFS($H$511:$H$1010,"Yes",$M$511:$M$1010,"&lt;"&amp;M895)+COUNTIFS($H$511:H895,"Yes",$M$511:M895,M895),"")</f>
        <v/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:40" ht="22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 t="str">
        <f>IF(OR(NOT(ISNUMBER('School Profile'!$K$4)),NOT(ISNUMBER('School Profile'!$K$5)),NOT(ISNUMBER(F896)),NOT(ISNUMBER(G896))),"",3958.7613*2*ASIN(MIN(1,SQRT(SIN(RADIANS(F896-'School Profile'!$K$4)/2)^2+COS(RADIANS('School Profile'!$K$4))*COS(RADIANS(F896))*SIN(RADIANS(G896-'School Profile'!$K$5)/2)^2))))</f>
        <v/>
      </c>
      <c r="N896" s="1" t="str">
        <f>IF(AND(H896="Yes",ISNUMBER(M896),M896&lt;=1),COUNTIFS($H$511:$H$1010,"Yes",$M$511:$M$1010,"&lt;"&amp;M896)+COUNTIFS($H$511:H896,"Yes",$M$511:M896,M896),"")</f>
        <v/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:40" ht="2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 t="str">
        <f>IF(OR(NOT(ISNUMBER('School Profile'!$K$4)),NOT(ISNUMBER('School Profile'!$K$5)),NOT(ISNUMBER(F897)),NOT(ISNUMBER(G897))),"",3958.7613*2*ASIN(MIN(1,SQRT(SIN(RADIANS(F897-'School Profile'!$K$4)/2)^2+COS(RADIANS('School Profile'!$K$4))*COS(RADIANS(F897))*SIN(RADIANS(G897-'School Profile'!$K$5)/2)^2))))</f>
        <v/>
      </c>
      <c r="N897" s="1" t="str">
        <f>IF(AND(H897="Yes",ISNUMBER(M897),M897&lt;=1),COUNTIFS($H$511:$H$1010,"Yes",$M$511:$M$1010,"&lt;"&amp;M897)+COUNTIFS($H$511:H897,"Yes",$M$511:M897,M897),"")</f>
        <v/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:40" ht="22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 t="str">
        <f>IF(OR(NOT(ISNUMBER('School Profile'!$K$4)),NOT(ISNUMBER('School Profile'!$K$5)),NOT(ISNUMBER(F898)),NOT(ISNUMBER(G898))),"",3958.7613*2*ASIN(MIN(1,SQRT(SIN(RADIANS(F898-'School Profile'!$K$4)/2)^2+COS(RADIANS('School Profile'!$K$4))*COS(RADIANS(F898))*SIN(RADIANS(G898-'School Profile'!$K$5)/2)^2))))</f>
        <v/>
      </c>
      <c r="N898" s="1" t="str">
        <f>IF(AND(H898="Yes",ISNUMBER(M898),M898&lt;=1),COUNTIFS($H$511:$H$1010,"Yes",$M$511:$M$1010,"&lt;"&amp;M898)+COUNTIFS($H$511:H898,"Yes",$M$511:M898,M898),"")</f>
        <v/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:40" ht="22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 t="str">
        <f>IF(OR(NOT(ISNUMBER('School Profile'!$K$4)),NOT(ISNUMBER('School Profile'!$K$5)),NOT(ISNUMBER(F899)),NOT(ISNUMBER(G899))),"",3958.7613*2*ASIN(MIN(1,SQRT(SIN(RADIANS(F899-'School Profile'!$K$4)/2)^2+COS(RADIANS('School Profile'!$K$4))*COS(RADIANS(F899))*SIN(RADIANS(G899-'School Profile'!$K$5)/2)^2))))</f>
        <v/>
      </c>
      <c r="N899" s="1" t="str">
        <f>IF(AND(H899="Yes",ISNUMBER(M899),M899&lt;=1),COUNTIFS($H$511:$H$1010,"Yes",$M$511:$M$1010,"&lt;"&amp;M899)+COUNTIFS($H$511:H899,"Yes",$M$511:M899,M899),"")</f>
        <v/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:40" ht="22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 t="str">
        <f>IF(OR(NOT(ISNUMBER('School Profile'!$K$4)),NOT(ISNUMBER('School Profile'!$K$5)),NOT(ISNUMBER(F900)),NOT(ISNUMBER(G900))),"",3958.7613*2*ASIN(MIN(1,SQRT(SIN(RADIANS(F900-'School Profile'!$K$4)/2)^2+COS(RADIANS('School Profile'!$K$4))*COS(RADIANS(F900))*SIN(RADIANS(G900-'School Profile'!$K$5)/2)^2))))</f>
        <v/>
      </c>
      <c r="N900" s="1" t="str">
        <f>IF(AND(H900="Yes",ISNUMBER(M900),M900&lt;=1),COUNTIFS($H$511:$H$1010,"Yes",$M$511:$M$1010,"&lt;"&amp;M900)+COUNTIFS($H$511:H900,"Yes",$M$511:M900,M900),"")</f>
        <v/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:40" ht="22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 t="str">
        <f>IF(OR(NOT(ISNUMBER('School Profile'!$K$4)),NOT(ISNUMBER('School Profile'!$K$5)),NOT(ISNUMBER(F901)),NOT(ISNUMBER(G901))),"",3958.7613*2*ASIN(MIN(1,SQRT(SIN(RADIANS(F901-'School Profile'!$K$4)/2)^2+COS(RADIANS('School Profile'!$K$4))*COS(RADIANS(F901))*SIN(RADIANS(G901-'School Profile'!$K$5)/2)^2))))</f>
        <v/>
      </c>
      <c r="N901" s="1" t="str">
        <f>IF(AND(H901="Yes",ISNUMBER(M901),M901&lt;=1),COUNTIFS($H$511:$H$1010,"Yes",$M$511:$M$1010,"&lt;"&amp;M901)+COUNTIFS($H$511:H901,"Yes",$M$511:M901,M901),"")</f>
        <v/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:40" ht="2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 t="str">
        <f>IF(OR(NOT(ISNUMBER('School Profile'!$K$4)),NOT(ISNUMBER('School Profile'!$K$5)),NOT(ISNUMBER(F902)),NOT(ISNUMBER(G902))),"",3958.7613*2*ASIN(MIN(1,SQRT(SIN(RADIANS(F902-'School Profile'!$K$4)/2)^2+COS(RADIANS('School Profile'!$K$4))*COS(RADIANS(F902))*SIN(RADIANS(G902-'School Profile'!$K$5)/2)^2))))</f>
        <v/>
      </c>
      <c r="N902" s="1" t="str">
        <f>IF(AND(H902="Yes",ISNUMBER(M902),M902&lt;=1),COUNTIFS($H$511:$H$1010,"Yes",$M$511:$M$1010,"&lt;"&amp;M902)+COUNTIFS($H$511:H902,"Yes",$M$511:M902,M902),"")</f>
        <v/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:40" ht="22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 t="str">
        <f>IF(OR(NOT(ISNUMBER('School Profile'!$K$4)),NOT(ISNUMBER('School Profile'!$K$5)),NOT(ISNUMBER(F903)),NOT(ISNUMBER(G903))),"",3958.7613*2*ASIN(MIN(1,SQRT(SIN(RADIANS(F903-'School Profile'!$K$4)/2)^2+COS(RADIANS('School Profile'!$K$4))*COS(RADIANS(F903))*SIN(RADIANS(G903-'School Profile'!$K$5)/2)^2))))</f>
        <v/>
      </c>
      <c r="N903" s="1" t="str">
        <f>IF(AND(H903="Yes",ISNUMBER(M903),M903&lt;=1),COUNTIFS($H$511:$H$1010,"Yes",$M$511:$M$1010,"&lt;"&amp;M903)+COUNTIFS($H$511:H903,"Yes",$M$511:M903,M903),"")</f>
        <v/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:40" ht="22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 t="str">
        <f>IF(OR(NOT(ISNUMBER('School Profile'!$K$4)),NOT(ISNUMBER('School Profile'!$K$5)),NOT(ISNUMBER(F904)),NOT(ISNUMBER(G904))),"",3958.7613*2*ASIN(MIN(1,SQRT(SIN(RADIANS(F904-'School Profile'!$K$4)/2)^2+COS(RADIANS('School Profile'!$K$4))*COS(RADIANS(F904))*SIN(RADIANS(G904-'School Profile'!$K$5)/2)^2))))</f>
        <v/>
      </c>
      <c r="N904" s="1" t="str">
        <f>IF(AND(H904="Yes",ISNUMBER(M904),M904&lt;=1),COUNTIFS($H$511:$H$1010,"Yes",$M$511:$M$1010,"&lt;"&amp;M904)+COUNTIFS($H$511:H904,"Yes",$M$511:M904,M904),"")</f>
        <v/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:40" ht="22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 t="str">
        <f>IF(OR(NOT(ISNUMBER('School Profile'!$K$4)),NOT(ISNUMBER('School Profile'!$K$5)),NOT(ISNUMBER(F905)),NOT(ISNUMBER(G905))),"",3958.7613*2*ASIN(MIN(1,SQRT(SIN(RADIANS(F905-'School Profile'!$K$4)/2)^2+COS(RADIANS('School Profile'!$K$4))*COS(RADIANS(F905))*SIN(RADIANS(G905-'School Profile'!$K$5)/2)^2))))</f>
        <v/>
      </c>
      <c r="N905" s="1" t="str">
        <f>IF(AND(H905="Yes",ISNUMBER(M905),M905&lt;=1),COUNTIFS($H$511:$H$1010,"Yes",$M$511:$M$1010,"&lt;"&amp;M905)+COUNTIFS($H$511:H905,"Yes",$M$511:M905,M905),"")</f>
        <v/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:40" ht="22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 t="str">
        <f>IF(OR(NOT(ISNUMBER('School Profile'!$K$4)),NOT(ISNUMBER('School Profile'!$K$5)),NOT(ISNUMBER(F906)),NOT(ISNUMBER(G906))),"",3958.7613*2*ASIN(MIN(1,SQRT(SIN(RADIANS(F906-'School Profile'!$K$4)/2)^2+COS(RADIANS('School Profile'!$K$4))*COS(RADIANS(F906))*SIN(RADIANS(G906-'School Profile'!$K$5)/2)^2))))</f>
        <v/>
      </c>
      <c r="N906" s="1" t="str">
        <f>IF(AND(H906="Yes",ISNUMBER(M906),M906&lt;=1),COUNTIFS($H$511:$H$1010,"Yes",$M$511:$M$1010,"&lt;"&amp;M906)+COUNTIFS($H$511:H906,"Yes",$M$511:M906,M906),"")</f>
        <v/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:40" ht="22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 t="str">
        <f>IF(OR(NOT(ISNUMBER('School Profile'!$K$4)),NOT(ISNUMBER('School Profile'!$K$5)),NOT(ISNUMBER(F907)),NOT(ISNUMBER(G907))),"",3958.7613*2*ASIN(MIN(1,SQRT(SIN(RADIANS(F907-'School Profile'!$K$4)/2)^2+COS(RADIANS('School Profile'!$K$4))*COS(RADIANS(F907))*SIN(RADIANS(G907-'School Profile'!$K$5)/2)^2))))</f>
        <v/>
      </c>
      <c r="N907" s="1" t="str">
        <f>IF(AND(H907="Yes",ISNUMBER(M907),M907&lt;=1),COUNTIFS($H$511:$H$1010,"Yes",$M$511:$M$1010,"&lt;"&amp;M907)+COUNTIFS($H$511:H907,"Yes",$M$511:M907,M907),"")</f>
        <v/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:40" ht="22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 t="str">
        <f>IF(OR(NOT(ISNUMBER('School Profile'!$K$4)),NOT(ISNUMBER('School Profile'!$K$5)),NOT(ISNUMBER(F908)),NOT(ISNUMBER(G908))),"",3958.7613*2*ASIN(MIN(1,SQRT(SIN(RADIANS(F908-'School Profile'!$K$4)/2)^2+COS(RADIANS('School Profile'!$K$4))*COS(RADIANS(F908))*SIN(RADIANS(G908-'School Profile'!$K$5)/2)^2))))</f>
        <v/>
      </c>
      <c r="N908" s="1" t="str">
        <f>IF(AND(H908="Yes",ISNUMBER(M908),M908&lt;=1),COUNTIFS($H$511:$H$1010,"Yes",$M$511:$M$1010,"&lt;"&amp;M908)+COUNTIFS($H$511:H908,"Yes",$M$511:M908,M908),"")</f>
        <v/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:40" ht="22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 t="str">
        <f>IF(OR(NOT(ISNUMBER('School Profile'!$K$4)),NOT(ISNUMBER('School Profile'!$K$5)),NOT(ISNUMBER(F909)),NOT(ISNUMBER(G909))),"",3958.7613*2*ASIN(MIN(1,SQRT(SIN(RADIANS(F909-'School Profile'!$K$4)/2)^2+COS(RADIANS('School Profile'!$K$4))*COS(RADIANS(F909))*SIN(RADIANS(G909-'School Profile'!$K$5)/2)^2))))</f>
        <v/>
      </c>
      <c r="N909" s="1" t="str">
        <f>IF(AND(H909="Yes",ISNUMBER(M909),M909&lt;=1),COUNTIFS($H$511:$H$1010,"Yes",$M$511:$M$1010,"&lt;"&amp;M909)+COUNTIFS($H$511:H909,"Yes",$M$511:M909,M909),"")</f>
        <v/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:40" ht="22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 t="str">
        <f>IF(OR(NOT(ISNUMBER('School Profile'!$K$4)),NOT(ISNUMBER('School Profile'!$K$5)),NOT(ISNUMBER(F910)),NOT(ISNUMBER(G910))),"",3958.7613*2*ASIN(MIN(1,SQRT(SIN(RADIANS(F910-'School Profile'!$K$4)/2)^2+COS(RADIANS('School Profile'!$K$4))*COS(RADIANS(F910))*SIN(RADIANS(G910-'School Profile'!$K$5)/2)^2))))</f>
        <v/>
      </c>
      <c r="N910" s="1" t="str">
        <f>IF(AND(H910="Yes",ISNUMBER(M910),M910&lt;=1),COUNTIFS($H$511:$H$1010,"Yes",$M$511:$M$1010,"&lt;"&amp;M910)+COUNTIFS($H$511:H910,"Yes",$M$511:M910,M910),"")</f>
        <v/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:40" ht="22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 t="str">
        <f>IF(OR(NOT(ISNUMBER('School Profile'!$K$4)),NOT(ISNUMBER('School Profile'!$K$5)),NOT(ISNUMBER(F911)),NOT(ISNUMBER(G911))),"",3958.7613*2*ASIN(MIN(1,SQRT(SIN(RADIANS(F911-'School Profile'!$K$4)/2)^2+COS(RADIANS('School Profile'!$K$4))*COS(RADIANS(F911))*SIN(RADIANS(G911-'School Profile'!$K$5)/2)^2))))</f>
        <v/>
      </c>
      <c r="N911" s="1" t="str">
        <f>IF(AND(H911="Yes",ISNUMBER(M911),M911&lt;=1),COUNTIFS($H$511:$H$1010,"Yes",$M$511:$M$1010,"&lt;"&amp;M911)+COUNTIFS($H$511:H911,"Yes",$M$511:M911,M911),"")</f>
        <v/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:40" ht="22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 t="str">
        <f>IF(OR(NOT(ISNUMBER('School Profile'!$K$4)),NOT(ISNUMBER('School Profile'!$K$5)),NOT(ISNUMBER(F912)),NOT(ISNUMBER(G912))),"",3958.7613*2*ASIN(MIN(1,SQRT(SIN(RADIANS(F912-'School Profile'!$K$4)/2)^2+COS(RADIANS('School Profile'!$K$4))*COS(RADIANS(F912))*SIN(RADIANS(G912-'School Profile'!$K$5)/2)^2))))</f>
        <v/>
      </c>
      <c r="N912" s="1" t="str">
        <f>IF(AND(H912="Yes",ISNUMBER(M912),M912&lt;=1),COUNTIFS($H$511:$H$1010,"Yes",$M$511:$M$1010,"&lt;"&amp;M912)+COUNTIFS($H$511:H912,"Yes",$M$511:M912,M912),"")</f>
        <v/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:40" ht="22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 t="str">
        <f>IF(OR(NOT(ISNUMBER('School Profile'!$K$4)),NOT(ISNUMBER('School Profile'!$K$5)),NOT(ISNUMBER(F913)),NOT(ISNUMBER(G913))),"",3958.7613*2*ASIN(MIN(1,SQRT(SIN(RADIANS(F913-'School Profile'!$K$4)/2)^2+COS(RADIANS('School Profile'!$K$4))*COS(RADIANS(F913))*SIN(RADIANS(G913-'School Profile'!$K$5)/2)^2))))</f>
        <v/>
      </c>
      <c r="N913" s="1" t="str">
        <f>IF(AND(H913="Yes",ISNUMBER(M913),M913&lt;=1),COUNTIFS($H$511:$H$1010,"Yes",$M$511:$M$1010,"&lt;"&amp;M913)+COUNTIFS($H$511:H913,"Yes",$M$511:M913,M913),"")</f>
        <v/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:40" ht="2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 t="str">
        <f>IF(OR(NOT(ISNUMBER('School Profile'!$K$4)),NOT(ISNUMBER('School Profile'!$K$5)),NOT(ISNUMBER(F914)),NOT(ISNUMBER(G914))),"",3958.7613*2*ASIN(MIN(1,SQRT(SIN(RADIANS(F914-'School Profile'!$K$4)/2)^2+COS(RADIANS('School Profile'!$K$4))*COS(RADIANS(F914))*SIN(RADIANS(G914-'School Profile'!$K$5)/2)^2))))</f>
        <v/>
      </c>
      <c r="N914" s="1" t="str">
        <f>IF(AND(H914="Yes",ISNUMBER(M914),M914&lt;=1),COUNTIFS($H$511:$H$1010,"Yes",$M$511:$M$1010,"&lt;"&amp;M914)+COUNTIFS($H$511:H914,"Yes",$M$511:M914,M914),"")</f>
        <v/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:40" ht="2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 t="str">
        <f>IF(OR(NOT(ISNUMBER('School Profile'!$K$4)),NOT(ISNUMBER('School Profile'!$K$5)),NOT(ISNUMBER(F915)),NOT(ISNUMBER(G915))),"",3958.7613*2*ASIN(MIN(1,SQRT(SIN(RADIANS(F915-'School Profile'!$K$4)/2)^2+COS(RADIANS('School Profile'!$K$4))*COS(RADIANS(F915))*SIN(RADIANS(G915-'School Profile'!$K$5)/2)^2))))</f>
        <v/>
      </c>
      <c r="N915" s="1" t="str">
        <f>IF(AND(H915="Yes",ISNUMBER(M915),M915&lt;=1),COUNTIFS($H$511:$H$1010,"Yes",$M$511:$M$1010,"&lt;"&amp;M915)+COUNTIFS($H$511:H915,"Yes",$M$511:M915,M915),"")</f>
        <v/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:40" ht="22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 t="str">
        <f>IF(OR(NOT(ISNUMBER('School Profile'!$K$4)),NOT(ISNUMBER('School Profile'!$K$5)),NOT(ISNUMBER(F916)),NOT(ISNUMBER(G916))),"",3958.7613*2*ASIN(MIN(1,SQRT(SIN(RADIANS(F916-'School Profile'!$K$4)/2)^2+COS(RADIANS('School Profile'!$K$4))*COS(RADIANS(F916))*SIN(RADIANS(G916-'School Profile'!$K$5)/2)^2))))</f>
        <v/>
      </c>
      <c r="N916" s="1" t="str">
        <f>IF(AND(H916="Yes",ISNUMBER(M916),M916&lt;=1),COUNTIFS($H$511:$H$1010,"Yes",$M$511:$M$1010,"&lt;"&amp;M916)+COUNTIFS($H$511:H916,"Yes",$M$511:M916,M916),"")</f>
        <v/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:40" ht="22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 t="str">
        <f>IF(OR(NOT(ISNUMBER('School Profile'!$K$4)),NOT(ISNUMBER('School Profile'!$K$5)),NOT(ISNUMBER(F917)),NOT(ISNUMBER(G917))),"",3958.7613*2*ASIN(MIN(1,SQRT(SIN(RADIANS(F917-'School Profile'!$K$4)/2)^2+COS(RADIANS('School Profile'!$K$4))*COS(RADIANS(F917))*SIN(RADIANS(G917-'School Profile'!$K$5)/2)^2))))</f>
        <v/>
      </c>
      <c r="N917" s="1" t="str">
        <f>IF(AND(H917="Yes",ISNUMBER(M917),M917&lt;=1),COUNTIFS($H$511:$H$1010,"Yes",$M$511:$M$1010,"&lt;"&amp;M917)+COUNTIFS($H$511:H917,"Yes",$M$511:M917,M917),"")</f>
        <v/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:40" ht="22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 t="str">
        <f>IF(OR(NOT(ISNUMBER('School Profile'!$K$4)),NOT(ISNUMBER('School Profile'!$K$5)),NOT(ISNUMBER(F918)),NOT(ISNUMBER(G918))),"",3958.7613*2*ASIN(MIN(1,SQRT(SIN(RADIANS(F918-'School Profile'!$K$4)/2)^2+COS(RADIANS('School Profile'!$K$4))*COS(RADIANS(F918))*SIN(RADIANS(G918-'School Profile'!$K$5)/2)^2))))</f>
        <v/>
      </c>
      <c r="N918" s="1" t="str">
        <f>IF(AND(H918="Yes",ISNUMBER(M918),M918&lt;=1),COUNTIFS($H$511:$H$1010,"Yes",$M$511:$M$1010,"&lt;"&amp;M918)+COUNTIFS($H$511:H918,"Yes",$M$511:M918,M918),"")</f>
        <v/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:40" ht="22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 t="str">
        <f>IF(OR(NOT(ISNUMBER('School Profile'!$K$4)),NOT(ISNUMBER('School Profile'!$K$5)),NOT(ISNUMBER(F919)),NOT(ISNUMBER(G919))),"",3958.7613*2*ASIN(MIN(1,SQRT(SIN(RADIANS(F919-'School Profile'!$K$4)/2)^2+COS(RADIANS('School Profile'!$K$4))*COS(RADIANS(F919))*SIN(RADIANS(G919-'School Profile'!$K$5)/2)^2))))</f>
        <v/>
      </c>
      <c r="N919" s="1" t="str">
        <f>IF(AND(H919="Yes",ISNUMBER(M919),M919&lt;=1),COUNTIFS($H$511:$H$1010,"Yes",$M$511:$M$1010,"&lt;"&amp;M919)+COUNTIFS($H$511:H919,"Yes",$M$511:M919,M919),"")</f>
        <v/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:40" ht="22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 t="str">
        <f>IF(OR(NOT(ISNUMBER('School Profile'!$K$4)),NOT(ISNUMBER('School Profile'!$K$5)),NOT(ISNUMBER(F920)),NOT(ISNUMBER(G920))),"",3958.7613*2*ASIN(MIN(1,SQRT(SIN(RADIANS(F920-'School Profile'!$K$4)/2)^2+COS(RADIANS('School Profile'!$K$4))*COS(RADIANS(F920))*SIN(RADIANS(G920-'School Profile'!$K$5)/2)^2))))</f>
        <v/>
      </c>
      <c r="N920" s="1" t="str">
        <f>IF(AND(H920="Yes",ISNUMBER(M920),M920&lt;=1),COUNTIFS($H$511:$H$1010,"Yes",$M$511:$M$1010,"&lt;"&amp;M920)+COUNTIFS($H$511:H920,"Yes",$M$511:M920,M920),"")</f>
        <v/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spans="1:40" ht="22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 t="str">
        <f>IF(OR(NOT(ISNUMBER('School Profile'!$K$4)),NOT(ISNUMBER('School Profile'!$K$5)),NOT(ISNUMBER(F921)),NOT(ISNUMBER(G921))),"",3958.7613*2*ASIN(MIN(1,SQRT(SIN(RADIANS(F921-'School Profile'!$K$4)/2)^2+COS(RADIANS('School Profile'!$K$4))*COS(RADIANS(F921))*SIN(RADIANS(G921-'School Profile'!$K$5)/2)^2))))</f>
        <v/>
      </c>
      <c r="N921" s="1" t="str">
        <f>IF(AND(H921="Yes",ISNUMBER(M921),M921&lt;=1),COUNTIFS($H$511:$H$1010,"Yes",$M$511:$M$1010,"&lt;"&amp;M921)+COUNTIFS($H$511:H921,"Yes",$M$511:M921,M921),"")</f>
        <v/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spans="1:40" ht="22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 t="str">
        <f>IF(OR(NOT(ISNUMBER('School Profile'!$K$4)),NOT(ISNUMBER('School Profile'!$K$5)),NOT(ISNUMBER(F922)),NOT(ISNUMBER(G922))),"",3958.7613*2*ASIN(MIN(1,SQRT(SIN(RADIANS(F922-'School Profile'!$K$4)/2)^2+COS(RADIANS('School Profile'!$K$4))*COS(RADIANS(F922))*SIN(RADIANS(G922-'School Profile'!$K$5)/2)^2))))</f>
        <v/>
      </c>
      <c r="N922" s="1" t="str">
        <f>IF(AND(H922="Yes",ISNUMBER(M922),M922&lt;=1),COUNTIFS($H$511:$H$1010,"Yes",$M$511:$M$1010,"&lt;"&amp;M922)+COUNTIFS($H$511:H922,"Yes",$M$511:M922,M922),"")</f>
        <v/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spans="1:40" ht="22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 t="str">
        <f>IF(OR(NOT(ISNUMBER('School Profile'!$K$4)),NOT(ISNUMBER('School Profile'!$K$5)),NOT(ISNUMBER(F923)),NOT(ISNUMBER(G923))),"",3958.7613*2*ASIN(MIN(1,SQRT(SIN(RADIANS(F923-'School Profile'!$K$4)/2)^2+COS(RADIANS('School Profile'!$K$4))*COS(RADIANS(F923))*SIN(RADIANS(G923-'School Profile'!$K$5)/2)^2))))</f>
        <v/>
      </c>
      <c r="N923" s="1" t="str">
        <f>IF(AND(H923="Yes",ISNUMBER(M923),M923&lt;=1),COUNTIFS($H$511:$H$1010,"Yes",$M$511:$M$1010,"&lt;"&amp;M923)+COUNTIFS($H$511:H923,"Yes",$M$511:M923,M923),"")</f>
        <v/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spans="1:40" ht="22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 t="str">
        <f>IF(OR(NOT(ISNUMBER('School Profile'!$K$4)),NOT(ISNUMBER('School Profile'!$K$5)),NOT(ISNUMBER(F924)),NOT(ISNUMBER(G924))),"",3958.7613*2*ASIN(MIN(1,SQRT(SIN(RADIANS(F924-'School Profile'!$K$4)/2)^2+COS(RADIANS('School Profile'!$K$4))*COS(RADIANS(F924))*SIN(RADIANS(G924-'School Profile'!$K$5)/2)^2))))</f>
        <v/>
      </c>
      <c r="N924" s="1" t="str">
        <f>IF(AND(H924="Yes",ISNUMBER(M924),M924&lt;=1),COUNTIFS($H$511:$H$1010,"Yes",$M$511:$M$1010,"&lt;"&amp;M924)+COUNTIFS($H$511:H924,"Yes",$M$511:M924,M924),"")</f>
        <v/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spans="1:40" ht="22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 t="str">
        <f>IF(OR(NOT(ISNUMBER('School Profile'!$K$4)),NOT(ISNUMBER('School Profile'!$K$5)),NOT(ISNUMBER(F925)),NOT(ISNUMBER(G925))),"",3958.7613*2*ASIN(MIN(1,SQRT(SIN(RADIANS(F925-'School Profile'!$K$4)/2)^2+COS(RADIANS('School Profile'!$K$4))*COS(RADIANS(F925))*SIN(RADIANS(G925-'School Profile'!$K$5)/2)^2))))</f>
        <v/>
      </c>
      <c r="N925" s="1" t="str">
        <f>IF(AND(H925="Yes",ISNUMBER(M925),M925&lt;=1),COUNTIFS($H$511:$H$1010,"Yes",$M$511:$M$1010,"&lt;"&amp;M925)+COUNTIFS($H$511:H925,"Yes",$M$511:M925,M925),"")</f>
        <v/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spans="1:40" ht="22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 t="str">
        <f>IF(OR(NOT(ISNUMBER('School Profile'!$K$4)),NOT(ISNUMBER('School Profile'!$K$5)),NOT(ISNUMBER(F926)),NOT(ISNUMBER(G926))),"",3958.7613*2*ASIN(MIN(1,SQRT(SIN(RADIANS(F926-'School Profile'!$K$4)/2)^2+COS(RADIANS('School Profile'!$K$4))*COS(RADIANS(F926))*SIN(RADIANS(G926-'School Profile'!$K$5)/2)^2))))</f>
        <v/>
      </c>
      <c r="N926" s="1" t="str">
        <f>IF(AND(H926="Yes",ISNUMBER(M926),M926&lt;=1),COUNTIFS($H$511:$H$1010,"Yes",$M$511:$M$1010,"&lt;"&amp;M926)+COUNTIFS($H$511:H926,"Yes",$M$511:M926,M926),"")</f>
        <v/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spans="1:40" ht="22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 t="str">
        <f>IF(OR(NOT(ISNUMBER('School Profile'!$K$4)),NOT(ISNUMBER('School Profile'!$K$5)),NOT(ISNUMBER(F927)),NOT(ISNUMBER(G927))),"",3958.7613*2*ASIN(MIN(1,SQRT(SIN(RADIANS(F927-'School Profile'!$K$4)/2)^2+COS(RADIANS('School Profile'!$K$4))*COS(RADIANS(F927))*SIN(RADIANS(G927-'School Profile'!$K$5)/2)^2))))</f>
        <v/>
      </c>
      <c r="N927" s="1" t="str">
        <f>IF(AND(H927="Yes",ISNUMBER(M927),M927&lt;=1),COUNTIFS($H$511:$H$1010,"Yes",$M$511:$M$1010,"&lt;"&amp;M927)+COUNTIFS($H$511:H927,"Yes",$M$511:M927,M927),"")</f>
        <v/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spans="1:40" ht="22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 t="str">
        <f>IF(OR(NOT(ISNUMBER('School Profile'!$K$4)),NOT(ISNUMBER('School Profile'!$K$5)),NOT(ISNUMBER(F928)),NOT(ISNUMBER(G928))),"",3958.7613*2*ASIN(MIN(1,SQRT(SIN(RADIANS(F928-'School Profile'!$K$4)/2)^2+COS(RADIANS('School Profile'!$K$4))*COS(RADIANS(F928))*SIN(RADIANS(G928-'School Profile'!$K$5)/2)^2))))</f>
        <v/>
      </c>
      <c r="N928" s="1" t="str">
        <f>IF(AND(H928="Yes",ISNUMBER(M928),M928&lt;=1),COUNTIFS($H$511:$H$1010,"Yes",$M$511:$M$1010,"&lt;"&amp;M928)+COUNTIFS($H$511:H928,"Yes",$M$511:M928,M928),"")</f>
        <v/>
      </c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spans="1:40" ht="22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 t="str">
        <f>IF(OR(NOT(ISNUMBER('School Profile'!$K$4)),NOT(ISNUMBER('School Profile'!$K$5)),NOT(ISNUMBER(F929)),NOT(ISNUMBER(G929))),"",3958.7613*2*ASIN(MIN(1,SQRT(SIN(RADIANS(F929-'School Profile'!$K$4)/2)^2+COS(RADIANS('School Profile'!$K$4))*COS(RADIANS(F929))*SIN(RADIANS(G929-'School Profile'!$K$5)/2)^2))))</f>
        <v/>
      </c>
      <c r="N929" s="1" t="str">
        <f>IF(AND(H929="Yes",ISNUMBER(M929),M929&lt;=1),COUNTIFS($H$511:$H$1010,"Yes",$M$511:$M$1010,"&lt;"&amp;M929)+COUNTIFS($H$511:H929,"Yes",$M$511:M929,M929),"")</f>
        <v/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spans="1:40" ht="2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 t="str">
        <f>IF(OR(NOT(ISNUMBER('School Profile'!$K$4)),NOT(ISNUMBER('School Profile'!$K$5)),NOT(ISNUMBER(F930)),NOT(ISNUMBER(G930))),"",3958.7613*2*ASIN(MIN(1,SQRT(SIN(RADIANS(F930-'School Profile'!$K$4)/2)^2+COS(RADIANS('School Profile'!$K$4))*COS(RADIANS(F930))*SIN(RADIANS(G930-'School Profile'!$K$5)/2)^2))))</f>
        <v/>
      </c>
      <c r="N930" s="1" t="str">
        <f>IF(AND(H930="Yes",ISNUMBER(M930),M930&lt;=1),COUNTIFS($H$511:$H$1010,"Yes",$M$511:$M$1010,"&lt;"&amp;M930)+COUNTIFS($H$511:H930,"Yes",$M$511:M930,M930),"")</f>
        <v/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spans="1:40" ht="2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 t="str">
        <f>IF(OR(NOT(ISNUMBER('School Profile'!$K$4)),NOT(ISNUMBER('School Profile'!$K$5)),NOT(ISNUMBER(F931)),NOT(ISNUMBER(G931))),"",3958.7613*2*ASIN(MIN(1,SQRT(SIN(RADIANS(F931-'School Profile'!$K$4)/2)^2+COS(RADIANS('School Profile'!$K$4))*COS(RADIANS(F931))*SIN(RADIANS(G931-'School Profile'!$K$5)/2)^2))))</f>
        <v/>
      </c>
      <c r="N931" s="1" t="str">
        <f>IF(AND(H931="Yes",ISNUMBER(M931),M931&lt;=1),COUNTIFS($H$511:$H$1010,"Yes",$M$511:$M$1010,"&lt;"&amp;M931)+COUNTIFS($H$511:H931,"Yes",$M$511:M931,M931),"")</f>
        <v/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spans="1:40" ht="22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 t="str">
        <f>IF(OR(NOT(ISNUMBER('School Profile'!$K$4)),NOT(ISNUMBER('School Profile'!$K$5)),NOT(ISNUMBER(F932)),NOT(ISNUMBER(G932))),"",3958.7613*2*ASIN(MIN(1,SQRT(SIN(RADIANS(F932-'School Profile'!$K$4)/2)^2+COS(RADIANS('School Profile'!$K$4))*COS(RADIANS(F932))*SIN(RADIANS(G932-'School Profile'!$K$5)/2)^2))))</f>
        <v/>
      </c>
      <c r="N932" s="1" t="str">
        <f>IF(AND(H932="Yes",ISNUMBER(M932),M932&lt;=1),COUNTIFS($H$511:$H$1010,"Yes",$M$511:$M$1010,"&lt;"&amp;M932)+COUNTIFS($H$511:H932,"Yes",$M$511:M932,M932),"")</f>
        <v/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spans="1:40" ht="22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 t="str">
        <f>IF(OR(NOT(ISNUMBER('School Profile'!$K$4)),NOT(ISNUMBER('School Profile'!$K$5)),NOT(ISNUMBER(F933)),NOT(ISNUMBER(G933))),"",3958.7613*2*ASIN(MIN(1,SQRT(SIN(RADIANS(F933-'School Profile'!$K$4)/2)^2+COS(RADIANS('School Profile'!$K$4))*COS(RADIANS(F933))*SIN(RADIANS(G933-'School Profile'!$K$5)/2)^2))))</f>
        <v/>
      </c>
      <c r="N933" s="1" t="str">
        <f>IF(AND(H933="Yes",ISNUMBER(M933),M933&lt;=1),COUNTIFS($H$511:$H$1010,"Yes",$M$511:$M$1010,"&lt;"&amp;M933)+COUNTIFS($H$511:H933,"Yes",$M$511:M933,M933),"")</f>
        <v/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:40" ht="22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 t="str">
        <f>IF(OR(NOT(ISNUMBER('School Profile'!$K$4)),NOT(ISNUMBER('School Profile'!$K$5)),NOT(ISNUMBER(F934)),NOT(ISNUMBER(G934))),"",3958.7613*2*ASIN(MIN(1,SQRT(SIN(RADIANS(F934-'School Profile'!$K$4)/2)^2+COS(RADIANS('School Profile'!$K$4))*COS(RADIANS(F934))*SIN(RADIANS(G934-'School Profile'!$K$5)/2)^2))))</f>
        <v/>
      </c>
      <c r="N934" s="1" t="str">
        <f>IF(AND(H934="Yes",ISNUMBER(M934),M934&lt;=1),COUNTIFS($H$511:$H$1010,"Yes",$M$511:$M$1010,"&lt;"&amp;M934)+COUNTIFS($H$511:H934,"Yes",$M$511:M934,M934),"")</f>
        <v/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spans="1:40" ht="22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 t="str">
        <f>IF(OR(NOT(ISNUMBER('School Profile'!$K$4)),NOT(ISNUMBER('School Profile'!$K$5)),NOT(ISNUMBER(F935)),NOT(ISNUMBER(G935))),"",3958.7613*2*ASIN(MIN(1,SQRT(SIN(RADIANS(F935-'School Profile'!$K$4)/2)^2+COS(RADIANS('School Profile'!$K$4))*COS(RADIANS(F935))*SIN(RADIANS(G935-'School Profile'!$K$5)/2)^2))))</f>
        <v/>
      </c>
      <c r="N935" s="1" t="str">
        <f>IF(AND(H935="Yes",ISNUMBER(M935),M935&lt;=1),COUNTIFS($H$511:$H$1010,"Yes",$M$511:$M$1010,"&lt;"&amp;M935)+COUNTIFS($H$511:H935,"Yes",$M$511:M935,M935),"")</f>
        <v/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spans="1:40" ht="2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 t="str">
        <f>IF(OR(NOT(ISNUMBER('School Profile'!$K$4)),NOT(ISNUMBER('School Profile'!$K$5)),NOT(ISNUMBER(F936)),NOT(ISNUMBER(G936))),"",3958.7613*2*ASIN(MIN(1,SQRT(SIN(RADIANS(F936-'School Profile'!$K$4)/2)^2+COS(RADIANS('School Profile'!$K$4))*COS(RADIANS(F936))*SIN(RADIANS(G936-'School Profile'!$K$5)/2)^2))))</f>
        <v/>
      </c>
      <c r="N936" s="1" t="str">
        <f>IF(AND(H936="Yes",ISNUMBER(M936),M936&lt;=1),COUNTIFS($H$511:$H$1010,"Yes",$M$511:$M$1010,"&lt;"&amp;M936)+COUNTIFS($H$511:H936,"Yes",$M$511:M936,M936),"")</f>
        <v/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spans="1:40" ht="22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 t="str">
        <f>IF(OR(NOT(ISNUMBER('School Profile'!$K$4)),NOT(ISNUMBER('School Profile'!$K$5)),NOT(ISNUMBER(F937)),NOT(ISNUMBER(G937))),"",3958.7613*2*ASIN(MIN(1,SQRT(SIN(RADIANS(F937-'School Profile'!$K$4)/2)^2+COS(RADIANS('School Profile'!$K$4))*COS(RADIANS(F937))*SIN(RADIANS(G937-'School Profile'!$K$5)/2)^2))))</f>
        <v/>
      </c>
      <c r="N937" s="1" t="str">
        <f>IF(AND(H937="Yes",ISNUMBER(M937),M937&lt;=1),COUNTIFS($H$511:$H$1010,"Yes",$M$511:$M$1010,"&lt;"&amp;M937)+COUNTIFS($H$511:H937,"Yes",$M$511:M937,M937),"")</f>
        <v/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:40" ht="22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 t="str">
        <f>IF(OR(NOT(ISNUMBER('School Profile'!$K$4)),NOT(ISNUMBER('School Profile'!$K$5)),NOT(ISNUMBER(F938)),NOT(ISNUMBER(G938))),"",3958.7613*2*ASIN(MIN(1,SQRT(SIN(RADIANS(F938-'School Profile'!$K$4)/2)^2+COS(RADIANS('School Profile'!$K$4))*COS(RADIANS(F938))*SIN(RADIANS(G938-'School Profile'!$K$5)/2)^2))))</f>
        <v/>
      </c>
      <c r="N938" s="1" t="str">
        <f>IF(AND(H938="Yes",ISNUMBER(M938),M938&lt;=1),COUNTIFS($H$511:$H$1010,"Yes",$M$511:$M$1010,"&lt;"&amp;M938)+COUNTIFS($H$511:H938,"Yes",$M$511:M938,M938),"")</f>
        <v/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:40" ht="22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 t="str">
        <f>IF(OR(NOT(ISNUMBER('School Profile'!$K$4)),NOT(ISNUMBER('School Profile'!$K$5)),NOT(ISNUMBER(F939)),NOT(ISNUMBER(G939))),"",3958.7613*2*ASIN(MIN(1,SQRT(SIN(RADIANS(F939-'School Profile'!$K$4)/2)^2+COS(RADIANS('School Profile'!$K$4))*COS(RADIANS(F939))*SIN(RADIANS(G939-'School Profile'!$K$5)/2)^2))))</f>
        <v/>
      </c>
      <c r="N939" s="1" t="str">
        <f>IF(AND(H939="Yes",ISNUMBER(M939),M939&lt;=1),COUNTIFS($H$511:$H$1010,"Yes",$M$511:$M$1010,"&lt;"&amp;M939)+COUNTIFS($H$511:H939,"Yes",$M$511:M939,M939),"")</f>
        <v/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spans="1:40" ht="22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 t="str">
        <f>IF(OR(NOT(ISNUMBER('School Profile'!$K$4)),NOT(ISNUMBER('School Profile'!$K$5)),NOT(ISNUMBER(F940)),NOT(ISNUMBER(G940))),"",3958.7613*2*ASIN(MIN(1,SQRT(SIN(RADIANS(F940-'School Profile'!$K$4)/2)^2+COS(RADIANS('School Profile'!$K$4))*COS(RADIANS(F940))*SIN(RADIANS(G940-'School Profile'!$K$5)/2)^2))))</f>
        <v/>
      </c>
      <c r="N940" s="1" t="str">
        <f>IF(AND(H940="Yes",ISNUMBER(M940),M940&lt;=1),COUNTIFS($H$511:$H$1010,"Yes",$M$511:$M$1010,"&lt;"&amp;M940)+COUNTIFS($H$511:H940,"Yes",$M$511:M940,M940),"")</f>
        <v/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spans="1:40" ht="22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 t="str">
        <f>IF(OR(NOT(ISNUMBER('School Profile'!$K$4)),NOT(ISNUMBER('School Profile'!$K$5)),NOT(ISNUMBER(F941)),NOT(ISNUMBER(G941))),"",3958.7613*2*ASIN(MIN(1,SQRT(SIN(RADIANS(F941-'School Profile'!$K$4)/2)^2+COS(RADIANS('School Profile'!$K$4))*COS(RADIANS(F941))*SIN(RADIANS(G941-'School Profile'!$K$5)/2)^2))))</f>
        <v/>
      </c>
      <c r="N941" s="1" t="str">
        <f>IF(AND(H941="Yes",ISNUMBER(M941),M941&lt;=1),COUNTIFS($H$511:$H$1010,"Yes",$M$511:$M$1010,"&lt;"&amp;M941)+COUNTIFS($H$511:H941,"Yes",$M$511:M941,M941),"")</f>
        <v/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spans="1:40" ht="2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 t="str">
        <f>IF(OR(NOT(ISNUMBER('School Profile'!$K$4)),NOT(ISNUMBER('School Profile'!$K$5)),NOT(ISNUMBER(F942)),NOT(ISNUMBER(G942))),"",3958.7613*2*ASIN(MIN(1,SQRT(SIN(RADIANS(F942-'School Profile'!$K$4)/2)^2+COS(RADIANS('School Profile'!$K$4))*COS(RADIANS(F942))*SIN(RADIANS(G942-'School Profile'!$K$5)/2)^2))))</f>
        <v/>
      </c>
      <c r="N942" s="1" t="str">
        <f>IF(AND(H942="Yes",ISNUMBER(M942),M942&lt;=1),COUNTIFS($H$511:$H$1010,"Yes",$M$511:$M$1010,"&lt;"&amp;M942)+COUNTIFS($H$511:H942,"Yes",$M$511:M942,M942),"")</f>
        <v/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spans="1:40" ht="2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 t="str">
        <f>IF(OR(NOT(ISNUMBER('School Profile'!$K$4)),NOT(ISNUMBER('School Profile'!$K$5)),NOT(ISNUMBER(F943)),NOT(ISNUMBER(G943))),"",3958.7613*2*ASIN(MIN(1,SQRT(SIN(RADIANS(F943-'School Profile'!$K$4)/2)^2+COS(RADIANS('School Profile'!$K$4))*COS(RADIANS(F943))*SIN(RADIANS(G943-'School Profile'!$K$5)/2)^2))))</f>
        <v/>
      </c>
      <c r="N943" s="1" t="str">
        <f>IF(AND(H943="Yes",ISNUMBER(M943),M943&lt;=1),COUNTIFS($H$511:$H$1010,"Yes",$M$511:$M$1010,"&lt;"&amp;M943)+COUNTIFS($H$511:H943,"Yes",$M$511:M943,M943),"")</f>
        <v/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spans="1:40" ht="22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 t="str">
        <f>IF(OR(NOT(ISNUMBER('School Profile'!$K$4)),NOT(ISNUMBER('School Profile'!$K$5)),NOT(ISNUMBER(F944)),NOT(ISNUMBER(G944))),"",3958.7613*2*ASIN(MIN(1,SQRT(SIN(RADIANS(F944-'School Profile'!$K$4)/2)^2+COS(RADIANS('School Profile'!$K$4))*COS(RADIANS(F944))*SIN(RADIANS(G944-'School Profile'!$K$5)/2)^2))))</f>
        <v/>
      </c>
      <c r="N944" s="1" t="str">
        <f>IF(AND(H944="Yes",ISNUMBER(M944),M944&lt;=1),COUNTIFS($H$511:$H$1010,"Yes",$M$511:$M$1010,"&lt;"&amp;M944)+COUNTIFS($H$511:H944,"Yes",$M$511:M944,M944),"")</f>
        <v/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spans="1:40" ht="22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 t="str">
        <f>IF(OR(NOT(ISNUMBER('School Profile'!$K$4)),NOT(ISNUMBER('School Profile'!$K$5)),NOT(ISNUMBER(F945)),NOT(ISNUMBER(G945))),"",3958.7613*2*ASIN(MIN(1,SQRT(SIN(RADIANS(F945-'School Profile'!$K$4)/2)^2+COS(RADIANS('School Profile'!$K$4))*COS(RADIANS(F945))*SIN(RADIANS(G945-'School Profile'!$K$5)/2)^2))))</f>
        <v/>
      </c>
      <c r="N945" s="1" t="str">
        <f>IF(AND(H945="Yes",ISNUMBER(M945),M945&lt;=1),COUNTIFS($H$511:$H$1010,"Yes",$M$511:$M$1010,"&lt;"&amp;M945)+COUNTIFS($H$511:H945,"Yes",$M$511:M945,M945),"")</f>
        <v/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:40" ht="22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 t="str">
        <f>IF(OR(NOT(ISNUMBER('School Profile'!$K$4)),NOT(ISNUMBER('School Profile'!$K$5)),NOT(ISNUMBER(F946)),NOT(ISNUMBER(G946))),"",3958.7613*2*ASIN(MIN(1,SQRT(SIN(RADIANS(F946-'School Profile'!$K$4)/2)^2+COS(RADIANS('School Profile'!$K$4))*COS(RADIANS(F946))*SIN(RADIANS(G946-'School Profile'!$K$5)/2)^2))))</f>
        <v/>
      </c>
      <c r="N946" s="1" t="str">
        <f>IF(AND(H946="Yes",ISNUMBER(M946),M946&lt;=1),COUNTIFS($H$511:$H$1010,"Yes",$M$511:$M$1010,"&lt;"&amp;M946)+COUNTIFS($H$511:H946,"Yes",$M$511:M946,M946),"")</f>
        <v/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:40" ht="22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 t="str">
        <f>IF(OR(NOT(ISNUMBER('School Profile'!$K$4)),NOT(ISNUMBER('School Profile'!$K$5)),NOT(ISNUMBER(F947)),NOT(ISNUMBER(G947))),"",3958.7613*2*ASIN(MIN(1,SQRT(SIN(RADIANS(F947-'School Profile'!$K$4)/2)^2+COS(RADIANS('School Profile'!$K$4))*COS(RADIANS(F947))*SIN(RADIANS(G947-'School Profile'!$K$5)/2)^2))))</f>
        <v/>
      </c>
      <c r="N947" s="1" t="str">
        <f>IF(AND(H947="Yes",ISNUMBER(M947),M947&lt;=1),COUNTIFS($H$511:$H$1010,"Yes",$M$511:$M$1010,"&lt;"&amp;M947)+COUNTIFS($H$511:H947,"Yes",$M$511:M947,M947),"")</f>
        <v/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spans="1:40" ht="22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 t="str">
        <f>IF(OR(NOT(ISNUMBER('School Profile'!$K$4)),NOT(ISNUMBER('School Profile'!$K$5)),NOT(ISNUMBER(F948)),NOT(ISNUMBER(G948))),"",3958.7613*2*ASIN(MIN(1,SQRT(SIN(RADIANS(F948-'School Profile'!$K$4)/2)^2+COS(RADIANS('School Profile'!$K$4))*COS(RADIANS(F948))*SIN(RADIANS(G948-'School Profile'!$K$5)/2)^2))))</f>
        <v/>
      </c>
      <c r="N948" s="1" t="str">
        <f>IF(AND(H948="Yes",ISNUMBER(M948),M948&lt;=1),COUNTIFS($H$511:$H$1010,"Yes",$M$511:$M$1010,"&lt;"&amp;M948)+COUNTIFS($H$511:H948,"Yes",$M$511:M948,M948),"")</f>
        <v/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spans="1:40" ht="22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 t="str">
        <f>IF(OR(NOT(ISNUMBER('School Profile'!$K$4)),NOT(ISNUMBER('School Profile'!$K$5)),NOT(ISNUMBER(F949)),NOT(ISNUMBER(G949))),"",3958.7613*2*ASIN(MIN(1,SQRT(SIN(RADIANS(F949-'School Profile'!$K$4)/2)^2+COS(RADIANS('School Profile'!$K$4))*COS(RADIANS(F949))*SIN(RADIANS(G949-'School Profile'!$K$5)/2)^2))))</f>
        <v/>
      </c>
      <c r="N949" s="1" t="str">
        <f>IF(AND(H949="Yes",ISNUMBER(M949),M949&lt;=1),COUNTIFS($H$511:$H$1010,"Yes",$M$511:$M$1010,"&lt;"&amp;M949)+COUNTIFS($H$511:H949,"Yes",$M$511:M949,M949),"")</f>
        <v/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spans="1:40" ht="22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 t="str">
        <f>IF(OR(NOT(ISNUMBER('School Profile'!$K$4)),NOT(ISNUMBER('School Profile'!$K$5)),NOT(ISNUMBER(F950)),NOT(ISNUMBER(G950))),"",3958.7613*2*ASIN(MIN(1,SQRT(SIN(RADIANS(F950-'School Profile'!$K$4)/2)^2+COS(RADIANS('School Profile'!$K$4))*COS(RADIANS(F950))*SIN(RADIANS(G950-'School Profile'!$K$5)/2)^2))))</f>
        <v/>
      </c>
      <c r="N950" s="1" t="str">
        <f>IF(AND(H950="Yes",ISNUMBER(M950),M950&lt;=1),COUNTIFS($H$511:$H$1010,"Yes",$M$511:$M$1010,"&lt;"&amp;M950)+COUNTIFS($H$511:H950,"Yes",$M$511:M950,M950),"")</f>
        <v/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spans="1:40" ht="2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 t="str">
        <f>IF(OR(NOT(ISNUMBER('School Profile'!$K$4)),NOT(ISNUMBER('School Profile'!$K$5)),NOT(ISNUMBER(F951)),NOT(ISNUMBER(G951))),"",3958.7613*2*ASIN(MIN(1,SQRT(SIN(RADIANS(F951-'School Profile'!$K$4)/2)^2+COS(RADIANS('School Profile'!$K$4))*COS(RADIANS(F951))*SIN(RADIANS(G951-'School Profile'!$K$5)/2)^2))))</f>
        <v/>
      </c>
      <c r="N951" s="1" t="str">
        <f>IF(AND(H951="Yes",ISNUMBER(M951),M951&lt;=1),COUNTIFS($H$511:$H$1010,"Yes",$M$511:$M$1010,"&lt;"&amp;M951)+COUNTIFS($H$511:H951,"Yes",$M$511:M951,M951),"")</f>
        <v/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:40" ht="22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 t="str">
        <f>IF(OR(NOT(ISNUMBER('School Profile'!$K$4)),NOT(ISNUMBER('School Profile'!$K$5)),NOT(ISNUMBER(F952)),NOT(ISNUMBER(G952))),"",3958.7613*2*ASIN(MIN(1,SQRT(SIN(RADIANS(F952-'School Profile'!$K$4)/2)^2+COS(RADIANS('School Profile'!$K$4))*COS(RADIANS(F952))*SIN(RADIANS(G952-'School Profile'!$K$5)/2)^2))))</f>
        <v/>
      </c>
      <c r="N952" s="1" t="str">
        <f>IF(AND(H952="Yes",ISNUMBER(M952),M952&lt;=1),COUNTIFS($H$511:$H$1010,"Yes",$M$511:$M$1010,"&lt;"&amp;M952)+COUNTIFS($H$511:H952,"Yes",$M$511:M952,M952),"")</f>
        <v/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spans="1:40" ht="22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 t="str">
        <f>IF(OR(NOT(ISNUMBER('School Profile'!$K$4)),NOT(ISNUMBER('School Profile'!$K$5)),NOT(ISNUMBER(F953)),NOT(ISNUMBER(G953))),"",3958.7613*2*ASIN(MIN(1,SQRT(SIN(RADIANS(F953-'School Profile'!$K$4)/2)^2+COS(RADIANS('School Profile'!$K$4))*COS(RADIANS(F953))*SIN(RADIANS(G953-'School Profile'!$K$5)/2)^2))))</f>
        <v/>
      </c>
      <c r="N953" s="1" t="str">
        <f>IF(AND(H953="Yes",ISNUMBER(M953),M953&lt;=1),COUNTIFS($H$511:$H$1010,"Yes",$M$511:$M$1010,"&lt;"&amp;M953)+COUNTIFS($H$511:H953,"Yes",$M$511:M953,M953),"")</f>
        <v/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:40" ht="22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 t="str">
        <f>IF(OR(NOT(ISNUMBER('School Profile'!$K$4)),NOT(ISNUMBER('School Profile'!$K$5)),NOT(ISNUMBER(F954)),NOT(ISNUMBER(G954))),"",3958.7613*2*ASIN(MIN(1,SQRT(SIN(RADIANS(F954-'School Profile'!$K$4)/2)^2+COS(RADIANS('School Profile'!$K$4))*COS(RADIANS(F954))*SIN(RADIANS(G954-'School Profile'!$K$5)/2)^2))))</f>
        <v/>
      </c>
      <c r="N954" s="1" t="str">
        <f>IF(AND(H954="Yes",ISNUMBER(M954),M954&lt;=1),COUNTIFS($H$511:$H$1010,"Yes",$M$511:$M$1010,"&lt;"&amp;M954)+COUNTIFS($H$511:H954,"Yes",$M$511:M954,M954),"")</f>
        <v/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spans="1:40" ht="22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 t="str">
        <f>IF(OR(NOT(ISNUMBER('School Profile'!$K$4)),NOT(ISNUMBER('School Profile'!$K$5)),NOT(ISNUMBER(F955)),NOT(ISNUMBER(G955))),"",3958.7613*2*ASIN(MIN(1,SQRT(SIN(RADIANS(F955-'School Profile'!$K$4)/2)^2+COS(RADIANS('School Profile'!$K$4))*COS(RADIANS(F955))*SIN(RADIANS(G955-'School Profile'!$K$5)/2)^2))))</f>
        <v/>
      </c>
      <c r="N955" s="1" t="str">
        <f>IF(AND(H955="Yes",ISNUMBER(M955),M955&lt;=1),COUNTIFS($H$511:$H$1010,"Yes",$M$511:$M$1010,"&lt;"&amp;M955)+COUNTIFS($H$511:H955,"Yes",$M$511:M955,M955),"")</f>
        <v/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:40" ht="22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 t="str">
        <f>IF(OR(NOT(ISNUMBER('School Profile'!$K$4)),NOT(ISNUMBER('School Profile'!$K$5)),NOT(ISNUMBER(F956)),NOT(ISNUMBER(G956))),"",3958.7613*2*ASIN(MIN(1,SQRT(SIN(RADIANS(F956-'School Profile'!$K$4)/2)^2+COS(RADIANS('School Profile'!$K$4))*COS(RADIANS(F956))*SIN(RADIANS(G956-'School Profile'!$K$5)/2)^2))))</f>
        <v/>
      </c>
      <c r="N956" s="1" t="str">
        <f>IF(AND(H956="Yes",ISNUMBER(M956),M956&lt;=1),COUNTIFS($H$511:$H$1010,"Yes",$M$511:$M$1010,"&lt;"&amp;M956)+COUNTIFS($H$511:H956,"Yes",$M$511:M956,M956),"")</f>
        <v/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:40" ht="2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 t="str">
        <f>IF(OR(NOT(ISNUMBER('School Profile'!$K$4)),NOT(ISNUMBER('School Profile'!$K$5)),NOT(ISNUMBER(F957)),NOT(ISNUMBER(G957))),"",3958.7613*2*ASIN(MIN(1,SQRT(SIN(RADIANS(F957-'School Profile'!$K$4)/2)^2+COS(RADIANS('School Profile'!$K$4))*COS(RADIANS(F957))*SIN(RADIANS(G957-'School Profile'!$K$5)/2)^2))))</f>
        <v/>
      </c>
      <c r="N957" s="1" t="str">
        <f>IF(AND(H957="Yes",ISNUMBER(M957),M957&lt;=1),COUNTIFS($H$511:$H$1010,"Yes",$M$511:$M$1010,"&lt;"&amp;M957)+COUNTIFS($H$511:H957,"Yes",$M$511:M957,M957),"")</f>
        <v/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:40" ht="22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 t="str">
        <f>IF(OR(NOT(ISNUMBER('School Profile'!$K$4)),NOT(ISNUMBER('School Profile'!$K$5)),NOT(ISNUMBER(F958)),NOT(ISNUMBER(G958))),"",3958.7613*2*ASIN(MIN(1,SQRT(SIN(RADIANS(F958-'School Profile'!$K$4)/2)^2+COS(RADIANS('School Profile'!$K$4))*COS(RADIANS(F958))*SIN(RADIANS(G958-'School Profile'!$K$5)/2)^2))))</f>
        <v/>
      </c>
      <c r="N958" s="1" t="str">
        <f>IF(AND(H958="Yes",ISNUMBER(M958),M958&lt;=1),COUNTIFS($H$511:$H$1010,"Yes",$M$511:$M$1010,"&lt;"&amp;M958)+COUNTIFS($H$511:H958,"Yes",$M$511:M958,M958),"")</f>
        <v/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spans="1:40" ht="22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 t="str">
        <f>IF(OR(NOT(ISNUMBER('School Profile'!$K$4)),NOT(ISNUMBER('School Profile'!$K$5)),NOT(ISNUMBER(F959)),NOT(ISNUMBER(G959))),"",3958.7613*2*ASIN(MIN(1,SQRT(SIN(RADIANS(F959-'School Profile'!$K$4)/2)^2+COS(RADIANS('School Profile'!$K$4))*COS(RADIANS(F959))*SIN(RADIANS(G959-'School Profile'!$K$5)/2)^2))))</f>
        <v/>
      </c>
      <c r="N959" s="1" t="str">
        <f>IF(AND(H959="Yes",ISNUMBER(M959),M959&lt;=1),COUNTIFS($H$511:$H$1010,"Yes",$M$511:$M$1010,"&lt;"&amp;M959)+COUNTIFS($H$511:H959,"Yes",$M$511:M959,M959),"")</f>
        <v/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spans="1:40" ht="22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 t="str">
        <f>IF(OR(NOT(ISNUMBER('School Profile'!$K$4)),NOT(ISNUMBER('School Profile'!$K$5)),NOT(ISNUMBER(F960)),NOT(ISNUMBER(G960))),"",3958.7613*2*ASIN(MIN(1,SQRT(SIN(RADIANS(F960-'School Profile'!$K$4)/2)^2+COS(RADIANS('School Profile'!$K$4))*COS(RADIANS(F960))*SIN(RADIANS(G960-'School Profile'!$K$5)/2)^2))))</f>
        <v/>
      </c>
      <c r="N960" s="1" t="str">
        <f>IF(AND(H960="Yes",ISNUMBER(M960),M960&lt;=1),COUNTIFS($H$511:$H$1010,"Yes",$M$511:$M$1010,"&lt;"&amp;M960)+COUNTIFS($H$511:H960,"Yes",$M$511:M960,M960),"")</f>
        <v/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spans="1:40" ht="22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 t="str">
        <f>IF(OR(NOT(ISNUMBER('School Profile'!$K$4)),NOT(ISNUMBER('School Profile'!$K$5)),NOT(ISNUMBER(F961)),NOT(ISNUMBER(G961))),"",3958.7613*2*ASIN(MIN(1,SQRT(SIN(RADIANS(F961-'School Profile'!$K$4)/2)^2+COS(RADIANS('School Profile'!$K$4))*COS(RADIANS(F961))*SIN(RADIANS(G961-'School Profile'!$K$5)/2)^2))))</f>
        <v/>
      </c>
      <c r="N961" s="1" t="str">
        <f>IF(AND(H961="Yes",ISNUMBER(M961),M961&lt;=1),COUNTIFS($H$511:$H$1010,"Yes",$M$511:$M$1010,"&lt;"&amp;M961)+COUNTIFS($H$511:H961,"Yes",$M$511:M961,M961),"")</f>
        <v/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spans="1:40" ht="22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 t="str">
        <f>IF(OR(NOT(ISNUMBER('School Profile'!$K$4)),NOT(ISNUMBER('School Profile'!$K$5)),NOT(ISNUMBER(F962)),NOT(ISNUMBER(G962))),"",3958.7613*2*ASIN(MIN(1,SQRT(SIN(RADIANS(F962-'School Profile'!$K$4)/2)^2+COS(RADIANS('School Profile'!$K$4))*COS(RADIANS(F962))*SIN(RADIANS(G962-'School Profile'!$K$5)/2)^2))))</f>
        <v/>
      </c>
      <c r="N962" s="1" t="str">
        <f>IF(AND(H962="Yes",ISNUMBER(M962),M962&lt;=1),COUNTIFS($H$511:$H$1010,"Yes",$M$511:$M$1010,"&lt;"&amp;M962)+COUNTIFS($H$511:H962,"Yes",$M$511:M962,M962),"")</f>
        <v/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spans="1:40" ht="22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 t="str">
        <f>IF(OR(NOT(ISNUMBER('School Profile'!$K$4)),NOT(ISNUMBER('School Profile'!$K$5)),NOT(ISNUMBER(F963)),NOT(ISNUMBER(G963))),"",3958.7613*2*ASIN(MIN(1,SQRT(SIN(RADIANS(F963-'School Profile'!$K$4)/2)^2+COS(RADIANS('School Profile'!$K$4))*COS(RADIANS(F963))*SIN(RADIANS(G963-'School Profile'!$K$5)/2)^2))))</f>
        <v/>
      </c>
      <c r="N963" s="1" t="str">
        <f>IF(AND(H963="Yes",ISNUMBER(M963),M963&lt;=1),COUNTIFS($H$511:$H$1010,"Yes",$M$511:$M$1010,"&lt;"&amp;M963)+COUNTIFS($H$511:H963,"Yes",$M$511:M963,M963),"")</f>
        <v/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:40" ht="22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 t="str">
        <f>IF(OR(NOT(ISNUMBER('School Profile'!$K$4)),NOT(ISNUMBER('School Profile'!$K$5)),NOT(ISNUMBER(F964)),NOT(ISNUMBER(G964))),"",3958.7613*2*ASIN(MIN(1,SQRT(SIN(RADIANS(F964-'School Profile'!$K$4)/2)^2+COS(RADIANS('School Profile'!$K$4))*COS(RADIANS(F964))*SIN(RADIANS(G964-'School Profile'!$K$5)/2)^2))))</f>
        <v/>
      </c>
      <c r="N964" s="1" t="str">
        <f>IF(AND(H964="Yes",ISNUMBER(M964),M964&lt;=1),COUNTIFS($H$511:$H$1010,"Yes",$M$511:$M$1010,"&lt;"&amp;M964)+COUNTIFS($H$511:H964,"Yes",$M$511:M964,M964),"")</f>
        <v/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spans="1:40" ht="22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 t="str">
        <f>IF(OR(NOT(ISNUMBER('School Profile'!$K$4)),NOT(ISNUMBER('School Profile'!$K$5)),NOT(ISNUMBER(F965)),NOT(ISNUMBER(G965))),"",3958.7613*2*ASIN(MIN(1,SQRT(SIN(RADIANS(F965-'School Profile'!$K$4)/2)^2+COS(RADIANS('School Profile'!$K$4))*COS(RADIANS(F965))*SIN(RADIANS(G965-'School Profile'!$K$5)/2)^2))))</f>
        <v/>
      </c>
      <c r="N965" s="1" t="str">
        <f>IF(AND(H965="Yes",ISNUMBER(M965),M965&lt;=1),COUNTIFS($H$511:$H$1010,"Yes",$M$511:$M$1010,"&lt;"&amp;M965)+COUNTIFS($H$511:H965,"Yes",$M$511:M965,M965),"")</f>
        <v/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spans="1:40" ht="22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 t="str">
        <f>IF(OR(NOT(ISNUMBER('School Profile'!$K$4)),NOT(ISNUMBER('School Profile'!$K$5)),NOT(ISNUMBER(F966)),NOT(ISNUMBER(G966))),"",3958.7613*2*ASIN(MIN(1,SQRT(SIN(RADIANS(F966-'School Profile'!$K$4)/2)^2+COS(RADIANS('School Profile'!$K$4))*COS(RADIANS(F966))*SIN(RADIANS(G966-'School Profile'!$K$5)/2)^2))))</f>
        <v/>
      </c>
      <c r="N966" s="1" t="str">
        <f>IF(AND(H966="Yes",ISNUMBER(M966),M966&lt;=1),COUNTIFS($H$511:$H$1010,"Yes",$M$511:$M$1010,"&lt;"&amp;M966)+COUNTIFS($H$511:H966,"Yes",$M$511:M966,M966),"")</f>
        <v/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:40" ht="2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 t="str">
        <f>IF(OR(NOT(ISNUMBER('School Profile'!$K$4)),NOT(ISNUMBER('School Profile'!$K$5)),NOT(ISNUMBER(F967)),NOT(ISNUMBER(G967))),"",3958.7613*2*ASIN(MIN(1,SQRT(SIN(RADIANS(F967-'School Profile'!$K$4)/2)^2+COS(RADIANS('School Profile'!$K$4))*COS(RADIANS(F967))*SIN(RADIANS(G967-'School Profile'!$K$5)/2)^2))))</f>
        <v/>
      </c>
      <c r="N967" s="1" t="str">
        <f>IF(AND(H967="Yes",ISNUMBER(M967),M967&lt;=1),COUNTIFS($H$511:$H$1010,"Yes",$M$511:$M$1010,"&lt;"&amp;M967)+COUNTIFS($H$511:H967,"Yes",$M$511:M967,M967),"")</f>
        <v/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spans="1:40" ht="22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 t="str">
        <f>IF(OR(NOT(ISNUMBER('School Profile'!$K$4)),NOT(ISNUMBER('School Profile'!$K$5)),NOT(ISNUMBER(F968)),NOT(ISNUMBER(G968))),"",3958.7613*2*ASIN(MIN(1,SQRT(SIN(RADIANS(F968-'School Profile'!$K$4)/2)^2+COS(RADIANS('School Profile'!$K$4))*COS(RADIANS(F968))*SIN(RADIANS(G968-'School Profile'!$K$5)/2)^2))))</f>
        <v/>
      </c>
      <c r="N968" s="1" t="str">
        <f>IF(AND(H968="Yes",ISNUMBER(M968),M968&lt;=1),COUNTIFS($H$511:$H$1010,"Yes",$M$511:$M$1010,"&lt;"&amp;M968)+COUNTIFS($H$511:H968,"Yes",$M$511:M968,M968),"")</f>
        <v/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spans="1:40" ht="22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 t="str">
        <f>IF(OR(NOT(ISNUMBER('School Profile'!$K$4)),NOT(ISNUMBER('School Profile'!$K$5)),NOT(ISNUMBER(F969)),NOT(ISNUMBER(G969))),"",3958.7613*2*ASIN(MIN(1,SQRT(SIN(RADIANS(F969-'School Profile'!$K$4)/2)^2+COS(RADIANS('School Profile'!$K$4))*COS(RADIANS(F969))*SIN(RADIANS(G969-'School Profile'!$K$5)/2)^2))))</f>
        <v/>
      </c>
      <c r="N969" s="1" t="str">
        <f>IF(AND(H969="Yes",ISNUMBER(M969),M969&lt;=1),COUNTIFS($H$511:$H$1010,"Yes",$M$511:$M$1010,"&lt;"&amp;M969)+COUNTIFS($H$511:H969,"Yes",$M$511:M969,M969),"")</f>
        <v/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spans="1:40" ht="2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 t="str">
        <f>IF(OR(NOT(ISNUMBER('School Profile'!$K$4)),NOT(ISNUMBER('School Profile'!$K$5)),NOT(ISNUMBER(F970)),NOT(ISNUMBER(G970))),"",3958.7613*2*ASIN(MIN(1,SQRT(SIN(RADIANS(F970-'School Profile'!$K$4)/2)^2+COS(RADIANS('School Profile'!$K$4))*COS(RADIANS(F970))*SIN(RADIANS(G970-'School Profile'!$K$5)/2)^2))))</f>
        <v/>
      </c>
      <c r="N970" s="1" t="str">
        <f>IF(AND(H970="Yes",ISNUMBER(M970),M970&lt;=1),COUNTIFS($H$511:$H$1010,"Yes",$M$511:$M$1010,"&lt;"&amp;M970)+COUNTIFS($H$511:H970,"Yes",$M$511:M970,M970),"")</f>
        <v/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spans="1:40" ht="22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 t="str">
        <f>IF(OR(NOT(ISNUMBER('School Profile'!$K$4)),NOT(ISNUMBER('School Profile'!$K$5)),NOT(ISNUMBER(F971)),NOT(ISNUMBER(G971))),"",3958.7613*2*ASIN(MIN(1,SQRT(SIN(RADIANS(F971-'School Profile'!$K$4)/2)^2+COS(RADIANS('School Profile'!$K$4))*COS(RADIANS(F971))*SIN(RADIANS(G971-'School Profile'!$K$5)/2)^2))))</f>
        <v/>
      </c>
      <c r="N971" s="1" t="str">
        <f>IF(AND(H971="Yes",ISNUMBER(M971),M971&lt;=1),COUNTIFS($H$511:$H$1010,"Yes",$M$511:$M$1010,"&lt;"&amp;M971)+COUNTIFS($H$511:H971,"Yes",$M$511:M971,M971),"")</f>
        <v/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spans="1:40" ht="22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 t="str">
        <f>IF(OR(NOT(ISNUMBER('School Profile'!$K$4)),NOT(ISNUMBER('School Profile'!$K$5)),NOT(ISNUMBER(F972)),NOT(ISNUMBER(G972))),"",3958.7613*2*ASIN(MIN(1,SQRT(SIN(RADIANS(F972-'School Profile'!$K$4)/2)^2+COS(RADIANS('School Profile'!$K$4))*COS(RADIANS(F972))*SIN(RADIANS(G972-'School Profile'!$K$5)/2)^2))))</f>
        <v/>
      </c>
      <c r="N972" s="1" t="str">
        <f>IF(AND(H972="Yes",ISNUMBER(M972),M972&lt;=1),COUNTIFS($H$511:$H$1010,"Yes",$M$511:$M$1010,"&lt;"&amp;M972)+COUNTIFS($H$511:H972,"Yes",$M$511:M972,M972),"")</f>
        <v/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spans="1:40" ht="22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 t="str">
        <f>IF(OR(NOT(ISNUMBER('School Profile'!$K$4)),NOT(ISNUMBER('School Profile'!$K$5)),NOT(ISNUMBER(F973)),NOT(ISNUMBER(G973))),"",3958.7613*2*ASIN(MIN(1,SQRT(SIN(RADIANS(F973-'School Profile'!$K$4)/2)^2+COS(RADIANS('School Profile'!$K$4))*COS(RADIANS(F973))*SIN(RADIANS(G973-'School Profile'!$K$5)/2)^2))))</f>
        <v/>
      </c>
      <c r="N973" s="1" t="str">
        <f>IF(AND(H973="Yes",ISNUMBER(M973),M973&lt;=1),COUNTIFS($H$511:$H$1010,"Yes",$M$511:$M$1010,"&lt;"&amp;M973)+COUNTIFS($H$511:H973,"Yes",$M$511:M973,M973),"")</f>
        <v/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:40" ht="22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 t="str">
        <f>IF(OR(NOT(ISNUMBER('School Profile'!$K$4)),NOT(ISNUMBER('School Profile'!$K$5)),NOT(ISNUMBER(F974)),NOT(ISNUMBER(G974))),"",3958.7613*2*ASIN(MIN(1,SQRT(SIN(RADIANS(F974-'School Profile'!$K$4)/2)^2+COS(RADIANS('School Profile'!$K$4))*COS(RADIANS(F974))*SIN(RADIANS(G974-'School Profile'!$K$5)/2)^2))))</f>
        <v/>
      </c>
      <c r="N974" s="1" t="str">
        <f>IF(AND(H974="Yes",ISNUMBER(M974),M974&lt;=1),COUNTIFS($H$511:$H$1010,"Yes",$M$511:$M$1010,"&lt;"&amp;M974)+COUNTIFS($H$511:H974,"Yes",$M$511:M974,M974),"")</f>
        <v/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spans="1:40" ht="2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 t="str">
        <f>IF(OR(NOT(ISNUMBER('School Profile'!$K$4)),NOT(ISNUMBER('School Profile'!$K$5)),NOT(ISNUMBER(F975)),NOT(ISNUMBER(G975))),"",3958.7613*2*ASIN(MIN(1,SQRT(SIN(RADIANS(F975-'School Profile'!$K$4)/2)^2+COS(RADIANS('School Profile'!$K$4))*COS(RADIANS(F975))*SIN(RADIANS(G975-'School Profile'!$K$5)/2)^2))))</f>
        <v/>
      </c>
      <c r="N975" s="1" t="str">
        <f>IF(AND(H975="Yes",ISNUMBER(M975),M975&lt;=1),COUNTIFS($H$511:$H$1010,"Yes",$M$511:$M$1010,"&lt;"&amp;M975)+COUNTIFS($H$511:H975,"Yes",$M$511:M975,M975),"")</f>
        <v/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spans="1:40" ht="22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 t="str">
        <f>IF(OR(NOT(ISNUMBER('School Profile'!$K$4)),NOT(ISNUMBER('School Profile'!$K$5)),NOT(ISNUMBER(F976)),NOT(ISNUMBER(G976))),"",3958.7613*2*ASIN(MIN(1,SQRT(SIN(RADIANS(F976-'School Profile'!$K$4)/2)^2+COS(RADIANS('School Profile'!$K$4))*COS(RADIANS(F976))*SIN(RADIANS(G976-'School Profile'!$K$5)/2)^2))))</f>
        <v/>
      </c>
      <c r="N976" s="1" t="str">
        <f>IF(AND(H976="Yes",ISNUMBER(M976),M976&lt;=1),COUNTIFS($H$511:$H$1010,"Yes",$M$511:$M$1010,"&lt;"&amp;M976)+COUNTIFS($H$511:H976,"Yes",$M$511:M976,M976),"")</f>
        <v/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spans="1:40" ht="22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 t="str">
        <f>IF(OR(NOT(ISNUMBER('School Profile'!$K$4)),NOT(ISNUMBER('School Profile'!$K$5)),NOT(ISNUMBER(F977)),NOT(ISNUMBER(G977))),"",3958.7613*2*ASIN(MIN(1,SQRT(SIN(RADIANS(F977-'School Profile'!$K$4)/2)^2+COS(RADIANS('School Profile'!$K$4))*COS(RADIANS(F977))*SIN(RADIANS(G977-'School Profile'!$K$5)/2)^2))))</f>
        <v/>
      </c>
      <c r="N977" s="1" t="str">
        <f>IF(AND(H977="Yes",ISNUMBER(M977),M977&lt;=1),COUNTIFS($H$511:$H$1010,"Yes",$M$511:$M$1010,"&lt;"&amp;M977)+COUNTIFS($H$511:H977,"Yes",$M$511:M977,M977),"")</f>
        <v/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spans="1:40" ht="22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 t="str">
        <f>IF(OR(NOT(ISNUMBER('School Profile'!$K$4)),NOT(ISNUMBER('School Profile'!$K$5)),NOT(ISNUMBER(F978)),NOT(ISNUMBER(G978))),"",3958.7613*2*ASIN(MIN(1,SQRT(SIN(RADIANS(F978-'School Profile'!$K$4)/2)^2+COS(RADIANS('School Profile'!$K$4))*COS(RADIANS(F978))*SIN(RADIANS(G978-'School Profile'!$K$5)/2)^2))))</f>
        <v/>
      </c>
      <c r="N978" s="1" t="str">
        <f>IF(AND(H978="Yes",ISNUMBER(M978),M978&lt;=1),COUNTIFS($H$511:$H$1010,"Yes",$M$511:$M$1010,"&lt;"&amp;M978)+COUNTIFS($H$511:H978,"Yes",$M$511:M978,M978),"")</f>
        <v/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spans="1:40" ht="2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 t="str">
        <f>IF(OR(NOT(ISNUMBER('School Profile'!$K$4)),NOT(ISNUMBER('School Profile'!$K$5)),NOT(ISNUMBER(F979)),NOT(ISNUMBER(G979))),"",3958.7613*2*ASIN(MIN(1,SQRT(SIN(RADIANS(F979-'School Profile'!$K$4)/2)^2+COS(RADIANS('School Profile'!$K$4))*COS(RADIANS(F979))*SIN(RADIANS(G979-'School Profile'!$K$5)/2)^2))))</f>
        <v/>
      </c>
      <c r="N979" s="1" t="str">
        <f>IF(AND(H979="Yes",ISNUMBER(M979),M979&lt;=1),COUNTIFS($H$511:$H$1010,"Yes",$M$511:$M$1010,"&lt;"&amp;M979)+COUNTIFS($H$511:H979,"Yes",$M$511:M979,M979),"")</f>
        <v/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spans="1:40" ht="22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 t="str">
        <f>IF(OR(NOT(ISNUMBER('School Profile'!$K$4)),NOT(ISNUMBER('School Profile'!$K$5)),NOT(ISNUMBER(F980)),NOT(ISNUMBER(G980))),"",3958.7613*2*ASIN(MIN(1,SQRT(SIN(RADIANS(F980-'School Profile'!$K$4)/2)^2+COS(RADIANS('School Profile'!$K$4))*COS(RADIANS(F980))*SIN(RADIANS(G980-'School Profile'!$K$5)/2)^2))))</f>
        <v/>
      </c>
      <c r="N980" s="1" t="str">
        <f>IF(AND(H980="Yes",ISNUMBER(M980),M980&lt;=1),COUNTIFS($H$511:$H$1010,"Yes",$M$511:$M$1010,"&lt;"&amp;M980)+COUNTIFS($H$511:H980,"Yes",$M$511:M980,M980),"")</f>
        <v/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spans="1:40" ht="22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 t="str">
        <f>IF(OR(NOT(ISNUMBER('School Profile'!$K$4)),NOT(ISNUMBER('School Profile'!$K$5)),NOT(ISNUMBER(F981)),NOT(ISNUMBER(G981))),"",3958.7613*2*ASIN(MIN(1,SQRT(SIN(RADIANS(F981-'School Profile'!$K$4)/2)^2+COS(RADIANS('School Profile'!$K$4))*COS(RADIANS(F981))*SIN(RADIANS(G981-'School Profile'!$K$5)/2)^2))))</f>
        <v/>
      </c>
      <c r="N981" s="1" t="str">
        <f>IF(AND(H981="Yes",ISNUMBER(M981),M981&lt;=1),COUNTIFS($H$511:$H$1010,"Yes",$M$511:$M$1010,"&lt;"&amp;M981)+COUNTIFS($H$511:H981,"Yes",$M$511:M981,M981),"")</f>
        <v/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spans="1:40" ht="22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 t="str">
        <f>IF(OR(NOT(ISNUMBER('School Profile'!$K$4)),NOT(ISNUMBER('School Profile'!$K$5)),NOT(ISNUMBER(F982)),NOT(ISNUMBER(G982))),"",3958.7613*2*ASIN(MIN(1,SQRT(SIN(RADIANS(F982-'School Profile'!$K$4)/2)^2+COS(RADIANS('School Profile'!$K$4))*COS(RADIANS(F982))*SIN(RADIANS(G982-'School Profile'!$K$5)/2)^2))))</f>
        <v/>
      </c>
      <c r="N982" s="1" t="str">
        <f>IF(AND(H982="Yes",ISNUMBER(M982),M982&lt;=1),COUNTIFS($H$511:$H$1010,"Yes",$M$511:$M$1010,"&lt;"&amp;M982)+COUNTIFS($H$511:H982,"Yes",$M$511:M982,M982),"")</f>
        <v/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spans="1:40" ht="22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 t="str">
        <f>IF(OR(NOT(ISNUMBER('School Profile'!$K$4)),NOT(ISNUMBER('School Profile'!$K$5)),NOT(ISNUMBER(F983)),NOT(ISNUMBER(G983))),"",3958.7613*2*ASIN(MIN(1,SQRT(SIN(RADIANS(F983-'School Profile'!$K$4)/2)^2+COS(RADIANS('School Profile'!$K$4))*COS(RADIANS(F983))*SIN(RADIANS(G983-'School Profile'!$K$5)/2)^2))))</f>
        <v/>
      </c>
      <c r="N983" s="1" t="str">
        <f>IF(AND(H983="Yes",ISNUMBER(M983),M983&lt;=1),COUNTIFS($H$511:$H$1010,"Yes",$M$511:$M$1010,"&lt;"&amp;M983)+COUNTIFS($H$511:H983,"Yes",$M$511:M983,M983),"")</f>
        <v/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spans="1:40" ht="22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 t="str">
        <f>IF(OR(NOT(ISNUMBER('School Profile'!$K$4)),NOT(ISNUMBER('School Profile'!$K$5)),NOT(ISNUMBER(F984)),NOT(ISNUMBER(G984))),"",3958.7613*2*ASIN(MIN(1,SQRT(SIN(RADIANS(F984-'School Profile'!$K$4)/2)^2+COS(RADIANS('School Profile'!$K$4))*COS(RADIANS(F984))*SIN(RADIANS(G984-'School Profile'!$K$5)/2)^2))))</f>
        <v/>
      </c>
      <c r="N984" s="1" t="str">
        <f>IF(AND(H984="Yes",ISNUMBER(M984),M984&lt;=1),COUNTIFS($H$511:$H$1010,"Yes",$M$511:$M$1010,"&lt;"&amp;M984)+COUNTIFS($H$511:H984,"Yes",$M$511:M984,M984),"")</f>
        <v/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spans="1:40" ht="22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 t="str">
        <f>IF(OR(NOT(ISNUMBER('School Profile'!$K$4)),NOT(ISNUMBER('School Profile'!$K$5)),NOT(ISNUMBER(F985)),NOT(ISNUMBER(G985))),"",3958.7613*2*ASIN(MIN(1,SQRT(SIN(RADIANS(F985-'School Profile'!$K$4)/2)^2+COS(RADIANS('School Profile'!$K$4))*COS(RADIANS(F985))*SIN(RADIANS(G985-'School Profile'!$K$5)/2)^2))))</f>
        <v/>
      </c>
      <c r="N985" s="1" t="str">
        <f>IF(AND(H985="Yes",ISNUMBER(M985),M985&lt;=1),COUNTIFS($H$511:$H$1010,"Yes",$M$511:$M$1010,"&lt;"&amp;M985)+COUNTIFS($H$511:H985,"Yes",$M$511:M985,M985),"")</f>
        <v/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spans="1:40" ht="22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 t="str">
        <f>IF(OR(NOT(ISNUMBER('School Profile'!$K$4)),NOT(ISNUMBER('School Profile'!$K$5)),NOT(ISNUMBER(F986)),NOT(ISNUMBER(G986))),"",3958.7613*2*ASIN(MIN(1,SQRT(SIN(RADIANS(F986-'School Profile'!$K$4)/2)^2+COS(RADIANS('School Profile'!$K$4))*COS(RADIANS(F986))*SIN(RADIANS(G986-'School Profile'!$K$5)/2)^2))))</f>
        <v/>
      </c>
      <c r="N986" s="1" t="str">
        <f>IF(AND(H986="Yes",ISNUMBER(M986),M986&lt;=1),COUNTIFS($H$511:$H$1010,"Yes",$M$511:$M$1010,"&lt;"&amp;M986)+COUNTIFS($H$511:H986,"Yes",$M$511:M986,M986),"")</f>
        <v/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spans="1:40" ht="22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 t="str">
        <f>IF(OR(NOT(ISNUMBER('School Profile'!$K$4)),NOT(ISNUMBER('School Profile'!$K$5)),NOT(ISNUMBER(F987)),NOT(ISNUMBER(G987))),"",3958.7613*2*ASIN(MIN(1,SQRT(SIN(RADIANS(F987-'School Profile'!$K$4)/2)^2+COS(RADIANS('School Profile'!$K$4))*COS(RADIANS(F987))*SIN(RADIANS(G987-'School Profile'!$K$5)/2)^2))))</f>
        <v/>
      </c>
      <c r="N987" s="1" t="str">
        <f>IF(AND(H987="Yes",ISNUMBER(M987),M987&lt;=1),COUNTIFS($H$511:$H$1010,"Yes",$M$511:$M$1010,"&lt;"&amp;M987)+COUNTIFS($H$511:H987,"Yes",$M$511:M987,M987),"")</f>
        <v/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spans="1:40" ht="22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 t="str">
        <f>IF(OR(NOT(ISNUMBER('School Profile'!$K$4)),NOT(ISNUMBER('School Profile'!$K$5)),NOT(ISNUMBER(F988)),NOT(ISNUMBER(G988))),"",3958.7613*2*ASIN(MIN(1,SQRT(SIN(RADIANS(F988-'School Profile'!$K$4)/2)^2+COS(RADIANS('School Profile'!$K$4))*COS(RADIANS(F988))*SIN(RADIANS(G988-'School Profile'!$K$5)/2)^2))))</f>
        <v/>
      </c>
      <c r="N988" s="1" t="str">
        <f>IF(AND(H988="Yes",ISNUMBER(M988),M988&lt;=1),COUNTIFS($H$511:$H$1010,"Yes",$M$511:$M$1010,"&lt;"&amp;M988)+COUNTIFS($H$511:H988,"Yes",$M$511:M988,M988),"")</f>
        <v/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spans="1:40" ht="22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 t="str">
        <f>IF(OR(NOT(ISNUMBER('School Profile'!$K$4)),NOT(ISNUMBER('School Profile'!$K$5)),NOT(ISNUMBER(F989)),NOT(ISNUMBER(G989))),"",3958.7613*2*ASIN(MIN(1,SQRT(SIN(RADIANS(F989-'School Profile'!$K$4)/2)^2+COS(RADIANS('School Profile'!$K$4))*COS(RADIANS(F989))*SIN(RADIANS(G989-'School Profile'!$K$5)/2)^2))))</f>
        <v/>
      </c>
      <c r="N989" s="1" t="str">
        <f>IF(AND(H989="Yes",ISNUMBER(M989),M989&lt;=1),COUNTIFS($H$511:$H$1010,"Yes",$M$511:$M$1010,"&lt;"&amp;M989)+COUNTIFS($H$511:H989,"Yes",$M$511:M989,M989),"")</f>
        <v/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spans="1:40" ht="22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 t="str">
        <f>IF(OR(NOT(ISNUMBER('School Profile'!$K$4)),NOT(ISNUMBER('School Profile'!$K$5)),NOT(ISNUMBER(F990)),NOT(ISNUMBER(G990))),"",3958.7613*2*ASIN(MIN(1,SQRT(SIN(RADIANS(F990-'School Profile'!$K$4)/2)^2+COS(RADIANS('School Profile'!$K$4))*COS(RADIANS(F990))*SIN(RADIANS(G990-'School Profile'!$K$5)/2)^2))))</f>
        <v/>
      </c>
      <c r="N990" s="1" t="str">
        <f>IF(AND(H990="Yes",ISNUMBER(M990),M990&lt;=1),COUNTIFS($H$511:$H$1010,"Yes",$M$511:$M$1010,"&lt;"&amp;M990)+COUNTIFS($H$511:H990,"Yes",$M$511:M990,M990),"")</f>
        <v/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spans="1:40" ht="22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 t="str">
        <f>IF(OR(NOT(ISNUMBER('School Profile'!$K$4)),NOT(ISNUMBER('School Profile'!$K$5)),NOT(ISNUMBER(F991)),NOT(ISNUMBER(G991))),"",3958.7613*2*ASIN(MIN(1,SQRT(SIN(RADIANS(F991-'School Profile'!$K$4)/2)^2+COS(RADIANS('School Profile'!$K$4))*COS(RADIANS(F991))*SIN(RADIANS(G991-'School Profile'!$K$5)/2)^2))))</f>
        <v/>
      </c>
      <c r="N991" s="1" t="str">
        <f>IF(AND(H991="Yes",ISNUMBER(M991),M991&lt;=1),COUNTIFS($H$511:$H$1010,"Yes",$M$511:$M$1010,"&lt;"&amp;M991)+COUNTIFS($H$511:H991,"Yes",$M$511:M991,M991),"")</f>
        <v/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spans="1:40" ht="22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 t="str">
        <f>IF(OR(NOT(ISNUMBER('School Profile'!$K$4)),NOT(ISNUMBER('School Profile'!$K$5)),NOT(ISNUMBER(F992)),NOT(ISNUMBER(G992))),"",3958.7613*2*ASIN(MIN(1,SQRT(SIN(RADIANS(F992-'School Profile'!$K$4)/2)^2+COS(RADIANS('School Profile'!$K$4))*COS(RADIANS(F992))*SIN(RADIANS(G992-'School Profile'!$K$5)/2)^2))))</f>
        <v/>
      </c>
      <c r="N992" s="1" t="str">
        <f>IF(AND(H992="Yes",ISNUMBER(M992),M992&lt;=1),COUNTIFS($H$511:$H$1010,"Yes",$M$511:$M$1010,"&lt;"&amp;M992)+COUNTIFS($H$511:H992,"Yes",$M$511:M992,M992),"")</f>
        <v/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spans="1:40" ht="22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 t="str">
        <f>IF(OR(NOT(ISNUMBER('School Profile'!$K$4)),NOT(ISNUMBER('School Profile'!$K$5)),NOT(ISNUMBER(F993)),NOT(ISNUMBER(G993))),"",3958.7613*2*ASIN(MIN(1,SQRT(SIN(RADIANS(F993-'School Profile'!$K$4)/2)^2+COS(RADIANS('School Profile'!$K$4))*COS(RADIANS(F993))*SIN(RADIANS(G993-'School Profile'!$K$5)/2)^2))))</f>
        <v/>
      </c>
      <c r="N993" s="1" t="str">
        <f>IF(AND(H993="Yes",ISNUMBER(M993),M993&lt;=1),COUNTIFS($H$511:$H$1010,"Yes",$M$511:$M$1010,"&lt;"&amp;M993)+COUNTIFS($H$511:H993,"Yes",$M$511:M993,M993),"")</f>
        <v/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spans="1:40" ht="22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 t="str">
        <f>IF(OR(NOT(ISNUMBER('School Profile'!$K$4)),NOT(ISNUMBER('School Profile'!$K$5)),NOT(ISNUMBER(F994)),NOT(ISNUMBER(G994))),"",3958.7613*2*ASIN(MIN(1,SQRT(SIN(RADIANS(F994-'School Profile'!$K$4)/2)^2+COS(RADIANS('School Profile'!$K$4))*COS(RADIANS(F994))*SIN(RADIANS(G994-'School Profile'!$K$5)/2)^2))))</f>
        <v/>
      </c>
      <c r="N994" s="1" t="str">
        <f>IF(AND(H994="Yes",ISNUMBER(M994),M994&lt;=1),COUNTIFS($H$511:$H$1010,"Yes",$M$511:$M$1010,"&lt;"&amp;M994)+COUNTIFS($H$511:H994,"Yes",$M$511:M994,M994),"")</f>
        <v/>
      </c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spans="1:40" ht="22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 t="str">
        <f>IF(OR(NOT(ISNUMBER('School Profile'!$K$4)),NOT(ISNUMBER('School Profile'!$K$5)),NOT(ISNUMBER(F995)),NOT(ISNUMBER(G995))),"",3958.7613*2*ASIN(MIN(1,SQRT(SIN(RADIANS(F995-'School Profile'!$K$4)/2)^2+COS(RADIANS('School Profile'!$K$4))*COS(RADIANS(F995))*SIN(RADIANS(G995-'School Profile'!$K$5)/2)^2))))</f>
        <v/>
      </c>
      <c r="N995" s="1" t="str">
        <f>IF(AND(H995="Yes",ISNUMBER(M995),M995&lt;=1),COUNTIFS($H$511:$H$1010,"Yes",$M$511:$M$1010,"&lt;"&amp;M995)+COUNTIFS($H$511:H995,"Yes",$M$511:M995,M995),"")</f>
        <v/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spans="1:40" ht="22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 t="str">
        <f>IF(OR(NOT(ISNUMBER('School Profile'!$K$4)),NOT(ISNUMBER('School Profile'!$K$5)),NOT(ISNUMBER(F996)),NOT(ISNUMBER(G996))),"",3958.7613*2*ASIN(MIN(1,SQRT(SIN(RADIANS(F996-'School Profile'!$K$4)/2)^2+COS(RADIANS('School Profile'!$K$4))*COS(RADIANS(F996))*SIN(RADIANS(G996-'School Profile'!$K$5)/2)^2))))</f>
        <v/>
      </c>
      <c r="N996" s="1" t="str">
        <f>IF(AND(H996="Yes",ISNUMBER(M996),M996&lt;=1),COUNTIFS($H$511:$H$1010,"Yes",$M$511:$M$1010,"&lt;"&amp;M996)+COUNTIFS($H$511:H996,"Yes",$M$511:M996,M996),"")</f>
        <v/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spans="1:40" ht="22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 t="str">
        <f>IF(OR(NOT(ISNUMBER('School Profile'!$K$4)),NOT(ISNUMBER('School Profile'!$K$5)),NOT(ISNUMBER(F997)),NOT(ISNUMBER(G997))),"",3958.7613*2*ASIN(MIN(1,SQRT(SIN(RADIANS(F997-'School Profile'!$K$4)/2)^2+COS(RADIANS('School Profile'!$K$4))*COS(RADIANS(F997))*SIN(RADIANS(G997-'School Profile'!$K$5)/2)^2))))</f>
        <v/>
      </c>
      <c r="N997" s="1" t="str">
        <f>IF(AND(H997="Yes",ISNUMBER(M997),M997&lt;=1),COUNTIFS($H$511:$H$1010,"Yes",$M$511:$M$1010,"&lt;"&amp;M997)+COUNTIFS($H$511:H997,"Yes",$M$511:M997,M997),"")</f>
        <v/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spans="1:40" ht="22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 t="str">
        <f>IF(OR(NOT(ISNUMBER('School Profile'!$K$4)),NOT(ISNUMBER('School Profile'!$K$5)),NOT(ISNUMBER(F998)),NOT(ISNUMBER(G998))),"",3958.7613*2*ASIN(MIN(1,SQRT(SIN(RADIANS(F998-'School Profile'!$K$4)/2)^2+COS(RADIANS('School Profile'!$K$4))*COS(RADIANS(F998))*SIN(RADIANS(G998-'School Profile'!$K$5)/2)^2))))</f>
        <v/>
      </c>
      <c r="N998" s="1" t="str">
        <f>IF(AND(H998="Yes",ISNUMBER(M998),M998&lt;=1),COUNTIFS($H$511:$H$1010,"Yes",$M$511:$M$1010,"&lt;"&amp;M998)+COUNTIFS($H$511:H998,"Yes",$M$511:M998,M998),"")</f>
        <v/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spans="1:40" ht="22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 t="str">
        <f>IF(OR(NOT(ISNUMBER('School Profile'!$K$4)),NOT(ISNUMBER('School Profile'!$K$5)),NOT(ISNUMBER(F999)),NOT(ISNUMBER(G999))),"",3958.7613*2*ASIN(MIN(1,SQRT(SIN(RADIANS(F999-'School Profile'!$K$4)/2)^2+COS(RADIANS('School Profile'!$K$4))*COS(RADIANS(F999))*SIN(RADIANS(G999-'School Profile'!$K$5)/2)^2))))</f>
        <v/>
      </c>
      <c r="N999" s="1" t="str">
        <f>IF(AND(H999="Yes",ISNUMBER(M999),M999&lt;=1),COUNTIFS($H$511:$H$1010,"Yes",$M$511:$M$1010,"&lt;"&amp;M999)+COUNTIFS($H$511:H999,"Yes",$M$511:M999,M999),"")</f>
        <v/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spans="1:40" ht="22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 t="str">
        <f>IF(OR(NOT(ISNUMBER('School Profile'!$K$4)),NOT(ISNUMBER('School Profile'!$K$5)),NOT(ISNUMBER(F1000)),NOT(ISNUMBER(G1000))),"",3958.7613*2*ASIN(MIN(1,SQRT(SIN(RADIANS(F1000-'School Profile'!$K$4)/2)^2+COS(RADIANS('School Profile'!$K$4))*COS(RADIANS(F1000))*SIN(RADIANS(G1000-'School Profile'!$K$5)/2)^2))))</f>
        <v/>
      </c>
      <c r="N1000" s="1" t="str">
        <f>IF(AND(H1000="Yes",ISNUMBER(M1000),M1000&lt;=1),COUNTIFS($H$511:$H$1010,"Yes",$M$511:$M$1010,"&lt;"&amp;M1000)+COUNTIFS($H$511:H1000,"Yes",$M$511:M1000,M1000),"")</f>
        <v/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  <row r="1001" spans="1:40" ht="22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 t="str">
        <f>IF(OR(NOT(ISNUMBER('School Profile'!$K$4)),NOT(ISNUMBER('School Profile'!$K$5)),NOT(ISNUMBER(F1001)),NOT(ISNUMBER(G1001))),"",3958.7613*2*ASIN(MIN(1,SQRT(SIN(RADIANS(F1001-'School Profile'!$K$4)/2)^2+COS(RADIANS('School Profile'!$K$4))*COS(RADIANS(F1001))*SIN(RADIANS(G1001-'School Profile'!$K$5)/2)^2))))</f>
        <v/>
      </c>
      <c r="N1001" s="1" t="str">
        <f>IF(AND(H1001="Yes",ISNUMBER(M1001),M1001&lt;=1),COUNTIFS($H$511:$H$1010,"Yes",$M$511:$M$1010,"&lt;"&amp;M1001)+COUNTIFS($H$511:H1001,"Yes",$M$511:M1001,M1001),"")</f>
        <v/>
      </c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</row>
    <row r="1002" spans="1:40" ht="22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 t="str">
        <f>IF(OR(NOT(ISNUMBER('School Profile'!$K$4)),NOT(ISNUMBER('School Profile'!$K$5)),NOT(ISNUMBER(F1002)),NOT(ISNUMBER(G1002))),"",3958.7613*2*ASIN(MIN(1,SQRT(SIN(RADIANS(F1002-'School Profile'!$K$4)/2)^2+COS(RADIANS('School Profile'!$K$4))*COS(RADIANS(F1002))*SIN(RADIANS(G1002-'School Profile'!$K$5)/2)^2))))</f>
        <v/>
      </c>
      <c r="N1002" s="1" t="str">
        <f>IF(AND(H1002="Yes",ISNUMBER(M1002),M1002&lt;=1),COUNTIFS($H$511:$H$1010,"Yes",$M$511:$M$1010,"&lt;"&amp;M1002)+COUNTIFS($H$511:H1002,"Yes",$M$511:M1002,M1002),"")</f>
        <v/>
      </c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</row>
    <row r="1003" spans="1:40" ht="22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 t="str">
        <f>IF(OR(NOT(ISNUMBER('School Profile'!$K$4)),NOT(ISNUMBER('School Profile'!$K$5)),NOT(ISNUMBER(F1003)),NOT(ISNUMBER(G1003))),"",3958.7613*2*ASIN(MIN(1,SQRT(SIN(RADIANS(F1003-'School Profile'!$K$4)/2)^2+COS(RADIANS('School Profile'!$K$4))*COS(RADIANS(F1003))*SIN(RADIANS(G1003-'School Profile'!$K$5)/2)^2))))</f>
        <v/>
      </c>
      <c r="N1003" s="1" t="str">
        <f>IF(AND(H1003="Yes",ISNUMBER(M1003),M1003&lt;=1),COUNTIFS($H$511:$H$1010,"Yes",$M$511:$M$1010,"&lt;"&amp;M1003)+COUNTIFS($H$511:H1003,"Yes",$M$511:M1003,M1003),"")</f>
        <v/>
      </c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</row>
    <row r="1004" spans="1:40" ht="22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 t="str">
        <f>IF(OR(NOT(ISNUMBER('School Profile'!$K$4)),NOT(ISNUMBER('School Profile'!$K$5)),NOT(ISNUMBER(F1004)),NOT(ISNUMBER(G1004))),"",3958.7613*2*ASIN(MIN(1,SQRT(SIN(RADIANS(F1004-'School Profile'!$K$4)/2)^2+COS(RADIANS('School Profile'!$K$4))*COS(RADIANS(F1004))*SIN(RADIANS(G1004-'School Profile'!$K$5)/2)^2))))</f>
        <v/>
      </c>
      <c r="N1004" s="1" t="str">
        <f>IF(AND(H1004="Yes",ISNUMBER(M1004),M1004&lt;=1),COUNTIFS($H$511:$H$1010,"Yes",$M$511:$M$1010,"&lt;"&amp;M1004)+COUNTIFS($H$511:H1004,"Yes",$M$511:M1004,M1004),"")</f>
        <v/>
      </c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</row>
    <row r="1005" spans="1:40" ht="22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 t="str">
        <f>IF(OR(NOT(ISNUMBER('School Profile'!$K$4)),NOT(ISNUMBER('School Profile'!$K$5)),NOT(ISNUMBER(F1005)),NOT(ISNUMBER(G1005))),"",3958.7613*2*ASIN(MIN(1,SQRT(SIN(RADIANS(F1005-'School Profile'!$K$4)/2)^2+COS(RADIANS('School Profile'!$K$4))*COS(RADIANS(F1005))*SIN(RADIANS(G1005-'School Profile'!$K$5)/2)^2))))</f>
        <v/>
      </c>
      <c r="N1005" s="1" t="str">
        <f>IF(AND(H1005="Yes",ISNUMBER(M1005),M1005&lt;=1),COUNTIFS($H$511:$H$1010,"Yes",$M$511:$M$1010,"&lt;"&amp;M1005)+COUNTIFS($H$511:H1005,"Yes",$M$511:M1005,M1005),"")</f>
        <v/>
      </c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</row>
    <row r="1006" spans="1:40" ht="22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 t="str">
        <f>IF(OR(NOT(ISNUMBER('School Profile'!$K$4)),NOT(ISNUMBER('School Profile'!$K$5)),NOT(ISNUMBER(F1006)),NOT(ISNUMBER(G1006))),"",3958.7613*2*ASIN(MIN(1,SQRT(SIN(RADIANS(F1006-'School Profile'!$K$4)/2)^2+COS(RADIANS('School Profile'!$K$4))*COS(RADIANS(F1006))*SIN(RADIANS(G1006-'School Profile'!$K$5)/2)^2))))</f>
        <v/>
      </c>
      <c r="N1006" s="1" t="str">
        <f>IF(AND(H1006="Yes",ISNUMBER(M1006),M1006&lt;=1),COUNTIFS($H$511:$H$1010,"Yes",$M$511:$M$1010,"&lt;"&amp;M1006)+COUNTIFS($H$511:H1006,"Yes",$M$511:M1006,M1006),"")</f>
        <v/>
      </c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</row>
    <row r="1007" spans="1:40" ht="22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 t="str">
        <f>IF(OR(NOT(ISNUMBER('School Profile'!$K$4)),NOT(ISNUMBER('School Profile'!$K$5)),NOT(ISNUMBER(F1007)),NOT(ISNUMBER(G1007))),"",3958.7613*2*ASIN(MIN(1,SQRT(SIN(RADIANS(F1007-'School Profile'!$K$4)/2)^2+COS(RADIANS('School Profile'!$K$4))*COS(RADIANS(F1007))*SIN(RADIANS(G1007-'School Profile'!$K$5)/2)^2))))</f>
        <v/>
      </c>
      <c r="N1007" s="1" t="str">
        <f>IF(AND(H1007="Yes",ISNUMBER(M1007),M1007&lt;=1),COUNTIFS($H$511:$H$1010,"Yes",$M$511:$M$1010,"&lt;"&amp;M1007)+COUNTIFS($H$511:H1007,"Yes",$M$511:M1007,M1007),"")</f>
        <v/>
      </c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</row>
    <row r="1008" spans="1:40" ht="22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 t="str">
        <f>IF(OR(NOT(ISNUMBER('School Profile'!$K$4)),NOT(ISNUMBER('School Profile'!$K$5)),NOT(ISNUMBER(F1008)),NOT(ISNUMBER(G1008))),"",3958.7613*2*ASIN(MIN(1,SQRT(SIN(RADIANS(F1008-'School Profile'!$K$4)/2)^2+COS(RADIANS('School Profile'!$K$4))*COS(RADIANS(F1008))*SIN(RADIANS(G1008-'School Profile'!$K$5)/2)^2))))</f>
        <v/>
      </c>
      <c r="N1008" s="1" t="str">
        <f>IF(AND(H1008="Yes",ISNUMBER(M1008),M1008&lt;=1),COUNTIFS($H$511:$H$1010,"Yes",$M$511:$M$1010,"&lt;"&amp;M1008)+COUNTIFS($H$511:H1008,"Yes",$M$511:M1008,M1008),"")</f>
        <v/>
      </c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</row>
    <row r="1009" spans="1:40" ht="22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 t="str">
        <f>IF(OR(NOT(ISNUMBER('School Profile'!$K$4)),NOT(ISNUMBER('School Profile'!$K$5)),NOT(ISNUMBER(F1009)),NOT(ISNUMBER(G1009))),"",3958.7613*2*ASIN(MIN(1,SQRT(SIN(RADIANS(F1009-'School Profile'!$K$4)/2)^2+COS(RADIANS('School Profile'!$K$4))*COS(RADIANS(F1009))*SIN(RADIANS(G1009-'School Profile'!$K$5)/2)^2))))</f>
        <v/>
      </c>
      <c r="N1009" s="1" t="str">
        <f>IF(AND(H1009="Yes",ISNUMBER(M1009),M1009&lt;=1),COUNTIFS($H$511:$H$1010,"Yes",$M$511:$M$1010,"&lt;"&amp;M1009)+COUNTIFS($H$511:H1009,"Yes",$M$511:M1009,M1009),"")</f>
        <v/>
      </c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</row>
    <row r="1010" spans="1:40" ht="22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 t="str">
        <f>IF(OR(NOT(ISNUMBER('School Profile'!$K$4)),NOT(ISNUMBER('School Profile'!$K$5)),NOT(ISNUMBER(F1010)),NOT(ISNUMBER(G1010))),"",3958.7613*2*ASIN(MIN(1,SQRT(SIN(RADIANS(F1010-'School Profile'!$K$4)/2)^2+COS(RADIANS('School Profile'!$K$4))*COS(RADIANS(F1010))*SIN(RADIANS(G1010-'School Profile'!$K$5)/2)^2))))</f>
        <v/>
      </c>
      <c r="N1010" s="1" t="str">
        <f>IF(AND(H1010="Yes",ISNUMBER(M1010),M1010&lt;=1),COUNTIFS($H$511:$H$1010,"Yes",$M$511:$M$1010,"&lt;"&amp;M1010)+COUNTIFS($H$511:H1010,"Yes",$M$511:M1010,M1010),"")</f>
        <v/>
      </c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</row>
    <row r="1011" spans="1:40" ht="22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</row>
    <row r="1012" spans="1:40" ht="22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</row>
    <row r="1013" spans="1:40" ht="22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</row>
    <row r="1014" spans="1:40" ht="22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</row>
    <row r="1015" spans="1:40" ht="22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</row>
    <row r="1016" spans="1:40" ht="22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</row>
    <row r="1017" spans="1:40" ht="22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</row>
    <row r="1018" spans="1:40" ht="22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</row>
    <row r="1019" spans="1:40" ht="22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</row>
    <row r="1020" spans="1:40" ht="34" customHeight="1">
      <c r="A1020" s="5" t="s">
        <v>3140</v>
      </c>
      <c r="B1020" s="5" t="s">
        <v>3141</v>
      </c>
      <c r="C1020" s="5" t="s">
        <v>3142</v>
      </c>
      <c r="D1020" s="5" t="s">
        <v>70</v>
      </c>
      <c r="E1020" s="5" t="s">
        <v>422</v>
      </c>
      <c r="F1020" s="5" t="s">
        <v>3143</v>
      </c>
      <c r="G1020" s="5" t="s">
        <v>423</v>
      </c>
      <c r="H1020" s="5" t="s">
        <v>424</v>
      </c>
      <c r="I1020" s="5" t="s">
        <v>425</v>
      </c>
      <c r="J1020" s="5" t="s">
        <v>3144</v>
      </c>
      <c r="K1020" s="5" t="s">
        <v>428</v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</row>
    <row r="1021" spans="1:40" ht="22" customHeight="1">
      <c r="A1021" s="1" t="s">
        <v>3145</v>
      </c>
      <c r="B1021" s="1" t="s">
        <v>3146</v>
      </c>
      <c r="C1021" s="1" t="s">
        <v>3147</v>
      </c>
      <c r="D1021" s="1" t="s">
        <v>3148</v>
      </c>
      <c r="E1021" s="1" t="s">
        <v>3149</v>
      </c>
      <c r="F1021" s="1" t="s">
        <v>3150</v>
      </c>
      <c r="G1021" s="1" t="s">
        <v>626</v>
      </c>
      <c r="H1021" s="1">
        <v>39.977981999999997</v>
      </c>
      <c r="I1021" s="1">
        <v>-75.169548000000006</v>
      </c>
      <c r="J1021" s="1" t="s">
        <v>3151</v>
      </c>
      <c r="K1021" s="1" t="s">
        <v>442</v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</row>
    <row r="1022" spans="1:40" ht="22" customHeight="1">
      <c r="A1022" s="1" t="s">
        <v>3152</v>
      </c>
      <c r="B1022" s="1" t="s">
        <v>3153</v>
      </c>
      <c r="C1022" s="1" t="s">
        <v>3154</v>
      </c>
      <c r="D1022" s="1" t="s">
        <v>3155</v>
      </c>
      <c r="E1022" s="1" t="s">
        <v>3149</v>
      </c>
      <c r="F1022" s="1" t="s">
        <v>3150</v>
      </c>
      <c r="G1022" s="1" t="s">
        <v>581</v>
      </c>
      <c r="H1022" s="1">
        <v>39.913116000000002</v>
      </c>
      <c r="I1022" s="1">
        <v>-75.152068999999997</v>
      </c>
      <c r="J1022" s="1" t="s">
        <v>3151</v>
      </c>
      <c r="K1022" s="1" t="s">
        <v>442</v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</row>
    <row r="1023" spans="1:40" ht="22" customHeight="1">
      <c r="A1023" s="1" t="s">
        <v>3156</v>
      </c>
      <c r="B1023" s="1" t="s">
        <v>3157</v>
      </c>
      <c r="C1023" s="1" t="s">
        <v>3154</v>
      </c>
      <c r="D1023" s="1" t="s">
        <v>3158</v>
      </c>
      <c r="E1023" s="1" t="s">
        <v>3149</v>
      </c>
      <c r="F1023" s="1" t="s">
        <v>3150</v>
      </c>
      <c r="G1023" s="1" t="s">
        <v>581</v>
      </c>
      <c r="H1023" s="1">
        <v>39.912909999999997</v>
      </c>
      <c r="I1023" s="1">
        <v>-75.153617999999994</v>
      </c>
      <c r="J1023" s="1" t="s">
        <v>3151</v>
      </c>
      <c r="K1023" s="1" t="s">
        <v>442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</row>
    <row r="1024" spans="1:40" ht="22" customHeight="1">
      <c r="A1024" s="1" t="s">
        <v>3159</v>
      </c>
      <c r="B1024" s="1" t="s">
        <v>3160</v>
      </c>
      <c r="C1024" s="1" t="s">
        <v>3147</v>
      </c>
      <c r="D1024" s="1" t="s">
        <v>3161</v>
      </c>
      <c r="E1024" s="1" t="s">
        <v>3149</v>
      </c>
      <c r="F1024" s="1" t="s">
        <v>3150</v>
      </c>
      <c r="G1024" s="1" t="s">
        <v>780</v>
      </c>
      <c r="H1024" s="1">
        <v>40.032184999999998</v>
      </c>
      <c r="I1024" s="1">
        <v>-75.107094000000004</v>
      </c>
      <c r="J1024" s="1" t="s">
        <v>3151</v>
      </c>
      <c r="K1024" s="1" t="s">
        <v>442</v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</row>
    <row r="1025" spans="1:40" ht="22" customHeight="1">
      <c r="A1025" s="1" t="s">
        <v>3162</v>
      </c>
      <c r="B1025" s="1" t="s">
        <v>3163</v>
      </c>
      <c r="C1025" s="1" t="s">
        <v>3154</v>
      </c>
      <c r="D1025" s="1" t="s">
        <v>3164</v>
      </c>
      <c r="E1025" s="1" t="s">
        <v>3165</v>
      </c>
      <c r="F1025" s="1" t="s">
        <v>3150</v>
      </c>
      <c r="G1025" s="1" t="s">
        <v>3166</v>
      </c>
      <c r="H1025" s="1">
        <v>40.096432</v>
      </c>
      <c r="I1025" s="1">
        <v>-75.304778999999996</v>
      </c>
      <c r="J1025" s="1" t="s">
        <v>3151</v>
      </c>
      <c r="K1025" s="1" t="s">
        <v>442</v>
      </c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</row>
    <row r="1026" spans="1:40" ht="22" customHeight="1">
      <c r="A1026" s="1" t="s">
        <v>3167</v>
      </c>
      <c r="B1026" s="1" t="s">
        <v>3168</v>
      </c>
      <c r="C1026" s="1" t="s">
        <v>3147</v>
      </c>
      <c r="D1026" s="1" t="s">
        <v>3169</v>
      </c>
      <c r="E1026" s="1" t="s">
        <v>3149</v>
      </c>
      <c r="F1026" s="1" t="s">
        <v>3150</v>
      </c>
      <c r="G1026" s="1" t="s">
        <v>1006</v>
      </c>
      <c r="H1026" s="1">
        <v>40.063358000000001</v>
      </c>
      <c r="I1026" s="1">
        <v>-75.236732000000003</v>
      </c>
      <c r="J1026" s="1" t="s">
        <v>3151</v>
      </c>
      <c r="K1026" s="1" t="s">
        <v>442</v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</row>
    <row r="1027" spans="1:40" ht="22" customHeight="1">
      <c r="A1027" s="1" t="s">
        <v>3170</v>
      </c>
      <c r="B1027" s="1" t="s">
        <v>3171</v>
      </c>
      <c r="C1027" s="1" t="s">
        <v>3147</v>
      </c>
      <c r="D1027" s="1" t="s">
        <v>3172</v>
      </c>
      <c r="E1027" s="1" t="s">
        <v>3173</v>
      </c>
      <c r="F1027" s="1" t="s">
        <v>3150</v>
      </c>
      <c r="G1027" s="1" t="s">
        <v>3174</v>
      </c>
      <c r="H1027" s="1">
        <v>39.908470000000001</v>
      </c>
      <c r="I1027" s="1">
        <v>-75.274231</v>
      </c>
      <c r="J1027" s="1" t="s">
        <v>3151</v>
      </c>
      <c r="K1027" s="1" t="s">
        <v>442</v>
      </c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</row>
    <row r="1028" spans="1:40" ht="22" customHeight="1">
      <c r="A1028" s="1" t="s">
        <v>3175</v>
      </c>
      <c r="B1028" s="1" t="s">
        <v>3176</v>
      </c>
      <c r="C1028" s="1" t="s">
        <v>3154</v>
      </c>
      <c r="D1028" s="1" t="s">
        <v>3177</v>
      </c>
      <c r="E1028" s="1" t="s">
        <v>3178</v>
      </c>
      <c r="F1028" s="1" t="s">
        <v>3150</v>
      </c>
      <c r="G1028" s="1" t="s">
        <v>3179</v>
      </c>
      <c r="H1028" s="1">
        <v>39.945357999999999</v>
      </c>
      <c r="I1028" s="1">
        <v>-75.323455999999993</v>
      </c>
      <c r="J1028" s="1" t="s">
        <v>3151</v>
      </c>
      <c r="K1028" s="1" t="s">
        <v>442</v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</row>
    <row r="1029" spans="1:40" ht="22" customHeight="1">
      <c r="A1029" s="1" t="s">
        <v>3180</v>
      </c>
      <c r="B1029" s="1" t="s">
        <v>3181</v>
      </c>
      <c r="C1029" s="1" t="s">
        <v>3154</v>
      </c>
      <c r="D1029" s="1" t="s">
        <v>3182</v>
      </c>
      <c r="E1029" s="1" t="s">
        <v>3183</v>
      </c>
      <c r="F1029" s="1" t="s">
        <v>3150</v>
      </c>
      <c r="G1029" s="1" t="s">
        <v>3184</v>
      </c>
      <c r="H1029" s="1">
        <v>40.158577000000001</v>
      </c>
      <c r="I1029" s="1">
        <v>-75.139197999999993</v>
      </c>
      <c r="J1029" s="1" t="s">
        <v>3151</v>
      </c>
      <c r="K1029" s="1" t="s">
        <v>442</v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</row>
    <row r="1030" spans="1:40" ht="22" customHeight="1">
      <c r="A1030" s="1" t="s">
        <v>3185</v>
      </c>
      <c r="B1030" s="1" t="s">
        <v>3186</v>
      </c>
      <c r="C1030" s="1" t="s">
        <v>3147</v>
      </c>
      <c r="D1030" s="1" t="s">
        <v>3187</v>
      </c>
      <c r="E1030" s="1" t="s">
        <v>3188</v>
      </c>
      <c r="F1030" s="1" t="s">
        <v>3150</v>
      </c>
      <c r="G1030" s="1" t="s">
        <v>3189</v>
      </c>
      <c r="H1030" s="1">
        <v>39.934303</v>
      </c>
      <c r="I1030" s="1">
        <v>-75.351310999999995</v>
      </c>
      <c r="J1030" s="1" t="s">
        <v>3151</v>
      </c>
      <c r="K1030" s="1" t="s">
        <v>442</v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</row>
    <row r="1031" spans="1:40" ht="22" customHeight="1">
      <c r="A1031" s="1" t="s">
        <v>3190</v>
      </c>
      <c r="B1031" s="1" t="s">
        <v>3191</v>
      </c>
      <c r="C1031" s="1" t="s">
        <v>3147</v>
      </c>
      <c r="D1031" s="1" t="s">
        <v>3192</v>
      </c>
      <c r="E1031" s="1" t="s">
        <v>3149</v>
      </c>
      <c r="F1031" s="1" t="s">
        <v>3150</v>
      </c>
      <c r="G1031" s="1" t="s">
        <v>608</v>
      </c>
      <c r="H1031" s="1">
        <v>39.917651999999997</v>
      </c>
      <c r="I1031" s="1">
        <v>-75.188698000000002</v>
      </c>
      <c r="J1031" s="1" t="s">
        <v>3151</v>
      </c>
      <c r="K1031" s="1" t="s">
        <v>442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</row>
    <row r="1032" spans="1:40" ht="22" customHeight="1">
      <c r="A1032" s="1" t="s">
        <v>3193</v>
      </c>
      <c r="B1032" s="1" t="s">
        <v>3194</v>
      </c>
      <c r="C1032" s="1" t="s">
        <v>3147</v>
      </c>
      <c r="D1032" s="1" t="s">
        <v>3195</v>
      </c>
      <c r="E1032" s="1" t="s">
        <v>3149</v>
      </c>
      <c r="F1032" s="1" t="s">
        <v>3150</v>
      </c>
      <c r="G1032" s="1" t="s">
        <v>478</v>
      </c>
      <c r="H1032" s="1">
        <v>39.946091000000003</v>
      </c>
      <c r="I1032" s="1">
        <v>-75.237572</v>
      </c>
      <c r="J1032" s="1" t="s">
        <v>3151</v>
      </c>
      <c r="K1032" s="1" t="s">
        <v>442</v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</row>
    <row r="1033" spans="1:40" ht="22" customHeight="1">
      <c r="A1033" s="1" t="s">
        <v>3196</v>
      </c>
      <c r="B1033" s="1" t="s">
        <v>3197</v>
      </c>
      <c r="C1033" s="1" t="s">
        <v>3147</v>
      </c>
      <c r="D1033" s="1" t="s">
        <v>3198</v>
      </c>
      <c r="E1033" s="1" t="s">
        <v>3199</v>
      </c>
      <c r="F1033" s="1" t="s">
        <v>3150</v>
      </c>
      <c r="G1033" s="1" t="s">
        <v>3200</v>
      </c>
      <c r="H1033" s="1">
        <v>39.893107999999998</v>
      </c>
      <c r="I1033" s="1">
        <v>-75.281470999999996</v>
      </c>
      <c r="J1033" s="1" t="s">
        <v>3151</v>
      </c>
      <c r="K1033" s="1" t="s">
        <v>442</v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</row>
    <row r="1034" spans="1:40" ht="22" customHeight="1">
      <c r="A1034" s="1" t="s">
        <v>3201</v>
      </c>
      <c r="B1034" s="1" t="s">
        <v>3202</v>
      </c>
      <c r="C1034" s="1" t="s">
        <v>3147</v>
      </c>
      <c r="D1034" s="1" t="s">
        <v>3203</v>
      </c>
      <c r="E1034" s="1" t="s">
        <v>3149</v>
      </c>
      <c r="F1034" s="1" t="s">
        <v>3150</v>
      </c>
      <c r="G1034" s="1" t="s">
        <v>456</v>
      </c>
      <c r="H1034" s="1">
        <v>39.956749000000002</v>
      </c>
      <c r="I1034" s="1">
        <v>-75.208916000000002</v>
      </c>
      <c r="J1034" s="1" t="s">
        <v>3151</v>
      </c>
      <c r="K1034" s="1" t="s">
        <v>442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</row>
    <row r="1035" spans="1:40" ht="22" customHeight="1">
      <c r="A1035" s="1" t="s">
        <v>3204</v>
      </c>
      <c r="B1035" s="1" t="s">
        <v>3205</v>
      </c>
      <c r="C1035" s="1" t="s">
        <v>3154</v>
      </c>
      <c r="D1035" s="1" t="s">
        <v>3206</v>
      </c>
      <c r="E1035" s="1" t="s">
        <v>3149</v>
      </c>
      <c r="F1035" s="1" t="s">
        <v>3150</v>
      </c>
      <c r="G1035" s="1" t="s">
        <v>908</v>
      </c>
      <c r="H1035" s="1">
        <v>39.994587000000003</v>
      </c>
      <c r="I1035" s="1">
        <v>-75.091697999999994</v>
      </c>
      <c r="J1035" s="1" t="s">
        <v>3151</v>
      </c>
      <c r="K1035" s="1" t="s">
        <v>442</v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</row>
    <row r="1036" spans="1:40" ht="22" customHeight="1">
      <c r="A1036" s="1" t="s">
        <v>3207</v>
      </c>
      <c r="B1036" s="1" t="s">
        <v>3208</v>
      </c>
      <c r="C1036" s="1" t="s">
        <v>3147</v>
      </c>
      <c r="D1036" s="1" t="s">
        <v>3209</v>
      </c>
      <c r="E1036" s="1" t="s">
        <v>3210</v>
      </c>
      <c r="F1036" s="1" t="s">
        <v>3150</v>
      </c>
      <c r="G1036" s="1" t="s">
        <v>3211</v>
      </c>
      <c r="H1036" s="1">
        <v>40.146197999999998</v>
      </c>
      <c r="I1036" s="1">
        <v>-75.394585000000006</v>
      </c>
      <c r="J1036" s="1" t="s">
        <v>3151</v>
      </c>
      <c r="K1036" s="1" t="s">
        <v>442</v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</row>
    <row r="1037" spans="1:40" ht="22" customHeight="1">
      <c r="A1037" s="1" t="s">
        <v>3212</v>
      </c>
      <c r="B1037" s="1" t="s">
        <v>3213</v>
      </c>
      <c r="C1037" s="1" t="s">
        <v>3154</v>
      </c>
      <c r="D1037" s="1" t="s">
        <v>3214</v>
      </c>
      <c r="E1037" s="1" t="s">
        <v>3149</v>
      </c>
      <c r="F1037" s="1" t="s">
        <v>3150</v>
      </c>
      <c r="G1037" s="1" t="s">
        <v>780</v>
      </c>
      <c r="H1037" s="1">
        <v>40.01173</v>
      </c>
      <c r="I1037" s="1">
        <v>-75.067222999999998</v>
      </c>
      <c r="J1037" s="1" t="s">
        <v>3151</v>
      </c>
      <c r="K1037" s="1" t="s">
        <v>442</v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</row>
    <row r="1038" spans="1:40" ht="22" customHeight="1">
      <c r="A1038" s="1" t="s">
        <v>3215</v>
      </c>
      <c r="B1038" s="1" t="s">
        <v>3216</v>
      </c>
      <c r="C1038" s="1" t="s">
        <v>3147</v>
      </c>
      <c r="D1038" s="1" t="s">
        <v>3217</v>
      </c>
      <c r="E1038" s="1" t="s">
        <v>3149</v>
      </c>
      <c r="F1038" s="1" t="s">
        <v>3150</v>
      </c>
      <c r="G1038" s="1" t="s">
        <v>585</v>
      </c>
      <c r="H1038" s="1">
        <v>39.966735999999997</v>
      </c>
      <c r="I1038" s="1">
        <v>-75.177940000000007</v>
      </c>
      <c r="J1038" s="1" t="s">
        <v>3151</v>
      </c>
      <c r="K1038" s="1" t="s">
        <v>442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</row>
    <row r="1039" spans="1:40" ht="22" customHeight="1">
      <c r="A1039" s="1" t="s">
        <v>3218</v>
      </c>
      <c r="B1039" s="1" t="s">
        <v>3219</v>
      </c>
      <c r="C1039" s="1" t="s">
        <v>3147</v>
      </c>
      <c r="D1039" s="1" t="s">
        <v>3220</v>
      </c>
      <c r="E1039" s="1" t="s">
        <v>3221</v>
      </c>
      <c r="F1039" s="1" t="s">
        <v>3150</v>
      </c>
      <c r="G1039" s="1" t="s">
        <v>3222</v>
      </c>
      <c r="H1039" s="1">
        <v>40.090553</v>
      </c>
      <c r="I1039" s="1">
        <v>-75.126700999999997</v>
      </c>
      <c r="J1039" s="1" t="s">
        <v>3151</v>
      </c>
      <c r="K1039" s="1" t="s">
        <v>442</v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</row>
    <row r="1040" spans="1:40" ht="22" customHeight="1">
      <c r="A1040" s="1" t="s">
        <v>3223</v>
      </c>
      <c r="B1040" s="1" t="s">
        <v>3224</v>
      </c>
      <c r="C1040" s="1" t="s">
        <v>3147</v>
      </c>
      <c r="D1040" s="1" t="s">
        <v>3225</v>
      </c>
      <c r="E1040" s="1" t="s">
        <v>3226</v>
      </c>
      <c r="F1040" s="1" t="s">
        <v>3227</v>
      </c>
      <c r="G1040" s="1" t="s">
        <v>3228</v>
      </c>
      <c r="H1040" s="1">
        <v>39.89246</v>
      </c>
      <c r="I1040" s="1">
        <v>-75.090500000000006</v>
      </c>
      <c r="J1040" s="1" t="s">
        <v>3151</v>
      </c>
      <c r="K1040" s="1" t="s">
        <v>442</v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</row>
    <row r="1041" spans="1:40" ht="22" customHeight="1">
      <c r="A1041" s="1" t="s">
        <v>3229</v>
      </c>
      <c r="B1041" s="1" t="s">
        <v>3230</v>
      </c>
      <c r="C1041" s="1" t="s">
        <v>3147</v>
      </c>
      <c r="D1041" s="1" t="s">
        <v>3231</v>
      </c>
      <c r="E1041" s="1" t="s">
        <v>3149</v>
      </c>
      <c r="F1041" s="1" t="s">
        <v>3150</v>
      </c>
      <c r="G1041" s="1" t="s">
        <v>1120</v>
      </c>
      <c r="H1041" s="1">
        <v>40.050224</v>
      </c>
      <c r="I1041" s="1">
        <v>-75.086853000000005</v>
      </c>
      <c r="J1041" s="1" t="s">
        <v>3151</v>
      </c>
      <c r="K1041" s="1" t="s">
        <v>442</v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</row>
    <row r="1042" spans="1:40" ht="22" customHeight="1">
      <c r="A1042" s="1" t="s">
        <v>3232</v>
      </c>
      <c r="B1042" s="1" t="s">
        <v>3233</v>
      </c>
      <c r="C1042" s="1" t="s">
        <v>3147</v>
      </c>
      <c r="D1042" s="1" t="s">
        <v>3234</v>
      </c>
      <c r="E1042" s="1" t="s">
        <v>3235</v>
      </c>
      <c r="F1042" s="1" t="s">
        <v>3227</v>
      </c>
      <c r="G1042" s="1" t="s">
        <v>3236</v>
      </c>
      <c r="H1042" s="1">
        <v>39.897002999999998</v>
      </c>
      <c r="I1042" s="1">
        <v>-75.030991</v>
      </c>
      <c r="J1042" s="1" t="s">
        <v>3151</v>
      </c>
      <c r="K1042" s="1" t="s">
        <v>442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</row>
    <row r="1043" spans="1:40" ht="22" customHeight="1">
      <c r="A1043" s="1" t="s">
        <v>3237</v>
      </c>
      <c r="B1043" s="1" t="s">
        <v>3238</v>
      </c>
      <c r="C1043" s="1" t="s">
        <v>3154</v>
      </c>
      <c r="D1043" s="1" t="s">
        <v>3239</v>
      </c>
      <c r="E1043" s="1" t="s">
        <v>3221</v>
      </c>
      <c r="F1043" s="1" t="s">
        <v>3150</v>
      </c>
      <c r="G1043" s="1" t="s">
        <v>3222</v>
      </c>
      <c r="H1043" s="1">
        <v>40.107886999999998</v>
      </c>
      <c r="I1043" s="1">
        <v>-75.116066000000004</v>
      </c>
      <c r="J1043" s="1" t="s">
        <v>3151</v>
      </c>
      <c r="K1043" s="1" t="s">
        <v>442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</row>
    <row r="1044" spans="1:40" ht="22" customHeight="1">
      <c r="A1044" s="1" t="s">
        <v>3240</v>
      </c>
      <c r="B1044" s="1" t="s">
        <v>3241</v>
      </c>
      <c r="C1044" s="1" t="s">
        <v>3154</v>
      </c>
      <c r="D1044" s="1" t="s">
        <v>3242</v>
      </c>
      <c r="E1044" s="1" t="s">
        <v>3210</v>
      </c>
      <c r="F1044" s="1" t="s">
        <v>3150</v>
      </c>
      <c r="G1044" s="1" t="s">
        <v>3243</v>
      </c>
      <c r="H1044" s="1">
        <v>40.11853</v>
      </c>
      <c r="I1044" s="1">
        <v>-75.339302000000004</v>
      </c>
      <c r="J1044" s="1" t="s">
        <v>3151</v>
      </c>
      <c r="K1044" s="1" t="s">
        <v>442</v>
      </c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</row>
    <row r="1045" spans="1:40" ht="22" customHeight="1">
      <c r="A1045" s="1" t="s">
        <v>3244</v>
      </c>
      <c r="B1045" s="1" t="s">
        <v>3245</v>
      </c>
      <c r="C1045" s="1" t="s">
        <v>3154</v>
      </c>
      <c r="D1045" s="1" t="s">
        <v>3246</v>
      </c>
      <c r="E1045" s="1" t="s">
        <v>3149</v>
      </c>
      <c r="F1045" s="1" t="s">
        <v>3150</v>
      </c>
      <c r="G1045" s="1" t="s">
        <v>450</v>
      </c>
      <c r="H1045" s="1">
        <v>39.959586999999999</v>
      </c>
      <c r="I1045" s="1">
        <v>-75.233695999999995</v>
      </c>
      <c r="J1045" s="1" t="s">
        <v>3151</v>
      </c>
      <c r="K1045" s="1" t="s">
        <v>442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</row>
    <row r="1046" spans="1:40" ht="22" customHeight="1">
      <c r="A1046" s="1" t="s">
        <v>3247</v>
      </c>
      <c r="B1046" s="1" t="s">
        <v>3248</v>
      </c>
      <c r="C1046" s="1" t="s">
        <v>3147</v>
      </c>
      <c r="D1046" s="1" t="s">
        <v>3249</v>
      </c>
      <c r="E1046" s="1" t="s">
        <v>3221</v>
      </c>
      <c r="F1046" s="1" t="s">
        <v>3150</v>
      </c>
      <c r="G1046" s="1" t="s">
        <v>3222</v>
      </c>
      <c r="H1046" s="1">
        <v>40.091693999999997</v>
      </c>
      <c r="I1046" s="1">
        <v>-75.125091999999995</v>
      </c>
      <c r="J1046" s="1" t="s">
        <v>3151</v>
      </c>
      <c r="K1046" s="1" t="s">
        <v>442</v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</row>
    <row r="1047" spans="1:40" ht="22" customHeight="1">
      <c r="A1047" s="1" t="s">
        <v>3250</v>
      </c>
      <c r="B1047" s="1" t="s">
        <v>3251</v>
      </c>
      <c r="C1047" s="1" t="s">
        <v>3154</v>
      </c>
      <c r="D1047" s="1" t="s">
        <v>3252</v>
      </c>
      <c r="E1047" s="1" t="s">
        <v>3253</v>
      </c>
      <c r="F1047" s="1" t="s">
        <v>3227</v>
      </c>
      <c r="G1047" s="1" t="s">
        <v>3254</v>
      </c>
      <c r="H1047" s="1">
        <v>39.905537000000002</v>
      </c>
      <c r="I1047" s="1">
        <v>-74.974013999999997</v>
      </c>
      <c r="J1047" s="1" t="s">
        <v>3151</v>
      </c>
      <c r="K1047" s="1" t="s">
        <v>442</v>
      </c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</row>
    <row r="1048" spans="1:40" ht="22" customHeight="1">
      <c r="A1048" s="1" t="s">
        <v>3255</v>
      </c>
      <c r="B1048" s="1" t="s">
        <v>3256</v>
      </c>
      <c r="C1048" s="1" t="s">
        <v>3147</v>
      </c>
      <c r="D1048" s="1" t="s">
        <v>3257</v>
      </c>
      <c r="E1048" s="1" t="s">
        <v>3258</v>
      </c>
      <c r="F1048" s="1" t="s">
        <v>3227</v>
      </c>
      <c r="G1048" s="1" t="s">
        <v>3259</v>
      </c>
      <c r="H1048" s="1">
        <v>39.890349999999998</v>
      </c>
      <c r="I1048" s="1">
        <v>-74.925162999999998</v>
      </c>
      <c r="J1048" s="1" t="s">
        <v>3151</v>
      </c>
      <c r="K1048" s="1" t="s">
        <v>442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</row>
    <row r="1049" spans="1:40" ht="22" customHeight="1">
      <c r="A1049" s="1" t="s">
        <v>3260</v>
      </c>
      <c r="B1049" s="1" t="s">
        <v>3261</v>
      </c>
      <c r="C1049" s="1" t="s">
        <v>3154</v>
      </c>
      <c r="D1049" s="1" t="s">
        <v>3262</v>
      </c>
      <c r="E1049" s="1" t="s">
        <v>3263</v>
      </c>
      <c r="F1049" s="1" t="s">
        <v>3227</v>
      </c>
      <c r="G1049" s="1" t="s">
        <v>3264</v>
      </c>
      <c r="H1049" s="1">
        <v>39.807594000000002</v>
      </c>
      <c r="I1049" s="1">
        <v>-74.931113999999994</v>
      </c>
      <c r="J1049" s="1" t="s">
        <v>3151</v>
      </c>
      <c r="K1049" s="1" t="s">
        <v>442</v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</row>
    <row r="1050" spans="1:40" ht="22" customHeight="1">
      <c r="A1050" s="1" t="s">
        <v>3265</v>
      </c>
      <c r="B1050" s="1" t="s">
        <v>3266</v>
      </c>
      <c r="C1050" s="1" t="s">
        <v>3147</v>
      </c>
      <c r="D1050" s="1" t="s">
        <v>3267</v>
      </c>
      <c r="E1050" s="1" t="s">
        <v>3268</v>
      </c>
      <c r="F1050" s="1" t="s">
        <v>3150</v>
      </c>
      <c r="G1050" s="1" t="s">
        <v>3269</v>
      </c>
      <c r="H1050" s="1">
        <v>40.182994999999998</v>
      </c>
      <c r="I1050" s="1">
        <v>-75.118530000000007</v>
      </c>
      <c r="J1050" s="1" t="s">
        <v>3151</v>
      </c>
      <c r="K1050" s="1" t="s">
        <v>442</v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</row>
    <row r="1051" spans="1:40" ht="22" customHeight="1">
      <c r="A1051" s="1" t="s">
        <v>3270</v>
      </c>
      <c r="B1051" s="1" t="s">
        <v>3271</v>
      </c>
      <c r="C1051" s="1" t="s">
        <v>3147</v>
      </c>
      <c r="D1051" s="1" t="s">
        <v>3272</v>
      </c>
      <c r="E1051" s="1" t="s">
        <v>3273</v>
      </c>
      <c r="F1051" s="1" t="s">
        <v>3150</v>
      </c>
      <c r="G1051" s="1" t="s">
        <v>3269</v>
      </c>
      <c r="H1051" s="1">
        <v>40.181961000000001</v>
      </c>
      <c r="I1051" s="1">
        <v>-75.133621000000005</v>
      </c>
      <c r="J1051" s="1" t="s">
        <v>3151</v>
      </c>
      <c r="K1051" s="1" t="s">
        <v>442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</row>
    <row r="1052" spans="1:40" ht="22" customHeight="1">
      <c r="A1052" s="1" t="s">
        <v>3274</v>
      </c>
      <c r="B1052" s="1" t="s">
        <v>3275</v>
      </c>
      <c r="C1052" s="1" t="s">
        <v>3147</v>
      </c>
      <c r="D1052" s="1" t="s">
        <v>3276</v>
      </c>
      <c r="E1052" s="1" t="s">
        <v>3221</v>
      </c>
      <c r="F1052" s="1" t="s">
        <v>3150</v>
      </c>
      <c r="G1052" s="1" t="s">
        <v>3222</v>
      </c>
      <c r="H1052" s="1">
        <v>40.107520999999998</v>
      </c>
      <c r="I1052" s="1">
        <v>-75.123328999999998</v>
      </c>
      <c r="J1052" s="1" t="s">
        <v>3151</v>
      </c>
      <c r="K1052" s="1" t="s">
        <v>442</v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</row>
    <row r="1053" spans="1:40" ht="22" customHeight="1">
      <c r="A1053" s="1" t="s">
        <v>3277</v>
      </c>
      <c r="B1053" s="1" t="s">
        <v>3278</v>
      </c>
      <c r="C1053" s="1" t="s">
        <v>3147</v>
      </c>
      <c r="D1053" s="1" t="s">
        <v>3279</v>
      </c>
      <c r="E1053" s="1" t="s">
        <v>3149</v>
      </c>
      <c r="F1053" s="1" t="s">
        <v>3150</v>
      </c>
      <c r="G1053" s="1" t="s">
        <v>1639</v>
      </c>
      <c r="H1053" s="1">
        <v>40.057670999999999</v>
      </c>
      <c r="I1053" s="1">
        <v>-75.188637</v>
      </c>
      <c r="J1053" s="1" t="s">
        <v>3151</v>
      </c>
      <c r="K1053" s="1" t="s">
        <v>442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</row>
    <row r="1054" spans="1:40" ht="22" customHeight="1">
      <c r="A1054" s="1" t="s">
        <v>3280</v>
      </c>
      <c r="B1054" s="1" t="s">
        <v>3281</v>
      </c>
      <c r="C1054" s="1" t="s">
        <v>3147</v>
      </c>
      <c r="D1054" s="1" t="s">
        <v>3282</v>
      </c>
      <c r="E1054" s="1" t="s">
        <v>3149</v>
      </c>
      <c r="F1054" s="1" t="s">
        <v>3150</v>
      </c>
      <c r="G1054" s="1" t="s">
        <v>589</v>
      </c>
      <c r="H1054" s="1">
        <v>39.932281000000003</v>
      </c>
      <c r="I1054" s="1">
        <v>-75.162384000000003</v>
      </c>
      <c r="J1054" s="1" t="s">
        <v>3151</v>
      </c>
      <c r="K1054" s="1" t="s">
        <v>442</v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</row>
    <row r="1055" spans="1:40" ht="22" customHeight="1">
      <c r="A1055" s="1" t="s">
        <v>3283</v>
      </c>
      <c r="B1055" s="1" t="s">
        <v>3284</v>
      </c>
      <c r="C1055" s="1" t="s">
        <v>3154</v>
      </c>
      <c r="D1055" s="1" t="s">
        <v>3285</v>
      </c>
      <c r="E1055" s="1" t="s">
        <v>3286</v>
      </c>
      <c r="F1055" s="1" t="s">
        <v>3150</v>
      </c>
      <c r="G1055" s="1" t="s">
        <v>3287</v>
      </c>
      <c r="H1055" s="1">
        <v>40.194842999999999</v>
      </c>
      <c r="I1055" s="1">
        <v>-75.080894000000001</v>
      </c>
      <c r="J1055" s="1" t="s">
        <v>3151</v>
      </c>
      <c r="K1055" s="1" t="s">
        <v>442</v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</row>
    <row r="1056" spans="1:40" ht="22" customHeight="1">
      <c r="A1056" s="1" t="s">
        <v>3288</v>
      </c>
      <c r="B1056" s="1" t="s">
        <v>3289</v>
      </c>
      <c r="C1056" s="1" t="s">
        <v>3147</v>
      </c>
      <c r="D1056" s="1" t="s">
        <v>3290</v>
      </c>
      <c r="E1056" s="1" t="s">
        <v>3291</v>
      </c>
      <c r="F1056" s="1" t="s">
        <v>3227</v>
      </c>
      <c r="G1056" s="1" t="s">
        <v>3292</v>
      </c>
      <c r="H1056" s="1">
        <v>39.947361000000001</v>
      </c>
      <c r="I1056" s="1">
        <v>-74.970245000000006</v>
      </c>
      <c r="J1056" s="1" t="s">
        <v>3151</v>
      </c>
      <c r="K1056" s="1" t="s">
        <v>442</v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</row>
    <row r="1057" spans="1:40" ht="22" customHeight="1">
      <c r="A1057" s="1" t="s">
        <v>3293</v>
      </c>
      <c r="B1057" s="1" t="s">
        <v>3294</v>
      </c>
      <c r="C1057" s="1" t="s">
        <v>3154</v>
      </c>
      <c r="D1057" s="1" t="s">
        <v>3295</v>
      </c>
      <c r="E1057" s="1" t="s">
        <v>3296</v>
      </c>
      <c r="F1057" s="1" t="s">
        <v>3150</v>
      </c>
      <c r="G1057" s="1" t="s">
        <v>3297</v>
      </c>
      <c r="H1057" s="1">
        <v>39.865932000000001</v>
      </c>
      <c r="I1057" s="1">
        <v>-75.342490999999995</v>
      </c>
      <c r="J1057" s="1" t="s">
        <v>3151</v>
      </c>
      <c r="K1057" s="1" t="s">
        <v>442</v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</row>
    <row r="1058" spans="1:40" ht="22" customHeight="1">
      <c r="A1058" s="1" t="s">
        <v>3298</v>
      </c>
      <c r="B1058" s="1" t="s">
        <v>3299</v>
      </c>
      <c r="C1058" s="1" t="s">
        <v>3154</v>
      </c>
      <c r="D1058" s="1" t="s">
        <v>3300</v>
      </c>
      <c r="E1058" s="1" t="s">
        <v>3301</v>
      </c>
      <c r="F1058" s="1" t="s">
        <v>3227</v>
      </c>
      <c r="G1058" s="1" t="s">
        <v>3302</v>
      </c>
      <c r="H1058" s="1">
        <v>40.007911999999997</v>
      </c>
      <c r="I1058" s="1">
        <v>-74.980689999999996</v>
      </c>
      <c r="J1058" s="1" t="s">
        <v>3151</v>
      </c>
      <c r="K1058" s="1" t="s">
        <v>442</v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</row>
    <row r="1059" spans="1:40" ht="22" customHeight="1">
      <c r="A1059" s="1" t="s">
        <v>3303</v>
      </c>
      <c r="B1059" s="1" t="s">
        <v>3304</v>
      </c>
      <c r="C1059" s="1" t="s">
        <v>3154</v>
      </c>
      <c r="D1059" s="1" t="s">
        <v>3305</v>
      </c>
      <c r="E1059" s="1" t="s">
        <v>3149</v>
      </c>
      <c r="F1059" s="1" t="s">
        <v>3150</v>
      </c>
      <c r="G1059" s="1" t="s">
        <v>589</v>
      </c>
      <c r="H1059" s="1">
        <v>39.934013</v>
      </c>
      <c r="I1059" s="1">
        <v>-75.153701999999996</v>
      </c>
      <c r="J1059" s="1" t="s">
        <v>3151</v>
      </c>
      <c r="K1059" s="1" t="s">
        <v>442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</row>
    <row r="1060" spans="1:40" ht="22" customHeight="1">
      <c r="A1060" s="1" t="s">
        <v>3306</v>
      </c>
      <c r="B1060" s="1" t="s">
        <v>3307</v>
      </c>
      <c r="C1060" s="1" t="s">
        <v>3154</v>
      </c>
      <c r="D1060" s="1" t="s">
        <v>3308</v>
      </c>
      <c r="E1060" s="1" t="s">
        <v>3258</v>
      </c>
      <c r="F1060" s="1" t="s">
        <v>3227</v>
      </c>
      <c r="G1060" s="1" t="s">
        <v>3259</v>
      </c>
      <c r="H1060" s="1">
        <v>39.907665000000001</v>
      </c>
      <c r="I1060" s="1">
        <v>-74.938773999999995</v>
      </c>
      <c r="J1060" s="1" t="s">
        <v>3151</v>
      </c>
      <c r="K1060" s="1" t="s">
        <v>442</v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</row>
    <row r="1061" spans="1:40" ht="22" customHeight="1">
      <c r="A1061" s="1" t="s">
        <v>3309</v>
      </c>
      <c r="B1061" s="1" t="s">
        <v>3310</v>
      </c>
      <c r="C1061" s="1" t="s">
        <v>3147</v>
      </c>
      <c r="D1061" s="1" t="s">
        <v>3311</v>
      </c>
      <c r="E1061" s="1" t="s">
        <v>3312</v>
      </c>
      <c r="F1061" s="1" t="s">
        <v>3150</v>
      </c>
      <c r="G1061" s="1" t="s">
        <v>3313</v>
      </c>
      <c r="H1061" s="1">
        <v>40.147140999999998</v>
      </c>
      <c r="I1061" s="1">
        <v>-74.999602999999993</v>
      </c>
      <c r="J1061" s="1" t="s">
        <v>3151</v>
      </c>
      <c r="K1061" s="1" t="s">
        <v>442</v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</row>
    <row r="1062" spans="1:40" ht="22" customHeight="1">
      <c r="A1062" s="1" t="s">
        <v>3314</v>
      </c>
      <c r="B1062" s="1" t="s">
        <v>3315</v>
      </c>
      <c r="C1062" s="1" t="s">
        <v>3147</v>
      </c>
      <c r="D1062" s="1" t="s">
        <v>3316</v>
      </c>
      <c r="E1062" s="1" t="s">
        <v>3317</v>
      </c>
      <c r="F1062" s="1" t="s">
        <v>3150</v>
      </c>
      <c r="G1062" s="1" t="s">
        <v>3318</v>
      </c>
      <c r="H1062" s="1">
        <v>40.106715999999999</v>
      </c>
      <c r="I1062" s="1">
        <v>-75.213477999999995</v>
      </c>
      <c r="J1062" s="1" t="s">
        <v>3151</v>
      </c>
      <c r="K1062" s="1" t="s">
        <v>442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</row>
    <row r="1063" spans="1:40" ht="22" customHeight="1">
      <c r="A1063" s="1" t="s">
        <v>3319</v>
      </c>
      <c r="B1063" s="1" t="s">
        <v>3320</v>
      </c>
      <c r="C1063" s="1" t="s">
        <v>3147</v>
      </c>
      <c r="D1063" s="1" t="s">
        <v>3321</v>
      </c>
      <c r="E1063" s="1" t="s">
        <v>3322</v>
      </c>
      <c r="F1063" s="1" t="s">
        <v>3227</v>
      </c>
      <c r="G1063" s="1" t="s">
        <v>3323</v>
      </c>
      <c r="H1063" s="1">
        <v>39.847687000000001</v>
      </c>
      <c r="I1063" s="1">
        <v>-75.060080999999997</v>
      </c>
      <c r="J1063" s="1" t="s">
        <v>3151</v>
      </c>
      <c r="K1063" s="1" t="s">
        <v>442</v>
      </c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</row>
    <row r="1064" spans="1:40" ht="22" customHeight="1">
      <c r="A1064" s="1" t="s">
        <v>3324</v>
      </c>
      <c r="B1064" s="1" t="s">
        <v>3325</v>
      </c>
      <c r="C1064" s="1" t="s">
        <v>3154</v>
      </c>
      <c r="D1064" s="1" t="s">
        <v>3326</v>
      </c>
      <c r="E1064" s="1" t="s">
        <v>3258</v>
      </c>
      <c r="F1064" s="1" t="s">
        <v>3227</v>
      </c>
      <c r="G1064" s="1" t="s">
        <v>3259</v>
      </c>
      <c r="H1064" s="1">
        <v>39.894706999999997</v>
      </c>
      <c r="I1064" s="1">
        <v>-74.9328</v>
      </c>
      <c r="J1064" s="1" t="s">
        <v>3151</v>
      </c>
      <c r="K1064" s="1" t="s">
        <v>442</v>
      </c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</row>
    <row r="1065" spans="1:40" ht="22" customHeight="1">
      <c r="A1065" s="1" t="s">
        <v>3327</v>
      </c>
      <c r="B1065" s="1" t="s">
        <v>3328</v>
      </c>
      <c r="C1065" s="1" t="s">
        <v>3147</v>
      </c>
      <c r="D1065" s="1" t="s">
        <v>3329</v>
      </c>
      <c r="E1065" s="1" t="s">
        <v>3330</v>
      </c>
      <c r="F1065" s="1" t="s">
        <v>3227</v>
      </c>
      <c r="G1065" s="1" t="s">
        <v>3331</v>
      </c>
      <c r="H1065" s="1">
        <v>39.827022999999997</v>
      </c>
      <c r="I1065" s="1">
        <v>-75.159630000000007</v>
      </c>
      <c r="J1065" s="1" t="s">
        <v>3151</v>
      </c>
      <c r="K1065" s="1" t="s">
        <v>442</v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</row>
    <row r="1066" spans="1:40" ht="22" customHeight="1">
      <c r="A1066" s="1" t="s">
        <v>3332</v>
      </c>
      <c r="B1066" s="1" t="s">
        <v>3333</v>
      </c>
      <c r="C1066" s="1" t="s">
        <v>3154</v>
      </c>
      <c r="D1066" s="1" t="s">
        <v>3334</v>
      </c>
      <c r="E1066" s="1" t="s">
        <v>3335</v>
      </c>
      <c r="F1066" s="1" t="s">
        <v>3150</v>
      </c>
      <c r="G1066" s="1" t="s">
        <v>3336</v>
      </c>
      <c r="H1066" s="1">
        <v>40.082889999999999</v>
      </c>
      <c r="I1066" s="1">
        <v>-75.170715000000001</v>
      </c>
      <c r="J1066" s="1" t="s">
        <v>3151</v>
      </c>
      <c r="K1066" s="1" t="s">
        <v>442</v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</row>
    <row r="1067" spans="1:40" ht="22" customHeight="1">
      <c r="A1067" s="1" t="s">
        <v>3337</v>
      </c>
      <c r="B1067" s="1" t="s">
        <v>3338</v>
      </c>
      <c r="C1067" s="1" t="s">
        <v>3147</v>
      </c>
      <c r="D1067" s="1" t="s">
        <v>3339</v>
      </c>
      <c r="E1067" s="1" t="s">
        <v>3340</v>
      </c>
      <c r="F1067" s="1" t="s">
        <v>3150</v>
      </c>
      <c r="G1067" s="1" t="s">
        <v>3341</v>
      </c>
      <c r="H1067" s="1">
        <v>39.883834999999998</v>
      </c>
      <c r="I1067" s="1">
        <v>-75.329277000000005</v>
      </c>
      <c r="J1067" s="1" t="s">
        <v>3151</v>
      </c>
      <c r="K1067" s="1" t="s">
        <v>442</v>
      </c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</row>
    <row r="1068" spans="1:40" ht="22" customHeight="1">
      <c r="A1068" s="1" t="s">
        <v>3342</v>
      </c>
      <c r="B1068" s="1" t="s">
        <v>3343</v>
      </c>
      <c r="C1068" s="1" t="s">
        <v>3147</v>
      </c>
      <c r="D1068" s="1" t="s">
        <v>3344</v>
      </c>
      <c r="E1068" s="1" t="s">
        <v>3345</v>
      </c>
      <c r="F1068" s="1" t="s">
        <v>3150</v>
      </c>
      <c r="G1068" s="1" t="s">
        <v>3346</v>
      </c>
      <c r="H1068" s="1">
        <v>40.132224999999998</v>
      </c>
      <c r="I1068" s="1">
        <v>-74.924126000000001</v>
      </c>
      <c r="J1068" s="1" t="s">
        <v>3151</v>
      </c>
      <c r="K1068" s="1" t="s">
        <v>442</v>
      </c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</row>
    <row r="1069" spans="1:40" ht="22" customHeight="1">
      <c r="A1069" s="1" t="s">
        <v>3347</v>
      </c>
      <c r="B1069" s="1" t="s">
        <v>3348</v>
      </c>
      <c r="C1069" s="1" t="s">
        <v>3147</v>
      </c>
      <c r="D1069" s="1" t="s">
        <v>3349</v>
      </c>
      <c r="E1069" s="1" t="s">
        <v>3350</v>
      </c>
      <c r="F1069" s="1" t="s">
        <v>3227</v>
      </c>
      <c r="G1069" s="1" t="s">
        <v>3351</v>
      </c>
      <c r="H1069" s="1">
        <v>39.908473999999998</v>
      </c>
      <c r="I1069" s="1">
        <v>-75.099457000000001</v>
      </c>
      <c r="J1069" s="1" t="s">
        <v>3151</v>
      </c>
      <c r="K1069" s="1" t="s">
        <v>442</v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</row>
    <row r="1070" spans="1:40" ht="22" customHeight="1">
      <c r="A1070" s="1" t="s">
        <v>3352</v>
      </c>
      <c r="B1070" s="1" t="s">
        <v>3353</v>
      </c>
      <c r="C1070" s="1" t="s">
        <v>3154</v>
      </c>
      <c r="D1070" s="1" t="s">
        <v>3354</v>
      </c>
      <c r="E1070" s="1" t="s">
        <v>3149</v>
      </c>
      <c r="F1070" s="1" t="s">
        <v>3150</v>
      </c>
      <c r="G1070" s="1" t="s">
        <v>589</v>
      </c>
      <c r="H1070" s="1">
        <v>39.942706999999999</v>
      </c>
      <c r="I1070" s="1">
        <v>-75.157684000000003</v>
      </c>
      <c r="J1070" s="1" t="s">
        <v>3151</v>
      </c>
      <c r="K1070" s="1" t="s">
        <v>442</v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</row>
    <row r="1071" spans="1:40" ht="22" customHeight="1">
      <c r="A1071" s="1" t="s">
        <v>3355</v>
      </c>
      <c r="B1071" s="1" t="s">
        <v>3356</v>
      </c>
      <c r="C1071" s="1" t="s">
        <v>3147</v>
      </c>
      <c r="D1071" s="1" t="s">
        <v>3357</v>
      </c>
      <c r="E1071" s="1" t="s">
        <v>3149</v>
      </c>
      <c r="F1071" s="1" t="s">
        <v>3150</v>
      </c>
      <c r="G1071" s="1" t="s">
        <v>581</v>
      </c>
      <c r="H1071" s="1">
        <v>39.915275999999999</v>
      </c>
      <c r="I1071" s="1">
        <v>-75.149696000000006</v>
      </c>
      <c r="J1071" s="1" t="s">
        <v>3151</v>
      </c>
      <c r="K1071" s="1" t="s">
        <v>442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</row>
    <row r="1072" spans="1:40" ht="22" customHeight="1">
      <c r="A1072" s="1" t="s">
        <v>3358</v>
      </c>
      <c r="B1072" s="1" t="s">
        <v>3359</v>
      </c>
      <c r="C1072" s="1" t="s">
        <v>3147</v>
      </c>
      <c r="D1072" s="1" t="s">
        <v>3360</v>
      </c>
      <c r="E1072" s="1" t="s">
        <v>3361</v>
      </c>
      <c r="F1072" s="1" t="s">
        <v>3150</v>
      </c>
      <c r="G1072" s="1" t="s">
        <v>3362</v>
      </c>
      <c r="H1072" s="1">
        <v>40.003922000000003</v>
      </c>
      <c r="I1072" s="1">
        <v>-75.223770000000002</v>
      </c>
      <c r="J1072" s="1" t="s">
        <v>3151</v>
      </c>
      <c r="K1072" s="1" t="s">
        <v>442</v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</row>
    <row r="1073" spans="1:40" ht="22" customHeight="1">
      <c r="A1073" s="1" t="s">
        <v>3363</v>
      </c>
      <c r="B1073" s="1" t="s">
        <v>3364</v>
      </c>
      <c r="C1073" s="1" t="s">
        <v>3154</v>
      </c>
      <c r="D1073" s="1" t="s">
        <v>3365</v>
      </c>
      <c r="E1073" s="1" t="s">
        <v>3366</v>
      </c>
      <c r="F1073" s="1" t="s">
        <v>3227</v>
      </c>
      <c r="G1073" s="1" t="s">
        <v>3367</v>
      </c>
      <c r="H1073" s="1">
        <v>39.801780999999998</v>
      </c>
      <c r="I1073" s="1">
        <v>-75.039672999999993</v>
      </c>
      <c r="J1073" s="1" t="s">
        <v>3151</v>
      </c>
      <c r="K1073" s="1" t="s">
        <v>442</v>
      </c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</row>
    <row r="1074" spans="1:40" ht="22" customHeight="1">
      <c r="A1074" s="1" t="s">
        <v>3368</v>
      </c>
      <c r="B1074" s="1" t="s">
        <v>3369</v>
      </c>
      <c r="C1074" s="1" t="s">
        <v>3154</v>
      </c>
      <c r="D1074" s="1" t="s">
        <v>3370</v>
      </c>
      <c r="E1074" s="1" t="s">
        <v>3371</v>
      </c>
      <c r="F1074" s="1" t="s">
        <v>3227</v>
      </c>
      <c r="G1074" s="1" t="s">
        <v>3331</v>
      </c>
      <c r="H1074" s="1">
        <v>39.804622999999999</v>
      </c>
      <c r="I1074" s="1">
        <v>-75.168364999999994</v>
      </c>
      <c r="J1074" s="1" t="s">
        <v>3151</v>
      </c>
      <c r="K1074" s="1" t="s">
        <v>442</v>
      </c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</row>
    <row r="1075" spans="1:40" ht="22" customHeight="1">
      <c r="A1075" s="1" t="s">
        <v>3372</v>
      </c>
      <c r="B1075" s="1" t="s">
        <v>3373</v>
      </c>
      <c r="C1075" s="1" t="s">
        <v>3154</v>
      </c>
      <c r="D1075" s="1" t="s">
        <v>3374</v>
      </c>
      <c r="E1075" s="1" t="s">
        <v>3375</v>
      </c>
      <c r="F1075" s="1" t="s">
        <v>3227</v>
      </c>
      <c r="G1075" s="1" t="s">
        <v>3376</v>
      </c>
      <c r="H1075" s="1">
        <v>39.923515000000002</v>
      </c>
      <c r="I1075" s="1">
        <v>-75.043884000000006</v>
      </c>
      <c r="J1075" s="1" t="s">
        <v>3151</v>
      </c>
      <c r="K1075" s="1" t="s">
        <v>442</v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</row>
    <row r="1076" spans="1:40" ht="22" customHeight="1">
      <c r="A1076" s="1" t="s">
        <v>3377</v>
      </c>
      <c r="B1076" s="1" t="s">
        <v>3378</v>
      </c>
      <c r="C1076" s="1" t="s">
        <v>3147</v>
      </c>
      <c r="D1076" s="1" t="s">
        <v>3379</v>
      </c>
      <c r="E1076" s="1" t="s">
        <v>3380</v>
      </c>
      <c r="F1076" s="1" t="s">
        <v>3227</v>
      </c>
      <c r="G1076" s="1" t="s">
        <v>3381</v>
      </c>
      <c r="H1076" s="1">
        <v>39.840851000000001</v>
      </c>
      <c r="I1076" s="1">
        <v>-75.014083999999997</v>
      </c>
      <c r="J1076" s="1" t="s">
        <v>3151</v>
      </c>
      <c r="K1076" s="1" t="s">
        <v>442</v>
      </c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</row>
    <row r="1077" spans="1:40" ht="22" customHeight="1">
      <c r="A1077" s="1" t="s">
        <v>3382</v>
      </c>
      <c r="B1077" s="1" t="s">
        <v>3383</v>
      </c>
      <c r="C1077" s="1" t="s">
        <v>3154</v>
      </c>
      <c r="D1077" s="1" t="s">
        <v>3384</v>
      </c>
      <c r="E1077" s="1" t="s">
        <v>3385</v>
      </c>
      <c r="F1077" s="1" t="s">
        <v>3227</v>
      </c>
      <c r="G1077" s="1" t="s">
        <v>3386</v>
      </c>
      <c r="H1077" s="1">
        <v>39.875500000000002</v>
      </c>
      <c r="I1077" s="1">
        <v>-75.122887000000006</v>
      </c>
      <c r="J1077" s="1" t="s">
        <v>3151</v>
      </c>
      <c r="K1077" s="1" t="s">
        <v>442</v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</row>
    <row r="1078" spans="1:40" ht="22" customHeight="1">
      <c r="A1078" s="1" t="s">
        <v>3387</v>
      </c>
      <c r="B1078" s="1" t="s">
        <v>3388</v>
      </c>
      <c r="C1078" s="1" t="s">
        <v>3147</v>
      </c>
      <c r="D1078" s="1" t="s">
        <v>3389</v>
      </c>
      <c r="E1078" s="1" t="s">
        <v>3149</v>
      </c>
      <c r="F1078" s="1" t="s">
        <v>3150</v>
      </c>
      <c r="G1078" s="1" t="s">
        <v>669</v>
      </c>
      <c r="H1078" s="1">
        <v>39.956650000000003</v>
      </c>
      <c r="I1078" s="1">
        <v>-75.177916999999994</v>
      </c>
      <c r="J1078" s="1" t="s">
        <v>3151</v>
      </c>
      <c r="K1078" s="1" t="s">
        <v>442</v>
      </c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</row>
    <row r="1079" spans="1:40" ht="22" customHeight="1">
      <c r="A1079" s="1" t="s">
        <v>3390</v>
      </c>
      <c r="B1079" s="1" t="s">
        <v>3391</v>
      </c>
      <c r="C1079" s="1" t="s">
        <v>3147</v>
      </c>
      <c r="D1079" s="1" t="s">
        <v>3392</v>
      </c>
      <c r="E1079" s="1" t="s">
        <v>3149</v>
      </c>
      <c r="F1079" s="1" t="s">
        <v>3150</v>
      </c>
      <c r="G1079" s="1" t="s">
        <v>1938</v>
      </c>
      <c r="H1079" s="1">
        <v>40.080222999999997</v>
      </c>
      <c r="I1079" s="1">
        <v>-74.993752000000001</v>
      </c>
      <c r="J1079" s="1" t="s">
        <v>3151</v>
      </c>
      <c r="K1079" s="1" t="s">
        <v>442</v>
      </c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</row>
    <row r="1080" spans="1:40" ht="22" customHeight="1">
      <c r="A1080" s="1" t="s">
        <v>3393</v>
      </c>
      <c r="B1080" s="1" t="s">
        <v>3394</v>
      </c>
      <c r="C1080" s="1" t="s">
        <v>3147</v>
      </c>
      <c r="D1080" s="1" t="s">
        <v>3395</v>
      </c>
      <c r="E1080" s="1" t="s">
        <v>3149</v>
      </c>
      <c r="F1080" s="1" t="s">
        <v>3150</v>
      </c>
      <c r="G1080" s="1" t="s">
        <v>478</v>
      </c>
      <c r="H1080" s="1">
        <v>39.947994000000001</v>
      </c>
      <c r="I1080" s="1">
        <v>-75.220596</v>
      </c>
      <c r="J1080" s="1" t="s">
        <v>3151</v>
      </c>
      <c r="K1080" s="1" t="s">
        <v>442</v>
      </c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</row>
    <row r="1081" spans="1:40" ht="22" customHeight="1">
      <c r="A1081" s="1" t="s">
        <v>3396</v>
      </c>
      <c r="B1081" s="1" t="s">
        <v>3397</v>
      </c>
      <c r="C1081" s="1" t="s">
        <v>3147</v>
      </c>
      <c r="D1081" s="1" t="s">
        <v>3398</v>
      </c>
      <c r="E1081" s="1" t="s">
        <v>3345</v>
      </c>
      <c r="F1081" s="1" t="s">
        <v>3150</v>
      </c>
      <c r="G1081" s="1" t="s">
        <v>3346</v>
      </c>
      <c r="H1081" s="1">
        <v>40.073872000000001</v>
      </c>
      <c r="I1081" s="1">
        <v>-74.966369999999998</v>
      </c>
      <c r="J1081" s="1" t="s">
        <v>3151</v>
      </c>
      <c r="K1081" s="1" t="s">
        <v>442</v>
      </c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</row>
    <row r="1082" spans="1:40" ht="22" customHeight="1">
      <c r="A1082" s="1" t="s">
        <v>3399</v>
      </c>
      <c r="B1082" s="1" t="s">
        <v>3400</v>
      </c>
      <c r="C1082" s="1" t="s">
        <v>3147</v>
      </c>
      <c r="D1082" s="1" t="s">
        <v>3401</v>
      </c>
      <c r="E1082" s="1" t="s">
        <v>3149</v>
      </c>
      <c r="F1082" s="1" t="s">
        <v>3150</v>
      </c>
      <c r="G1082" s="1" t="s">
        <v>1006</v>
      </c>
      <c r="H1082" s="1">
        <v>40.030903000000002</v>
      </c>
      <c r="I1082" s="1">
        <v>-75.211997999999994</v>
      </c>
      <c r="J1082" s="1" t="s">
        <v>3151</v>
      </c>
      <c r="K1082" s="1" t="s">
        <v>442</v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</row>
    <row r="1083" spans="1:40" ht="22" customHeight="1">
      <c r="A1083" s="1" t="s">
        <v>3402</v>
      </c>
      <c r="B1083" s="1" t="s">
        <v>3403</v>
      </c>
      <c r="C1083" s="1" t="s">
        <v>3147</v>
      </c>
      <c r="D1083" s="1" t="s">
        <v>3404</v>
      </c>
      <c r="E1083" s="1" t="s">
        <v>3405</v>
      </c>
      <c r="F1083" s="1" t="s">
        <v>3227</v>
      </c>
      <c r="G1083" s="1" t="s">
        <v>3406</v>
      </c>
      <c r="H1083" s="1">
        <v>39.907420999999999</v>
      </c>
      <c r="I1083" s="1">
        <v>-75.058823000000004</v>
      </c>
      <c r="J1083" s="1" t="s">
        <v>3151</v>
      </c>
      <c r="K1083" s="1" t="s">
        <v>442</v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</row>
    <row r="1084" spans="1:40" ht="22" customHeight="1">
      <c r="A1084" s="1" t="s">
        <v>3407</v>
      </c>
      <c r="B1084" s="1" t="s">
        <v>3408</v>
      </c>
      <c r="C1084" s="1" t="s">
        <v>3147</v>
      </c>
      <c r="D1084" s="1" t="s">
        <v>3409</v>
      </c>
      <c r="E1084" s="1" t="s">
        <v>3149</v>
      </c>
      <c r="F1084" s="1" t="s">
        <v>3150</v>
      </c>
      <c r="G1084" s="1" t="s">
        <v>669</v>
      </c>
      <c r="H1084" s="1">
        <v>39.953968000000003</v>
      </c>
      <c r="I1084" s="1">
        <v>-75.176169999999999</v>
      </c>
      <c r="J1084" s="1" t="s">
        <v>3151</v>
      </c>
      <c r="K1084" s="1" t="s">
        <v>442</v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</row>
    <row r="1085" spans="1:40" ht="22" customHeight="1">
      <c r="A1085" s="1" t="s">
        <v>3410</v>
      </c>
      <c r="B1085" s="1" t="s">
        <v>3411</v>
      </c>
      <c r="C1085" s="1" t="s">
        <v>3147</v>
      </c>
      <c r="D1085" s="1" t="s">
        <v>3412</v>
      </c>
      <c r="E1085" s="1" t="s">
        <v>3413</v>
      </c>
      <c r="F1085" s="1" t="s">
        <v>3150</v>
      </c>
      <c r="G1085" s="1" t="s">
        <v>3414</v>
      </c>
      <c r="H1085" s="1">
        <v>39.909137999999999</v>
      </c>
      <c r="I1085" s="1">
        <v>-75.284156999999993</v>
      </c>
      <c r="J1085" s="1" t="s">
        <v>3151</v>
      </c>
      <c r="K1085" s="1" t="s">
        <v>442</v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</row>
    <row r="1086" spans="1:40" ht="22" customHeight="1">
      <c r="A1086" s="1" t="s">
        <v>3415</v>
      </c>
      <c r="B1086" s="1" t="s">
        <v>3416</v>
      </c>
      <c r="C1086" s="1" t="s">
        <v>3147</v>
      </c>
      <c r="D1086" s="1" t="s">
        <v>3417</v>
      </c>
      <c r="E1086" s="1" t="s">
        <v>3418</v>
      </c>
      <c r="F1086" s="1" t="s">
        <v>3150</v>
      </c>
      <c r="G1086" s="1" t="s">
        <v>3419</v>
      </c>
      <c r="H1086" s="1">
        <v>40.149261000000003</v>
      </c>
      <c r="I1086" s="1">
        <v>-75.307091</v>
      </c>
      <c r="J1086" s="1" t="s">
        <v>3151</v>
      </c>
      <c r="K1086" s="1" t="s">
        <v>442</v>
      </c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</row>
    <row r="1087" spans="1:40" ht="22" customHeight="1">
      <c r="A1087" s="1" t="s">
        <v>3420</v>
      </c>
      <c r="B1087" s="1" t="s">
        <v>3421</v>
      </c>
      <c r="C1087" s="1" t="s">
        <v>3154</v>
      </c>
      <c r="D1087" s="1" t="s">
        <v>3422</v>
      </c>
      <c r="E1087" s="1" t="s">
        <v>3423</v>
      </c>
      <c r="F1087" s="1" t="s">
        <v>3150</v>
      </c>
      <c r="G1087" s="1" t="s">
        <v>3424</v>
      </c>
      <c r="H1087" s="1">
        <v>39.917797</v>
      </c>
      <c r="I1087" s="1">
        <v>-75.301772999999997</v>
      </c>
      <c r="J1087" s="1" t="s">
        <v>3151</v>
      </c>
      <c r="K1087" s="1" t="s">
        <v>442</v>
      </c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</row>
    <row r="1088" spans="1:40" ht="22" customHeight="1">
      <c r="A1088" s="1" t="s">
        <v>3425</v>
      </c>
      <c r="B1088" s="1" t="s">
        <v>3426</v>
      </c>
      <c r="C1088" s="1" t="s">
        <v>3154</v>
      </c>
      <c r="D1088" s="1" t="s">
        <v>3427</v>
      </c>
      <c r="E1088" s="1" t="s">
        <v>3258</v>
      </c>
      <c r="F1088" s="1" t="s">
        <v>3227</v>
      </c>
      <c r="G1088" s="1" t="s">
        <v>3259</v>
      </c>
      <c r="H1088" s="1">
        <v>39.896220999999997</v>
      </c>
      <c r="I1088" s="1">
        <v>-74.915442999999996</v>
      </c>
      <c r="J1088" s="1" t="s">
        <v>3151</v>
      </c>
      <c r="K1088" s="1" t="s">
        <v>442</v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</row>
    <row r="1089" spans="1:40" ht="22" customHeight="1">
      <c r="A1089" s="1" t="s">
        <v>3428</v>
      </c>
      <c r="B1089" s="1" t="s">
        <v>3429</v>
      </c>
      <c r="C1089" s="1" t="s">
        <v>3154</v>
      </c>
      <c r="D1089" s="1" t="s">
        <v>3430</v>
      </c>
      <c r="E1089" s="1" t="s">
        <v>3149</v>
      </c>
      <c r="F1089" s="1" t="s">
        <v>3150</v>
      </c>
      <c r="G1089" s="1" t="s">
        <v>785</v>
      </c>
      <c r="H1089" s="1">
        <v>40.036003000000001</v>
      </c>
      <c r="I1089" s="1">
        <v>-75.108581999999998</v>
      </c>
      <c r="J1089" s="1" t="s">
        <v>3151</v>
      </c>
      <c r="K1089" s="1" t="s">
        <v>442</v>
      </c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</row>
    <row r="1090" spans="1:40" ht="22" customHeight="1">
      <c r="A1090" s="1" t="s">
        <v>3431</v>
      </c>
      <c r="B1090" s="1" t="s">
        <v>3432</v>
      </c>
      <c r="C1090" s="1" t="s">
        <v>3147</v>
      </c>
      <c r="D1090" s="1" t="s">
        <v>3433</v>
      </c>
      <c r="E1090" s="1" t="s">
        <v>3149</v>
      </c>
      <c r="F1090" s="1" t="s">
        <v>3150</v>
      </c>
      <c r="G1090" s="1" t="s">
        <v>612</v>
      </c>
      <c r="H1090" s="1">
        <v>39.945670999999997</v>
      </c>
      <c r="I1090" s="1">
        <v>-75.179419999999993</v>
      </c>
      <c r="J1090" s="1" t="s">
        <v>3151</v>
      </c>
      <c r="K1090" s="1" t="s">
        <v>442</v>
      </c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</row>
    <row r="1091" spans="1:40" ht="22" customHeight="1">
      <c r="A1091" s="1" t="s">
        <v>3434</v>
      </c>
      <c r="B1091" s="1" t="s">
        <v>3435</v>
      </c>
      <c r="C1091" s="1" t="s">
        <v>3147</v>
      </c>
      <c r="D1091" s="1" t="s">
        <v>3436</v>
      </c>
      <c r="E1091" s="1" t="s">
        <v>3437</v>
      </c>
      <c r="F1091" s="1" t="s">
        <v>3150</v>
      </c>
      <c r="G1091" s="1" t="s">
        <v>3438</v>
      </c>
      <c r="H1091" s="1">
        <v>39.961098</v>
      </c>
      <c r="I1091" s="1">
        <v>-75.354416000000001</v>
      </c>
      <c r="J1091" s="1" t="s">
        <v>3151</v>
      </c>
      <c r="K1091" s="1" t="s">
        <v>442</v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</row>
    <row r="1092" spans="1:40" ht="22" customHeight="1">
      <c r="A1092" s="1" t="s">
        <v>3439</v>
      </c>
      <c r="B1092" s="1" t="s">
        <v>3440</v>
      </c>
      <c r="C1092" s="1" t="s">
        <v>3154</v>
      </c>
      <c r="D1092" s="1" t="s">
        <v>3441</v>
      </c>
      <c r="E1092" s="1" t="s">
        <v>3385</v>
      </c>
      <c r="F1092" s="1" t="s">
        <v>3227</v>
      </c>
      <c r="G1092" s="1" t="s">
        <v>3386</v>
      </c>
      <c r="H1092" s="1">
        <v>39.879855999999997</v>
      </c>
      <c r="I1092" s="1">
        <v>-75.120193</v>
      </c>
      <c r="J1092" s="1" t="s">
        <v>3151</v>
      </c>
      <c r="K1092" s="1" t="s">
        <v>442</v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</row>
    <row r="1093" spans="1:40" ht="22" customHeight="1">
      <c r="A1093" s="1" t="s">
        <v>3442</v>
      </c>
      <c r="B1093" s="1" t="s">
        <v>3443</v>
      </c>
      <c r="C1093" s="1" t="s">
        <v>3147</v>
      </c>
      <c r="D1093" s="1" t="s">
        <v>3444</v>
      </c>
      <c r="E1093" s="1" t="s">
        <v>3149</v>
      </c>
      <c r="F1093" s="1" t="s">
        <v>3150</v>
      </c>
      <c r="G1093" s="1" t="s">
        <v>608</v>
      </c>
      <c r="H1093" s="1">
        <v>39.916961999999998</v>
      </c>
      <c r="I1093" s="1">
        <v>-75.180328000000003</v>
      </c>
      <c r="J1093" s="1" t="s">
        <v>3151</v>
      </c>
      <c r="K1093" s="1" t="s">
        <v>442</v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</row>
    <row r="1094" spans="1:40" ht="22" customHeight="1">
      <c r="A1094" s="1" t="s">
        <v>3445</v>
      </c>
      <c r="B1094" s="1" t="s">
        <v>3446</v>
      </c>
      <c r="C1094" s="1" t="s">
        <v>3147</v>
      </c>
      <c r="D1094" s="1" t="s">
        <v>3447</v>
      </c>
      <c r="E1094" s="1" t="s">
        <v>3448</v>
      </c>
      <c r="F1094" s="1" t="s">
        <v>3150</v>
      </c>
      <c r="G1094" s="1" t="s">
        <v>3449</v>
      </c>
      <c r="H1094" s="1">
        <v>39.960735</v>
      </c>
      <c r="I1094" s="1">
        <v>-75.287018000000003</v>
      </c>
      <c r="J1094" s="1" t="s">
        <v>3151</v>
      </c>
      <c r="K1094" s="1" t="s">
        <v>442</v>
      </c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</row>
    <row r="1095" spans="1:40" ht="22" customHeight="1">
      <c r="A1095" s="1" t="s">
        <v>3450</v>
      </c>
      <c r="B1095" s="1" t="s">
        <v>3451</v>
      </c>
      <c r="C1095" s="1" t="s">
        <v>3147</v>
      </c>
      <c r="D1095" s="1" t="s">
        <v>3452</v>
      </c>
      <c r="E1095" s="1" t="s">
        <v>3418</v>
      </c>
      <c r="F1095" s="1" t="s">
        <v>3150</v>
      </c>
      <c r="G1095" s="1" t="s">
        <v>3419</v>
      </c>
      <c r="H1095" s="1">
        <v>40.16621</v>
      </c>
      <c r="I1095" s="1">
        <v>-75.290931999999998</v>
      </c>
      <c r="J1095" s="1" t="s">
        <v>3151</v>
      </c>
      <c r="K1095" s="1" t="s">
        <v>442</v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</row>
    <row r="1096" spans="1:40" ht="22" customHeight="1">
      <c r="A1096" s="1" t="s">
        <v>3453</v>
      </c>
      <c r="B1096" s="1" t="s">
        <v>3454</v>
      </c>
      <c r="C1096" s="1" t="s">
        <v>3147</v>
      </c>
      <c r="D1096" s="1" t="s">
        <v>3455</v>
      </c>
      <c r="E1096" s="1" t="s">
        <v>3149</v>
      </c>
      <c r="F1096" s="1" t="s">
        <v>3150</v>
      </c>
      <c r="G1096" s="1" t="s">
        <v>807</v>
      </c>
      <c r="H1096" s="1">
        <v>39.990775999999997</v>
      </c>
      <c r="I1096" s="1">
        <v>-75.177871999999994</v>
      </c>
      <c r="J1096" s="1" t="s">
        <v>3151</v>
      </c>
      <c r="K1096" s="1" t="s">
        <v>442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</row>
    <row r="1097" spans="1:40" ht="22" customHeight="1">
      <c r="A1097" s="1" t="s">
        <v>3456</v>
      </c>
      <c r="B1097" s="1" t="s">
        <v>3457</v>
      </c>
      <c r="C1097" s="1" t="s">
        <v>3147</v>
      </c>
      <c r="D1097" s="1" t="s">
        <v>3458</v>
      </c>
      <c r="E1097" s="1" t="s">
        <v>3149</v>
      </c>
      <c r="F1097" s="1" t="s">
        <v>3150</v>
      </c>
      <c r="G1097" s="1" t="s">
        <v>1938</v>
      </c>
      <c r="H1097" s="1">
        <v>40.068793999999997</v>
      </c>
      <c r="I1097" s="1">
        <v>-75.006720999999999</v>
      </c>
      <c r="J1097" s="1" t="s">
        <v>3151</v>
      </c>
      <c r="K1097" s="1" t="s">
        <v>442</v>
      </c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</row>
    <row r="1098" spans="1:40" ht="22" customHeight="1">
      <c r="A1098" s="1" t="s">
        <v>3459</v>
      </c>
      <c r="B1098" s="1" t="s">
        <v>3460</v>
      </c>
      <c r="C1098" s="1" t="s">
        <v>3147</v>
      </c>
      <c r="D1098" s="1" t="s">
        <v>3461</v>
      </c>
      <c r="E1098" s="1" t="s">
        <v>3462</v>
      </c>
      <c r="F1098" s="1" t="s">
        <v>3227</v>
      </c>
      <c r="G1098" s="1" t="s">
        <v>3463</v>
      </c>
      <c r="H1098" s="1">
        <v>39.853366999999999</v>
      </c>
      <c r="I1098" s="1">
        <v>-74.982039999999998</v>
      </c>
      <c r="J1098" s="1" t="s">
        <v>3151</v>
      </c>
      <c r="K1098" s="1" t="s">
        <v>442</v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</row>
    <row r="1099" spans="1:40" ht="22" customHeight="1">
      <c r="A1099" s="1" t="s">
        <v>3464</v>
      </c>
      <c r="B1099" s="1" t="s">
        <v>3465</v>
      </c>
      <c r="C1099" s="1" t="s">
        <v>3147</v>
      </c>
      <c r="D1099" s="1" t="s">
        <v>3466</v>
      </c>
      <c r="E1099" s="1" t="s">
        <v>3350</v>
      </c>
      <c r="F1099" s="1" t="s">
        <v>3227</v>
      </c>
      <c r="G1099" s="1" t="s">
        <v>3467</v>
      </c>
      <c r="H1099" s="1">
        <v>39.960223999999997</v>
      </c>
      <c r="I1099" s="1">
        <v>-75.086348999999998</v>
      </c>
      <c r="J1099" s="1" t="s">
        <v>3151</v>
      </c>
      <c r="K1099" s="1" t="s">
        <v>442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</row>
    <row r="1100" spans="1:40" ht="22" customHeight="1">
      <c r="A1100" s="1" t="s">
        <v>3468</v>
      </c>
      <c r="B1100" s="1" t="s">
        <v>3469</v>
      </c>
      <c r="C1100" s="1" t="s">
        <v>3147</v>
      </c>
      <c r="D1100" s="1" t="s">
        <v>3470</v>
      </c>
      <c r="E1100" s="1" t="s">
        <v>3340</v>
      </c>
      <c r="F1100" s="1" t="s">
        <v>3150</v>
      </c>
      <c r="G1100" s="1" t="s">
        <v>3341</v>
      </c>
      <c r="H1100" s="1">
        <v>39.888012000000003</v>
      </c>
      <c r="I1100" s="1">
        <v>-75.328529000000003</v>
      </c>
      <c r="J1100" s="1" t="s">
        <v>3151</v>
      </c>
      <c r="K1100" s="1" t="s">
        <v>442</v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</row>
    <row r="1101" spans="1:40" ht="22" customHeight="1">
      <c r="A1101" s="1" t="s">
        <v>3471</v>
      </c>
      <c r="B1101" s="1" t="s">
        <v>3472</v>
      </c>
      <c r="C1101" s="1" t="s">
        <v>3154</v>
      </c>
      <c r="D1101" s="1" t="s">
        <v>3473</v>
      </c>
      <c r="E1101" s="1" t="s">
        <v>3149</v>
      </c>
      <c r="F1101" s="1" t="s">
        <v>3150</v>
      </c>
      <c r="G1101" s="1" t="s">
        <v>1006</v>
      </c>
      <c r="H1101" s="1">
        <v>40.043315999999997</v>
      </c>
      <c r="I1101" s="1">
        <v>-75.227576999999997</v>
      </c>
      <c r="J1101" s="1" t="s">
        <v>3151</v>
      </c>
      <c r="K1101" s="1" t="s">
        <v>442</v>
      </c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</row>
    <row r="1102" spans="1:40" ht="22" customHeight="1">
      <c r="A1102" s="1" t="s">
        <v>3474</v>
      </c>
      <c r="B1102" s="1" t="s">
        <v>3475</v>
      </c>
      <c r="C1102" s="1" t="s">
        <v>3147</v>
      </c>
      <c r="D1102" s="1" t="s">
        <v>3476</v>
      </c>
      <c r="E1102" s="1" t="s">
        <v>3149</v>
      </c>
      <c r="F1102" s="1" t="s">
        <v>3150</v>
      </c>
      <c r="G1102" s="1" t="s">
        <v>780</v>
      </c>
      <c r="H1102" s="1">
        <v>40.028270999999997</v>
      </c>
      <c r="I1102" s="1">
        <v>-75.106185999999994</v>
      </c>
      <c r="J1102" s="1" t="s">
        <v>3151</v>
      </c>
      <c r="K1102" s="1" t="s">
        <v>442</v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</row>
    <row r="1103" spans="1:40" ht="22" customHeight="1">
      <c r="A1103" s="1" t="s">
        <v>3477</v>
      </c>
      <c r="B1103" s="1" t="s">
        <v>3478</v>
      </c>
      <c r="C1103" s="1" t="s">
        <v>3147</v>
      </c>
      <c r="D1103" s="1" t="s">
        <v>3479</v>
      </c>
      <c r="E1103" s="1" t="s">
        <v>3480</v>
      </c>
      <c r="F1103" s="1" t="s">
        <v>3150</v>
      </c>
      <c r="G1103" s="1" t="s">
        <v>3481</v>
      </c>
      <c r="H1103" s="1">
        <v>40.018214999999998</v>
      </c>
      <c r="I1103" s="1">
        <v>-75.311661000000001</v>
      </c>
      <c r="J1103" s="1" t="s">
        <v>3151</v>
      </c>
      <c r="K1103" s="1" t="s">
        <v>442</v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</row>
    <row r="1104" spans="1:40" ht="22" customHeight="1">
      <c r="A1104" s="1" t="s">
        <v>3482</v>
      </c>
      <c r="B1104" s="1" t="s">
        <v>3483</v>
      </c>
      <c r="C1104" s="1" t="s">
        <v>3154</v>
      </c>
      <c r="D1104" s="1" t="s">
        <v>3484</v>
      </c>
      <c r="E1104" s="1" t="s">
        <v>3149</v>
      </c>
      <c r="F1104" s="1" t="s">
        <v>3150</v>
      </c>
      <c r="G1104" s="1" t="s">
        <v>758</v>
      </c>
      <c r="H1104" s="1">
        <v>40.012779000000002</v>
      </c>
      <c r="I1104" s="1">
        <v>-75.135597000000004</v>
      </c>
      <c r="J1104" s="1" t="s">
        <v>3151</v>
      </c>
      <c r="K1104" s="1" t="s">
        <v>442</v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</row>
    <row r="1105" spans="1:40" ht="22" customHeight="1">
      <c r="A1105" s="1" t="s">
        <v>3485</v>
      </c>
      <c r="B1105" s="1" t="s">
        <v>3486</v>
      </c>
      <c r="C1105" s="1" t="s">
        <v>3147</v>
      </c>
      <c r="D1105" s="1" t="s">
        <v>3487</v>
      </c>
      <c r="E1105" s="1" t="s">
        <v>3488</v>
      </c>
      <c r="F1105" s="1" t="s">
        <v>3227</v>
      </c>
      <c r="G1105" s="1" t="s">
        <v>3489</v>
      </c>
      <c r="H1105" s="1">
        <v>40.027565000000003</v>
      </c>
      <c r="I1105" s="1">
        <v>-74.907059000000004</v>
      </c>
      <c r="J1105" s="1" t="s">
        <v>3151</v>
      </c>
      <c r="K1105" s="1" t="s">
        <v>442</v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</row>
    <row r="1106" spans="1:40" ht="22" customHeight="1">
      <c r="A1106" s="1" t="s">
        <v>3490</v>
      </c>
      <c r="B1106" s="1" t="s">
        <v>3491</v>
      </c>
      <c r="C1106" s="1" t="s">
        <v>3147</v>
      </c>
      <c r="D1106" s="1" t="s">
        <v>3492</v>
      </c>
      <c r="E1106" s="1" t="s">
        <v>3335</v>
      </c>
      <c r="F1106" s="1" t="s">
        <v>3150</v>
      </c>
      <c r="G1106" s="1" t="s">
        <v>3336</v>
      </c>
      <c r="H1106" s="1">
        <v>40.080406000000004</v>
      </c>
      <c r="I1106" s="1">
        <v>-75.160385000000005</v>
      </c>
      <c r="J1106" s="1" t="s">
        <v>3151</v>
      </c>
      <c r="K1106" s="1" t="s">
        <v>442</v>
      </c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</row>
    <row r="1107" spans="1:40" ht="22" customHeight="1">
      <c r="A1107" s="1" t="s">
        <v>3493</v>
      </c>
      <c r="B1107" s="1" t="s">
        <v>3494</v>
      </c>
      <c r="C1107" s="1" t="s">
        <v>3147</v>
      </c>
      <c r="D1107" s="1" t="s">
        <v>3495</v>
      </c>
      <c r="E1107" s="1" t="s">
        <v>3375</v>
      </c>
      <c r="F1107" s="1" t="s">
        <v>3227</v>
      </c>
      <c r="G1107" s="1" t="s">
        <v>3254</v>
      </c>
      <c r="H1107" s="1">
        <v>39.878776999999999</v>
      </c>
      <c r="I1107" s="1">
        <v>-75.007332000000005</v>
      </c>
      <c r="J1107" s="1" t="s">
        <v>3151</v>
      </c>
      <c r="K1107" s="1" t="s">
        <v>442</v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</row>
    <row r="1108" spans="1:40" ht="22" customHeight="1">
      <c r="A1108" s="1" t="s">
        <v>3496</v>
      </c>
      <c r="B1108" s="1" t="s">
        <v>3497</v>
      </c>
      <c r="C1108" s="1" t="s">
        <v>3147</v>
      </c>
      <c r="D1108" s="1" t="s">
        <v>3498</v>
      </c>
      <c r="E1108" s="1" t="s">
        <v>3499</v>
      </c>
      <c r="F1108" s="1" t="s">
        <v>3150</v>
      </c>
      <c r="G1108" s="1" t="s">
        <v>3500</v>
      </c>
      <c r="H1108" s="1">
        <v>39.917793000000003</v>
      </c>
      <c r="I1108" s="1">
        <v>-75.388785999999996</v>
      </c>
      <c r="J1108" s="1" t="s">
        <v>3151</v>
      </c>
      <c r="K1108" s="1" t="s">
        <v>442</v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</row>
    <row r="1109" spans="1:40" ht="22" customHeight="1">
      <c r="A1109" s="1" t="s">
        <v>3501</v>
      </c>
      <c r="B1109" s="1" t="s">
        <v>3502</v>
      </c>
      <c r="C1109" s="1" t="s">
        <v>3147</v>
      </c>
      <c r="D1109" s="1" t="s">
        <v>3503</v>
      </c>
      <c r="E1109" s="1" t="s">
        <v>3504</v>
      </c>
      <c r="F1109" s="1" t="s">
        <v>3227</v>
      </c>
      <c r="G1109" s="1" t="s">
        <v>3505</v>
      </c>
      <c r="H1109" s="1">
        <v>39.948425</v>
      </c>
      <c r="I1109" s="1">
        <v>-75.068068999999994</v>
      </c>
      <c r="J1109" s="1" t="s">
        <v>3151</v>
      </c>
      <c r="K1109" s="1" t="s">
        <v>442</v>
      </c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</row>
    <row r="1110" spans="1:40" ht="22" customHeight="1">
      <c r="A1110" s="1" t="s">
        <v>3506</v>
      </c>
      <c r="B1110" s="1" t="s">
        <v>3507</v>
      </c>
      <c r="C1110" s="1" t="s">
        <v>3147</v>
      </c>
      <c r="D1110" s="1" t="s">
        <v>3508</v>
      </c>
      <c r="E1110" s="1" t="s">
        <v>3509</v>
      </c>
      <c r="F1110" s="1" t="s">
        <v>3150</v>
      </c>
      <c r="G1110" s="1" t="s">
        <v>3510</v>
      </c>
      <c r="H1110" s="1">
        <v>40.130619000000003</v>
      </c>
      <c r="I1110" s="1">
        <v>-75.166038999999998</v>
      </c>
      <c r="J1110" s="1" t="s">
        <v>3151</v>
      </c>
      <c r="K1110" s="1" t="s">
        <v>442</v>
      </c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</row>
    <row r="1111" spans="1:40" ht="22" customHeight="1">
      <c r="A1111" s="1" t="s">
        <v>3511</v>
      </c>
      <c r="B1111" s="1" t="s">
        <v>3512</v>
      </c>
      <c r="C1111" s="1" t="s">
        <v>3154</v>
      </c>
      <c r="D1111" s="1" t="s">
        <v>3513</v>
      </c>
      <c r="E1111" s="1" t="s">
        <v>3514</v>
      </c>
      <c r="F1111" s="1" t="s">
        <v>3227</v>
      </c>
      <c r="G1111" s="1" t="s">
        <v>3264</v>
      </c>
      <c r="H1111" s="1">
        <v>39.808388000000001</v>
      </c>
      <c r="I1111" s="1">
        <v>-74.930938999999995</v>
      </c>
      <c r="J1111" s="1" t="s">
        <v>3151</v>
      </c>
      <c r="K1111" s="1" t="s">
        <v>442</v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</row>
    <row r="1112" spans="1:40" ht="22" customHeight="1">
      <c r="A1112" s="1" t="s">
        <v>3515</v>
      </c>
      <c r="B1112" s="1" t="s">
        <v>3516</v>
      </c>
      <c r="C1112" s="1" t="s">
        <v>3154</v>
      </c>
      <c r="D1112" s="1" t="s">
        <v>3517</v>
      </c>
      <c r="E1112" s="1" t="s">
        <v>3149</v>
      </c>
      <c r="F1112" s="1" t="s">
        <v>3150</v>
      </c>
      <c r="G1112" s="1" t="s">
        <v>876</v>
      </c>
      <c r="H1112" s="1">
        <v>40.118991999999999</v>
      </c>
      <c r="I1112" s="1">
        <v>-75.016762</v>
      </c>
      <c r="J1112" s="1" t="s">
        <v>3151</v>
      </c>
      <c r="K1112" s="1" t="s">
        <v>442</v>
      </c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</row>
    <row r="1113" spans="1:40" ht="22" customHeight="1">
      <c r="A1113" s="1" t="s">
        <v>3518</v>
      </c>
      <c r="B1113" s="1" t="s">
        <v>3519</v>
      </c>
      <c r="C1113" s="1" t="s">
        <v>3147</v>
      </c>
      <c r="D1113" s="1" t="s">
        <v>3520</v>
      </c>
      <c r="E1113" s="1" t="s">
        <v>3149</v>
      </c>
      <c r="F1113" s="1" t="s">
        <v>3150</v>
      </c>
      <c r="G1113" s="1" t="s">
        <v>994</v>
      </c>
      <c r="H1113" s="1">
        <v>40.036335000000001</v>
      </c>
      <c r="I1113" s="1">
        <v>-75.180037999999996</v>
      </c>
      <c r="J1113" s="1" t="s">
        <v>3151</v>
      </c>
      <c r="K1113" s="1" t="s">
        <v>442</v>
      </c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</row>
    <row r="1114" spans="1:40" ht="22" customHeight="1">
      <c r="A1114" s="1" t="s">
        <v>3521</v>
      </c>
      <c r="B1114" s="1" t="s">
        <v>3522</v>
      </c>
      <c r="C1114" s="1" t="s">
        <v>3147</v>
      </c>
      <c r="D1114" s="1" t="s">
        <v>3523</v>
      </c>
      <c r="E1114" s="1" t="s">
        <v>3149</v>
      </c>
      <c r="F1114" s="1" t="s">
        <v>3150</v>
      </c>
      <c r="G1114" s="1" t="s">
        <v>1877</v>
      </c>
      <c r="H1114" s="1">
        <v>40.036304000000001</v>
      </c>
      <c r="I1114" s="1">
        <v>-75.063682999999997</v>
      </c>
      <c r="J1114" s="1" t="s">
        <v>3151</v>
      </c>
      <c r="K1114" s="1" t="s">
        <v>442</v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</row>
    <row r="1115" spans="1:40" ht="22" customHeight="1">
      <c r="A1115" s="1" t="s">
        <v>3524</v>
      </c>
      <c r="B1115" s="1" t="s">
        <v>3525</v>
      </c>
      <c r="C1115" s="1" t="s">
        <v>3147</v>
      </c>
      <c r="D1115" s="1" t="s">
        <v>3526</v>
      </c>
      <c r="E1115" s="1" t="s">
        <v>3527</v>
      </c>
      <c r="F1115" s="1" t="s">
        <v>3150</v>
      </c>
      <c r="G1115" s="1" t="s">
        <v>3528</v>
      </c>
      <c r="H1115" s="1">
        <v>40.101902000000003</v>
      </c>
      <c r="I1115" s="1">
        <v>-75.292282</v>
      </c>
      <c r="J1115" s="1" t="s">
        <v>3151</v>
      </c>
      <c r="K1115" s="1" t="s">
        <v>442</v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</row>
    <row r="1116" spans="1:40" ht="22" customHeight="1">
      <c r="A1116" s="1" t="s">
        <v>3529</v>
      </c>
      <c r="B1116" s="1" t="s">
        <v>3530</v>
      </c>
      <c r="C1116" s="1" t="s">
        <v>3147</v>
      </c>
      <c r="D1116" s="1" t="s">
        <v>3531</v>
      </c>
      <c r="E1116" s="1" t="s">
        <v>3499</v>
      </c>
      <c r="F1116" s="1" t="s">
        <v>3150</v>
      </c>
      <c r="G1116" s="1" t="s">
        <v>3500</v>
      </c>
      <c r="H1116" s="1">
        <v>39.915421000000002</v>
      </c>
      <c r="I1116" s="1">
        <v>-75.379852</v>
      </c>
      <c r="J1116" s="1" t="s">
        <v>3151</v>
      </c>
      <c r="K1116" s="1" t="s">
        <v>442</v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</row>
    <row r="1117" spans="1:40" ht="22" customHeight="1">
      <c r="A1117" s="1" t="s">
        <v>3532</v>
      </c>
      <c r="B1117" s="1" t="s">
        <v>3533</v>
      </c>
      <c r="C1117" s="1" t="s">
        <v>3147</v>
      </c>
      <c r="D1117" s="1" t="s">
        <v>3534</v>
      </c>
      <c r="E1117" s="1" t="s">
        <v>3330</v>
      </c>
      <c r="F1117" s="1" t="s">
        <v>3227</v>
      </c>
      <c r="G1117" s="1" t="s">
        <v>3331</v>
      </c>
      <c r="H1117" s="1">
        <v>39.835239000000001</v>
      </c>
      <c r="I1117" s="1">
        <v>-75.155426000000006</v>
      </c>
      <c r="J1117" s="1" t="s">
        <v>3151</v>
      </c>
      <c r="K1117" s="1" t="s">
        <v>442</v>
      </c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</row>
    <row r="1118" spans="1:40" ht="22" customHeight="1">
      <c r="A1118" s="1" t="s">
        <v>3535</v>
      </c>
      <c r="B1118" s="1" t="s">
        <v>3536</v>
      </c>
      <c r="C1118" s="1" t="s">
        <v>3147</v>
      </c>
      <c r="D1118" s="1" t="s">
        <v>3537</v>
      </c>
      <c r="E1118" s="1" t="s">
        <v>3291</v>
      </c>
      <c r="F1118" s="1" t="s">
        <v>3227</v>
      </c>
      <c r="G1118" s="1" t="s">
        <v>3292</v>
      </c>
      <c r="H1118" s="1">
        <v>39.955494000000002</v>
      </c>
      <c r="I1118" s="1">
        <v>-75.003754000000001</v>
      </c>
      <c r="J1118" s="1" t="s">
        <v>3151</v>
      </c>
      <c r="K1118" s="1" t="s">
        <v>442</v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</row>
    <row r="1119" spans="1:40" ht="22" customHeight="1">
      <c r="A1119" s="1" t="s">
        <v>3538</v>
      </c>
      <c r="B1119" s="1" t="s">
        <v>3539</v>
      </c>
      <c r="C1119" s="1" t="s">
        <v>3147</v>
      </c>
      <c r="D1119" s="1" t="s">
        <v>3540</v>
      </c>
      <c r="E1119" s="1" t="s">
        <v>3541</v>
      </c>
      <c r="F1119" s="1" t="s">
        <v>3150</v>
      </c>
      <c r="G1119" s="1" t="s">
        <v>3542</v>
      </c>
      <c r="H1119" s="1">
        <v>40.106814999999997</v>
      </c>
      <c r="I1119" s="1">
        <v>-75.14743</v>
      </c>
      <c r="J1119" s="1" t="s">
        <v>3151</v>
      </c>
      <c r="K1119" s="1" t="s">
        <v>442</v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</row>
    <row r="1120" spans="1:40" ht="22" customHeight="1">
      <c r="A1120" s="1" t="s">
        <v>3543</v>
      </c>
      <c r="B1120" s="1" t="s">
        <v>3544</v>
      </c>
      <c r="C1120" s="1" t="s">
        <v>3154</v>
      </c>
      <c r="D1120" s="1" t="s">
        <v>3545</v>
      </c>
      <c r="E1120" s="1" t="s">
        <v>3546</v>
      </c>
      <c r="F1120" s="1" t="s">
        <v>3150</v>
      </c>
      <c r="G1120" s="1" t="s">
        <v>3547</v>
      </c>
      <c r="H1120" s="1">
        <v>40.062686999999997</v>
      </c>
      <c r="I1120" s="1">
        <v>-75.136252999999996</v>
      </c>
      <c r="J1120" s="1" t="s">
        <v>3151</v>
      </c>
      <c r="K1120" s="1" t="s">
        <v>442</v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</row>
    <row r="1121" spans="1:40" ht="22" customHeight="1">
      <c r="A1121" s="1" t="s">
        <v>3548</v>
      </c>
      <c r="B1121" s="1" t="s">
        <v>3549</v>
      </c>
      <c r="C1121" s="1" t="s">
        <v>3154</v>
      </c>
      <c r="D1121" s="1" t="s">
        <v>3550</v>
      </c>
      <c r="E1121" s="1" t="s">
        <v>3551</v>
      </c>
      <c r="F1121" s="1" t="s">
        <v>3227</v>
      </c>
      <c r="G1121" s="1" t="s">
        <v>3552</v>
      </c>
      <c r="H1121" s="1">
        <v>40.019753000000001</v>
      </c>
      <c r="I1121" s="1">
        <v>-74.945106999999993</v>
      </c>
      <c r="J1121" s="1" t="s">
        <v>3151</v>
      </c>
      <c r="K1121" s="1" t="s">
        <v>442</v>
      </c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</row>
    <row r="1122" spans="1:40" ht="22" customHeight="1">
      <c r="A1122" s="1" t="s">
        <v>3553</v>
      </c>
      <c r="B1122" s="1" t="s">
        <v>3554</v>
      </c>
      <c r="C1122" s="1" t="s">
        <v>3147</v>
      </c>
      <c r="D1122" s="1" t="s">
        <v>3555</v>
      </c>
      <c r="E1122" s="1" t="s">
        <v>3149</v>
      </c>
      <c r="F1122" s="1" t="s">
        <v>3150</v>
      </c>
      <c r="G1122" s="1" t="s">
        <v>1955</v>
      </c>
      <c r="H1122" s="1">
        <v>40.093487000000003</v>
      </c>
      <c r="I1122" s="1">
        <v>-75.032195999999999</v>
      </c>
      <c r="J1122" s="1" t="s">
        <v>3151</v>
      </c>
      <c r="K1122" s="1" t="s">
        <v>442</v>
      </c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</row>
    <row r="1123" spans="1:40" ht="22" customHeight="1">
      <c r="A1123" s="1" t="s">
        <v>3556</v>
      </c>
      <c r="B1123" s="1" t="s">
        <v>3557</v>
      </c>
      <c r="C1123" s="1" t="s">
        <v>3154</v>
      </c>
      <c r="D1123" s="1" t="s">
        <v>3558</v>
      </c>
      <c r="E1123" s="1" t="s">
        <v>3345</v>
      </c>
      <c r="F1123" s="1" t="s">
        <v>3150</v>
      </c>
      <c r="G1123" s="1" t="s">
        <v>3346</v>
      </c>
      <c r="H1123" s="1">
        <v>40.137554000000002</v>
      </c>
      <c r="I1123" s="1">
        <v>-74.958076000000005</v>
      </c>
      <c r="J1123" s="1" t="s">
        <v>3151</v>
      </c>
      <c r="K1123" s="1" t="s">
        <v>442</v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</row>
    <row r="1124" spans="1:40" ht="22" customHeight="1">
      <c r="A1124" s="1" t="s">
        <v>3559</v>
      </c>
      <c r="B1124" s="1" t="s">
        <v>3560</v>
      </c>
      <c r="C1124" s="1" t="s">
        <v>3154</v>
      </c>
      <c r="D1124" s="1" t="s">
        <v>3561</v>
      </c>
      <c r="E1124" s="1" t="s">
        <v>3562</v>
      </c>
      <c r="F1124" s="1" t="s">
        <v>3227</v>
      </c>
      <c r="G1124" s="1" t="s">
        <v>3563</v>
      </c>
      <c r="H1124" s="1">
        <v>39.967789000000003</v>
      </c>
      <c r="I1124" s="1">
        <v>-74.914649999999995</v>
      </c>
      <c r="J1124" s="1" t="s">
        <v>3151</v>
      </c>
      <c r="K1124" s="1" t="s">
        <v>442</v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</row>
    <row r="1125" spans="1:40" ht="22" customHeight="1">
      <c r="A1125" s="1" t="s">
        <v>3564</v>
      </c>
      <c r="B1125" s="1" t="s">
        <v>3565</v>
      </c>
      <c r="C1125" s="1" t="s">
        <v>3154</v>
      </c>
      <c r="D1125" s="1" t="s">
        <v>3566</v>
      </c>
      <c r="E1125" s="1" t="s">
        <v>3375</v>
      </c>
      <c r="F1125" s="1" t="s">
        <v>3227</v>
      </c>
      <c r="G1125" s="1" t="s">
        <v>3376</v>
      </c>
      <c r="H1125" s="1">
        <v>39.934361000000003</v>
      </c>
      <c r="I1125" s="1">
        <v>-75.025322000000003</v>
      </c>
      <c r="J1125" s="1" t="s">
        <v>3151</v>
      </c>
      <c r="K1125" s="1" t="s">
        <v>442</v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</row>
    <row r="1126" spans="1:40" ht="22" customHeight="1">
      <c r="A1126" s="1" t="s">
        <v>3567</v>
      </c>
      <c r="B1126" s="1" t="s">
        <v>3568</v>
      </c>
      <c r="C1126" s="1" t="s">
        <v>3154</v>
      </c>
      <c r="D1126" s="1" t="s">
        <v>3569</v>
      </c>
      <c r="E1126" s="1" t="s">
        <v>3527</v>
      </c>
      <c r="F1126" s="1" t="s">
        <v>3150</v>
      </c>
      <c r="G1126" s="1" t="s">
        <v>3528</v>
      </c>
      <c r="H1126" s="1">
        <v>40.101162000000002</v>
      </c>
      <c r="I1126" s="1">
        <v>-75.293105999999995</v>
      </c>
      <c r="J1126" s="1" t="s">
        <v>3151</v>
      </c>
      <c r="K1126" s="1" t="s">
        <v>442</v>
      </c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</row>
    <row r="1127" spans="1:40" ht="22" customHeight="1">
      <c r="A1127" s="1" t="s">
        <v>3570</v>
      </c>
      <c r="B1127" s="1" t="s">
        <v>3571</v>
      </c>
      <c r="C1127" s="1" t="s">
        <v>3154</v>
      </c>
      <c r="D1127" s="1" t="s">
        <v>3572</v>
      </c>
      <c r="E1127" s="1" t="s">
        <v>3462</v>
      </c>
      <c r="F1127" s="1" t="s">
        <v>3227</v>
      </c>
      <c r="G1127" s="1" t="s">
        <v>3463</v>
      </c>
      <c r="H1127" s="1">
        <v>39.851379000000001</v>
      </c>
      <c r="I1127" s="1">
        <v>-74.985007999999993</v>
      </c>
      <c r="J1127" s="1" t="s">
        <v>3151</v>
      </c>
      <c r="K1127" s="1" t="s">
        <v>442</v>
      </c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</row>
    <row r="1128" spans="1:40" ht="22" customHeight="1">
      <c r="A1128" s="1" t="s">
        <v>3573</v>
      </c>
      <c r="B1128" s="1" t="s">
        <v>3574</v>
      </c>
      <c r="C1128" s="1" t="s">
        <v>3154</v>
      </c>
      <c r="D1128" s="1" t="s">
        <v>3575</v>
      </c>
      <c r="E1128" s="1" t="s">
        <v>3149</v>
      </c>
      <c r="F1128" s="1" t="s">
        <v>3150</v>
      </c>
      <c r="G1128" s="1" t="s">
        <v>876</v>
      </c>
      <c r="H1128" s="1">
        <v>40.105240000000002</v>
      </c>
      <c r="I1128" s="1">
        <v>-75.001403999999994</v>
      </c>
      <c r="J1128" s="1" t="s">
        <v>3151</v>
      </c>
      <c r="K1128" s="1" t="s">
        <v>442</v>
      </c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</row>
    <row r="1129" spans="1:40" ht="22" customHeight="1">
      <c r="A1129" s="1" t="s">
        <v>3576</v>
      </c>
      <c r="B1129" s="1" t="s">
        <v>3577</v>
      </c>
      <c r="C1129" s="1" t="s">
        <v>3147</v>
      </c>
      <c r="D1129" s="1" t="s">
        <v>3578</v>
      </c>
      <c r="E1129" s="1" t="s">
        <v>3149</v>
      </c>
      <c r="F1129" s="1" t="s">
        <v>3150</v>
      </c>
      <c r="G1129" s="1" t="s">
        <v>456</v>
      </c>
      <c r="H1129" s="1">
        <v>39.959282000000002</v>
      </c>
      <c r="I1129" s="1">
        <v>-75.213013000000004</v>
      </c>
      <c r="J1129" s="1" t="s">
        <v>3151</v>
      </c>
      <c r="K1129" s="1" t="s">
        <v>442</v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</row>
    <row r="1130" spans="1:40" ht="22" customHeight="1">
      <c r="A1130" s="1" t="s">
        <v>3579</v>
      </c>
      <c r="B1130" s="1" t="s">
        <v>3580</v>
      </c>
      <c r="C1130" s="1" t="s">
        <v>3154</v>
      </c>
      <c r="D1130" s="1" t="s">
        <v>3581</v>
      </c>
      <c r="E1130" s="1" t="s">
        <v>3509</v>
      </c>
      <c r="F1130" s="1" t="s">
        <v>3150</v>
      </c>
      <c r="G1130" s="1" t="s">
        <v>3510</v>
      </c>
      <c r="H1130" s="1">
        <v>40.146338999999998</v>
      </c>
      <c r="I1130" s="1">
        <v>-75.167145000000005</v>
      </c>
      <c r="J1130" s="1" t="s">
        <v>3151</v>
      </c>
      <c r="K1130" s="1" t="s">
        <v>442</v>
      </c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</row>
    <row r="1131" spans="1:40" ht="22" customHeight="1">
      <c r="A1131" s="1" t="s">
        <v>3582</v>
      </c>
      <c r="B1131" s="1" t="s">
        <v>3583</v>
      </c>
      <c r="C1131" s="1" t="s">
        <v>3147</v>
      </c>
      <c r="D1131" s="1" t="s">
        <v>3584</v>
      </c>
      <c r="E1131" s="1" t="s">
        <v>3585</v>
      </c>
      <c r="F1131" s="1" t="s">
        <v>3227</v>
      </c>
      <c r="G1131" s="1" t="s">
        <v>3586</v>
      </c>
      <c r="H1131" s="1">
        <v>39.921021000000003</v>
      </c>
      <c r="I1131" s="1">
        <v>-75.089729000000005</v>
      </c>
      <c r="J1131" s="1" t="s">
        <v>3151</v>
      </c>
      <c r="K1131" s="1" t="s">
        <v>442</v>
      </c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</row>
    <row r="1132" spans="1:40" ht="22" customHeight="1">
      <c r="A1132" s="1" t="s">
        <v>3587</v>
      </c>
      <c r="B1132" s="1" t="s">
        <v>3588</v>
      </c>
      <c r="C1132" s="1" t="s">
        <v>3147</v>
      </c>
      <c r="D1132" s="1" t="s">
        <v>3589</v>
      </c>
      <c r="E1132" s="1" t="s">
        <v>3590</v>
      </c>
      <c r="F1132" s="1" t="s">
        <v>3227</v>
      </c>
      <c r="G1132" s="1" t="s">
        <v>3591</v>
      </c>
      <c r="H1132" s="1">
        <v>40.039344999999997</v>
      </c>
      <c r="I1132" s="1">
        <v>-74.914848000000006</v>
      </c>
      <c r="J1132" s="1" t="s">
        <v>3151</v>
      </c>
      <c r="K1132" s="1" t="s">
        <v>442</v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</row>
    <row r="1133" spans="1:40" ht="22" customHeight="1">
      <c r="A1133" s="1" t="s">
        <v>3592</v>
      </c>
      <c r="B1133" s="1" t="s">
        <v>3593</v>
      </c>
      <c r="C1133" s="1" t="s">
        <v>3154</v>
      </c>
      <c r="D1133" s="1" t="s">
        <v>3594</v>
      </c>
      <c r="E1133" s="1" t="s">
        <v>3149</v>
      </c>
      <c r="F1133" s="1" t="s">
        <v>3150</v>
      </c>
      <c r="G1133" s="1" t="s">
        <v>574</v>
      </c>
      <c r="H1133" s="1">
        <v>40.006557000000001</v>
      </c>
      <c r="I1133" s="1">
        <v>-75.211860999999999</v>
      </c>
      <c r="J1133" s="1" t="s">
        <v>3151</v>
      </c>
      <c r="K1133" s="1" t="s">
        <v>442</v>
      </c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</row>
    <row r="1134" spans="1:40" ht="22" customHeight="1">
      <c r="A1134" s="1" t="s">
        <v>3595</v>
      </c>
      <c r="B1134" s="1" t="s">
        <v>3596</v>
      </c>
      <c r="C1134" s="1" t="s">
        <v>3147</v>
      </c>
      <c r="D1134" s="1" t="s">
        <v>3597</v>
      </c>
      <c r="E1134" s="1" t="s">
        <v>3598</v>
      </c>
      <c r="F1134" s="1" t="s">
        <v>3150</v>
      </c>
      <c r="G1134" s="1" t="s">
        <v>3599</v>
      </c>
      <c r="H1134" s="1">
        <v>40.007862000000003</v>
      </c>
      <c r="I1134" s="1">
        <v>-75.286170999999996</v>
      </c>
      <c r="J1134" s="1" t="s">
        <v>3151</v>
      </c>
      <c r="K1134" s="1" t="s">
        <v>442</v>
      </c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</row>
    <row r="1135" spans="1:40" ht="22" customHeight="1">
      <c r="A1135" s="1" t="s">
        <v>3600</v>
      </c>
      <c r="B1135" s="1" t="s">
        <v>3601</v>
      </c>
      <c r="C1135" s="1" t="s">
        <v>3147</v>
      </c>
      <c r="D1135" s="1" t="s">
        <v>3602</v>
      </c>
      <c r="E1135" s="1" t="s">
        <v>3603</v>
      </c>
      <c r="F1135" s="1" t="s">
        <v>3150</v>
      </c>
      <c r="G1135" s="1" t="s">
        <v>3604</v>
      </c>
      <c r="H1135" s="1">
        <v>40.010570999999999</v>
      </c>
      <c r="I1135" s="1">
        <v>-75.257728999999998</v>
      </c>
      <c r="J1135" s="1" t="s">
        <v>3151</v>
      </c>
      <c r="K1135" s="1" t="s">
        <v>442</v>
      </c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</row>
    <row r="1136" spans="1:40" ht="22" customHeight="1">
      <c r="A1136" s="1" t="s">
        <v>3605</v>
      </c>
      <c r="B1136" s="1" t="s">
        <v>3606</v>
      </c>
      <c r="C1136" s="1" t="s">
        <v>3154</v>
      </c>
      <c r="D1136" s="1" t="s">
        <v>3607</v>
      </c>
      <c r="E1136" s="1" t="s">
        <v>3312</v>
      </c>
      <c r="F1136" s="1" t="s">
        <v>3150</v>
      </c>
      <c r="G1136" s="1" t="s">
        <v>3313</v>
      </c>
      <c r="H1136" s="1">
        <v>40.136550999999997</v>
      </c>
      <c r="I1136" s="1">
        <v>-74.967536999999993</v>
      </c>
      <c r="J1136" s="1" t="s">
        <v>3151</v>
      </c>
      <c r="K1136" s="1" t="s">
        <v>442</v>
      </c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</row>
    <row r="1137" spans="1:40" ht="22" customHeight="1">
      <c r="A1137" s="1" t="s">
        <v>3608</v>
      </c>
      <c r="B1137" s="1" t="s">
        <v>3609</v>
      </c>
      <c r="C1137" s="1" t="s">
        <v>3154</v>
      </c>
      <c r="D1137" s="1" t="s">
        <v>3610</v>
      </c>
      <c r="E1137" s="1" t="s">
        <v>3149</v>
      </c>
      <c r="F1137" s="1" t="s">
        <v>3150</v>
      </c>
      <c r="G1137" s="1" t="s">
        <v>1228</v>
      </c>
      <c r="H1137" s="1">
        <v>39.990051000000001</v>
      </c>
      <c r="I1137" s="1">
        <v>-75.090446</v>
      </c>
      <c r="J1137" s="1" t="s">
        <v>3151</v>
      </c>
      <c r="K1137" s="1" t="s">
        <v>442</v>
      </c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</row>
    <row r="1138" spans="1:40" ht="22" customHeight="1">
      <c r="A1138" s="1" t="s">
        <v>3611</v>
      </c>
      <c r="B1138" s="1" t="s">
        <v>3612</v>
      </c>
      <c r="C1138" s="1" t="s">
        <v>3147</v>
      </c>
      <c r="D1138" s="1" t="s">
        <v>3613</v>
      </c>
      <c r="E1138" s="1" t="s">
        <v>3350</v>
      </c>
      <c r="F1138" s="1" t="s">
        <v>3227</v>
      </c>
      <c r="G1138" s="1" t="s">
        <v>3614</v>
      </c>
      <c r="H1138" s="1">
        <v>39.930568999999998</v>
      </c>
      <c r="I1138" s="1">
        <v>-75.100166000000002</v>
      </c>
      <c r="J1138" s="1" t="s">
        <v>3151</v>
      </c>
      <c r="K1138" s="1" t="s">
        <v>442</v>
      </c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</row>
    <row r="1139" spans="1:40" ht="22" customHeight="1">
      <c r="A1139" s="1" t="s">
        <v>3615</v>
      </c>
      <c r="B1139" s="1" t="s">
        <v>3616</v>
      </c>
      <c r="C1139" s="1" t="s">
        <v>3154</v>
      </c>
      <c r="D1139" s="1" t="s">
        <v>3617</v>
      </c>
      <c r="E1139" s="1" t="s">
        <v>3551</v>
      </c>
      <c r="F1139" s="1" t="s">
        <v>3227</v>
      </c>
      <c r="G1139" s="1" t="s">
        <v>3552</v>
      </c>
      <c r="H1139" s="1">
        <v>40.013385999999997</v>
      </c>
      <c r="I1139" s="1">
        <v>-74.959121999999994</v>
      </c>
      <c r="J1139" s="1" t="s">
        <v>3151</v>
      </c>
      <c r="K1139" s="1" t="s">
        <v>442</v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</row>
    <row r="1140" spans="1:40" ht="22" customHeight="1">
      <c r="A1140" s="1" t="s">
        <v>3618</v>
      </c>
      <c r="B1140" s="1" t="s">
        <v>3619</v>
      </c>
      <c r="C1140" s="1" t="s">
        <v>3147</v>
      </c>
      <c r="D1140" s="1" t="s">
        <v>3620</v>
      </c>
      <c r="E1140" s="1" t="s">
        <v>3621</v>
      </c>
      <c r="F1140" s="1" t="s">
        <v>3150</v>
      </c>
      <c r="G1140" s="1" t="s">
        <v>3622</v>
      </c>
      <c r="H1140" s="1">
        <v>39.871009999999998</v>
      </c>
      <c r="I1140" s="1">
        <v>-75.384704999999997</v>
      </c>
      <c r="J1140" s="1" t="s">
        <v>3151</v>
      </c>
      <c r="K1140" s="1" t="s">
        <v>442</v>
      </c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</row>
    <row r="1141" spans="1:40" ht="22" customHeight="1">
      <c r="A1141" s="1" t="s">
        <v>3623</v>
      </c>
      <c r="B1141" s="1" t="s">
        <v>3624</v>
      </c>
      <c r="C1141" s="1" t="s">
        <v>3154</v>
      </c>
      <c r="D1141" s="1" t="s">
        <v>3625</v>
      </c>
      <c r="E1141" s="1" t="s">
        <v>3330</v>
      </c>
      <c r="F1141" s="1" t="s">
        <v>3227</v>
      </c>
      <c r="G1141" s="1" t="s">
        <v>3331</v>
      </c>
      <c r="H1141" s="1">
        <v>39.837615999999997</v>
      </c>
      <c r="I1141" s="1">
        <v>-75.089950999999999</v>
      </c>
      <c r="J1141" s="1" t="s">
        <v>3151</v>
      </c>
      <c r="K1141" s="1" t="s">
        <v>442</v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</row>
    <row r="1142" spans="1:40" ht="22" customHeight="1">
      <c r="A1142" s="1" t="s">
        <v>3626</v>
      </c>
      <c r="B1142" s="1" t="s">
        <v>3627</v>
      </c>
      <c r="C1142" s="1" t="s">
        <v>3154</v>
      </c>
      <c r="D1142" s="1" t="s">
        <v>3628</v>
      </c>
      <c r="E1142" s="1" t="s">
        <v>3149</v>
      </c>
      <c r="F1142" s="1" t="s">
        <v>3150</v>
      </c>
      <c r="G1142" s="1" t="s">
        <v>1938</v>
      </c>
      <c r="H1142" s="1">
        <v>40.083365999999998</v>
      </c>
      <c r="I1142" s="1">
        <v>-75.022994999999995</v>
      </c>
      <c r="J1142" s="1" t="s">
        <v>3151</v>
      </c>
      <c r="K1142" s="1" t="s">
        <v>442</v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</row>
    <row r="1143" spans="1:40" ht="22" customHeight="1">
      <c r="A1143" s="1" t="s">
        <v>3629</v>
      </c>
      <c r="B1143" s="1" t="s">
        <v>3630</v>
      </c>
      <c r="C1143" s="1" t="s">
        <v>3147</v>
      </c>
      <c r="D1143" s="1" t="s">
        <v>3631</v>
      </c>
      <c r="E1143" s="1" t="s">
        <v>3149</v>
      </c>
      <c r="F1143" s="1" t="s">
        <v>3150</v>
      </c>
      <c r="G1143" s="1" t="s">
        <v>807</v>
      </c>
      <c r="H1143" s="1">
        <v>39.996119999999998</v>
      </c>
      <c r="I1143" s="1">
        <v>-75.173209999999997</v>
      </c>
      <c r="J1143" s="1" t="s">
        <v>3151</v>
      </c>
      <c r="K1143" s="1" t="s">
        <v>442</v>
      </c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</row>
    <row r="1144" spans="1:40" ht="22" customHeight="1">
      <c r="A1144" s="1" t="s">
        <v>3632</v>
      </c>
      <c r="B1144" s="1" t="s">
        <v>3633</v>
      </c>
      <c r="C1144" s="1" t="s">
        <v>3147</v>
      </c>
      <c r="D1144" s="1" t="s">
        <v>3634</v>
      </c>
      <c r="E1144" s="1" t="s">
        <v>3635</v>
      </c>
      <c r="F1144" s="1" t="s">
        <v>3150</v>
      </c>
      <c r="G1144" s="1" t="s">
        <v>3636</v>
      </c>
      <c r="H1144" s="1">
        <v>39.986018999999999</v>
      </c>
      <c r="I1144" s="1">
        <v>-75.398398999999998</v>
      </c>
      <c r="J1144" s="1" t="s">
        <v>3151</v>
      </c>
      <c r="K1144" s="1" t="s">
        <v>442</v>
      </c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</row>
    <row r="1145" spans="1:40" ht="22" customHeight="1">
      <c r="A1145" s="1" t="s">
        <v>3637</v>
      </c>
      <c r="B1145" s="1" t="s">
        <v>3638</v>
      </c>
      <c r="C1145" s="1" t="s">
        <v>3154</v>
      </c>
      <c r="D1145" s="1" t="s">
        <v>3639</v>
      </c>
      <c r="E1145" s="1" t="s">
        <v>3296</v>
      </c>
      <c r="F1145" s="1" t="s">
        <v>3150</v>
      </c>
      <c r="G1145" s="1" t="s">
        <v>3297</v>
      </c>
      <c r="H1145" s="1">
        <v>39.865932000000001</v>
      </c>
      <c r="I1145" s="1">
        <v>-75.342490999999995</v>
      </c>
      <c r="J1145" s="1" t="s">
        <v>3151</v>
      </c>
      <c r="K1145" s="1" t="s">
        <v>442</v>
      </c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</row>
    <row r="1146" spans="1:40" ht="22" customHeight="1">
      <c r="A1146" s="1" t="s">
        <v>3640</v>
      </c>
      <c r="B1146" s="1" t="s">
        <v>3641</v>
      </c>
      <c r="C1146" s="1" t="s">
        <v>3154</v>
      </c>
      <c r="D1146" s="1" t="s">
        <v>3642</v>
      </c>
      <c r="E1146" s="1" t="s">
        <v>3149</v>
      </c>
      <c r="F1146" s="1" t="s">
        <v>3150</v>
      </c>
      <c r="G1146" s="1" t="s">
        <v>608</v>
      </c>
      <c r="H1146" s="1">
        <v>39.918610000000001</v>
      </c>
      <c r="I1146" s="1">
        <v>-75.186104</v>
      </c>
      <c r="J1146" s="1" t="s">
        <v>3151</v>
      </c>
      <c r="K1146" s="1" t="s">
        <v>442</v>
      </c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</row>
    <row r="1147" spans="1:40" ht="22" customHeight="1">
      <c r="A1147" s="1" t="s">
        <v>3643</v>
      </c>
      <c r="B1147" s="1" t="s">
        <v>3644</v>
      </c>
      <c r="C1147" s="1" t="s">
        <v>3147</v>
      </c>
      <c r="D1147" s="1" t="s">
        <v>3645</v>
      </c>
      <c r="E1147" s="1" t="s">
        <v>3149</v>
      </c>
      <c r="F1147" s="1" t="s">
        <v>3150</v>
      </c>
      <c r="G1147" s="1" t="s">
        <v>807</v>
      </c>
      <c r="H1147" s="1">
        <v>39.995457000000002</v>
      </c>
      <c r="I1147" s="1">
        <v>-75.165947000000003</v>
      </c>
      <c r="J1147" s="1" t="s">
        <v>3151</v>
      </c>
      <c r="K1147" s="1" t="s">
        <v>442</v>
      </c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</row>
    <row r="1148" spans="1:40" ht="22" customHeight="1">
      <c r="A1148" s="1" t="s">
        <v>3646</v>
      </c>
      <c r="B1148" s="1" t="s">
        <v>3647</v>
      </c>
      <c r="C1148" s="1" t="s">
        <v>3154</v>
      </c>
      <c r="D1148" s="1" t="s">
        <v>3648</v>
      </c>
      <c r="E1148" s="1" t="s">
        <v>3462</v>
      </c>
      <c r="F1148" s="1" t="s">
        <v>3227</v>
      </c>
      <c r="G1148" s="1" t="s">
        <v>3463</v>
      </c>
      <c r="H1148" s="1">
        <v>39.835262</v>
      </c>
      <c r="I1148" s="1">
        <v>-74.922859000000003</v>
      </c>
      <c r="J1148" s="1" t="s">
        <v>3151</v>
      </c>
      <c r="K1148" s="1" t="s">
        <v>442</v>
      </c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</row>
    <row r="1149" spans="1:40" ht="22" customHeight="1">
      <c r="A1149" s="1" t="s">
        <v>3649</v>
      </c>
      <c r="B1149" s="1" t="s">
        <v>3650</v>
      </c>
      <c r="C1149" s="1" t="s">
        <v>3147</v>
      </c>
      <c r="D1149" s="1" t="s">
        <v>3651</v>
      </c>
      <c r="E1149" s="1" t="s">
        <v>3149</v>
      </c>
      <c r="F1149" s="1" t="s">
        <v>3150</v>
      </c>
      <c r="G1149" s="1" t="s">
        <v>1877</v>
      </c>
      <c r="H1149" s="1">
        <v>40.040028</v>
      </c>
      <c r="I1149" s="1">
        <v>-75.076972999999995</v>
      </c>
      <c r="J1149" s="1" t="s">
        <v>3151</v>
      </c>
      <c r="K1149" s="1" t="s">
        <v>442</v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</row>
    <row r="1150" spans="1:40" ht="22" customHeight="1">
      <c r="A1150" s="1" t="s">
        <v>3652</v>
      </c>
      <c r="B1150" s="1" t="s">
        <v>3653</v>
      </c>
      <c r="C1150" s="1" t="s">
        <v>3154</v>
      </c>
      <c r="D1150" s="1" t="s">
        <v>3654</v>
      </c>
      <c r="E1150" s="1" t="s">
        <v>3527</v>
      </c>
      <c r="F1150" s="1" t="s">
        <v>3150</v>
      </c>
      <c r="G1150" s="1" t="s">
        <v>3528</v>
      </c>
      <c r="H1150" s="1">
        <v>40.115318000000002</v>
      </c>
      <c r="I1150" s="1">
        <v>-75.285567999999998</v>
      </c>
      <c r="J1150" s="1" t="s">
        <v>3151</v>
      </c>
      <c r="K1150" s="1" t="s">
        <v>442</v>
      </c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</row>
    <row r="1151" spans="1:40" ht="22" customHeight="1">
      <c r="A1151" s="1" t="s">
        <v>3655</v>
      </c>
      <c r="B1151" s="1" t="s">
        <v>3656</v>
      </c>
      <c r="C1151" s="1" t="s">
        <v>3147</v>
      </c>
      <c r="D1151" s="1" t="s">
        <v>3657</v>
      </c>
      <c r="E1151" s="1" t="s">
        <v>3149</v>
      </c>
      <c r="F1151" s="1" t="s">
        <v>3150</v>
      </c>
      <c r="G1151" s="1" t="s">
        <v>450</v>
      </c>
      <c r="H1151" s="1">
        <v>39.965656000000003</v>
      </c>
      <c r="I1151" s="1">
        <v>-75.232117000000002</v>
      </c>
      <c r="J1151" s="1" t="s">
        <v>3151</v>
      </c>
      <c r="K1151" s="1" t="s">
        <v>442</v>
      </c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</row>
    <row r="1152" spans="1:40" ht="22" customHeight="1">
      <c r="A1152" s="1" t="s">
        <v>3658</v>
      </c>
      <c r="B1152" s="1" t="s">
        <v>3659</v>
      </c>
      <c r="C1152" s="1" t="s">
        <v>3154</v>
      </c>
      <c r="D1152" s="1" t="s">
        <v>3660</v>
      </c>
      <c r="E1152" s="1" t="s">
        <v>3330</v>
      </c>
      <c r="F1152" s="1" t="s">
        <v>3227</v>
      </c>
      <c r="G1152" s="1" t="s">
        <v>3331</v>
      </c>
      <c r="H1152" s="1">
        <v>39.830151000000001</v>
      </c>
      <c r="I1152" s="1">
        <v>-75.129104999999996</v>
      </c>
      <c r="J1152" s="1" t="s">
        <v>3151</v>
      </c>
      <c r="K1152" s="1" t="s">
        <v>442</v>
      </c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</row>
    <row r="1153" spans="1:40" ht="22" customHeight="1">
      <c r="A1153" s="1" t="s">
        <v>3661</v>
      </c>
      <c r="B1153" s="1" t="s">
        <v>3662</v>
      </c>
      <c r="C1153" s="1" t="s">
        <v>3154</v>
      </c>
      <c r="D1153" s="1" t="s">
        <v>3663</v>
      </c>
      <c r="E1153" s="1" t="s">
        <v>3562</v>
      </c>
      <c r="F1153" s="1" t="s">
        <v>3227</v>
      </c>
      <c r="G1153" s="1" t="s">
        <v>3563</v>
      </c>
      <c r="H1153" s="1">
        <v>39.971820999999998</v>
      </c>
      <c r="I1153" s="1">
        <v>-74.907004999999998</v>
      </c>
      <c r="J1153" s="1" t="s">
        <v>3151</v>
      </c>
      <c r="K1153" s="1" t="s">
        <v>442</v>
      </c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</row>
    <row r="1154" spans="1:40" ht="22" customHeight="1">
      <c r="A1154" s="1" t="s">
        <v>3664</v>
      </c>
      <c r="B1154" s="1" t="s">
        <v>3665</v>
      </c>
      <c r="C1154" s="1" t="s">
        <v>3154</v>
      </c>
      <c r="D1154" s="1" t="s">
        <v>3666</v>
      </c>
      <c r="E1154" s="1" t="s">
        <v>3149</v>
      </c>
      <c r="F1154" s="1" t="s">
        <v>3150</v>
      </c>
      <c r="G1154" s="1" t="s">
        <v>832</v>
      </c>
      <c r="H1154" s="1">
        <v>40.041812999999998</v>
      </c>
      <c r="I1154" s="1">
        <v>-75.158714000000003</v>
      </c>
      <c r="J1154" s="1" t="s">
        <v>3151</v>
      </c>
      <c r="K1154" s="1" t="s">
        <v>442</v>
      </c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</row>
    <row r="1155" spans="1:40" ht="22" customHeight="1">
      <c r="A1155" s="1" t="s">
        <v>3667</v>
      </c>
      <c r="B1155" s="1" t="s">
        <v>3668</v>
      </c>
      <c r="C1155" s="1" t="s">
        <v>3147</v>
      </c>
      <c r="D1155" s="1" t="s">
        <v>3669</v>
      </c>
      <c r="E1155" s="1" t="s">
        <v>3149</v>
      </c>
      <c r="F1155" s="1" t="s">
        <v>3150</v>
      </c>
      <c r="G1155" s="1" t="s">
        <v>581</v>
      </c>
      <c r="H1155" s="1">
        <v>39.921512999999997</v>
      </c>
      <c r="I1155" s="1">
        <v>-75.146773999999994</v>
      </c>
      <c r="J1155" s="1" t="s">
        <v>3151</v>
      </c>
      <c r="K1155" s="1" t="s">
        <v>442</v>
      </c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</row>
    <row r="1156" spans="1:40" ht="22" customHeight="1">
      <c r="A1156" s="1" t="s">
        <v>3670</v>
      </c>
      <c r="B1156" s="1" t="s">
        <v>3671</v>
      </c>
      <c r="C1156" s="1" t="s">
        <v>3147</v>
      </c>
      <c r="D1156" s="1" t="s">
        <v>3672</v>
      </c>
      <c r="E1156" s="1" t="s">
        <v>3673</v>
      </c>
      <c r="F1156" s="1" t="s">
        <v>3150</v>
      </c>
      <c r="G1156" s="1" t="s">
        <v>3674</v>
      </c>
      <c r="H1156" s="1">
        <v>40.185654</v>
      </c>
      <c r="I1156" s="1">
        <v>-75.227821000000006</v>
      </c>
      <c r="J1156" s="1" t="s">
        <v>3151</v>
      </c>
      <c r="K1156" s="1" t="s">
        <v>442</v>
      </c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</row>
    <row r="1157" spans="1:40" ht="22" customHeight="1">
      <c r="A1157" s="1" t="s">
        <v>3675</v>
      </c>
      <c r="B1157" s="1" t="s">
        <v>3676</v>
      </c>
      <c r="C1157" s="1" t="s">
        <v>3147</v>
      </c>
      <c r="D1157" s="1" t="s">
        <v>3677</v>
      </c>
      <c r="E1157" s="1" t="s">
        <v>3678</v>
      </c>
      <c r="F1157" s="1" t="s">
        <v>3150</v>
      </c>
      <c r="G1157" s="1" t="s">
        <v>3679</v>
      </c>
      <c r="H1157" s="1">
        <v>40.040573000000002</v>
      </c>
      <c r="I1157" s="1">
        <v>-75.367942999999997</v>
      </c>
      <c r="J1157" s="1" t="s">
        <v>3151</v>
      </c>
      <c r="K1157" s="1" t="s">
        <v>442</v>
      </c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</row>
    <row r="1158" spans="1:40" ht="22" customHeight="1">
      <c r="A1158" s="1" t="s">
        <v>3680</v>
      </c>
      <c r="B1158" s="1" t="s">
        <v>3681</v>
      </c>
      <c r="C1158" s="1" t="s">
        <v>3147</v>
      </c>
      <c r="D1158" s="1" t="s">
        <v>3682</v>
      </c>
      <c r="E1158" s="1" t="s">
        <v>3683</v>
      </c>
      <c r="F1158" s="1" t="s">
        <v>3150</v>
      </c>
      <c r="G1158" s="1" t="s">
        <v>3684</v>
      </c>
      <c r="H1158" s="1">
        <v>40.181621999999997</v>
      </c>
      <c r="I1158" s="1">
        <v>-74.907425000000003</v>
      </c>
      <c r="J1158" s="1" t="s">
        <v>3151</v>
      </c>
      <c r="K1158" s="1" t="s">
        <v>442</v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</row>
    <row r="1159" spans="1:40" ht="22" customHeight="1">
      <c r="A1159" s="1" t="s">
        <v>3685</v>
      </c>
      <c r="B1159" s="1" t="s">
        <v>3686</v>
      </c>
      <c r="C1159" s="1" t="s">
        <v>3154</v>
      </c>
      <c r="D1159" s="1" t="s">
        <v>3625</v>
      </c>
      <c r="E1159" s="1" t="s">
        <v>3687</v>
      </c>
      <c r="F1159" s="1" t="s">
        <v>3227</v>
      </c>
      <c r="G1159" s="1" t="s">
        <v>3331</v>
      </c>
      <c r="H1159" s="1">
        <v>39.837608000000003</v>
      </c>
      <c r="I1159" s="1">
        <v>-75.089859000000004</v>
      </c>
      <c r="J1159" s="1" t="s">
        <v>3151</v>
      </c>
      <c r="K1159" s="1" t="s">
        <v>442</v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</row>
    <row r="1160" spans="1:40" ht="22" customHeight="1">
      <c r="A1160" s="1" t="s">
        <v>3688</v>
      </c>
      <c r="B1160" s="1" t="s">
        <v>3689</v>
      </c>
      <c r="C1160" s="1" t="s">
        <v>3154</v>
      </c>
      <c r="D1160" s="1" t="s">
        <v>3690</v>
      </c>
      <c r="E1160" s="1" t="s">
        <v>3149</v>
      </c>
      <c r="F1160" s="1" t="s">
        <v>3150</v>
      </c>
      <c r="G1160" s="1" t="s">
        <v>3691</v>
      </c>
      <c r="H1160" s="1">
        <v>39.950553999999997</v>
      </c>
      <c r="I1160" s="1">
        <v>-75.158585000000002</v>
      </c>
      <c r="J1160" s="1" t="s">
        <v>3151</v>
      </c>
      <c r="K1160" s="1" t="s">
        <v>442</v>
      </c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</row>
    <row r="1161" spans="1:40" ht="22" customHeight="1">
      <c r="A1161" s="1" t="s">
        <v>3692</v>
      </c>
      <c r="B1161" s="1" t="s">
        <v>3693</v>
      </c>
      <c r="C1161" s="1" t="s">
        <v>3154</v>
      </c>
      <c r="D1161" s="1" t="s">
        <v>3694</v>
      </c>
      <c r="E1161" s="1" t="s">
        <v>3149</v>
      </c>
      <c r="F1161" s="1" t="s">
        <v>3150</v>
      </c>
      <c r="G1161" s="1" t="s">
        <v>908</v>
      </c>
      <c r="H1161" s="1">
        <v>39.999031000000002</v>
      </c>
      <c r="I1161" s="1">
        <v>-75.091789000000006</v>
      </c>
      <c r="J1161" s="1" t="s">
        <v>3151</v>
      </c>
      <c r="K1161" s="1" t="s">
        <v>442</v>
      </c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</row>
    <row r="1162" spans="1:40" ht="22" customHeight="1">
      <c r="A1162" s="1" t="s">
        <v>3695</v>
      </c>
      <c r="B1162" s="1" t="s">
        <v>3696</v>
      </c>
      <c r="C1162" s="1" t="s">
        <v>3154</v>
      </c>
      <c r="D1162" s="1" t="s">
        <v>3697</v>
      </c>
      <c r="E1162" s="1" t="s">
        <v>3210</v>
      </c>
      <c r="F1162" s="1" t="s">
        <v>3150</v>
      </c>
      <c r="G1162" s="1" t="s">
        <v>3211</v>
      </c>
      <c r="H1162" s="1">
        <v>40.131354999999999</v>
      </c>
      <c r="I1162" s="1">
        <v>-75.376236000000006</v>
      </c>
      <c r="J1162" s="1" t="s">
        <v>3151</v>
      </c>
      <c r="K1162" s="1" t="s">
        <v>442</v>
      </c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</row>
    <row r="1163" spans="1:40" ht="22" customHeight="1">
      <c r="A1163" s="1" t="s">
        <v>3698</v>
      </c>
      <c r="B1163" s="1" t="s">
        <v>3699</v>
      </c>
      <c r="C1163" s="1" t="s">
        <v>3147</v>
      </c>
      <c r="D1163" s="1" t="s">
        <v>3700</v>
      </c>
      <c r="E1163" s="1" t="s">
        <v>3149</v>
      </c>
      <c r="F1163" s="1" t="s">
        <v>3150</v>
      </c>
      <c r="G1163" s="1" t="s">
        <v>1077</v>
      </c>
      <c r="H1163" s="1">
        <v>40.032035999999998</v>
      </c>
      <c r="I1163" s="1">
        <v>-75.050110000000004</v>
      </c>
      <c r="J1163" s="1" t="s">
        <v>3151</v>
      </c>
      <c r="K1163" s="1" t="s">
        <v>442</v>
      </c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</row>
    <row r="1164" spans="1:40" ht="22" customHeight="1">
      <c r="A1164" s="1" t="s">
        <v>3701</v>
      </c>
      <c r="B1164" s="1" t="s">
        <v>3702</v>
      </c>
      <c r="C1164" s="1" t="s">
        <v>3147</v>
      </c>
      <c r="D1164" s="1" t="s">
        <v>3703</v>
      </c>
      <c r="E1164" s="1" t="s">
        <v>3258</v>
      </c>
      <c r="F1164" s="1" t="s">
        <v>3227</v>
      </c>
      <c r="G1164" s="1" t="s">
        <v>3259</v>
      </c>
      <c r="H1164" s="1">
        <v>39.895668000000001</v>
      </c>
      <c r="I1164" s="1">
        <v>-74.938927000000007</v>
      </c>
      <c r="J1164" s="1" t="s">
        <v>3151</v>
      </c>
      <c r="K1164" s="1" t="s">
        <v>442</v>
      </c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</row>
    <row r="1165" spans="1:40" ht="22" customHeight="1">
      <c r="A1165" s="1" t="s">
        <v>3704</v>
      </c>
      <c r="B1165" s="1" t="s">
        <v>3705</v>
      </c>
      <c r="C1165" s="1" t="s">
        <v>3147</v>
      </c>
      <c r="D1165" s="1" t="s">
        <v>3706</v>
      </c>
      <c r="E1165" s="1" t="s">
        <v>3165</v>
      </c>
      <c r="F1165" s="1" t="s">
        <v>3150</v>
      </c>
      <c r="G1165" s="1" t="s">
        <v>3166</v>
      </c>
      <c r="H1165" s="1">
        <v>40.095570000000002</v>
      </c>
      <c r="I1165" s="1">
        <v>-75.287604999999999</v>
      </c>
      <c r="J1165" s="1" t="s">
        <v>3151</v>
      </c>
      <c r="K1165" s="1" t="s">
        <v>442</v>
      </c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</row>
    <row r="1166" spans="1:40" ht="22" customHeight="1">
      <c r="A1166" s="1" t="s">
        <v>3707</v>
      </c>
      <c r="B1166" s="1" t="s">
        <v>3708</v>
      </c>
      <c r="C1166" s="1" t="s">
        <v>3147</v>
      </c>
      <c r="D1166" s="1" t="s">
        <v>3709</v>
      </c>
      <c r="E1166" s="1" t="s">
        <v>3210</v>
      </c>
      <c r="F1166" s="1" t="s">
        <v>3150</v>
      </c>
      <c r="G1166" s="1" t="s">
        <v>3243</v>
      </c>
      <c r="H1166" s="1">
        <v>40.142806999999998</v>
      </c>
      <c r="I1166" s="1">
        <v>-75.313857999999996</v>
      </c>
      <c r="J1166" s="1" t="s">
        <v>3151</v>
      </c>
      <c r="K1166" s="1" t="s">
        <v>442</v>
      </c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</row>
    <row r="1167" spans="1:40" ht="22" customHeight="1">
      <c r="A1167" s="1" t="s">
        <v>3710</v>
      </c>
      <c r="B1167" s="1" t="s">
        <v>3711</v>
      </c>
      <c r="C1167" s="1" t="s">
        <v>3154</v>
      </c>
      <c r="D1167" s="1" t="s">
        <v>3712</v>
      </c>
      <c r="E1167" s="1" t="s">
        <v>3286</v>
      </c>
      <c r="F1167" s="1" t="s">
        <v>3150</v>
      </c>
      <c r="G1167" s="1" t="s">
        <v>3287</v>
      </c>
      <c r="H1167" s="1">
        <v>40.196731999999997</v>
      </c>
      <c r="I1167" s="1">
        <v>-75.080016999999998</v>
      </c>
      <c r="J1167" s="1" t="s">
        <v>3151</v>
      </c>
      <c r="K1167" s="1" t="s">
        <v>442</v>
      </c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</row>
    <row r="1168" spans="1:40" ht="22" customHeight="1">
      <c r="A1168" s="1" t="s">
        <v>3713</v>
      </c>
      <c r="B1168" s="1" t="s">
        <v>3714</v>
      </c>
      <c r="C1168" s="1" t="s">
        <v>3154</v>
      </c>
      <c r="D1168" s="1" t="s">
        <v>3715</v>
      </c>
      <c r="E1168" s="1" t="s">
        <v>3149</v>
      </c>
      <c r="F1168" s="1" t="s">
        <v>3150</v>
      </c>
      <c r="G1168" s="1" t="s">
        <v>780</v>
      </c>
      <c r="H1168" s="1">
        <v>40.028449999999999</v>
      </c>
      <c r="I1168" s="1">
        <v>-75.099509999999995</v>
      </c>
      <c r="J1168" s="1" t="s">
        <v>3151</v>
      </c>
      <c r="K1168" s="1" t="s">
        <v>442</v>
      </c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</row>
    <row r="1169" spans="1:40" ht="22" customHeight="1">
      <c r="A1169" s="1" t="s">
        <v>3716</v>
      </c>
      <c r="B1169" s="1" t="s">
        <v>3717</v>
      </c>
      <c r="C1169" s="1" t="s">
        <v>3147</v>
      </c>
      <c r="D1169" s="1" t="s">
        <v>3718</v>
      </c>
      <c r="E1169" s="1" t="s">
        <v>3149</v>
      </c>
      <c r="F1169" s="1" t="s">
        <v>3150</v>
      </c>
      <c r="G1169" s="1" t="s">
        <v>1588</v>
      </c>
      <c r="H1169" s="1">
        <v>40.06044</v>
      </c>
      <c r="I1169" s="1">
        <v>-75.045105000000007</v>
      </c>
      <c r="J1169" s="1" t="s">
        <v>3151</v>
      </c>
      <c r="K1169" s="1" t="s">
        <v>442</v>
      </c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</row>
    <row r="1170" spans="1:40" ht="22" customHeight="1">
      <c r="A1170" s="1" t="s">
        <v>3719</v>
      </c>
      <c r="B1170" s="1" t="s">
        <v>3720</v>
      </c>
      <c r="C1170" s="1" t="s">
        <v>3147</v>
      </c>
      <c r="D1170" s="1" t="s">
        <v>3721</v>
      </c>
      <c r="E1170" s="1" t="s">
        <v>3722</v>
      </c>
      <c r="F1170" s="1" t="s">
        <v>3150</v>
      </c>
      <c r="G1170" s="1" t="s">
        <v>3723</v>
      </c>
      <c r="H1170" s="1">
        <v>40.051223999999998</v>
      </c>
      <c r="I1170" s="1">
        <v>-75.118628999999999</v>
      </c>
      <c r="J1170" s="1" t="s">
        <v>3151</v>
      </c>
      <c r="K1170" s="1" t="s">
        <v>442</v>
      </c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</row>
    <row r="1171" spans="1:40" ht="22" customHeight="1">
      <c r="A1171" s="1" t="s">
        <v>3724</v>
      </c>
      <c r="B1171" s="1" t="s">
        <v>3725</v>
      </c>
      <c r="C1171" s="1" t="s">
        <v>3147</v>
      </c>
      <c r="D1171" s="1" t="s">
        <v>3726</v>
      </c>
      <c r="E1171" s="1" t="s">
        <v>3149</v>
      </c>
      <c r="F1171" s="1" t="s">
        <v>3150</v>
      </c>
      <c r="G1171" s="1" t="s">
        <v>1096</v>
      </c>
      <c r="H1171" s="1">
        <v>39.999096000000002</v>
      </c>
      <c r="I1171" s="1">
        <v>-75.136855999999995</v>
      </c>
      <c r="J1171" s="1" t="s">
        <v>3151</v>
      </c>
      <c r="K1171" s="1" t="s">
        <v>442</v>
      </c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</row>
    <row r="1172" spans="1:40" ht="22" customHeight="1">
      <c r="A1172" s="1" t="s">
        <v>3727</v>
      </c>
      <c r="B1172" s="1" t="s">
        <v>3728</v>
      </c>
      <c r="C1172" s="1" t="s">
        <v>3154</v>
      </c>
      <c r="D1172" s="1" t="s">
        <v>3729</v>
      </c>
      <c r="E1172" s="1" t="s">
        <v>3149</v>
      </c>
      <c r="F1172" s="1" t="s">
        <v>3150</v>
      </c>
      <c r="G1172" s="1" t="s">
        <v>574</v>
      </c>
      <c r="H1172" s="1">
        <v>39.978737000000002</v>
      </c>
      <c r="I1172" s="1">
        <v>-75.225104999999999</v>
      </c>
      <c r="J1172" s="1" t="s">
        <v>3151</v>
      </c>
      <c r="K1172" s="1" t="s">
        <v>442</v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</row>
    <row r="1173" spans="1:40" ht="22" customHeight="1">
      <c r="A1173" s="1" t="s">
        <v>3730</v>
      </c>
      <c r="B1173" s="1" t="s">
        <v>3731</v>
      </c>
      <c r="C1173" s="1" t="s">
        <v>3154</v>
      </c>
      <c r="D1173" s="1" t="s">
        <v>3732</v>
      </c>
      <c r="E1173" s="1" t="s">
        <v>3149</v>
      </c>
      <c r="F1173" s="1" t="s">
        <v>3150</v>
      </c>
      <c r="G1173" s="1" t="s">
        <v>558</v>
      </c>
      <c r="H1173" s="1">
        <v>39.903365999999998</v>
      </c>
      <c r="I1173" s="1">
        <v>-75.240409999999997</v>
      </c>
      <c r="J1173" s="1" t="s">
        <v>3151</v>
      </c>
      <c r="K1173" s="1" t="s">
        <v>442</v>
      </c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</row>
    <row r="1174" spans="1:40" ht="22" customHeight="1">
      <c r="A1174" s="1" t="s">
        <v>3733</v>
      </c>
      <c r="B1174" s="1" t="s">
        <v>3734</v>
      </c>
      <c r="C1174" s="1" t="s">
        <v>3154</v>
      </c>
      <c r="D1174" s="1" t="s">
        <v>3735</v>
      </c>
      <c r="E1174" s="1" t="s">
        <v>3149</v>
      </c>
      <c r="F1174" s="1" t="s">
        <v>3150</v>
      </c>
      <c r="G1174" s="1" t="s">
        <v>1120</v>
      </c>
      <c r="H1174" s="1">
        <v>40.044029000000002</v>
      </c>
      <c r="I1174" s="1">
        <v>-75.087845000000002</v>
      </c>
      <c r="J1174" s="1" t="s">
        <v>3151</v>
      </c>
      <c r="K1174" s="1" t="s">
        <v>442</v>
      </c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</row>
    <row r="1175" spans="1:40" ht="22" customHeight="1">
      <c r="A1175" s="1" t="s">
        <v>3736</v>
      </c>
      <c r="B1175" s="1" t="s">
        <v>3737</v>
      </c>
      <c r="C1175" s="1" t="s">
        <v>3147</v>
      </c>
      <c r="D1175" s="1" t="s">
        <v>3738</v>
      </c>
      <c r="E1175" s="1" t="s">
        <v>3149</v>
      </c>
      <c r="F1175" s="1" t="s">
        <v>3150</v>
      </c>
      <c r="G1175" s="1" t="s">
        <v>785</v>
      </c>
      <c r="H1175" s="1">
        <v>40.035342999999997</v>
      </c>
      <c r="I1175" s="1">
        <v>-75.121352999999999</v>
      </c>
      <c r="J1175" s="1" t="s">
        <v>3151</v>
      </c>
      <c r="K1175" s="1" t="s">
        <v>442</v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</row>
    <row r="1176" spans="1:40" ht="22" customHeight="1">
      <c r="A1176" s="1" t="s">
        <v>3739</v>
      </c>
      <c r="B1176" s="1" t="s">
        <v>3740</v>
      </c>
      <c r="C1176" s="1" t="s">
        <v>3147</v>
      </c>
      <c r="D1176" s="1" t="s">
        <v>3741</v>
      </c>
      <c r="E1176" s="1" t="s">
        <v>3149</v>
      </c>
      <c r="F1176" s="1" t="s">
        <v>3150</v>
      </c>
      <c r="G1176" s="1" t="s">
        <v>780</v>
      </c>
      <c r="H1176" s="1">
        <v>40.006489000000002</v>
      </c>
      <c r="I1176" s="1">
        <v>-75.100409999999997</v>
      </c>
      <c r="J1176" s="1" t="s">
        <v>3151</v>
      </c>
      <c r="K1176" s="1" t="s">
        <v>442</v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</row>
    <row r="1177" spans="1:40" ht="22" customHeight="1">
      <c r="A1177" s="1" t="s">
        <v>3742</v>
      </c>
      <c r="B1177" s="1" t="s">
        <v>3743</v>
      </c>
      <c r="C1177" s="1" t="s">
        <v>3147</v>
      </c>
      <c r="D1177" s="1" t="s">
        <v>3744</v>
      </c>
      <c r="E1177" s="1" t="s">
        <v>3149</v>
      </c>
      <c r="F1177" s="1" t="s">
        <v>3150</v>
      </c>
      <c r="G1177" s="1" t="s">
        <v>758</v>
      </c>
      <c r="H1177" s="1">
        <v>40.021107000000001</v>
      </c>
      <c r="I1177" s="1">
        <v>-75.148658999999995</v>
      </c>
      <c r="J1177" s="1" t="s">
        <v>3151</v>
      </c>
      <c r="K1177" s="1" t="s">
        <v>442</v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</row>
    <row r="1178" spans="1:40" ht="22" customHeight="1">
      <c r="A1178" s="1" t="s">
        <v>3745</v>
      </c>
      <c r="B1178" s="1" t="s">
        <v>3746</v>
      </c>
      <c r="C1178" s="1" t="s">
        <v>3147</v>
      </c>
      <c r="D1178" s="1" t="s">
        <v>3747</v>
      </c>
      <c r="E1178" s="1" t="s">
        <v>3149</v>
      </c>
      <c r="F1178" s="1" t="s">
        <v>3150</v>
      </c>
      <c r="G1178" s="1" t="s">
        <v>581</v>
      </c>
      <c r="H1178" s="1">
        <v>39.913012999999999</v>
      </c>
      <c r="I1178" s="1">
        <v>-75.155654999999996</v>
      </c>
      <c r="J1178" s="1" t="s">
        <v>3151</v>
      </c>
      <c r="K1178" s="1" t="s">
        <v>442</v>
      </c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</row>
    <row r="1179" spans="1:40" ht="22" customHeight="1">
      <c r="A1179" s="1" t="s">
        <v>3748</v>
      </c>
      <c r="B1179" s="1" t="s">
        <v>3749</v>
      </c>
      <c r="C1179" s="1" t="s">
        <v>3154</v>
      </c>
      <c r="D1179" s="1" t="s">
        <v>3750</v>
      </c>
      <c r="E1179" s="1" t="s">
        <v>3149</v>
      </c>
      <c r="F1179" s="1" t="s">
        <v>3150</v>
      </c>
      <c r="G1179" s="1" t="s">
        <v>927</v>
      </c>
      <c r="H1179" s="1">
        <v>40.051932999999998</v>
      </c>
      <c r="I1179" s="1">
        <v>-75.008987000000005</v>
      </c>
      <c r="J1179" s="1" t="s">
        <v>3151</v>
      </c>
      <c r="K1179" s="1" t="s">
        <v>442</v>
      </c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</row>
    <row r="1180" spans="1:40" ht="22" customHeight="1">
      <c r="A1180" s="1" t="s">
        <v>3751</v>
      </c>
      <c r="B1180" s="1" t="s">
        <v>3752</v>
      </c>
      <c r="C1180" s="1" t="s">
        <v>3147</v>
      </c>
      <c r="D1180" s="1" t="s">
        <v>3753</v>
      </c>
      <c r="E1180" s="1" t="s">
        <v>3149</v>
      </c>
      <c r="F1180" s="1" t="s">
        <v>3150</v>
      </c>
      <c r="G1180" s="1" t="s">
        <v>1639</v>
      </c>
      <c r="H1180" s="1">
        <v>40.050052999999998</v>
      </c>
      <c r="I1180" s="1">
        <v>-75.185349000000002</v>
      </c>
      <c r="J1180" s="1" t="s">
        <v>3151</v>
      </c>
      <c r="K1180" s="1" t="s">
        <v>442</v>
      </c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</row>
    <row r="1181" spans="1:40" ht="22" customHeight="1">
      <c r="A1181" s="1" t="s">
        <v>3754</v>
      </c>
      <c r="B1181" s="1" t="s">
        <v>3755</v>
      </c>
      <c r="C1181" s="1" t="s">
        <v>3154</v>
      </c>
      <c r="D1181" s="1" t="s">
        <v>3756</v>
      </c>
      <c r="E1181" s="1" t="s">
        <v>3375</v>
      </c>
      <c r="F1181" s="1" t="s">
        <v>3227</v>
      </c>
      <c r="G1181" s="1" t="s">
        <v>3757</v>
      </c>
      <c r="H1181" s="1">
        <v>39.915733000000003</v>
      </c>
      <c r="I1181" s="1">
        <v>-75.008414999999999</v>
      </c>
      <c r="J1181" s="1" t="s">
        <v>3151</v>
      </c>
      <c r="K1181" s="1" t="s">
        <v>442</v>
      </c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</row>
    <row r="1182" spans="1:40" ht="22" customHeight="1">
      <c r="A1182" s="1" t="s">
        <v>3758</v>
      </c>
      <c r="B1182" s="1" t="s">
        <v>3759</v>
      </c>
      <c r="C1182" s="1" t="s">
        <v>3147</v>
      </c>
      <c r="D1182" s="1" t="s">
        <v>3760</v>
      </c>
      <c r="E1182" s="1" t="s">
        <v>3268</v>
      </c>
      <c r="F1182" s="1" t="s">
        <v>3150</v>
      </c>
      <c r="G1182" s="1" t="s">
        <v>3269</v>
      </c>
      <c r="H1182" s="1">
        <v>40.159122000000004</v>
      </c>
      <c r="I1182" s="1">
        <v>-75.144005000000007</v>
      </c>
      <c r="J1182" s="1" t="s">
        <v>3151</v>
      </c>
      <c r="K1182" s="1" t="s">
        <v>442</v>
      </c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</row>
    <row r="1183" spans="1:40" ht="22" customHeight="1">
      <c r="A1183" s="1" t="s">
        <v>3761</v>
      </c>
      <c r="B1183" s="1" t="s">
        <v>3762</v>
      </c>
      <c r="C1183" s="1" t="s">
        <v>3147</v>
      </c>
      <c r="D1183" s="1" t="s">
        <v>3763</v>
      </c>
      <c r="E1183" s="1" t="s">
        <v>3764</v>
      </c>
      <c r="F1183" s="1" t="s">
        <v>3150</v>
      </c>
      <c r="G1183" s="1" t="s">
        <v>3765</v>
      </c>
      <c r="H1183" s="1">
        <v>40.170997999999997</v>
      </c>
      <c r="I1183" s="1">
        <v>-75.07132</v>
      </c>
      <c r="J1183" s="1" t="s">
        <v>3151</v>
      </c>
      <c r="K1183" s="1" t="s">
        <v>442</v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</row>
    <row r="1184" spans="1:40" ht="22" customHeight="1">
      <c r="A1184" s="1" t="s">
        <v>3766</v>
      </c>
      <c r="B1184" s="1" t="s">
        <v>3767</v>
      </c>
      <c r="C1184" s="1" t="s">
        <v>3154</v>
      </c>
      <c r="D1184" s="1" t="s">
        <v>3768</v>
      </c>
      <c r="E1184" s="1" t="s">
        <v>3149</v>
      </c>
      <c r="F1184" s="1" t="s">
        <v>3150</v>
      </c>
      <c r="G1184" s="1" t="s">
        <v>669</v>
      </c>
      <c r="H1184" s="1">
        <v>39.947704000000002</v>
      </c>
      <c r="I1184" s="1">
        <v>-75.170135000000002</v>
      </c>
      <c r="J1184" s="1" t="s">
        <v>3151</v>
      </c>
      <c r="K1184" s="1" t="s">
        <v>442</v>
      </c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</row>
    <row r="1185" spans="1:40" ht="22" customHeight="1">
      <c r="A1185" s="1" t="s">
        <v>3769</v>
      </c>
      <c r="B1185" s="1" t="s">
        <v>3770</v>
      </c>
      <c r="C1185" s="1" t="s">
        <v>3147</v>
      </c>
      <c r="D1185" s="1" t="s">
        <v>3771</v>
      </c>
      <c r="E1185" s="1" t="s">
        <v>3149</v>
      </c>
      <c r="F1185" s="1" t="s">
        <v>3150</v>
      </c>
      <c r="G1185" s="1" t="s">
        <v>612</v>
      </c>
      <c r="H1185" s="1">
        <v>39.939731999999999</v>
      </c>
      <c r="I1185" s="1">
        <v>-75.178962999999996</v>
      </c>
      <c r="J1185" s="1" t="s">
        <v>3151</v>
      </c>
      <c r="K1185" s="1" t="s">
        <v>442</v>
      </c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</row>
    <row r="1186" spans="1:40" ht="22" customHeight="1">
      <c r="A1186" s="1" t="s">
        <v>3772</v>
      </c>
      <c r="B1186" s="1" t="s">
        <v>3773</v>
      </c>
      <c r="C1186" s="1" t="s">
        <v>3147</v>
      </c>
      <c r="D1186" s="1" t="s">
        <v>3774</v>
      </c>
      <c r="E1186" s="1" t="s">
        <v>3149</v>
      </c>
      <c r="F1186" s="1" t="s">
        <v>3150</v>
      </c>
      <c r="G1186" s="1" t="s">
        <v>901</v>
      </c>
      <c r="H1186" s="1">
        <v>39.969414</v>
      </c>
      <c r="I1186" s="1">
        <v>-75.139206000000001</v>
      </c>
      <c r="J1186" s="1" t="s">
        <v>3151</v>
      </c>
      <c r="K1186" s="1" t="s">
        <v>442</v>
      </c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</row>
    <row r="1187" spans="1:40" ht="22" customHeight="1">
      <c r="A1187" s="1" t="s">
        <v>3775</v>
      </c>
      <c r="B1187" s="1" t="s">
        <v>3776</v>
      </c>
      <c r="C1187" s="1" t="s">
        <v>3147</v>
      </c>
      <c r="D1187" s="1" t="s">
        <v>3777</v>
      </c>
      <c r="E1187" s="1" t="s">
        <v>3149</v>
      </c>
      <c r="F1187" s="1" t="s">
        <v>3150</v>
      </c>
      <c r="G1187" s="1" t="s">
        <v>1588</v>
      </c>
      <c r="H1187" s="1">
        <v>40.055630000000001</v>
      </c>
      <c r="I1187" s="1">
        <v>-75.048248000000001</v>
      </c>
      <c r="J1187" s="1" t="s">
        <v>3151</v>
      </c>
      <c r="K1187" s="1" t="s">
        <v>442</v>
      </c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</row>
    <row r="1188" spans="1:40" ht="22" customHeight="1">
      <c r="A1188" s="1" t="s">
        <v>3778</v>
      </c>
      <c r="B1188" s="1" t="s">
        <v>3779</v>
      </c>
      <c r="C1188" s="1" t="s">
        <v>3154</v>
      </c>
      <c r="D1188" s="1" t="s">
        <v>3780</v>
      </c>
      <c r="E1188" s="1" t="s">
        <v>3504</v>
      </c>
      <c r="F1188" s="1" t="s">
        <v>3227</v>
      </c>
      <c r="G1188" s="1" t="s">
        <v>3505</v>
      </c>
      <c r="H1188" s="1">
        <v>39.962662000000002</v>
      </c>
      <c r="I1188" s="1">
        <v>-75.059005999999997</v>
      </c>
      <c r="J1188" s="1" t="s">
        <v>3151</v>
      </c>
      <c r="K1188" s="1" t="s">
        <v>442</v>
      </c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</row>
    <row r="1189" spans="1:40" ht="22" customHeight="1">
      <c r="A1189" s="1" t="s">
        <v>3781</v>
      </c>
      <c r="B1189" s="1" t="s">
        <v>3782</v>
      </c>
      <c r="C1189" s="1" t="s">
        <v>3147</v>
      </c>
      <c r="D1189" s="1" t="s">
        <v>3783</v>
      </c>
      <c r="E1189" s="1" t="s">
        <v>3149</v>
      </c>
      <c r="F1189" s="1" t="s">
        <v>3150</v>
      </c>
      <c r="G1189" s="1" t="s">
        <v>585</v>
      </c>
      <c r="H1189" s="1">
        <v>39.975093999999999</v>
      </c>
      <c r="I1189" s="1">
        <v>-75.187256000000005</v>
      </c>
      <c r="J1189" s="1" t="s">
        <v>3151</v>
      </c>
      <c r="K1189" s="1" t="s">
        <v>442</v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</row>
    <row r="1190" spans="1:40" ht="22" customHeight="1">
      <c r="A1190" s="1" t="s">
        <v>3784</v>
      </c>
      <c r="B1190" s="1" t="s">
        <v>3785</v>
      </c>
      <c r="C1190" s="1" t="s">
        <v>3147</v>
      </c>
      <c r="D1190" s="1" t="s">
        <v>3786</v>
      </c>
      <c r="E1190" s="1" t="s">
        <v>3149</v>
      </c>
      <c r="F1190" s="1" t="s">
        <v>3150</v>
      </c>
      <c r="G1190" s="1" t="s">
        <v>1955</v>
      </c>
      <c r="H1190" s="1">
        <v>40.085346000000001</v>
      </c>
      <c r="I1190" s="1">
        <v>-75.045601000000005</v>
      </c>
      <c r="J1190" s="1" t="s">
        <v>3151</v>
      </c>
      <c r="K1190" s="1" t="s">
        <v>442</v>
      </c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</row>
    <row r="1191" spans="1:40" ht="22" customHeight="1">
      <c r="A1191" s="1" t="s">
        <v>3787</v>
      </c>
      <c r="B1191" s="1" t="s">
        <v>3788</v>
      </c>
      <c r="C1191" s="1" t="s">
        <v>3147</v>
      </c>
      <c r="D1191" s="1" t="s">
        <v>3789</v>
      </c>
      <c r="E1191" s="1" t="s">
        <v>3790</v>
      </c>
      <c r="F1191" s="1" t="s">
        <v>3150</v>
      </c>
      <c r="G1191" s="1" t="s">
        <v>3791</v>
      </c>
      <c r="H1191" s="1">
        <v>39.937820000000002</v>
      </c>
      <c r="I1191" s="1">
        <v>-75.274162000000004</v>
      </c>
      <c r="J1191" s="1" t="s">
        <v>3151</v>
      </c>
      <c r="K1191" s="1" t="s">
        <v>442</v>
      </c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</row>
    <row r="1192" spans="1:40" ht="22" customHeight="1">
      <c r="A1192" s="1" t="s">
        <v>3792</v>
      </c>
      <c r="B1192" s="1" t="s">
        <v>3793</v>
      </c>
      <c r="C1192" s="1" t="s">
        <v>3147</v>
      </c>
      <c r="D1192" s="1" t="s">
        <v>3794</v>
      </c>
      <c r="E1192" s="1" t="s">
        <v>3795</v>
      </c>
      <c r="F1192" s="1" t="s">
        <v>3227</v>
      </c>
      <c r="G1192" s="1" t="s">
        <v>3796</v>
      </c>
      <c r="H1192" s="1">
        <v>39.866610999999999</v>
      </c>
      <c r="I1192" s="1">
        <v>-75.086844999999997</v>
      </c>
      <c r="J1192" s="1" t="s">
        <v>3151</v>
      </c>
      <c r="K1192" s="1" t="s">
        <v>442</v>
      </c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</row>
    <row r="1193" spans="1:40" ht="22" customHeight="1">
      <c r="A1193" s="1" t="s">
        <v>3797</v>
      </c>
      <c r="B1193" s="1" t="s">
        <v>3798</v>
      </c>
      <c r="C1193" s="1" t="s">
        <v>3147</v>
      </c>
      <c r="D1193" s="1" t="s">
        <v>3799</v>
      </c>
      <c r="E1193" s="1" t="s">
        <v>3149</v>
      </c>
      <c r="F1193" s="1" t="s">
        <v>3150</v>
      </c>
      <c r="G1193" s="1" t="s">
        <v>780</v>
      </c>
      <c r="H1193" s="1">
        <v>40.006931000000002</v>
      </c>
      <c r="I1193" s="1">
        <v>-75.098770000000002</v>
      </c>
      <c r="J1193" s="1" t="s">
        <v>3151</v>
      </c>
      <c r="K1193" s="1" t="s">
        <v>442</v>
      </c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</row>
    <row r="1194" spans="1:40" ht="22" customHeight="1">
      <c r="A1194" s="1" t="s">
        <v>3800</v>
      </c>
      <c r="B1194" s="1" t="s">
        <v>3801</v>
      </c>
      <c r="C1194" s="1" t="s">
        <v>3147</v>
      </c>
      <c r="D1194" s="1" t="s">
        <v>3802</v>
      </c>
      <c r="E1194" s="1" t="s">
        <v>3149</v>
      </c>
      <c r="F1194" s="1" t="s">
        <v>3150</v>
      </c>
      <c r="G1194" s="1" t="s">
        <v>1169</v>
      </c>
      <c r="H1194" s="1">
        <v>40.046883000000001</v>
      </c>
      <c r="I1194" s="1">
        <v>-75.142960000000002</v>
      </c>
      <c r="J1194" s="1" t="s">
        <v>3151</v>
      </c>
      <c r="K1194" s="1" t="s">
        <v>442</v>
      </c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</row>
    <row r="1195" spans="1:40" ht="22" customHeight="1">
      <c r="A1195" s="1" t="s">
        <v>3803</v>
      </c>
      <c r="B1195" s="1" t="s">
        <v>3804</v>
      </c>
      <c r="C1195" s="1" t="s">
        <v>3147</v>
      </c>
      <c r="D1195" s="1" t="s">
        <v>3805</v>
      </c>
      <c r="E1195" s="1" t="s">
        <v>3806</v>
      </c>
      <c r="F1195" s="1" t="s">
        <v>3150</v>
      </c>
      <c r="G1195" s="1" t="s">
        <v>3807</v>
      </c>
      <c r="H1195" s="1">
        <v>39.973289000000001</v>
      </c>
      <c r="I1195" s="1">
        <v>-75.320160000000001</v>
      </c>
      <c r="J1195" s="1" t="s">
        <v>3151</v>
      </c>
      <c r="K1195" s="1" t="s">
        <v>442</v>
      </c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</row>
    <row r="1196" spans="1:40" ht="22" customHeight="1">
      <c r="A1196" s="1" t="s">
        <v>3808</v>
      </c>
      <c r="B1196" s="1" t="s">
        <v>3809</v>
      </c>
      <c r="C1196" s="1" t="s">
        <v>3147</v>
      </c>
      <c r="D1196" s="1" t="s">
        <v>3810</v>
      </c>
      <c r="E1196" s="1" t="s">
        <v>3149</v>
      </c>
      <c r="F1196" s="1" t="s">
        <v>3150</v>
      </c>
      <c r="G1196" s="1" t="s">
        <v>638</v>
      </c>
      <c r="H1196" s="1">
        <v>39.944873999999999</v>
      </c>
      <c r="I1196" s="1">
        <v>-75.150108000000003</v>
      </c>
      <c r="J1196" s="1" t="s">
        <v>3151</v>
      </c>
      <c r="K1196" s="1" t="s">
        <v>442</v>
      </c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</row>
    <row r="1197" spans="1:40" ht="22" customHeight="1">
      <c r="A1197" s="1" t="s">
        <v>3811</v>
      </c>
      <c r="B1197" s="1" t="s">
        <v>3812</v>
      </c>
      <c r="C1197" s="1" t="s">
        <v>3147</v>
      </c>
      <c r="D1197" s="1" t="s">
        <v>3813</v>
      </c>
      <c r="E1197" s="1" t="s">
        <v>3149</v>
      </c>
      <c r="F1197" s="1" t="s">
        <v>3150</v>
      </c>
      <c r="G1197" s="1" t="s">
        <v>589</v>
      </c>
      <c r="H1197" s="1">
        <v>39.943114999999999</v>
      </c>
      <c r="I1197" s="1">
        <v>-75.159378000000004</v>
      </c>
      <c r="J1197" s="1" t="s">
        <v>3151</v>
      </c>
      <c r="K1197" s="1" t="s">
        <v>442</v>
      </c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</row>
    <row r="1198" spans="1:40" ht="22" customHeight="1">
      <c r="A1198" s="1" t="s">
        <v>3814</v>
      </c>
      <c r="B1198" s="1" t="s">
        <v>3815</v>
      </c>
      <c r="C1198" s="1" t="s">
        <v>3147</v>
      </c>
      <c r="D1198" s="1" t="s">
        <v>3816</v>
      </c>
      <c r="E1198" s="1" t="s">
        <v>3149</v>
      </c>
      <c r="F1198" s="1" t="s">
        <v>3150</v>
      </c>
      <c r="G1198" s="1" t="s">
        <v>1660</v>
      </c>
      <c r="H1198" s="1">
        <v>40.072876000000001</v>
      </c>
      <c r="I1198" s="1">
        <v>-75.193618999999998</v>
      </c>
      <c r="J1198" s="1" t="s">
        <v>3151</v>
      </c>
      <c r="K1198" s="1" t="s">
        <v>442</v>
      </c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</row>
    <row r="1199" spans="1:40" ht="22" customHeight="1">
      <c r="A1199" s="1" t="s">
        <v>3817</v>
      </c>
      <c r="B1199" s="1" t="s">
        <v>3818</v>
      </c>
      <c r="C1199" s="1" t="s">
        <v>3147</v>
      </c>
      <c r="D1199" s="1" t="s">
        <v>3819</v>
      </c>
      <c r="E1199" s="1" t="s">
        <v>3149</v>
      </c>
      <c r="F1199" s="1" t="s">
        <v>3150</v>
      </c>
      <c r="G1199" s="1" t="s">
        <v>1877</v>
      </c>
      <c r="H1199" s="1">
        <v>40.049835000000002</v>
      </c>
      <c r="I1199" s="1">
        <v>-75.063559999999995</v>
      </c>
      <c r="J1199" s="1" t="s">
        <v>3151</v>
      </c>
      <c r="K1199" s="1" t="s">
        <v>442</v>
      </c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</row>
    <row r="1200" spans="1:40" ht="22" customHeight="1">
      <c r="A1200" s="1" t="s">
        <v>3820</v>
      </c>
      <c r="B1200" s="1" t="s">
        <v>3821</v>
      </c>
      <c r="C1200" s="1" t="s">
        <v>3147</v>
      </c>
      <c r="D1200" s="1" t="s">
        <v>3822</v>
      </c>
      <c r="E1200" s="1" t="s">
        <v>3149</v>
      </c>
      <c r="F1200" s="1" t="s">
        <v>3150</v>
      </c>
      <c r="G1200" s="1" t="s">
        <v>876</v>
      </c>
      <c r="H1200" s="1">
        <v>40.131965999999998</v>
      </c>
      <c r="I1200" s="1">
        <v>-75.011505</v>
      </c>
      <c r="J1200" s="1" t="s">
        <v>3151</v>
      </c>
      <c r="K1200" s="1" t="s">
        <v>442</v>
      </c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</row>
    <row r="1201" spans="1:40" ht="22" customHeight="1">
      <c r="A1201" s="1" t="s">
        <v>3823</v>
      </c>
      <c r="B1201" s="1" t="s">
        <v>3824</v>
      </c>
      <c r="C1201" s="1" t="s">
        <v>3154</v>
      </c>
      <c r="D1201" s="1" t="s">
        <v>3825</v>
      </c>
      <c r="E1201" s="1" t="s">
        <v>3826</v>
      </c>
      <c r="F1201" s="1" t="s">
        <v>3150</v>
      </c>
      <c r="G1201" s="1" t="s">
        <v>3827</v>
      </c>
      <c r="H1201" s="1">
        <v>40.094130999999997</v>
      </c>
      <c r="I1201" s="1">
        <v>-75.365027999999995</v>
      </c>
      <c r="J1201" s="1" t="s">
        <v>3151</v>
      </c>
      <c r="K1201" s="1" t="s">
        <v>442</v>
      </c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</row>
    <row r="1202" spans="1:40" ht="22" customHeight="1">
      <c r="A1202" s="1" t="s">
        <v>3828</v>
      </c>
      <c r="B1202" s="1" t="s">
        <v>3829</v>
      </c>
      <c r="C1202" s="1" t="s">
        <v>3147</v>
      </c>
      <c r="D1202" s="1" t="s">
        <v>3830</v>
      </c>
      <c r="E1202" s="1" t="s">
        <v>3345</v>
      </c>
      <c r="F1202" s="1" t="s">
        <v>3150</v>
      </c>
      <c r="G1202" s="1" t="s">
        <v>3346</v>
      </c>
      <c r="H1202" s="1">
        <v>40.108845000000002</v>
      </c>
      <c r="I1202" s="1">
        <v>-74.952468999999994</v>
      </c>
      <c r="J1202" s="1" t="s">
        <v>3151</v>
      </c>
      <c r="K1202" s="1" t="s">
        <v>442</v>
      </c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</row>
    <row r="1203" spans="1:40" ht="22" customHeight="1">
      <c r="A1203" s="1" t="s">
        <v>3831</v>
      </c>
      <c r="B1203" s="1" t="s">
        <v>3832</v>
      </c>
      <c r="C1203" s="1" t="s">
        <v>3147</v>
      </c>
      <c r="D1203" s="1" t="s">
        <v>3833</v>
      </c>
      <c r="E1203" s="1" t="s">
        <v>3448</v>
      </c>
      <c r="F1203" s="1" t="s">
        <v>3150</v>
      </c>
      <c r="G1203" s="1" t="s">
        <v>3449</v>
      </c>
      <c r="H1203" s="1">
        <v>39.955329999999996</v>
      </c>
      <c r="I1203" s="1">
        <v>-75.273758000000001</v>
      </c>
      <c r="J1203" s="1" t="s">
        <v>3151</v>
      </c>
      <c r="K1203" s="1" t="s">
        <v>442</v>
      </c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</row>
    <row r="1204" spans="1:40" ht="22" customHeight="1">
      <c r="A1204" s="1" t="s">
        <v>3834</v>
      </c>
      <c r="B1204" s="1" t="s">
        <v>3835</v>
      </c>
      <c r="C1204" s="1" t="s">
        <v>3154</v>
      </c>
      <c r="D1204" s="1" t="s">
        <v>3836</v>
      </c>
      <c r="E1204" s="1" t="s">
        <v>3301</v>
      </c>
      <c r="F1204" s="1" t="s">
        <v>3227</v>
      </c>
      <c r="G1204" s="1" t="s">
        <v>3302</v>
      </c>
      <c r="H1204" s="1">
        <v>40.006996000000001</v>
      </c>
      <c r="I1204" s="1">
        <v>-74.976906</v>
      </c>
      <c r="J1204" s="1" t="s">
        <v>3151</v>
      </c>
      <c r="K1204" s="1" t="s">
        <v>442</v>
      </c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</row>
    <row r="1205" spans="1:40" ht="22" customHeight="1">
      <c r="A1205" s="1" t="s">
        <v>3837</v>
      </c>
      <c r="B1205" s="1" t="s">
        <v>3838</v>
      </c>
      <c r="C1205" s="1" t="s">
        <v>3154</v>
      </c>
      <c r="D1205" s="1" t="s">
        <v>3839</v>
      </c>
      <c r="E1205" s="1" t="s">
        <v>3840</v>
      </c>
      <c r="F1205" s="1" t="s">
        <v>3227</v>
      </c>
      <c r="G1205" s="1" t="s">
        <v>3841</v>
      </c>
      <c r="H1205" s="1">
        <v>39.853805999999999</v>
      </c>
      <c r="I1205" s="1">
        <v>-75.023514000000006</v>
      </c>
      <c r="J1205" s="1" t="s">
        <v>3151</v>
      </c>
      <c r="K1205" s="1" t="s">
        <v>442</v>
      </c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</row>
    <row r="1206" spans="1:40" ht="22" customHeight="1">
      <c r="A1206" s="1" t="s">
        <v>3842</v>
      </c>
      <c r="B1206" s="1" t="s">
        <v>3843</v>
      </c>
      <c r="C1206" s="1" t="s">
        <v>3154</v>
      </c>
      <c r="D1206" s="1" t="s">
        <v>3844</v>
      </c>
      <c r="E1206" s="1" t="s">
        <v>3448</v>
      </c>
      <c r="F1206" s="1" t="s">
        <v>3150</v>
      </c>
      <c r="G1206" s="1" t="s">
        <v>3449</v>
      </c>
      <c r="H1206" s="1">
        <v>39.953262000000002</v>
      </c>
      <c r="I1206" s="1">
        <v>-75.257857999999999</v>
      </c>
      <c r="J1206" s="1" t="s">
        <v>3151</v>
      </c>
      <c r="K1206" s="1" t="s">
        <v>442</v>
      </c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</row>
    <row r="1207" spans="1:40" ht="22" customHeight="1">
      <c r="A1207" s="1" t="s">
        <v>3845</v>
      </c>
      <c r="B1207" s="1" t="s">
        <v>3846</v>
      </c>
      <c r="C1207" s="1" t="s">
        <v>3147</v>
      </c>
      <c r="D1207" s="1" t="s">
        <v>3847</v>
      </c>
      <c r="E1207" s="1" t="s">
        <v>3149</v>
      </c>
      <c r="F1207" s="1" t="s">
        <v>3150</v>
      </c>
      <c r="G1207" s="1" t="s">
        <v>800</v>
      </c>
      <c r="H1207" s="1">
        <v>39.978591999999999</v>
      </c>
      <c r="I1207" s="1">
        <v>-75.270759999999996</v>
      </c>
      <c r="J1207" s="1" t="s">
        <v>3151</v>
      </c>
      <c r="K1207" s="1" t="s">
        <v>442</v>
      </c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</row>
    <row r="1208" spans="1:40" ht="22" customHeight="1">
      <c r="A1208" s="1" t="s">
        <v>3848</v>
      </c>
      <c r="B1208" s="1" t="s">
        <v>3849</v>
      </c>
      <c r="C1208" s="1" t="s">
        <v>3147</v>
      </c>
      <c r="D1208" s="1" t="s">
        <v>3850</v>
      </c>
      <c r="E1208" s="1" t="s">
        <v>3149</v>
      </c>
      <c r="F1208" s="1" t="s">
        <v>3150</v>
      </c>
      <c r="G1208" s="1" t="s">
        <v>994</v>
      </c>
      <c r="H1208" s="1">
        <v>40.031596999999998</v>
      </c>
      <c r="I1208" s="1">
        <v>-75.182274000000007</v>
      </c>
      <c r="J1208" s="1" t="s">
        <v>3151</v>
      </c>
      <c r="K1208" s="1" t="s">
        <v>442</v>
      </c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</row>
    <row r="1209" spans="1:40" ht="22" customHeight="1">
      <c r="A1209" s="1" t="s">
        <v>3851</v>
      </c>
      <c r="B1209" s="1" t="s">
        <v>3852</v>
      </c>
      <c r="C1209" s="1" t="s">
        <v>3147</v>
      </c>
      <c r="D1209" s="1" t="s">
        <v>3853</v>
      </c>
      <c r="E1209" s="1" t="s">
        <v>3149</v>
      </c>
      <c r="F1209" s="1" t="s">
        <v>3150</v>
      </c>
      <c r="G1209" s="1" t="s">
        <v>832</v>
      </c>
      <c r="H1209" s="1">
        <v>40.050826999999998</v>
      </c>
      <c r="I1209" s="1">
        <v>-75.173514999999995</v>
      </c>
      <c r="J1209" s="1" t="s">
        <v>3151</v>
      </c>
      <c r="K1209" s="1" t="s">
        <v>442</v>
      </c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</row>
    <row r="1210" spans="1:40" ht="22" customHeight="1">
      <c r="A1210" s="1" t="s">
        <v>3854</v>
      </c>
      <c r="B1210" s="1" t="s">
        <v>3855</v>
      </c>
      <c r="C1210" s="1" t="s">
        <v>3154</v>
      </c>
      <c r="D1210" s="1" t="s">
        <v>3856</v>
      </c>
      <c r="E1210" s="1" t="s">
        <v>3149</v>
      </c>
      <c r="F1210" s="1" t="s">
        <v>3150</v>
      </c>
      <c r="G1210" s="1" t="s">
        <v>1006</v>
      </c>
      <c r="H1210" s="1">
        <v>40.045138999999999</v>
      </c>
      <c r="I1210" s="1">
        <v>-75.231621000000004</v>
      </c>
      <c r="J1210" s="1" t="s">
        <v>3151</v>
      </c>
      <c r="K1210" s="1" t="s">
        <v>442</v>
      </c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</row>
    <row r="1211" spans="1:40" ht="22" customHeight="1">
      <c r="A1211" s="1" t="s">
        <v>3857</v>
      </c>
      <c r="B1211" s="1" t="s">
        <v>3858</v>
      </c>
      <c r="C1211" s="1" t="s">
        <v>3147</v>
      </c>
      <c r="D1211" s="1" t="s">
        <v>3859</v>
      </c>
      <c r="E1211" s="1" t="s">
        <v>3149</v>
      </c>
      <c r="F1211" s="1" t="s">
        <v>3150</v>
      </c>
      <c r="G1211" s="1" t="s">
        <v>1096</v>
      </c>
      <c r="H1211" s="1">
        <v>39.993594999999999</v>
      </c>
      <c r="I1211" s="1">
        <v>-75.143967000000004</v>
      </c>
      <c r="J1211" s="1" t="s">
        <v>3151</v>
      </c>
      <c r="K1211" s="1" t="s">
        <v>442</v>
      </c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</row>
    <row r="1212" spans="1:40" ht="22" customHeight="1">
      <c r="A1212" s="1" t="s">
        <v>3860</v>
      </c>
      <c r="B1212" s="1" t="s">
        <v>3861</v>
      </c>
      <c r="C1212" s="1" t="s">
        <v>3147</v>
      </c>
      <c r="D1212" s="1" t="s">
        <v>3862</v>
      </c>
      <c r="E1212" s="1" t="s">
        <v>3562</v>
      </c>
      <c r="F1212" s="1" t="s">
        <v>3227</v>
      </c>
      <c r="G1212" s="1" t="s">
        <v>3563</v>
      </c>
      <c r="H1212" s="1">
        <v>39.967632000000002</v>
      </c>
      <c r="I1212" s="1">
        <v>-74.916077000000001</v>
      </c>
      <c r="J1212" s="1" t="s">
        <v>3151</v>
      </c>
      <c r="K1212" s="1" t="s">
        <v>442</v>
      </c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</row>
    <row r="1213" spans="1:40" ht="22" customHeight="1">
      <c r="A1213" s="1" t="s">
        <v>3863</v>
      </c>
      <c r="B1213" s="1" t="s">
        <v>3749</v>
      </c>
      <c r="C1213" s="1" t="s">
        <v>3154</v>
      </c>
      <c r="D1213" s="1" t="s">
        <v>3864</v>
      </c>
      <c r="E1213" s="1" t="s">
        <v>3149</v>
      </c>
      <c r="F1213" s="1" t="s">
        <v>3150</v>
      </c>
      <c r="G1213" s="1" t="s">
        <v>785</v>
      </c>
      <c r="H1213" s="1">
        <v>40.039448</v>
      </c>
      <c r="I1213" s="1">
        <v>-75.108185000000006</v>
      </c>
      <c r="J1213" s="1" t="s">
        <v>3151</v>
      </c>
      <c r="K1213" s="1" t="s">
        <v>442</v>
      </c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</row>
    <row r="1214" spans="1:40" ht="22" customHeight="1">
      <c r="A1214" s="1" t="s">
        <v>3865</v>
      </c>
      <c r="B1214" s="1" t="s">
        <v>3866</v>
      </c>
      <c r="C1214" s="1" t="s">
        <v>3147</v>
      </c>
      <c r="D1214" s="1" t="s">
        <v>3867</v>
      </c>
      <c r="E1214" s="1" t="s">
        <v>3868</v>
      </c>
      <c r="F1214" s="1" t="s">
        <v>3150</v>
      </c>
      <c r="G1214" s="1" t="s">
        <v>3869</v>
      </c>
      <c r="H1214" s="1">
        <v>40.178528</v>
      </c>
      <c r="I1214" s="1">
        <v>-75.181976000000006</v>
      </c>
      <c r="J1214" s="1" t="s">
        <v>3151</v>
      </c>
      <c r="K1214" s="1" t="s">
        <v>442</v>
      </c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</row>
    <row r="1215" spans="1:40" ht="22" customHeight="1">
      <c r="A1215" s="1" t="s">
        <v>3870</v>
      </c>
      <c r="B1215" s="1" t="s">
        <v>3871</v>
      </c>
      <c r="C1215" s="1" t="s">
        <v>3147</v>
      </c>
      <c r="D1215" s="1" t="s">
        <v>3872</v>
      </c>
      <c r="E1215" s="1" t="s">
        <v>3149</v>
      </c>
      <c r="F1215" s="1" t="s">
        <v>3150</v>
      </c>
      <c r="G1215" s="1" t="s">
        <v>1660</v>
      </c>
      <c r="H1215" s="1">
        <v>40.073475000000002</v>
      </c>
      <c r="I1215" s="1">
        <v>-75.202956999999998</v>
      </c>
      <c r="J1215" s="1" t="s">
        <v>3151</v>
      </c>
      <c r="K1215" s="1" t="s">
        <v>442</v>
      </c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</row>
    <row r="1216" spans="1:40" ht="22" customHeight="1">
      <c r="A1216" s="1" t="s">
        <v>3873</v>
      </c>
      <c r="B1216" s="1" t="s">
        <v>3874</v>
      </c>
      <c r="C1216" s="1" t="s">
        <v>3154</v>
      </c>
      <c r="D1216" s="1" t="s">
        <v>3875</v>
      </c>
      <c r="E1216" s="1" t="s">
        <v>3876</v>
      </c>
      <c r="F1216" s="1" t="s">
        <v>3150</v>
      </c>
      <c r="G1216" s="1" t="s">
        <v>3674</v>
      </c>
      <c r="H1216" s="1">
        <v>40.185654</v>
      </c>
      <c r="I1216" s="1">
        <v>-75.227821000000006</v>
      </c>
      <c r="J1216" s="1" t="s">
        <v>3151</v>
      </c>
      <c r="K1216" s="1" t="s">
        <v>442</v>
      </c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</row>
    <row r="1217" spans="1:40" ht="22" customHeight="1">
      <c r="A1217" s="1" t="s">
        <v>3877</v>
      </c>
      <c r="B1217" s="1" t="s">
        <v>3878</v>
      </c>
      <c r="C1217" s="1" t="s">
        <v>3147</v>
      </c>
      <c r="D1217" s="1" t="s">
        <v>3879</v>
      </c>
      <c r="E1217" s="1" t="s">
        <v>3345</v>
      </c>
      <c r="F1217" s="1" t="s">
        <v>3150</v>
      </c>
      <c r="G1217" s="1" t="s">
        <v>3346</v>
      </c>
      <c r="H1217" s="1">
        <v>40.137245</v>
      </c>
      <c r="I1217" s="1">
        <v>-74.957770999999994</v>
      </c>
      <c r="J1217" s="1" t="s">
        <v>3151</v>
      </c>
      <c r="K1217" s="1" t="s">
        <v>442</v>
      </c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</row>
    <row r="1218" spans="1:40" ht="22" customHeight="1">
      <c r="A1218" s="1" t="s">
        <v>3880</v>
      </c>
      <c r="B1218" s="1" t="s">
        <v>3881</v>
      </c>
      <c r="C1218" s="1" t="s">
        <v>3147</v>
      </c>
      <c r="D1218" s="1" t="s">
        <v>3882</v>
      </c>
      <c r="E1218" s="1" t="s">
        <v>3149</v>
      </c>
      <c r="F1218" s="1" t="s">
        <v>3150</v>
      </c>
      <c r="G1218" s="1" t="s">
        <v>1877</v>
      </c>
      <c r="H1218" s="1">
        <v>40.047713999999999</v>
      </c>
      <c r="I1218" s="1">
        <v>-75.056861999999995</v>
      </c>
      <c r="J1218" s="1" t="s">
        <v>3151</v>
      </c>
      <c r="K1218" s="1" t="s">
        <v>442</v>
      </c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</row>
    <row r="1219" spans="1:40" ht="22" customHeight="1">
      <c r="A1219" s="1" t="s">
        <v>3883</v>
      </c>
      <c r="B1219" s="1" t="s">
        <v>3884</v>
      </c>
      <c r="C1219" s="1" t="s">
        <v>3147</v>
      </c>
      <c r="D1219" s="1" t="s">
        <v>3885</v>
      </c>
      <c r="E1219" s="1" t="s">
        <v>3149</v>
      </c>
      <c r="F1219" s="1" t="s">
        <v>3150</v>
      </c>
      <c r="G1219" s="1" t="s">
        <v>612</v>
      </c>
      <c r="H1219" s="1">
        <v>39.944701999999999</v>
      </c>
      <c r="I1219" s="1">
        <v>-75.180710000000005</v>
      </c>
      <c r="J1219" s="1" t="s">
        <v>3151</v>
      </c>
      <c r="K1219" s="1" t="s">
        <v>442</v>
      </c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</row>
    <row r="1220" spans="1:40" ht="22" customHeight="1">
      <c r="A1220" s="1" t="s">
        <v>3886</v>
      </c>
      <c r="B1220" s="1" t="s">
        <v>3887</v>
      </c>
      <c r="C1220" s="1" t="s">
        <v>3154</v>
      </c>
      <c r="D1220" s="1" t="s">
        <v>3888</v>
      </c>
      <c r="E1220" s="1" t="s">
        <v>3149</v>
      </c>
      <c r="F1220" s="1" t="s">
        <v>3150</v>
      </c>
      <c r="G1220" s="1" t="s">
        <v>1228</v>
      </c>
      <c r="H1220" s="1">
        <v>39.993842999999998</v>
      </c>
      <c r="I1220" s="1">
        <v>-75.097297999999995</v>
      </c>
      <c r="J1220" s="1" t="s">
        <v>3151</v>
      </c>
      <c r="K1220" s="1" t="s">
        <v>442</v>
      </c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</row>
    <row r="1221" spans="1:40" ht="22" customHeight="1">
      <c r="A1221" s="1" t="s">
        <v>3889</v>
      </c>
      <c r="B1221" s="1" t="s">
        <v>3890</v>
      </c>
      <c r="C1221" s="1" t="s">
        <v>3147</v>
      </c>
      <c r="D1221" s="1" t="s">
        <v>3891</v>
      </c>
      <c r="E1221" s="1" t="s">
        <v>3149</v>
      </c>
      <c r="F1221" s="1" t="s">
        <v>3150</v>
      </c>
      <c r="G1221" s="1" t="s">
        <v>589</v>
      </c>
      <c r="H1221" s="1">
        <v>39.929091999999997</v>
      </c>
      <c r="I1221" s="1">
        <v>-75.143471000000005</v>
      </c>
      <c r="J1221" s="1" t="s">
        <v>3151</v>
      </c>
      <c r="K1221" s="1" t="s">
        <v>442</v>
      </c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</row>
    <row r="1222" spans="1:40" ht="22" customHeight="1">
      <c r="A1222" s="1" t="s">
        <v>3892</v>
      </c>
      <c r="B1222" s="1" t="s">
        <v>3893</v>
      </c>
      <c r="C1222" s="1" t="s">
        <v>3147</v>
      </c>
      <c r="D1222" s="1" t="s">
        <v>3894</v>
      </c>
      <c r="E1222" s="1" t="s">
        <v>3149</v>
      </c>
      <c r="F1222" s="1" t="s">
        <v>3150</v>
      </c>
      <c r="G1222" s="1" t="s">
        <v>589</v>
      </c>
      <c r="H1222" s="1">
        <v>39.938335000000002</v>
      </c>
      <c r="I1222" s="1">
        <v>-75.166152999999994</v>
      </c>
      <c r="J1222" s="1" t="s">
        <v>3151</v>
      </c>
      <c r="K1222" s="1" t="s">
        <v>442</v>
      </c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</row>
    <row r="1223" spans="1:40" ht="22" customHeight="1">
      <c r="A1223" s="1" t="s">
        <v>3895</v>
      </c>
      <c r="B1223" s="1" t="s">
        <v>3896</v>
      </c>
      <c r="C1223" s="1" t="s">
        <v>3154</v>
      </c>
      <c r="D1223" s="1" t="s">
        <v>3897</v>
      </c>
      <c r="E1223" s="1" t="s">
        <v>3149</v>
      </c>
      <c r="F1223" s="1" t="s">
        <v>3150</v>
      </c>
      <c r="G1223" s="1" t="s">
        <v>1077</v>
      </c>
      <c r="H1223" s="1">
        <v>40.020995999999997</v>
      </c>
      <c r="I1223" s="1">
        <v>-75.052070999999998</v>
      </c>
      <c r="J1223" s="1" t="s">
        <v>3151</v>
      </c>
      <c r="K1223" s="1" t="s">
        <v>442</v>
      </c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</row>
    <row r="1224" spans="1:40" ht="22" customHeight="1">
      <c r="A1224" s="1" t="s">
        <v>3898</v>
      </c>
      <c r="B1224" s="1" t="s">
        <v>3899</v>
      </c>
      <c r="C1224" s="1" t="s">
        <v>3154</v>
      </c>
      <c r="D1224" s="1" t="s">
        <v>3900</v>
      </c>
      <c r="E1224" s="1" t="s">
        <v>3562</v>
      </c>
      <c r="F1224" s="1" t="s">
        <v>3227</v>
      </c>
      <c r="G1224" s="1" t="s">
        <v>3563</v>
      </c>
      <c r="H1224" s="1">
        <v>39.932194000000003</v>
      </c>
      <c r="I1224" s="1">
        <v>-74.962119999999999</v>
      </c>
      <c r="J1224" s="1" t="s">
        <v>3151</v>
      </c>
      <c r="K1224" s="1" t="s">
        <v>442</v>
      </c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</row>
    <row r="1225" spans="1:40" ht="22" customHeight="1">
      <c r="A1225" s="1" t="s">
        <v>3901</v>
      </c>
      <c r="B1225" s="1" t="s">
        <v>3902</v>
      </c>
      <c r="C1225" s="1" t="s">
        <v>3147</v>
      </c>
      <c r="D1225" s="1" t="s">
        <v>3903</v>
      </c>
      <c r="E1225" s="1" t="s">
        <v>3183</v>
      </c>
      <c r="F1225" s="1" t="s">
        <v>3150</v>
      </c>
      <c r="G1225" s="1" t="s">
        <v>3184</v>
      </c>
      <c r="H1225" s="1">
        <v>40.140948999999999</v>
      </c>
      <c r="I1225" s="1">
        <v>-75.116569999999996</v>
      </c>
      <c r="J1225" s="1" t="s">
        <v>3151</v>
      </c>
      <c r="K1225" s="1" t="s">
        <v>442</v>
      </c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</row>
    <row r="1226" spans="1:40" ht="22" customHeight="1">
      <c r="A1226" s="1" t="s">
        <v>3904</v>
      </c>
      <c r="B1226" s="1" t="s">
        <v>3905</v>
      </c>
      <c r="C1226" s="1" t="s">
        <v>3147</v>
      </c>
      <c r="D1226" s="1" t="s">
        <v>3906</v>
      </c>
      <c r="E1226" s="1" t="s">
        <v>3375</v>
      </c>
      <c r="F1226" s="1" t="s">
        <v>3227</v>
      </c>
      <c r="G1226" s="1" t="s">
        <v>3376</v>
      </c>
      <c r="H1226" s="1">
        <v>39.939467999999998</v>
      </c>
      <c r="I1226" s="1">
        <v>-75.019256999999996</v>
      </c>
      <c r="J1226" s="1" t="s">
        <v>3151</v>
      </c>
      <c r="K1226" s="1" t="s">
        <v>442</v>
      </c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</row>
    <row r="1227" spans="1:40" ht="22" customHeight="1">
      <c r="A1227" s="1" t="s">
        <v>3907</v>
      </c>
      <c r="B1227" s="1" t="s">
        <v>3908</v>
      </c>
      <c r="C1227" s="1" t="s">
        <v>3147</v>
      </c>
      <c r="D1227" s="1" t="s">
        <v>3909</v>
      </c>
      <c r="E1227" s="1" t="s">
        <v>3910</v>
      </c>
      <c r="F1227" s="1" t="s">
        <v>3150</v>
      </c>
      <c r="G1227" s="1" t="s">
        <v>3911</v>
      </c>
      <c r="H1227" s="1">
        <v>39.834175000000002</v>
      </c>
      <c r="I1227" s="1">
        <v>-75.398064000000005</v>
      </c>
      <c r="J1227" s="1" t="s">
        <v>3151</v>
      </c>
      <c r="K1227" s="1" t="s">
        <v>442</v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</row>
    <row r="1228" spans="1:40" ht="22" customHeight="1">
      <c r="A1228" s="1" t="s">
        <v>3912</v>
      </c>
      <c r="B1228" s="1" t="s">
        <v>3913</v>
      </c>
      <c r="C1228" s="1" t="s">
        <v>3147</v>
      </c>
      <c r="D1228" s="1" t="s">
        <v>3914</v>
      </c>
      <c r="E1228" s="1" t="s">
        <v>3149</v>
      </c>
      <c r="F1228" s="1" t="s">
        <v>3150</v>
      </c>
      <c r="G1228" s="1" t="s">
        <v>1955</v>
      </c>
      <c r="H1228" s="1">
        <v>40.091797</v>
      </c>
      <c r="I1228" s="1">
        <v>-75.032341000000002</v>
      </c>
      <c r="J1228" s="1" t="s">
        <v>3151</v>
      </c>
      <c r="K1228" s="1" t="s">
        <v>442</v>
      </c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</row>
    <row r="1229" spans="1:40" ht="22" customHeight="1">
      <c r="A1229" s="1" t="s">
        <v>3915</v>
      </c>
      <c r="B1229" s="1" t="s">
        <v>3916</v>
      </c>
      <c r="C1229" s="1" t="s">
        <v>3147</v>
      </c>
      <c r="D1229" s="1" t="s">
        <v>3917</v>
      </c>
      <c r="E1229" s="1" t="s">
        <v>3462</v>
      </c>
      <c r="F1229" s="1" t="s">
        <v>3227</v>
      </c>
      <c r="G1229" s="1" t="s">
        <v>3463</v>
      </c>
      <c r="H1229" s="1">
        <v>39.837283999999997</v>
      </c>
      <c r="I1229" s="1">
        <v>-74.923355000000001</v>
      </c>
      <c r="J1229" s="1" t="s">
        <v>3151</v>
      </c>
      <c r="K1229" s="1" t="s">
        <v>442</v>
      </c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</row>
    <row r="1230" spans="1:40" ht="22" customHeight="1">
      <c r="A1230" s="1" t="s">
        <v>3918</v>
      </c>
      <c r="B1230" s="1" t="s">
        <v>3919</v>
      </c>
      <c r="C1230" s="1" t="s">
        <v>3147</v>
      </c>
      <c r="D1230" s="1" t="s">
        <v>3920</v>
      </c>
      <c r="E1230" s="1" t="s">
        <v>3921</v>
      </c>
      <c r="F1230" s="1" t="s">
        <v>3150</v>
      </c>
      <c r="G1230" s="1" t="s">
        <v>3414</v>
      </c>
      <c r="H1230" s="1">
        <v>39.920059000000002</v>
      </c>
      <c r="I1230" s="1">
        <v>-75.266304000000005</v>
      </c>
      <c r="J1230" s="1" t="s">
        <v>3151</v>
      </c>
      <c r="K1230" s="1" t="s">
        <v>442</v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</row>
    <row r="1231" spans="1:40" ht="22" customHeight="1">
      <c r="A1231" s="1" t="s">
        <v>3922</v>
      </c>
      <c r="B1231" s="1" t="s">
        <v>3923</v>
      </c>
      <c r="C1231" s="1" t="s">
        <v>3154</v>
      </c>
      <c r="D1231" s="1" t="s">
        <v>3924</v>
      </c>
      <c r="E1231" s="1" t="s">
        <v>3149</v>
      </c>
      <c r="F1231" s="1" t="s">
        <v>3150</v>
      </c>
      <c r="G1231" s="1" t="s">
        <v>1077</v>
      </c>
      <c r="H1231" s="1">
        <v>40.031993999999997</v>
      </c>
      <c r="I1231" s="1">
        <v>-75.052124000000006</v>
      </c>
      <c r="J1231" s="1" t="s">
        <v>3151</v>
      </c>
      <c r="K1231" s="1" t="s">
        <v>442</v>
      </c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</row>
    <row r="1232" spans="1:40" ht="22" customHeight="1">
      <c r="A1232" s="1" t="s">
        <v>3925</v>
      </c>
      <c r="B1232" s="1" t="s">
        <v>3926</v>
      </c>
      <c r="C1232" s="1" t="s">
        <v>3147</v>
      </c>
      <c r="D1232" s="1" t="s">
        <v>3927</v>
      </c>
      <c r="E1232" s="1" t="s">
        <v>3621</v>
      </c>
      <c r="F1232" s="1" t="s">
        <v>3150</v>
      </c>
      <c r="G1232" s="1" t="s">
        <v>3622</v>
      </c>
      <c r="H1232" s="1">
        <v>39.876716999999999</v>
      </c>
      <c r="I1232" s="1">
        <v>-75.394936000000001</v>
      </c>
      <c r="J1232" s="1" t="s">
        <v>3151</v>
      </c>
      <c r="K1232" s="1" t="s">
        <v>442</v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</row>
    <row r="1233" spans="1:40" ht="22" customHeight="1">
      <c r="A1233" s="1" t="s">
        <v>3928</v>
      </c>
      <c r="B1233" s="1" t="s">
        <v>3929</v>
      </c>
      <c r="C1233" s="1" t="s">
        <v>3147</v>
      </c>
      <c r="D1233" s="1" t="s">
        <v>3930</v>
      </c>
      <c r="E1233" s="1" t="s">
        <v>3149</v>
      </c>
      <c r="F1233" s="1" t="s">
        <v>3150</v>
      </c>
      <c r="G1233" s="1" t="s">
        <v>1955</v>
      </c>
      <c r="H1233" s="1">
        <v>40.087231000000003</v>
      </c>
      <c r="I1233" s="1">
        <v>-75.045074</v>
      </c>
      <c r="J1233" s="1" t="s">
        <v>3151</v>
      </c>
      <c r="K1233" s="1" t="s">
        <v>442</v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</row>
    <row r="1234" spans="1:40" ht="22" customHeight="1">
      <c r="A1234" s="1" t="s">
        <v>3931</v>
      </c>
      <c r="B1234" s="1" t="s">
        <v>3932</v>
      </c>
      <c r="C1234" s="1" t="s">
        <v>3154</v>
      </c>
      <c r="D1234" s="1" t="s">
        <v>3933</v>
      </c>
      <c r="E1234" s="1" t="s">
        <v>3375</v>
      </c>
      <c r="F1234" s="1" t="s">
        <v>3227</v>
      </c>
      <c r="G1234" s="1" t="s">
        <v>3757</v>
      </c>
      <c r="H1234" s="1">
        <v>39.889339</v>
      </c>
      <c r="I1234" s="1">
        <v>-75.016593999999998</v>
      </c>
      <c r="J1234" s="1" t="s">
        <v>3151</v>
      </c>
      <c r="K1234" s="1" t="s">
        <v>442</v>
      </c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</row>
    <row r="1235" spans="1:40" ht="22" customHeight="1">
      <c r="A1235" s="1" t="s">
        <v>3934</v>
      </c>
      <c r="B1235" s="1" t="s">
        <v>3935</v>
      </c>
      <c r="C1235" s="1" t="s">
        <v>3154</v>
      </c>
      <c r="D1235" s="1" t="s">
        <v>3936</v>
      </c>
      <c r="E1235" s="1" t="s">
        <v>3149</v>
      </c>
      <c r="F1235" s="1" t="s">
        <v>3150</v>
      </c>
      <c r="G1235" s="1" t="s">
        <v>1228</v>
      </c>
      <c r="H1235" s="1">
        <v>40.002791999999999</v>
      </c>
      <c r="I1235" s="1">
        <v>-75.111664000000005</v>
      </c>
      <c r="J1235" s="1" t="s">
        <v>3151</v>
      </c>
      <c r="K1235" s="1" t="s">
        <v>442</v>
      </c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</row>
    <row r="1236" spans="1:40" ht="22" customHeight="1">
      <c r="A1236" s="1" t="s">
        <v>3937</v>
      </c>
      <c r="B1236" s="1" t="s">
        <v>3938</v>
      </c>
      <c r="C1236" s="1" t="s">
        <v>3154</v>
      </c>
      <c r="D1236" s="1" t="s">
        <v>3939</v>
      </c>
      <c r="E1236" s="1" t="s">
        <v>3149</v>
      </c>
      <c r="F1236" s="1" t="s">
        <v>3150</v>
      </c>
      <c r="G1236" s="1" t="s">
        <v>585</v>
      </c>
      <c r="H1236" s="1">
        <v>39.961159000000002</v>
      </c>
      <c r="I1236" s="1">
        <v>-75.172225999999995</v>
      </c>
      <c r="J1236" s="1" t="s">
        <v>3151</v>
      </c>
      <c r="K1236" s="1" t="s">
        <v>442</v>
      </c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</row>
    <row r="1237" spans="1:40" ht="22" customHeight="1">
      <c r="A1237" s="1" t="s">
        <v>3940</v>
      </c>
      <c r="B1237" s="1" t="s">
        <v>3941</v>
      </c>
      <c r="C1237" s="1" t="s">
        <v>3147</v>
      </c>
      <c r="D1237" s="1" t="s">
        <v>3942</v>
      </c>
      <c r="E1237" s="1" t="s">
        <v>3149</v>
      </c>
      <c r="F1237" s="1" t="s">
        <v>3150</v>
      </c>
      <c r="G1237" s="1" t="s">
        <v>456</v>
      </c>
      <c r="H1237" s="1">
        <v>39.954498000000001</v>
      </c>
      <c r="I1237" s="1">
        <v>-75.192802</v>
      </c>
      <c r="J1237" s="1" t="s">
        <v>3151</v>
      </c>
      <c r="K1237" s="1" t="s">
        <v>442</v>
      </c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</row>
    <row r="1238" spans="1:40" ht="22" customHeight="1">
      <c r="A1238" s="1" t="s">
        <v>3943</v>
      </c>
      <c r="B1238" s="1" t="s">
        <v>3944</v>
      </c>
      <c r="C1238" s="1" t="s">
        <v>3154</v>
      </c>
      <c r="D1238" s="1" t="s">
        <v>3945</v>
      </c>
      <c r="E1238" s="1" t="s">
        <v>3149</v>
      </c>
      <c r="F1238" s="1" t="s">
        <v>3150</v>
      </c>
      <c r="G1238" s="1" t="s">
        <v>780</v>
      </c>
      <c r="H1238" s="1">
        <v>40.004978000000001</v>
      </c>
      <c r="I1238" s="1">
        <v>-75.104438999999999</v>
      </c>
      <c r="J1238" s="1" t="s">
        <v>3151</v>
      </c>
      <c r="K1238" s="1" t="s">
        <v>442</v>
      </c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</row>
    <row r="1239" spans="1:40" ht="22" customHeight="1">
      <c r="A1239" s="1" t="s">
        <v>3946</v>
      </c>
      <c r="B1239" s="1" t="s">
        <v>3947</v>
      </c>
      <c r="C1239" s="1" t="s">
        <v>3147</v>
      </c>
      <c r="D1239" s="1" t="s">
        <v>3948</v>
      </c>
      <c r="E1239" s="1" t="s">
        <v>3149</v>
      </c>
      <c r="F1239" s="1" t="s">
        <v>3150</v>
      </c>
      <c r="G1239" s="1" t="s">
        <v>3691</v>
      </c>
      <c r="H1239" s="1">
        <v>39.954276999999998</v>
      </c>
      <c r="I1239" s="1">
        <v>-75.162384000000003</v>
      </c>
      <c r="J1239" s="1" t="s">
        <v>3151</v>
      </c>
      <c r="K1239" s="1" t="s">
        <v>442</v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</row>
    <row r="1240" spans="1:40" ht="22" customHeight="1">
      <c r="A1240" s="1" t="s">
        <v>3949</v>
      </c>
      <c r="B1240" s="1" t="s">
        <v>3950</v>
      </c>
      <c r="C1240" s="1" t="s">
        <v>3147</v>
      </c>
      <c r="D1240" s="1" t="s">
        <v>3951</v>
      </c>
      <c r="E1240" s="1" t="s">
        <v>3253</v>
      </c>
      <c r="F1240" s="1" t="s">
        <v>3227</v>
      </c>
      <c r="G1240" s="1" t="s">
        <v>3376</v>
      </c>
      <c r="H1240" s="1">
        <v>39.929687999999999</v>
      </c>
      <c r="I1240" s="1">
        <v>-75.031998000000002</v>
      </c>
      <c r="J1240" s="1" t="s">
        <v>3151</v>
      </c>
      <c r="K1240" s="1" t="s">
        <v>442</v>
      </c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</row>
    <row r="1241" spans="1:40" ht="22" customHeight="1">
      <c r="A1241" s="1" t="s">
        <v>3952</v>
      </c>
      <c r="B1241" s="1" t="s">
        <v>3953</v>
      </c>
      <c r="C1241" s="1" t="s">
        <v>3154</v>
      </c>
      <c r="D1241" s="1" t="s">
        <v>3954</v>
      </c>
      <c r="E1241" s="1" t="s">
        <v>3418</v>
      </c>
      <c r="F1241" s="1" t="s">
        <v>3150</v>
      </c>
      <c r="G1241" s="1" t="s">
        <v>3419</v>
      </c>
      <c r="H1241" s="1">
        <v>40.165443000000003</v>
      </c>
      <c r="I1241" s="1">
        <v>-75.287598000000003</v>
      </c>
      <c r="J1241" s="1" t="s">
        <v>3151</v>
      </c>
      <c r="K1241" s="1" t="s">
        <v>442</v>
      </c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</row>
    <row r="1242" spans="1:40" ht="22" customHeight="1">
      <c r="A1242" s="1" t="s">
        <v>3955</v>
      </c>
      <c r="B1242" s="1" t="s">
        <v>3956</v>
      </c>
      <c r="C1242" s="1" t="s">
        <v>3154</v>
      </c>
      <c r="D1242" s="1" t="s">
        <v>3957</v>
      </c>
      <c r="E1242" s="1" t="s">
        <v>3958</v>
      </c>
      <c r="F1242" s="1" t="s">
        <v>3150</v>
      </c>
      <c r="G1242" s="1" t="s">
        <v>3959</v>
      </c>
      <c r="H1242" s="1">
        <v>40.001700999999997</v>
      </c>
      <c r="I1242" s="1">
        <v>-75.275245999999996</v>
      </c>
      <c r="J1242" s="1" t="s">
        <v>3151</v>
      </c>
      <c r="K1242" s="1" t="s">
        <v>442</v>
      </c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</row>
    <row r="1243" spans="1:40" ht="22" customHeight="1">
      <c r="A1243" s="1" t="s">
        <v>3960</v>
      </c>
      <c r="B1243" s="1" t="s">
        <v>3961</v>
      </c>
      <c r="C1243" s="1" t="s">
        <v>3147</v>
      </c>
      <c r="D1243" s="1" t="s">
        <v>3962</v>
      </c>
      <c r="E1243" s="1" t="s">
        <v>3826</v>
      </c>
      <c r="F1243" s="1" t="s">
        <v>3150</v>
      </c>
      <c r="G1243" s="1" t="s">
        <v>3827</v>
      </c>
      <c r="H1243" s="1">
        <v>40.095683999999999</v>
      </c>
      <c r="I1243" s="1">
        <v>-75.359275999999994</v>
      </c>
      <c r="J1243" s="1" t="s">
        <v>3151</v>
      </c>
      <c r="K1243" s="1" t="s">
        <v>442</v>
      </c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</row>
    <row r="1244" spans="1:40" ht="22" customHeight="1">
      <c r="A1244" s="1" t="s">
        <v>3963</v>
      </c>
      <c r="B1244" s="1" t="s">
        <v>3964</v>
      </c>
      <c r="C1244" s="1" t="s">
        <v>3154</v>
      </c>
      <c r="D1244" s="1" t="s">
        <v>3965</v>
      </c>
      <c r="E1244" s="1" t="s">
        <v>3149</v>
      </c>
      <c r="F1244" s="1" t="s">
        <v>3150</v>
      </c>
      <c r="G1244" s="1" t="s">
        <v>669</v>
      </c>
      <c r="H1244" s="1">
        <v>39.951855000000002</v>
      </c>
      <c r="I1244" s="1">
        <v>-75.172058000000007</v>
      </c>
      <c r="J1244" s="1" t="s">
        <v>3151</v>
      </c>
      <c r="K1244" s="1" t="s">
        <v>442</v>
      </c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</row>
    <row r="1245" spans="1:40" ht="22" customHeight="1">
      <c r="A1245" s="1" t="s">
        <v>3966</v>
      </c>
      <c r="B1245" s="1" t="s">
        <v>3967</v>
      </c>
      <c r="C1245" s="1" t="s">
        <v>3154</v>
      </c>
      <c r="D1245" s="1" t="s">
        <v>3968</v>
      </c>
      <c r="E1245" s="1" t="s">
        <v>3149</v>
      </c>
      <c r="F1245" s="1" t="s">
        <v>3150</v>
      </c>
      <c r="G1245" s="1" t="s">
        <v>585</v>
      </c>
      <c r="H1245" s="1">
        <v>39.962696000000001</v>
      </c>
      <c r="I1245" s="1">
        <v>-75.174087999999998</v>
      </c>
      <c r="J1245" s="1" t="s">
        <v>3151</v>
      </c>
      <c r="K1245" s="1" t="s">
        <v>442</v>
      </c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</row>
    <row r="1246" spans="1:40" ht="22" customHeight="1">
      <c r="A1246" s="1" t="s">
        <v>3969</v>
      </c>
      <c r="B1246" s="1" t="s">
        <v>3970</v>
      </c>
      <c r="C1246" s="1" t="s">
        <v>3154</v>
      </c>
      <c r="D1246" s="1" t="s">
        <v>3971</v>
      </c>
      <c r="E1246" s="1" t="s">
        <v>3149</v>
      </c>
      <c r="F1246" s="1" t="s">
        <v>3150</v>
      </c>
      <c r="G1246" s="1" t="s">
        <v>612</v>
      </c>
      <c r="H1246" s="1">
        <v>39.939213000000002</v>
      </c>
      <c r="I1246" s="1">
        <v>-75.193932000000004</v>
      </c>
      <c r="J1246" s="1" t="s">
        <v>3151</v>
      </c>
      <c r="K1246" s="1" t="s">
        <v>442</v>
      </c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</row>
    <row r="1247" spans="1:40" ht="22" customHeight="1">
      <c r="A1247" s="1" t="s">
        <v>3972</v>
      </c>
      <c r="B1247" s="1" t="s">
        <v>3973</v>
      </c>
      <c r="C1247" s="1" t="s">
        <v>3154</v>
      </c>
      <c r="D1247" s="1" t="s">
        <v>3974</v>
      </c>
      <c r="E1247" s="1" t="s">
        <v>3149</v>
      </c>
      <c r="F1247" s="1" t="s">
        <v>3150</v>
      </c>
      <c r="G1247" s="1" t="s">
        <v>1398</v>
      </c>
      <c r="H1247" s="1">
        <v>39.981236000000003</v>
      </c>
      <c r="I1247" s="1">
        <v>-75.144324999999995</v>
      </c>
      <c r="J1247" s="1" t="s">
        <v>3151</v>
      </c>
      <c r="K1247" s="1" t="s">
        <v>442</v>
      </c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</row>
    <row r="1248" spans="1:40" ht="22" customHeight="1">
      <c r="A1248" s="1" t="s">
        <v>3975</v>
      </c>
      <c r="B1248" s="1" t="s">
        <v>3976</v>
      </c>
      <c r="C1248" s="1" t="s">
        <v>3147</v>
      </c>
      <c r="D1248" s="1" t="s">
        <v>3977</v>
      </c>
      <c r="E1248" s="1" t="s">
        <v>3258</v>
      </c>
      <c r="F1248" s="1" t="s">
        <v>3227</v>
      </c>
      <c r="G1248" s="1" t="s">
        <v>3259</v>
      </c>
      <c r="H1248" s="1">
        <v>39.887988999999997</v>
      </c>
      <c r="I1248" s="1">
        <v>-74.923828</v>
      </c>
      <c r="J1248" s="1" t="s">
        <v>3151</v>
      </c>
      <c r="K1248" s="1" t="s">
        <v>442</v>
      </c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</row>
    <row r="1249" spans="1:40" ht="22" customHeight="1">
      <c r="A1249" s="1" t="s">
        <v>3978</v>
      </c>
      <c r="B1249" s="1" t="s">
        <v>3979</v>
      </c>
      <c r="C1249" s="1" t="s">
        <v>3154</v>
      </c>
      <c r="D1249" s="1" t="s">
        <v>3980</v>
      </c>
      <c r="E1249" s="1" t="s">
        <v>3149</v>
      </c>
      <c r="F1249" s="1" t="s">
        <v>3150</v>
      </c>
      <c r="G1249" s="1" t="s">
        <v>3691</v>
      </c>
      <c r="H1249" s="1">
        <v>39.954841999999999</v>
      </c>
      <c r="I1249" s="1">
        <v>-75.156036</v>
      </c>
      <c r="J1249" s="1" t="s">
        <v>3151</v>
      </c>
      <c r="K1249" s="1" t="s">
        <v>442</v>
      </c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</row>
    <row r="1250" spans="1:40" ht="22" customHeight="1">
      <c r="A1250" s="1" t="s">
        <v>3981</v>
      </c>
      <c r="B1250" s="1" t="s">
        <v>3982</v>
      </c>
      <c r="C1250" s="1" t="s">
        <v>3154</v>
      </c>
      <c r="D1250" s="1" t="s">
        <v>3983</v>
      </c>
      <c r="E1250" s="1" t="s">
        <v>3149</v>
      </c>
      <c r="F1250" s="1" t="s">
        <v>3150</v>
      </c>
      <c r="G1250" s="1" t="s">
        <v>901</v>
      </c>
      <c r="H1250" s="1">
        <v>39.959774000000003</v>
      </c>
      <c r="I1250" s="1">
        <v>-75.146979999999999</v>
      </c>
      <c r="J1250" s="1" t="s">
        <v>3151</v>
      </c>
      <c r="K1250" s="1" t="s">
        <v>442</v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</row>
    <row r="1251" spans="1:40" ht="22" customHeight="1">
      <c r="A1251" s="1" t="s">
        <v>3984</v>
      </c>
      <c r="B1251" s="1" t="s">
        <v>3985</v>
      </c>
      <c r="C1251" s="1" t="s">
        <v>3154</v>
      </c>
      <c r="D1251" s="1" t="s">
        <v>3986</v>
      </c>
      <c r="E1251" s="1" t="s">
        <v>3405</v>
      </c>
      <c r="F1251" s="1" t="s">
        <v>3227</v>
      </c>
      <c r="G1251" s="1" t="s">
        <v>3406</v>
      </c>
      <c r="H1251" s="1">
        <v>39.902348000000003</v>
      </c>
      <c r="I1251" s="1">
        <v>-75.063323999999994</v>
      </c>
      <c r="J1251" s="1" t="s">
        <v>3151</v>
      </c>
      <c r="K1251" s="1" t="s">
        <v>442</v>
      </c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</row>
    <row r="1252" spans="1:40" ht="22" customHeight="1">
      <c r="A1252" s="1" t="s">
        <v>3987</v>
      </c>
      <c r="B1252" s="1" t="s">
        <v>3988</v>
      </c>
      <c r="C1252" s="1" t="s">
        <v>3147</v>
      </c>
      <c r="D1252" s="1" t="s">
        <v>3989</v>
      </c>
      <c r="E1252" s="1" t="s">
        <v>3149</v>
      </c>
      <c r="F1252" s="1" t="s">
        <v>3150</v>
      </c>
      <c r="G1252" s="1" t="s">
        <v>456</v>
      </c>
      <c r="H1252" s="1">
        <v>39.955406000000004</v>
      </c>
      <c r="I1252" s="1">
        <v>-75.208625999999995</v>
      </c>
      <c r="J1252" s="1" t="s">
        <v>3151</v>
      </c>
      <c r="K1252" s="1" t="s">
        <v>442</v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</row>
    <row r="1253" spans="1:40" ht="22" customHeight="1">
      <c r="A1253" s="1" t="s">
        <v>3990</v>
      </c>
      <c r="B1253" s="1" t="s">
        <v>3991</v>
      </c>
      <c r="C1253" s="1" t="s">
        <v>3154</v>
      </c>
      <c r="D1253" s="1" t="s">
        <v>3992</v>
      </c>
      <c r="E1253" s="1" t="s">
        <v>3149</v>
      </c>
      <c r="F1253" s="1" t="s">
        <v>3150</v>
      </c>
      <c r="G1253" s="1" t="s">
        <v>608</v>
      </c>
      <c r="H1253" s="1">
        <v>39.919701000000003</v>
      </c>
      <c r="I1253" s="1">
        <v>-75.188361999999998</v>
      </c>
      <c r="J1253" s="1" t="s">
        <v>3151</v>
      </c>
      <c r="K1253" s="1" t="s">
        <v>442</v>
      </c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</row>
    <row r="1254" spans="1:40" ht="22" customHeight="1">
      <c r="A1254" s="1" t="s">
        <v>3993</v>
      </c>
      <c r="B1254" s="1" t="s">
        <v>3994</v>
      </c>
      <c r="C1254" s="1" t="s">
        <v>3147</v>
      </c>
      <c r="D1254" s="1" t="s">
        <v>3203</v>
      </c>
      <c r="E1254" s="1" t="s">
        <v>3149</v>
      </c>
      <c r="F1254" s="1" t="s">
        <v>3150</v>
      </c>
      <c r="G1254" s="1" t="s">
        <v>456</v>
      </c>
      <c r="H1254" s="1">
        <v>39.956764</v>
      </c>
      <c r="I1254" s="1">
        <v>-75.209038000000007</v>
      </c>
      <c r="J1254" s="1" t="s">
        <v>3151</v>
      </c>
      <c r="K1254" s="1" t="s">
        <v>442</v>
      </c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</row>
    <row r="1255" spans="1:40" ht="22" customHeight="1">
      <c r="A1255" s="1" t="s">
        <v>3995</v>
      </c>
      <c r="B1255" s="1" t="s">
        <v>3996</v>
      </c>
      <c r="C1255" s="1" t="s">
        <v>3154</v>
      </c>
      <c r="D1255" s="1" t="s">
        <v>3997</v>
      </c>
      <c r="E1255" s="1" t="s">
        <v>3998</v>
      </c>
      <c r="F1255" s="1" t="s">
        <v>3150</v>
      </c>
      <c r="G1255" s="1" t="s">
        <v>3999</v>
      </c>
      <c r="H1255" s="1">
        <v>40.116993000000001</v>
      </c>
      <c r="I1255" s="1">
        <v>-75.136016999999995</v>
      </c>
      <c r="J1255" s="1" t="s">
        <v>3151</v>
      </c>
      <c r="K1255" s="1" t="s">
        <v>442</v>
      </c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</row>
    <row r="1256" spans="1:40" ht="22" customHeight="1">
      <c r="A1256" s="1" t="s">
        <v>4000</v>
      </c>
      <c r="B1256" s="1" t="s">
        <v>4001</v>
      </c>
      <c r="C1256" s="1" t="s">
        <v>3147</v>
      </c>
      <c r="D1256" s="1" t="s">
        <v>4002</v>
      </c>
      <c r="E1256" s="1" t="s">
        <v>3149</v>
      </c>
      <c r="F1256" s="1" t="s">
        <v>3150</v>
      </c>
      <c r="G1256" s="1" t="s">
        <v>612</v>
      </c>
      <c r="H1256" s="1">
        <v>39.938763000000002</v>
      </c>
      <c r="I1256" s="1">
        <v>-75.166611000000003</v>
      </c>
      <c r="J1256" s="1" t="s">
        <v>3151</v>
      </c>
      <c r="K1256" s="1" t="s">
        <v>442</v>
      </c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</row>
    <row r="1257" spans="1:40" ht="22" customHeight="1">
      <c r="A1257" s="1" t="s">
        <v>4003</v>
      </c>
      <c r="B1257" s="1" t="s">
        <v>4004</v>
      </c>
      <c r="C1257" s="1" t="s">
        <v>3147</v>
      </c>
      <c r="D1257" s="1" t="s">
        <v>4005</v>
      </c>
      <c r="E1257" s="1" t="s">
        <v>3149</v>
      </c>
      <c r="F1257" s="1" t="s">
        <v>3150</v>
      </c>
      <c r="G1257" s="1" t="s">
        <v>1877</v>
      </c>
      <c r="H1257" s="1">
        <v>40.041930999999998</v>
      </c>
      <c r="I1257" s="1">
        <v>-75.05471</v>
      </c>
      <c r="J1257" s="1" t="s">
        <v>3151</v>
      </c>
      <c r="K1257" s="1" t="s">
        <v>442</v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</row>
    <row r="1258" spans="1:40" ht="22" customHeight="1">
      <c r="A1258" s="1" t="s">
        <v>4006</v>
      </c>
      <c r="B1258" s="1" t="s">
        <v>4007</v>
      </c>
      <c r="C1258" s="1" t="s">
        <v>3154</v>
      </c>
      <c r="D1258" s="1" t="s">
        <v>4008</v>
      </c>
      <c r="E1258" s="1" t="s">
        <v>3345</v>
      </c>
      <c r="F1258" s="1" t="s">
        <v>3150</v>
      </c>
      <c r="G1258" s="1" t="s">
        <v>3346</v>
      </c>
      <c r="H1258" s="1">
        <v>40.098286000000002</v>
      </c>
      <c r="I1258" s="1">
        <v>-74.944336000000007</v>
      </c>
      <c r="J1258" s="1" t="s">
        <v>3151</v>
      </c>
      <c r="K1258" s="1" t="s">
        <v>442</v>
      </c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</row>
    <row r="1259" spans="1:40" ht="22" customHeight="1">
      <c r="A1259" s="1" t="s">
        <v>4009</v>
      </c>
      <c r="B1259" s="1" t="s">
        <v>4010</v>
      </c>
      <c r="C1259" s="1" t="s">
        <v>3154</v>
      </c>
      <c r="D1259" s="1" t="s">
        <v>4011</v>
      </c>
      <c r="E1259" s="1" t="s">
        <v>3149</v>
      </c>
      <c r="F1259" s="1" t="s">
        <v>3150</v>
      </c>
      <c r="G1259" s="1" t="s">
        <v>612</v>
      </c>
      <c r="H1259" s="1">
        <v>39.938640999999997</v>
      </c>
      <c r="I1259" s="1">
        <v>-75.166656000000003</v>
      </c>
      <c r="J1259" s="1" t="s">
        <v>3151</v>
      </c>
      <c r="K1259" s="1" t="s">
        <v>442</v>
      </c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</row>
    <row r="1260" spans="1:40" ht="22" customHeight="1">
      <c r="A1260" s="1" t="s">
        <v>4012</v>
      </c>
      <c r="B1260" s="1" t="s">
        <v>4013</v>
      </c>
      <c r="C1260" s="1" t="s">
        <v>3147</v>
      </c>
      <c r="D1260" s="1" t="s">
        <v>4014</v>
      </c>
      <c r="E1260" s="1" t="s">
        <v>3286</v>
      </c>
      <c r="F1260" s="1" t="s">
        <v>3150</v>
      </c>
      <c r="G1260" s="1" t="s">
        <v>3287</v>
      </c>
      <c r="H1260" s="1">
        <v>40.192379000000003</v>
      </c>
      <c r="I1260" s="1">
        <v>-75.074669</v>
      </c>
      <c r="J1260" s="1" t="s">
        <v>3151</v>
      </c>
      <c r="K1260" s="1" t="s">
        <v>442</v>
      </c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</row>
    <row r="1261" spans="1:40" ht="22" customHeight="1">
      <c r="A1261" s="1" t="s">
        <v>4015</v>
      </c>
      <c r="B1261" s="1" t="s">
        <v>4016</v>
      </c>
      <c r="C1261" s="1" t="s">
        <v>3147</v>
      </c>
      <c r="D1261" s="1" t="s">
        <v>4017</v>
      </c>
      <c r="E1261" s="1" t="s">
        <v>3149</v>
      </c>
      <c r="F1261" s="1" t="s">
        <v>3150</v>
      </c>
      <c r="G1261" s="1" t="s">
        <v>456</v>
      </c>
      <c r="H1261" s="1">
        <v>39.954478999999999</v>
      </c>
      <c r="I1261" s="1">
        <v>-75.203156000000007</v>
      </c>
      <c r="J1261" s="1" t="s">
        <v>3151</v>
      </c>
      <c r="K1261" s="1" t="s">
        <v>442</v>
      </c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</row>
    <row r="1262" spans="1:40" ht="22" customHeight="1">
      <c r="A1262" s="1" t="s">
        <v>4018</v>
      </c>
      <c r="B1262" s="1" t="s">
        <v>4019</v>
      </c>
      <c r="C1262" s="1" t="s">
        <v>3154</v>
      </c>
      <c r="D1262" s="1" t="s">
        <v>4020</v>
      </c>
      <c r="E1262" s="1" t="s">
        <v>3375</v>
      </c>
      <c r="F1262" s="1" t="s">
        <v>3227</v>
      </c>
      <c r="G1262" s="1" t="s">
        <v>3376</v>
      </c>
      <c r="H1262" s="1">
        <v>39.924827999999998</v>
      </c>
      <c r="I1262" s="1">
        <v>-75.039947999999995</v>
      </c>
      <c r="J1262" s="1" t="s">
        <v>3151</v>
      </c>
      <c r="K1262" s="1" t="s">
        <v>442</v>
      </c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</row>
    <row r="1263" spans="1:40" ht="22" customHeight="1">
      <c r="A1263" s="1" t="s">
        <v>4021</v>
      </c>
      <c r="B1263" s="1" t="s">
        <v>4022</v>
      </c>
      <c r="C1263" s="1" t="s">
        <v>3147</v>
      </c>
      <c r="D1263" s="1" t="s">
        <v>4023</v>
      </c>
      <c r="E1263" s="1" t="s">
        <v>3149</v>
      </c>
      <c r="F1263" s="1" t="s">
        <v>3150</v>
      </c>
      <c r="G1263" s="1" t="s">
        <v>1955</v>
      </c>
      <c r="H1263" s="1">
        <v>40.101337000000001</v>
      </c>
      <c r="I1263" s="1">
        <v>-75.027550000000005</v>
      </c>
      <c r="J1263" s="1" t="s">
        <v>3151</v>
      </c>
      <c r="K1263" s="1" t="s">
        <v>442</v>
      </c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</row>
    <row r="1264" spans="1:40" ht="22" customHeight="1">
      <c r="A1264" s="1" t="s">
        <v>4024</v>
      </c>
      <c r="B1264" s="1" t="s">
        <v>4025</v>
      </c>
      <c r="C1264" s="1" t="s">
        <v>3147</v>
      </c>
      <c r="D1264" s="1" t="s">
        <v>4026</v>
      </c>
      <c r="E1264" s="1" t="s">
        <v>3509</v>
      </c>
      <c r="F1264" s="1" t="s">
        <v>3150</v>
      </c>
      <c r="G1264" s="1" t="s">
        <v>3510</v>
      </c>
      <c r="H1264" s="1">
        <v>40.159554</v>
      </c>
      <c r="I1264" s="1">
        <v>-75.148162999999997</v>
      </c>
      <c r="J1264" s="1" t="s">
        <v>3151</v>
      </c>
      <c r="K1264" s="1" t="s">
        <v>442</v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</row>
    <row r="1265" spans="1:40" ht="22" customHeight="1">
      <c r="A1265" s="1" t="s">
        <v>4027</v>
      </c>
      <c r="B1265" s="1" t="s">
        <v>4028</v>
      </c>
      <c r="C1265" s="1" t="s">
        <v>3154</v>
      </c>
      <c r="D1265" s="1" t="s">
        <v>4029</v>
      </c>
      <c r="E1265" s="1" t="s">
        <v>3210</v>
      </c>
      <c r="F1265" s="1" t="s">
        <v>3150</v>
      </c>
      <c r="G1265" s="1" t="s">
        <v>3211</v>
      </c>
      <c r="H1265" s="1">
        <v>40.143410000000003</v>
      </c>
      <c r="I1265" s="1">
        <v>-75.389954000000003</v>
      </c>
      <c r="J1265" s="1" t="s">
        <v>3151</v>
      </c>
      <c r="K1265" s="1" t="s">
        <v>442</v>
      </c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</row>
    <row r="1266" spans="1:40" ht="22" customHeight="1">
      <c r="A1266" s="1" t="s">
        <v>4030</v>
      </c>
      <c r="B1266" s="1" t="s">
        <v>4031</v>
      </c>
      <c r="C1266" s="1" t="s">
        <v>3154</v>
      </c>
      <c r="D1266" s="1" t="s">
        <v>4032</v>
      </c>
      <c r="E1266" s="1" t="s">
        <v>3149</v>
      </c>
      <c r="F1266" s="1" t="s">
        <v>3150</v>
      </c>
      <c r="G1266" s="1" t="s">
        <v>785</v>
      </c>
      <c r="H1266" s="1">
        <v>40.045132000000002</v>
      </c>
      <c r="I1266" s="1">
        <v>-75.118042000000003</v>
      </c>
      <c r="J1266" s="1" t="s">
        <v>3151</v>
      </c>
      <c r="K1266" s="1" t="s">
        <v>442</v>
      </c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</row>
    <row r="1267" spans="1:40" ht="22" customHeight="1">
      <c r="A1267" s="1" t="s">
        <v>4033</v>
      </c>
      <c r="B1267" s="1" t="s">
        <v>4034</v>
      </c>
      <c r="C1267" s="1" t="s">
        <v>3147</v>
      </c>
      <c r="D1267" s="1" t="s">
        <v>4035</v>
      </c>
      <c r="E1267" s="1" t="s">
        <v>3149</v>
      </c>
      <c r="F1267" s="1" t="s">
        <v>3150</v>
      </c>
      <c r="G1267" s="1" t="s">
        <v>901</v>
      </c>
      <c r="H1267" s="1">
        <v>39.966262999999998</v>
      </c>
      <c r="I1267" s="1">
        <v>-75.159378000000004</v>
      </c>
      <c r="J1267" s="1" t="s">
        <v>3151</v>
      </c>
      <c r="K1267" s="1" t="s">
        <v>442</v>
      </c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</row>
    <row r="1268" spans="1:40" ht="22" customHeight="1">
      <c r="A1268" s="1" t="s">
        <v>4036</v>
      </c>
      <c r="B1268" s="1" t="s">
        <v>4037</v>
      </c>
      <c r="C1268" s="1" t="s">
        <v>3147</v>
      </c>
      <c r="D1268" s="1" t="s">
        <v>4038</v>
      </c>
      <c r="E1268" s="1" t="s">
        <v>3149</v>
      </c>
      <c r="F1268" s="1" t="s">
        <v>3150</v>
      </c>
      <c r="G1268" s="1" t="s">
        <v>581</v>
      </c>
      <c r="H1268" s="1">
        <v>39.924529999999997</v>
      </c>
      <c r="I1268" s="1">
        <v>-75.168128999999993</v>
      </c>
      <c r="J1268" s="1" t="s">
        <v>3151</v>
      </c>
      <c r="K1268" s="1" t="s">
        <v>442</v>
      </c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</row>
    <row r="1269" spans="1:40" ht="22" customHeight="1">
      <c r="A1269" s="1" t="s">
        <v>4039</v>
      </c>
      <c r="B1269" s="1" t="s">
        <v>4040</v>
      </c>
      <c r="C1269" s="1" t="s">
        <v>3147</v>
      </c>
      <c r="D1269" s="1" t="s">
        <v>4041</v>
      </c>
      <c r="E1269" s="1" t="s">
        <v>3149</v>
      </c>
      <c r="F1269" s="1" t="s">
        <v>3150</v>
      </c>
      <c r="G1269" s="1" t="s">
        <v>901</v>
      </c>
      <c r="H1269" s="1">
        <v>39.966529999999999</v>
      </c>
      <c r="I1269" s="1">
        <v>-75.140495000000001</v>
      </c>
      <c r="J1269" s="1" t="s">
        <v>3151</v>
      </c>
      <c r="K1269" s="1" t="s">
        <v>442</v>
      </c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</row>
    <row r="1270" spans="1:40" ht="22" customHeight="1">
      <c r="A1270" s="1" t="s">
        <v>4042</v>
      </c>
      <c r="B1270" s="1" t="s">
        <v>4043</v>
      </c>
      <c r="C1270" s="1" t="s">
        <v>3154</v>
      </c>
      <c r="D1270" s="1" t="s">
        <v>4044</v>
      </c>
      <c r="E1270" s="1" t="s">
        <v>3312</v>
      </c>
      <c r="F1270" s="1" t="s">
        <v>3150</v>
      </c>
      <c r="G1270" s="1" t="s">
        <v>3313</v>
      </c>
      <c r="H1270" s="1">
        <v>40.153075999999999</v>
      </c>
      <c r="I1270" s="1">
        <v>-75.000434999999996</v>
      </c>
      <c r="J1270" s="1" t="s">
        <v>3151</v>
      </c>
      <c r="K1270" s="1" t="s">
        <v>442</v>
      </c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</row>
    <row r="1271" spans="1:40" ht="22" customHeight="1">
      <c r="A1271" s="1" t="s">
        <v>4045</v>
      </c>
      <c r="B1271" s="1" t="s">
        <v>4046</v>
      </c>
      <c r="C1271" s="1" t="s">
        <v>3154</v>
      </c>
      <c r="D1271" s="1" t="s">
        <v>4047</v>
      </c>
      <c r="E1271" s="1" t="s">
        <v>3183</v>
      </c>
      <c r="F1271" s="1" t="s">
        <v>3150</v>
      </c>
      <c r="G1271" s="1" t="s">
        <v>3184</v>
      </c>
      <c r="H1271" s="1">
        <v>40.157103999999997</v>
      </c>
      <c r="I1271" s="1">
        <v>-75.139388999999994</v>
      </c>
      <c r="J1271" s="1" t="s">
        <v>3151</v>
      </c>
      <c r="K1271" s="1" t="s">
        <v>442</v>
      </c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</row>
    <row r="1272" spans="1:40" ht="22" customHeight="1">
      <c r="A1272" s="1" t="s">
        <v>4048</v>
      </c>
      <c r="B1272" s="1" t="s">
        <v>4049</v>
      </c>
      <c r="C1272" s="1" t="s">
        <v>3154</v>
      </c>
      <c r="D1272" s="1" t="s">
        <v>4050</v>
      </c>
      <c r="E1272" s="1" t="s">
        <v>3149</v>
      </c>
      <c r="F1272" s="1" t="s">
        <v>3150</v>
      </c>
      <c r="G1272" s="1" t="s">
        <v>766</v>
      </c>
      <c r="H1272" s="1">
        <v>39.976256999999997</v>
      </c>
      <c r="I1272" s="1">
        <v>-75.119720000000001</v>
      </c>
      <c r="J1272" s="1" t="s">
        <v>3151</v>
      </c>
      <c r="K1272" s="1" t="s">
        <v>442</v>
      </c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</row>
    <row r="1273" spans="1:40" ht="22" customHeight="1">
      <c r="A1273" s="1" t="s">
        <v>4051</v>
      </c>
      <c r="B1273" s="1" t="s">
        <v>4052</v>
      </c>
      <c r="C1273" s="1" t="s">
        <v>3154</v>
      </c>
      <c r="D1273" s="1" t="s">
        <v>4053</v>
      </c>
      <c r="E1273" s="1" t="s">
        <v>3910</v>
      </c>
      <c r="F1273" s="1" t="s">
        <v>3150</v>
      </c>
      <c r="G1273" s="1" t="s">
        <v>3911</v>
      </c>
      <c r="H1273" s="1">
        <v>39.857089999999999</v>
      </c>
      <c r="I1273" s="1">
        <v>-75.375038000000004</v>
      </c>
      <c r="J1273" s="1" t="s">
        <v>3151</v>
      </c>
      <c r="K1273" s="1" t="s">
        <v>442</v>
      </c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</row>
    <row r="1274" spans="1:40" ht="22" customHeight="1">
      <c r="A1274" s="1" t="s">
        <v>4054</v>
      </c>
      <c r="B1274" s="1" t="s">
        <v>4055</v>
      </c>
      <c r="C1274" s="1" t="s">
        <v>3147</v>
      </c>
      <c r="D1274" s="1" t="s">
        <v>4056</v>
      </c>
      <c r="E1274" s="1" t="s">
        <v>4057</v>
      </c>
      <c r="F1274" s="1" t="s">
        <v>3150</v>
      </c>
      <c r="G1274" s="1" t="s">
        <v>4058</v>
      </c>
      <c r="H1274" s="1">
        <v>39.895949999999999</v>
      </c>
      <c r="I1274" s="1">
        <v>-75.315185999999997</v>
      </c>
      <c r="J1274" s="1" t="s">
        <v>3151</v>
      </c>
      <c r="K1274" s="1" t="s">
        <v>442</v>
      </c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</row>
    <row r="1275" spans="1:40" ht="22" customHeight="1">
      <c r="A1275" s="1" t="s">
        <v>4059</v>
      </c>
      <c r="B1275" s="1" t="s">
        <v>4060</v>
      </c>
      <c r="C1275" s="1" t="s">
        <v>3147</v>
      </c>
      <c r="D1275" s="1" t="s">
        <v>4061</v>
      </c>
      <c r="E1275" s="1" t="s">
        <v>3149</v>
      </c>
      <c r="F1275" s="1" t="s">
        <v>3150</v>
      </c>
      <c r="G1275" s="1" t="s">
        <v>440</v>
      </c>
      <c r="H1275" s="1">
        <v>39.926406999999998</v>
      </c>
      <c r="I1275" s="1">
        <v>-75.233688000000001</v>
      </c>
      <c r="J1275" s="1" t="s">
        <v>3151</v>
      </c>
      <c r="K1275" s="1" t="s">
        <v>442</v>
      </c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</row>
    <row r="1276" spans="1:40" ht="22" customHeight="1">
      <c r="A1276" s="1" t="s">
        <v>4062</v>
      </c>
      <c r="B1276" s="1" t="s">
        <v>4063</v>
      </c>
      <c r="C1276" s="1" t="s">
        <v>3147</v>
      </c>
      <c r="D1276" s="1" t="s">
        <v>4064</v>
      </c>
      <c r="E1276" s="1" t="s">
        <v>3149</v>
      </c>
      <c r="F1276" s="1" t="s">
        <v>3150</v>
      </c>
      <c r="G1276" s="1" t="s">
        <v>1588</v>
      </c>
      <c r="H1276" s="1">
        <v>40.072761999999997</v>
      </c>
      <c r="I1276" s="1">
        <v>-75.033576999999994</v>
      </c>
      <c r="J1276" s="1" t="s">
        <v>3151</v>
      </c>
      <c r="K1276" s="1" t="s">
        <v>442</v>
      </c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</row>
    <row r="1277" spans="1:40" ht="22" customHeight="1">
      <c r="A1277" s="1" t="s">
        <v>4065</v>
      </c>
      <c r="B1277" s="1" t="s">
        <v>4066</v>
      </c>
      <c r="C1277" s="1" t="s">
        <v>3147</v>
      </c>
      <c r="D1277" s="1" t="s">
        <v>4067</v>
      </c>
      <c r="E1277" s="1" t="s">
        <v>3149</v>
      </c>
      <c r="F1277" s="1" t="s">
        <v>3150</v>
      </c>
      <c r="G1277" s="1" t="s">
        <v>1938</v>
      </c>
      <c r="H1277" s="1">
        <v>40.078288999999998</v>
      </c>
      <c r="I1277" s="1">
        <v>-75.027061000000003</v>
      </c>
      <c r="J1277" s="1" t="s">
        <v>3151</v>
      </c>
      <c r="K1277" s="1" t="s">
        <v>442</v>
      </c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</row>
    <row r="1278" spans="1:40" ht="22" customHeight="1">
      <c r="A1278" s="1" t="s">
        <v>4068</v>
      </c>
      <c r="B1278" s="1" t="s">
        <v>4069</v>
      </c>
      <c r="C1278" s="1" t="s">
        <v>3147</v>
      </c>
      <c r="D1278" s="1" t="s">
        <v>4070</v>
      </c>
      <c r="E1278" s="1" t="s">
        <v>4071</v>
      </c>
      <c r="F1278" s="1" t="s">
        <v>3150</v>
      </c>
      <c r="G1278" s="1" t="s">
        <v>4072</v>
      </c>
      <c r="H1278" s="1">
        <v>39.877566999999999</v>
      </c>
      <c r="I1278" s="1">
        <v>-75.344871999999995</v>
      </c>
      <c r="J1278" s="1" t="s">
        <v>3151</v>
      </c>
      <c r="K1278" s="1" t="s">
        <v>442</v>
      </c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</row>
    <row r="1279" spans="1:40" ht="22" customHeight="1">
      <c r="A1279" s="1" t="s">
        <v>4073</v>
      </c>
      <c r="B1279" s="1" t="s">
        <v>4074</v>
      </c>
      <c r="C1279" s="1" t="s">
        <v>3147</v>
      </c>
      <c r="D1279" s="1" t="s">
        <v>4075</v>
      </c>
      <c r="E1279" s="1" t="s">
        <v>3149</v>
      </c>
      <c r="F1279" s="1" t="s">
        <v>3150</v>
      </c>
      <c r="G1279" s="1" t="s">
        <v>608</v>
      </c>
      <c r="H1279" s="1">
        <v>39.916446999999998</v>
      </c>
      <c r="I1279" s="1">
        <v>-75.184166000000005</v>
      </c>
      <c r="J1279" s="1" t="s">
        <v>3151</v>
      </c>
      <c r="K1279" s="1" t="s">
        <v>442</v>
      </c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</row>
    <row r="1280" spans="1:40" ht="22" customHeight="1">
      <c r="A1280" s="1" t="s">
        <v>4076</v>
      </c>
      <c r="B1280" s="1" t="s">
        <v>4077</v>
      </c>
      <c r="C1280" s="1" t="s">
        <v>3147</v>
      </c>
      <c r="D1280" s="1" t="s">
        <v>4078</v>
      </c>
      <c r="E1280" s="1" t="s">
        <v>3165</v>
      </c>
      <c r="F1280" s="1" t="s">
        <v>3150</v>
      </c>
      <c r="G1280" s="1" t="s">
        <v>3166</v>
      </c>
      <c r="H1280" s="1">
        <v>40.098517999999999</v>
      </c>
      <c r="I1280" s="1">
        <v>-75.302109000000002</v>
      </c>
      <c r="J1280" s="1" t="s">
        <v>3151</v>
      </c>
      <c r="K1280" s="1" t="s">
        <v>442</v>
      </c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</row>
    <row r="1281" spans="1:40" ht="22" customHeight="1">
      <c r="A1281" s="1" t="s">
        <v>4079</v>
      </c>
      <c r="B1281" s="1" t="s">
        <v>4080</v>
      </c>
      <c r="C1281" s="1" t="s">
        <v>3147</v>
      </c>
      <c r="D1281" s="1" t="s">
        <v>4081</v>
      </c>
      <c r="E1281" s="1" t="s">
        <v>3149</v>
      </c>
      <c r="F1281" s="1" t="s">
        <v>3150</v>
      </c>
      <c r="G1281" s="1" t="s">
        <v>638</v>
      </c>
      <c r="H1281" s="1">
        <v>39.953547999999998</v>
      </c>
      <c r="I1281" s="1">
        <v>-75.144119000000003</v>
      </c>
      <c r="J1281" s="1" t="s">
        <v>3151</v>
      </c>
      <c r="K1281" s="1" t="s">
        <v>442</v>
      </c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</row>
    <row r="1282" spans="1:40" ht="22" customHeight="1">
      <c r="A1282" s="1" t="s">
        <v>4082</v>
      </c>
      <c r="B1282" s="1" t="s">
        <v>4083</v>
      </c>
      <c r="C1282" s="1" t="s">
        <v>3147</v>
      </c>
      <c r="D1282" s="1" t="s">
        <v>4084</v>
      </c>
      <c r="E1282" s="1" t="s">
        <v>3183</v>
      </c>
      <c r="F1282" s="1" t="s">
        <v>3150</v>
      </c>
      <c r="G1282" s="1" t="s">
        <v>3184</v>
      </c>
      <c r="H1282" s="1">
        <v>40.146954000000001</v>
      </c>
      <c r="I1282" s="1">
        <v>-75.114693000000003</v>
      </c>
      <c r="J1282" s="1" t="s">
        <v>3151</v>
      </c>
      <c r="K1282" s="1" t="s">
        <v>442</v>
      </c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</row>
    <row r="1283" spans="1:40" ht="22" customHeight="1">
      <c r="A1283" s="1" t="s">
        <v>4085</v>
      </c>
      <c r="B1283" s="1" t="s">
        <v>4086</v>
      </c>
      <c r="C1283" s="1" t="s">
        <v>3147</v>
      </c>
      <c r="D1283" s="1" t="s">
        <v>4087</v>
      </c>
      <c r="E1283" s="1" t="s">
        <v>4088</v>
      </c>
      <c r="F1283" s="1" t="s">
        <v>3150</v>
      </c>
      <c r="G1283" s="1" t="s">
        <v>3424</v>
      </c>
      <c r="H1283" s="1">
        <v>39.925117</v>
      </c>
      <c r="I1283" s="1">
        <v>-75.309524999999994</v>
      </c>
      <c r="J1283" s="1" t="s">
        <v>3151</v>
      </c>
      <c r="K1283" s="1" t="s">
        <v>442</v>
      </c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</row>
    <row r="1284" spans="1:40" ht="22" customHeight="1">
      <c r="A1284" s="1" t="s">
        <v>4089</v>
      </c>
      <c r="B1284" s="1" t="s">
        <v>4090</v>
      </c>
      <c r="C1284" s="1" t="s">
        <v>3154</v>
      </c>
      <c r="D1284" s="1" t="s">
        <v>4091</v>
      </c>
      <c r="E1284" s="1" t="s">
        <v>3335</v>
      </c>
      <c r="F1284" s="1" t="s">
        <v>3150</v>
      </c>
      <c r="G1284" s="1" t="s">
        <v>3336</v>
      </c>
      <c r="H1284" s="1">
        <v>40.075386000000002</v>
      </c>
      <c r="I1284" s="1">
        <v>-75.156906000000006</v>
      </c>
      <c r="J1284" s="1" t="s">
        <v>3151</v>
      </c>
      <c r="K1284" s="1" t="s">
        <v>442</v>
      </c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</row>
    <row r="1285" spans="1:40" ht="22" customHeight="1">
      <c r="A1285" s="1" t="s">
        <v>4092</v>
      </c>
      <c r="B1285" s="1" t="s">
        <v>4093</v>
      </c>
      <c r="C1285" s="1" t="s">
        <v>3154</v>
      </c>
      <c r="D1285" s="1" t="s">
        <v>4094</v>
      </c>
      <c r="E1285" s="1" t="s">
        <v>3340</v>
      </c>
      <c r="F1285" s="1" t="s">
        <v>3150</v>
      </c>
      <c r="G1285" s="1" t="s">
        <v>3341</v>
      </c>
      <c r="H1285" s="1">
        <v>39.888171999999997</v>
      </c>
      <c r="I1285" s="1">
        <v>-75.325951000000003</v>
      </c>
      <c r="J1285" s="1" t="s">
        <v>3151</v>
      </c>
      <c r="K1285" s="1" t="s">
        <v>442</v>
      </c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</row>
    <row r="1286" spans="1:40" ht="22" customHeight="1">
      <c r="A1286" s="1" t="s">
        <v>4095</v>
      </c>
      <c r="B1286" s="1" t="s">
        <v>4096</v>
      </c>
      <c r="C1286" s="1" t="s">
        <v>3154</v>
      </c>
      <c r="D1286" s="1" t="s">
        <v>4097</v>
      </c>
      <c r="E1286" s="1" t="s">
        <v>3149</v>
      </c>
      <c r="F1286" s="1" t="s">
        <v>3150</v>
      </c>
      <c r="G1286" s="1" t="s">
        <v>1264</v>
      </c>
      <c r="H1286" s="1">
        <v>40.092934</v>
      </c>
      <c r="I1286" s="1">
        <v>-74.958625999999995</v>
      </c>
      <c r="J1286" s="1" t="s">
        <v>3151</v>
      </c>
      <c r="K1286" s="1" t="s">
        <v>442</v>
      </c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</row>
    <row r="1287" spans="1:40" ht="22" customHeight="1">
      <c r="A1287" s="1" t="s">
        <v>4098</v>
      </c>
      <c r="B1287" s="1" t="s">
        <v>4099</v>
      </c>
      <c r="C1287" s="1" t="s">
        <v>3154</v>
      </c>
      <c r="D1287" s="1" t="s">
        <v>4100</v>
      </c>
      <c r="E1287" s="1" t="s">
        <v>3826</v>
      </c>
      <c r="F1287" s="1" t="s">
        <v>3150</v>
      </c>
      <c r="G1287" s="1" t="s">
        <v>3827</v>
      </c>
      <c r="H1287" s="1">
        <v>40.083927000000003</v>
      </c>
      <c r="I1287" s="1">
        <v>-75.398826999999997</v>
      </c>
      <c r="J1287" s="1" t="s">
        <v>3151</v>
      </c>
      <c r="K1287" s="1" t="s">
        <v>442</v>
      </c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</row>
    <row r="1288" spans="1:40" ht="22" customHeight="1">
      <c r="A1288" s="1" t="s">
        <v>4101</v>
      </c>
      <c r="B1288" s="1" t="s">
        <v>3821</v>
      </c>
      <c r="C1288" s="1" t="s">
        <v>3154</v>
      </c>
      <c r="D1288" s="1" t="s">
        <v>4102</v>
      </c>
      <c r="E1288" s="1" t="s">
        <v>3149</v>
      </c>
      <c r="F1288" s="1" t="s">
        <v>3150</v>
      </c>
      <c r="G1288" s="1" t="s">
        <v>876</v>
      </c>
      <c r="H1288" s="1">
        <v>40.132984</v>
      </c>
      <c r="I1288" s="1">
        <v>-75.009467999999998</v>
      </c>
      <c r="J1288" s="1" t="s">
        <v>3151</v>
      </c>
      <c r="K1288" s="1" t="s">
        <v>442</v>
      </c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</row>
    <row r="1289" spans="1:40" ht="22" customHeight="1">
      <c r="A1289" s="1" t="s">
        <v>4103</v>
      </c>
      <c r="B1289" s="1" t="s">
        <v>4104</v>
      </c>
      <c r="C1289" s="1" t="s">
        <v>3147</v>
      </c>
      <c r="D1289" s="1" t="s">
        <v>4105</v>
      </c>
      <c r="E1289" s="1" t="s">
        <v>4106</v>
      </c>
      <c r="F1289" s="1" t="s">
        <v>3227</v>
      </c>
      <c r="G1289" s="1" t="s">
        <v>4107</v>
      </c>
      <c r="H1289" s="1">
        <v>39.827407999999998</v>
      </c>
      <c r="I1289" s="1">
        <v>-75.252791999999999</v>
      </c>
      <c r="J1289" s="1" t="s">
        <v>3151</v>
      </c>
      <c r="K1289" s="1" t="s">
        <v>442</v>
      </c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</row>
    <row r="1290" spans="1:40" ht="22" customHeight="1">
      <c r="A1290" s="1" t="s">
        <v>4108</v>
      </c>
      <c r="B1290" s="1" t="s">
        <v>4109</v>
      </c>
      <c r="C1290" s="1" t="s">
        <v>3147</v>
      </c>
      <c r="D1290" s="1" t="s">
        <v>4110</v>
      </c>
      <c r="E1290" s="1" t="s">
        <v>3149</v>
      </c>
      <c r="F1290" s="1" t="s">
        <v>3150</v>
      </c>
      <c r="G1290" s="1" t="s">
        <v>585</v>
      </c>
      <c r="H1290" s="1">
        <v>39.962971000000003</v>
      </c>
      <c r="I1290" s="1">
        <v>-75.162223999999995</v>
      </c>
      <c r="J1290" s="1" t="s">
        <v>3151</v>
      </c>
      <c r="K1290" s="1" t="s">
        <v>442</v>
      </c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</row>
    <row r="1291" spans="1:40" ht="22" customHeight="1">
      <c r="A1291" s="1" t="s">
        <v>4111</v>
      </c>
      <c r="B1291" s="1" t="s">
        <v>4112</v>
      </c>
      <c r="C1291" s="1" t="s">
        <v>3147</v>
      </c>
      <c r="D1291" s="1" t="s">
        <v>4113</v>
      </c>
      <c r="E1291" s="1" t="s">
        <v>3149</v>
      </c>
      <c r="F1291" s="1" t="s">
        <v>3150</v>
      </c>
      <c r="G1291" s="1" t="s">
        <v>876</v>
      </c>
      <c r="H1291" s="1">
        <v>40.106979000000003</v>
      </c>
      <c r="I1291" s="1">
        <v>-75.001823000000002</v>
      </c>
      <c r="J1291" s="1" t="s">
        <v>3151</v>
      </c>
      <c r="K1291" s="1" t="s">
        <v>442</v>
      </c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</row>
    <row r="1292" spans="1:40" ht="22" customHeight="1">
      <c r="A1292" s="1" t="s">
        <v>4114</v>
      </c>
      <c r="B1292" s="1" t="s">
        <v>4115</v>
      </c>
      <c r="C1292" s="1" t="s">
        <v>3147</v>
      </c>
      <c r="D1292" s="1" t="s">
        <v>4116</v>
      </c>
      <c r="E1292" s="1" t="s">
        <v>3149</v>
      </c>
      <c r="F1292" s="1" t="s">
        <v>3150</v>
      </c>
      <c r="G1292" s="1" t="s">
        <v>608</v>
      </c>
      <c r="H1292" s="1">
        <v>39.918190000000003</v>
      </c>
      <c r="I1292" s="1">
        <v>-75.181151999999997</v>
      </c>
      <c r="J1292" s="1" t="s">
        <v>3151</v>
      </c>
      <c r="K1292" s="1" t="s">
        <v>442</v>
      </c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</row>
    <row r="1293" spans="1:40" ht="22" customHeight="1">
      <c r="A1293" s="1" t="s">
        <v>4117</v>
      </c>
      <c r="B1293" s="1" t="s">
        <v>4118</v>
      </c>
      <c r="C1293" s="1" t="s">
        <v>3147</v>
      </c>
      <c r="D1293" s="1" t="s">
        <v>4119</v>
      </c>
      <c r="E1293" s="1" t="s">
        <v>3317</v>
      </c>
      <c r="F1293" s="1" t="s">
        <v>3150</v>
      </c>
      <c r="G1293" s="1" t="s">
        <v>3318</v>
      </c>
      <c r="H1293" s="1">
        <v>40.111728999999997</v>
      </c>
      <c r="I1293" s="1">
        <v>-75.210746999999998</v>
      </c>
      <c r="J1293" s="1" t="s">
        <v>3151</v>
      </c>
      <c r="K1293" s="1" t="s">
        <v>442</v>
      </c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</row>
    <row r="1294" spans="1:40" ht="22" customHeight="1">
      <c r="A1294" s="1" t="s">
        <v>4120</v>
      </c>
      <c r="B1294" s="1" t="s">
        <v>4121</v>
      </c>
      <c r="C1294" s="1" t="s">
        <v>3154</v>
      </c>
      <c r="D1294" s="1" t="s">
        <v>4122</v>
      </c>
      <c r="E1294" s="1" t="s">
        <v>4123</v>
      </c>
      <c r="F1294" s="1" t="s">
        <v>3227</v>
      </c>
      <c r="G1294" s="1" t="s">
        <v>4124</v>
      </c>
      <c r="H1294" s="1">
        <v>39.935428999999999</v>
      </c>
      <c r="I1294" s="1">
        <v>-75.065787999999998</v>
      </c>
      <c r="J1294" s="1" t="s">
        <v>3151</v>
      </c>
      <c r="K1294" s="1" t="s">
        <v>442</v>
      </c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</row>
    <row r="1295" spans="1:40" ht="22" customHeight="1">
      <c r="A1295" s="1" t="s">
        <v>4125</v>
      </c>
      <c r="B1295" s="1" t="s">
        <v>4126</v>
      </c>
      <c r="C1295" s="1" t="s">
        <v>3154</v>
      </c>
      <c r="D1295" s="1" t="s">
        <v>4127</v>
      </c>
      <c r="E1295" s="1" t="s">
        <v>4128</v>
      </c>
      <c r="F1295" s="1" t="s">
        <v>3150</v>
      </c>
      <c r="G1295" s="1" t="s">
        <v>4129</v>
      </c>
      <c r="H1295" s="1">
        <v>40.037906999999997</v>
      </c>
      <c r="I1295" s="1">
        <v>-75.279387999999997</v>
      </c>
      <c r="J1295" s="1" t="s">
        <v>3151</v>
      </c>
      <c r="K1295" s="1" t="s">
        <v>442</v>
      </c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</row>
    <row r="1296" spans="1:40" ht="22" customHeight="1">
      <c r="A1296" s="1" t="s">
        <v>4130</v>
      </c>
      <c r="B1296" s="1" t="s">
        <v>4131</v>
      </c>
      <c r="C1296" s="1" t="s">
        <v>3154</v>
      </c>
      <c r="D1296" s="1" t="s">
        <v>4132</v>
      </c>
      <c r="E1296" s="1" t="s">
        <v>3621</v>
      </c>
      <c r="F1296" s="1" t="s">
        <v>3150</v>
      </c>
      <c r="G1296" s="1" t="s">
        <v>3622</v>
      </c>
      <c r="H1296" s="1">
        <v>39.879016999999997</v>
      </c>
      <c r="I1296" s="1">
        <v>-75.397414999999995</v>
      </c>
      <c r="J1296" s="1" t="s">
        <v>3151</v>
      </c>
      <c r="K1296" s="1" t="s">
        <v>442</v>
      </c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</row>
    <row r="1297" spans="1:40" ht="22" customHeight="1">
      <c r="A1297" s="1" t="s">
        <v>4133</v>
      </c>
      <c r="B1297" s="1" t="s">
        <v>4134</v>
      </c>
      <c r="C1297" s="1" t="s">
        <v>3154</v>
      </c>
      <c r="D1297" s="1" t="s">
        <v>4135</v>
      </c>
      <c r="E1297" s="1" t="s">
        <v>3958</v>
      </c>
      <c r="F1297" s="1" t="s">
        <v>3150</v>
      </c>
      <c r="G1297" s="1" t="s">
        <v>3959</v>
      </c>
      <c r="H1297" s="1">
        <v>40.004108000000002</v>
      </c>
      <c r="I1297" s="1">
        <v>-75.283553999999995</v>
      </c>
      <c r="J1297" s="1" t="s">
        <v>3151</v>
      </c>
      <c r="K1297" s="1" t="s">
        <v>442</v>
      </c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</row>
    <row r="1298" spans="1:40" ht="22" customHeight="1">
      <c r="A1298" s="1" t="s">
        <v>4136</v>
      </c>
      <c r="B1298" s="1" t="s">
        <v>4137</v>
      </c>
      <c r="C1298" s="1" t="s">
        <v>3147</v>
      </c>
      <c r="D1298" s="1" t="s">
        <v>4138</v>
      </c>
      <c r="E1298" s="1" t="s">
        <v>3405</v>
      </c>
      <c r="F1298" s="1" t="s">
        <v>3227</v>
      </c>
      <c r="G1298" s="1" t="s">
        <v>3406</v>
      </c>
      <c r="H1298" s="1">
        <v>39.902607000000003</v>
      </c>
      <c r="I1298" s="1">
        <v>-75.063095000000004</v>
      </c>
      <c r="J1298" s="1" t="s">
        <v>3151</v>
      </c>
      <c r="K1298" s="1" t="s">
        <v>442</v>
      </c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</row>
    <row r="1299" spans="1:40" ht="22" customHeight="1">
      <c r="A1299" s="1" t="s">
        <v>4139</v>
      </c>
      <c r="B1299" s="1" t="s">
        <v>4140</v>
      </c>
      <c r="C1299" s="1" t="s">
        <v>3147</v>
      </c>
      <c r="D1299" s="1" t="s">
        <v>4141</v>
      </c>
      <c r="E1299" s="1" t="s">
        <v>3149</v>
      </c>
      <c r="F1299" s="1" t="s">
        <v>3150</v>
      </c>
      <c r="G1299" s="1" t="s">
        <v>450</v>
      </c>
      <c r="H1299" s="1">
        <v>39.959727999999998</v>
      </c>
      <c r="I1299" s="1">
        <v>-75.226050999999998</v>
      </c>
      <c r="J1299" s="1" t="s">
        <v>3151</v>
      </c>
      <c r="K1299" s="1" t="s">
        <v>442</v>
      </c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</row>
    <row r="1300" spans="1:40" ht="22" customHeight="1">
      <c r="A1300" s="1" t="s">
        <v>4142</v>
      </c>
      <c r="B1300" s="1" t="s">
        <v>4143</v>
      </c>
      <c r="C1300" s="1" t="s">
        <v>3154</v>
      </c>
      <c r="D1300" s="1" t="s">
        <v>4144</v>
      </c>
      <c r="E1300" s="1" t="s">
        <v>3149</v>
      </c>
      <c r="F1300" s="1" t="s">
        <v>3150</v>
      </c>
      <c r="G1300" s="1" t="s">
        <v>908</v>
      </c>
      <c r="H1300" s="1">
        <v>39.996746000000002</v>
      </c>
      <c r="I1300" s="1">
        <v>-75.089905000000002</v>
      </c>
      <c r="J1300" s="1" t="s">
        <v>3151</v>
      </c>
      <c r="K1300" s="1" t="s">
        <v>442</v>
      </c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</row>
    <row r="1301" spans="1:40" ht="22" customHeight="1">
      <c r="A1301" s="1" t="s">
        <v>4145</v>
      </c>
      <c r="B1301" s="1" t="s">
        <v>4146</v>
      </c>
      <c r="C1301" s="1" t="s">
        <v>3147</v>
      </c>
      <c r="D1301" s="1" t="s">
        <v>4147</v>
      </c>
      <c r="E1301" s="1" t="s">
        <v>3149</v>
      </c>
      <c r="F1301" s="1" t="s">
        <v>3150</v>
      </c>
      <c r="G1301" s="1" t="s">
        <v>1264</v>
      </c>
      <c r="H1301" s="1">
        <v>40.085613000000002</v>
      </c>
      <c r="I1301" s="1">
        <v>-74.970482000000004</v>
      </c>
      <c r="J1301" s="1" t="s">
        <v>3151</v>
      </c>
      <c r="K1301" s="1" t="s">
        <v>442</v>
      </c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</row>
    <row r="1302" spans="1:40" ht="22" customHeight="1">
      <c r="A1302" s="1" t="s">
        <v>4148</v>
      </c>
      <c r="B1302" s="1" t="s">
        <v>4149</v>
      </c>
      <c r="C1302" s="1" t="s">
        <v>3154</v>
      </c>
      <c r="D1302" s="1" t="s">
        <v>4150</v>
      </c>
      <c r="E1302" s="1" t="s">
        <v>3562</v>
      </c>
      <c r="F1302" s="1" t="s">
        <v>3227</v>
      </c>
      <c r="G1302" s="1" t="s">
        <v>3563</v>
      </c>
      <c r="H1302" s="1">
        <v>39.937900999999997</v>
      </c>
      <c r="I1302" s="1">
        <v>-74.964500000000001</v>
      </c>
      <c r="J1302" s="1" t="s">
        <v>3151</v>
      </c>
      <c r="K1302" s="1" t="s">
        <v>442</v>
      </c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</row>
    <row r="1303" spans="1:40" ht="22" customHeight="1">
      <c r="A1303" s="1" t="s">
        <v>4151</v>
      </c>
      <c r="B1303" s="1" t="s">
        <v>4152</v>
      </c>
      <c r="C1303" s="1" t="s">
        <v>3147</v>
      </c>
      <c r="D1303" s="1" t="s">
        <v>4153</v>
      </c>
      <c r="E1303" s="1" t="s">
        <v>3437</v>
      </c>
      <c r="F1303" s="1" t="s">
        <v>3150</v>
      </c>
      <c r="G1303" s="1" t="s">
        <v>3438</v>
      </c>
      <c r="H1303" s="1">
        <v>39.976402</v>
      </c>
      <c r="I1303" s="1">
        <v>-75.344657999999995</v>
      </c>
      <c r="J1303" s="1" t="s">
        <v>3151</v>
      </c>
      <c r="K1303" s="1" t="s">
        <v>442</v>
      </c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</row>
    <row r="1304" spans="1:40" ht="22" customHeight="1">
      <c r="A1304" s="1" t="s">
        <v>4154</v>
      </c>
      <c r="B1304" s="1" t="s">
        <v>4155</v>
      </c>
      <c r="C1304" s="1" t="s">
        <v>3147</v>
      </c>
      <c r="D1304" s="1" t="s">
        <v>4156</v>
      </c>
      <c r="E1304" s="1" t="s">
        <v>3345</v>
      </c>
      <c r="F1304" s="1" t="s">
        <v>3150</v>
      </c>
      <c r="G1304" s="1" t="s">
        <v>3346</v>
      </c>
      <c r="H1304" s="1">
        <v>40.101421000000002</v>
      </c>
      <c r="I1304" s="1">
        <v>-74.957153000000005</v>
      </c>
      <c r="J1304" s="1" t="s">
        <v>3151</v>
      </c>
      <c r="K1304" s="1" t="s">
        <v>442</v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</row>
    <row r="1305" spans="1:40" ht="22" customHeight="1">
      <c r="A1305" s="1" t="s">
        <v>4157</v>
      </c>
      <c r="B1305" s="1" t="s">
        <v>4158</v>
      </c>
      <c r="C1305" s="1" t="s">
        <v>3154</v>
      </c>
      <c r="D1305" s="1" t="s">
        <v>4159</v>
      </c>
      <c r="E1305" s="1" t="s">
        <v>3301</v>
      </c>
      <c r="F1305" s="1" t="s">
        <v>3227</v>
      </c>
      <c r="G1305" s="1" t="s">
        <v>3302</v>
      </c>
      <c r="H1305" s="1">
        <v>39.988669999999999</v>
      </c>
      <c r="I1305" s="1">
        <v>-75.008919000000006</v>
      </c>
      <c r="J1305" s="1" t="s">
        <v>3151</v>
      </c>
      <c r="K1305" s="1" t="s">
        <v>442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</row>
    <row r="1306" spans="1:40" ht="22" customHeight="1">
      <c r="A1306" s="1" t="s">
        <v>4160</v>
      </c>
      <c r="B1306" s="1" t="s">
        <v>4161</v>
      </c>
      <c r="C1306" s="1" t="s">
        <v>3154</v>
      </c>
      <c r="D1306" s="1" t="s">
        <v>4162</v>
      </c>
      <c r="E1306" s="1" t="s">
        <v>3188</v>
      </c>
      <c r="F1306" s="1" t="s">
        <v>3150</v>
      </c>
      <c r="G1306" s="1" t="s">
        <v>3189</v>
      </c>
      <c r="H1306" s="1">
        <v>39.916485000000002</v>
      </c>
      <c r="I1306" s="1">
        <v>-75.334678999999994</v>
      </c>
      <c r="J1306" s="1" t="s">
        <v>3151</v>
      </c>
      <c r="K1306" s="1" t="s">
        <v>442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</row>
    <row r="1307" spans="1:40" ht="22" customHeight="1">
      <c r="A1307" s="1" t="s">
        <v>4163</v>
      </c>
      <c r="B1307" s="1" t="s">
        <v>4164</v>
      </c>
      <c r="C1307" s="1" t="s">
        <v>3154</v>
      </c>
      <c r="D1307" s="1" t="s">
        <v>4165</v>
      </c>
      <c r="E1307" s="1" t="s">
        <v>3868</v>
      </c>
      <c r="F1307" s="1" t="s">
        <v>3150</v>
      </c>
      <c r="G1307" s="1" t="s">
        <v>3869</v>
      </c>
      <c r="H1307" s="1">
        <v>40.156283999999999</v>
      </c>
      <c r="I1307" s="1">
        <v>-75.218322999999998</v>
      </c>
      <c r="J1307" s="1" t="s">
        <v>3151</v>
      </c>
      <c r="K1307" s="1" t="s">
        <v>442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</row>
    <row r="1308" spans="1:40" ht="22" customHeight="1">
      <c r="A1308" s="1" t="s">
        <v>4166</v>
      </c>
      <c r="B1308" s="1" t="s">
        <v>4167</v>
      </c>
      <c r="C1308" s="1" t="s">
        <v>3147</v>
      </c>
      <c r="D1308" s="1" t="s">
        <v>4168</v>
      </c>
      <c r="E1308" s="1" t="s">
        <v>3149</v>
      </c>
      <c r="F1308" s="1" t="s">
        <v>3150</v>
      </c>
      <c r="G1308" s="1" t="s">
        <v>1228</v>
      </c>
      <c r="H1308" s="1">
        <v>39.998328999999998</v>
      </c>
      <c r="I1308" s="1">
        <v>-75.127212999999998</v>
      </c>
      <c r="J1308" s="1" t="s">
        <v>3151</v>
      </c>
      <c r="K1308" s="1" t="s">
        <v>442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</row>
    <row r="1309" spans="1:40" ht="22" customHeight="1">
      <c r="A1309" s="1" t="s">
        <v>4169</v>
      </c>
      <c r="B1309" s="1" t="s">
        <v>4170</v>
      </c>
      <c r="C1309" s="1" t="s">
        <v>3147</v>
      </c>
      <c r="D1309" s="1" t="s">
        <v>4171</v>
      </c>
      <c r="E1309" s="1" t="s">
        <v>3210</v>
      </c>
      <c r="F1309" s="1" t="s">
        <v>3150</v>
      </c>
      <c r="G1309" s="1" t="s">
        <v>3243</v>
      </c>
      <c r="H1309" s="1">
        <v>40.140160000000002</v>
      </c>
      <c r="I1309" s="1">
        <v>-75.308555999999996</v>
      </c>
      <c r="J1309" s="1" t="s">
        <v>3151</v>
      </c>
      <c r="K1309" s="1" t="s">
        <v>442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</row>
    <row r="1310" spans="1:40" ht="22" customHeight="1">
      <c r="A1310" s="1" t="s">
        <v>4172</v>
      </c>
      <c r="B1310" s="1" t="s">
        <v>4173</v>
      </c>
      <c r="C1310" s="1" t="s">
        <v>3147</v>
      </c>
      <c r="D1310" s="1" t="s">
        <v>4174</v>
      </c>
      <c r="E1310" s="1" t="s">
        <v>4175</v>
      </c>
      <c r="F1310" s="1" t="s">
        <v>3227</v>
      </c>
      <c r="G1310" s="1" t="s">
        <v>3367</v>
      </c>
      <c r="H1310" s="1">
        <v>39.805252000000003</v>
      </c>
      <c r="I1310" s="1">
        <v>-75.021422999999999</v>
      </c>
      <c r="J1310" s="1" t="s">
        <v>3151</v>
      </c>
      <c r="K1310" s="1" t="s">
        <v>442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</row>
    <row r="1311" spans="1:40" ht="22" customHeight="1">
      <c r="A1311" s="1" t="s">
        <v>4176</v>
      </c>
      <c r="B1311" s="1" t="s">
        <v>4177</v>
      </c>
      <c r="C1311" s="1" t="s">
        <v>3147</v>
      </c>
      <c r="D1311" s="1" t="s">
        <v>4178</v>
      </c>
      <c r="E1311" s="1" t="s">
        <v>3149</v>
      </c>
      <c r="F1311" s="1" t="s">
        <v>3150</v>
      </c>
      <c r="G1311" s="1" t="s">
        <v>994</v>
      </c>
      <c r="H1311" s="1">
        <v>40.032088999999999</v>
      </c>
      <c r="I1311" s="1">
        <v>-75.178496999999993</v>
      </c>
      <c r="J1311" s="1" t="s">
        <v>3151</v>
      </c>
      <c r="K1311" s="1" t="s">
        <v>442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</row>
    <row r="1312" spans="1:40" ht="22" customHeight="1">
      <c r="A1312" s="1" t="s">
        <v>4179</v>
      </c>
      <c r="B1312" s="1" t="s">
        <v>4180</v>
      </c>
      <c r="C1312" s="1" t="s">
        <v>3154</v>
      </c>
      <c r="D1312" s="1" t="s">
        <v>4181</v>
      </c>
      <c r="E1312" s="1" t="s">
        <v>3188</v>
      </c>
      <c r="F1312" s="1" t="s">
        <v>3150</v>
      </c>
      <c r="G1312" s="1" t="s">
        <v>3189</v>
      </c>
      <c r="H1312" s="1">
        <v>39.908974000000001</v>
      </c>
      <c r="I1312" s="1">
        <v>-75.330223000000004</v>
      </c>
      <c r="J1312" s="1" t="s">
        <v>3151</v>
      </c>
      <c r="K1312" s="1" t="s">
        <v>442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</row>
    <row r="1313" spans="1:40" ht="22" customHeight="1">
      <c r="A1313" s="1" t="s">
        <v>4182</v>
      </c>
      <c r="B1313" s="1" t="s">
        <v>4183</v>
      </c>
      <c r="C1313" s="1" t="s">
        <v>3147</v>
      </c>
      <c r="D1313" s="1" t="s">
        <v>4184</v>
      </c>
      <c r="E1313" s="1" t="s">
        <v>4175</v>
      </c>
      <c r="F1313" s="1" t="s">
        <v>3227</v>
      </c>
      <c r="G1313" s="1" t="s">
        <v>3367</v>
      </c>
      <c r="H1313" s="1">
        <v>39.820132999999998</v>
      </c>
      <c r="I1313" s="1">
        <v>-74.980232000000001</v>
      </c>
      <c r="J1313" s="1" t="s">
        <v>3151</v>
      </c>
      <c r="K1313" s="1" t="s">
        <v>442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</row>
    <row r="1314" spans="1:40" ht="22" customHeight="1">
      <c r="A1314" s="1" t="s">
        <v>4185</v>
      </c>
      <c r="B1314" s="1" t="s">
        <v>4186</v>
      </c>
      <c r="C1314" s="1" t="s">
        <v>3154</v>
      </c>
      <c r="D1314" s="1" t="s">
        <v>4187</v>
      </c>
      <c r="E1314" s="1" t="s">
        <v>3291</v>
      </c>
      <c r="F1314" s="1" t="s">
        <v>3227</v>
      </c>
      <c r="G1314" s="1" t="s">
        <v>3292</v>
      </c>
      <c r="H1314" s="1">
        <v>39.948459999999997</v>
      </c>
      <c r="I1314" s="1">
        <v>-74.972892999999999</v>
      </c>
      <c r="J1314" s="1" t="s">
        <v>3151</v>
      </c>
      <c r="K1314" s="1" t="s">
        <v>442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</row>
    <row r="1315" spans="1:40" ht="22" customHeight="1">
      <c r="A1315" s="1" t="s">
        <v>4188</v>
      </c>
      <c r="B1315" s="1" t="s">
        <v>4189</v>
      </c>
      <c r="C1315" s="1" t="s">
        <v>3154</v>
      </c>
      <c r="D1315" s="1" t="s">
        <v>4190</v>
      </c>
      <c r="E1315" s="1" t="s">
        <v>3366</v>
      </c>
      <c r="F1315" s="1" t="s">
        <v>3227</v>
      </c>
      <c r="G1315" s="1" t="s">
        <v>3367</v>
      </c>
      <c r="H1315" s="1">
        <v>39.819991999999999</v>
      </c>
      <c r="I1315" s="1">
        <v>-75.038666000000006</v>
      </c>
      <c r="J1315" s="1" t="s">
        <v>3151</v>
      </c>
      <c r="K1315" s="1" t="s">
        <v>442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</row>
    <row r="1316" spans="1:40" ht="22" customHeight="1">
      <c r="A1316" s="1" t="s">
        <v>4191</v>
      </c>
      <c r="B1316" s="1" t="s">
        <v>4192</v>
      </c>
      <c r="C1316" s="1" t="s">
        <v>3154</v>
      </c>
      <c r="D1316" s="1" t="s">
        <v>4193</v>
      </c>
      <c r="E1316" s="1" t="s">
        <v>3149</v>
      </c>
      <c r="F1316" s="1" t="s">
        <v>3150</v>
      </c>
      <c r="G1316" s="1" t="s">
        <v>1938</v>
      </c>
      <c r="H1316" s="1">
        <v>40.063384999999997</v>
      </c>
      <c r="I1316" s="1">
        <v>-74.985573000000002</v>
      </c>
      <c r="J1316" s="1" t="s">
        <v>3151</v>
      </c>
      <c r="K1316" s="1" t="s">
        <v>442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</row>
    <row r="1317" spans="1:40" ht="22" customHeight="1">
      <c r="A1317" s="1" t="s">
        <v>4194</v>
      </c>
      <c r="B1317" s="1" t="s">
        <v>4195</v>
      </c>
      <c r="C1317" s="1" t="s">
        <v>3154</v>
      </c>
      <c r="D1317" s="1" t="s">
        <v>4196</v>
      </c>
      <c r="E1317" s="1" t="s">
        <v>3330</v>
      </c>
      <c r="F1317" s="1" t="s">
        <v>3227</v>
      </c>
      <c r="G1317" s="1" t="s">
        <v>3331</v>
      </c>
      <c r="H1317" s="1">
        <v>39.829796000000002</v>
      </c>
      <c r="I1317" s="1">
        <v>-75.091178999999997</v>
      </c>
      <c r="J1317" s="1" t="s">
        <v>3151</v>
      </c>
      <c r="K1317" s="1" t="s">
        <v>442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</row>
    <row r="1318" spans="1:40" ht="22" customHeight="1">
      <c r="A1318" s="1" t="s">
        <v>4197</v>
      </c>
      <c r="B1318" s="1" t="s">
        <v>4198</v>
      </c>
      <c r="C1318" s="1" t="s">
        <v>3154</v>
      </c>
      <c r="D1318" s="1" t="s">
        <v>4199</v>
      </c>
      <c r="E1318" s="1" t="s">
        <v>4200</v>
      </c>
      <c r="F1318" s="1" t="s">
        <v>3150</v>
      </c>
      <c r="G1318" s="1" t="s">
        <v>4201</v>
      </c>
      <c r="H1318" s="1">
        <v>39.907165999999997</v>
      </c>
      <c r="I1318" s="1">
        <v>-75.292075999999994</v>
      </c>
      <c r="J1318" s="1" t="s">
        <v>3151</v>
      </c>
      <c r="K1318" s="1" t="s">
        <v>442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</row>
    <row r="1319" spans="1:40" ht="22" customHeight="1">
      <c r="A1319" s="1" t="s">
        <v>4202</v>
      </c>
      <c r="B1319" s="1" t="s">
        <v>4203</v>
      </c>
      <c r="C1319" s="1" t="s">
        <v>3154</v>
      </c>
      <c r="D1319" s="1" t="s">
        <v>4204</v>
      </c>
      <c r="E1319" s="1" t="s">
        <v>3149</v>
      </c>
      <c r="F1319" s="1" t="s">
        <v>3150</v>
      </c>
      <c r="G1319" s="1" t="s">
        <v>780</v>
      </c>
      <c r="H1319" s="1">
        <v>40.009082999999997</v>
      </c>
      <c r="I1319" s="1">
        <v>-75.109909000000002</v>
      </c>
      <c r="J1319" s="1" t="s">
        <v>3151</v>
      </c>
      <c r="K1319" s="1" t="s">
        <v>442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</row>
    <row r="1320" spans="1:40" ht="22" customHeight="1">
      <c r="A1320" s="1" t="s">
        <v>4205</v>
      </c>
      <c r="B1320" s="1" t="s">
        <v>4206</v>
      </c>
      <c r="C1320" s="1" t="s">
        <v>3147</v>
      </c>
      <c r="D1320" s="1" t="s">
        <v>3148</v>
      </c>
      <c r="E1320" s="1" t="s">
        <v>3149</v>
      </c>
      <c r="F1320" s="1" t="s">
        <v>3150</v>
      </c>
      <c r="G1320" s="1" t="s">
        <v>626</v>
      </c>
      <c r="H1320" s="1">
        <v>39.977725999999997</v>
      </c>
      <c r="I1320" s="1">
        <v>-75.168633</v>
      </c>
      <c r="J1320" s="1" t="s">
        <v>3151</v>
      </c>
      <c r="K1320" s="1" t="s">
        <v>442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</row>
    <row r="1321" spans="1:40" ht="22" customHeight="1">
      <c r="A1321" s="1" t="s">
        <v>4207</v>
      </c>
      <c r="B1321" s="1" t="s">
        <v>4208</v>
      </c>
      <c r="C1321" s="1" t="s">
        <v>3147</v>
      </c>
      <c r="D1321" s="1" t="s">
        <v>4209</v>
      </c>
      <c r="E1321" s="1" t="s">
        <v>3149</v>
      </c>
      <c r="F1321" s="1" t="s">
        <v>3150</v>
      </c>
      <c r="G1321" s="1" t="s">
        <v>3691</v>
      </c>
      <c r="H1321" s="1">
        <v>39.954376000000003</v>
      </c>
      <c r="I1321" s="1">
        <v>-75.156143</v>
      </c>
      <c r="J1321" s="1" t="s">
        <v>3151</v>
      </c>
      <c r="K1321" s="1" t="s">
        <v>442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</row>
    <row r="1322" spans="1:40" ht="22" customHeight="1">
      <c r="A1322" s="1" t="s">
        <v>4210</v>
      </c>
      <c r="B1322" s="1" t="s">
        <v>4211</v>
      </c>
      <c r="C1322" s="1" t="s">
        <v>3147</v>
      </c>
      <c r="D1322" s="1" t="s">
        <v>4212</v>
      </c>
      <c r="E1322" s="1" t="s">
        <v>3375</v>
      </c>
      <c r="F1322" s="1" t="s">
        <v>3227</v>
      </c>
      <c r="G1322" s="1" t="s">
        <v>3376</v>
      </c>
      <c r="H1322" s="1">
        <v>39.922783000000003</v>
      </c>
      <c r="I1322" s="1">
        <v>-75.034851000000003</v>
      </c>
      <c r="J1322" s="1" t="s">
        <v>3151</v>
      </c>
      <c r="K1322" s="1" t="s">
        <v>442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</row>
    <row r="1323" spans="1:40" ht="22" customHeight="1">
      <c r="A1323" s="1" t="s">
        <v>4213</v>
      </c>
      <c r="B1323" s="1" t="s">
        <v>4214</v>
      </c>
      <c r="C1323" s="1" t="s">
        <v>3154</v>
      </c>
      <c r="D1323" s="1" t="s">
        <v>4215</v>
      </c>
      <c r="E1323" s="1" t="s">
        <v>3188</v>
      </c>
      <c r="F1323" s="1" t="s">
        <v>3150</v>
      </c>
      <c r="G1323" s="1" t="s">
        <v>3189</v>
      </c>
      <c r="H1323" s="1">
        <v>39.938751000000003</v>
      </c>
      <c r="I1323" s="1">
        <v>-75.356444999999994</v>
      </c>
      <c r="J1323" s="1" t="s">
        <v>3151</v>
      </c>
      <c r="K1323" s="1" t="s">
        <v>442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</row>
    <row r="1324" spans="1:40" ht="22" customHeight="1">
      <c r="A1324" s="1" t="s">
        <v>4216</v>
      </c>
      <c r="B1324" s="1" t="s">
        <v>3979</v>
      </c>
      <c r="C1324" s="1" t="s">
        <v>3147</v>
      </c>
      <c r="D1324" s="1" t="s">
        <v>4217</v>
      </c>
      <c r="E1324" s="1" t="s">
        <v>3375</v>
      </c>
      <c r="F1324" s="1" t="s">
        <v>3227</v>
      </c>
      <c r="G1324" s="1" t="s">
        <v>3254</v>
      </c>
      <c r="H1324" s="1">
        <v>39.895747999999998</v>
      </c>
      <c r="I1324" s="1">
        <v>-74.951590999999993</v>
      </c>
      <c r="J1324" s="1" t="s">
        <v>3151</v>
      </c>
      <c r="K1324" s="1" t="s">
        <v>442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</row>
    <row r="1325" spans="1:40" ht="22" customHeight="1">
      <c r="A1325" s="1" t="s">
        <v>4218</v>
      </c>
      <c r="B1325" s="1" t="s">
        <v>4219</v>
      </c>
      <c r="C1325" s="1" t="s">
        <v>3154</v>
      </c>
      <c r="D1325" s="1" t="s">
        <v>3334</v>
      </c>
      <c r="E1325" s="1" t="s">
        <v>3335</v>
      </c>
      <c r="F1325" s="1" t="s">
        <v>3150</v>
      </c>
      <c r="G1325" s="1" t="s">
        <v>3336</v>
      </c>
      <c r="H1325" s="1">
        <v>40.082889999999999</v>
      </c>
      <c r="I1325" s="1">
        <v>-75.170715000000001</v>
      </c>
      <c r="J1325" s="1" t="s">
        <v>3151</v>
      </c>
      <c r="K1325" s="1" t="s">
        <v>442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</row>
    <row r="1326" spans="1:40" ht="22" customHeight="1">
      <c r="A1326" s="1" t="s">
        <v>4220</v>
      </c>
      <c r="B1326" s="1" t="s">
        <v>4221</v>
      </c>
      <c r="C1326" s="1" t="s">
        <v>3154</v>
      </c>
      <c r="D1326" s="1" t="s">
        <v>4222</v>
      </c>
      <c r="E1326" s="1" t="s">
        <v>3350</v>
      </c>
      <c r="F1326" s="1" t="s">
        <v>3227</v>
      </c>
      <c r="G1326" s="1" t="s">
        <v>3467</v>
      </c>
      <c r="H1326" s="1">
        <v>39.945599000000001</v>
      </c>
      <c r="I1326" s="1">
        <v>-75.093108999999998</v>
      </c>
      <c r="J1326" s="1" t="s">
        <v>3151</v>
      </c>
      <c r="K1326" s="1" t="s">
        <v>442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</row>
    <row r="1327" spans="1:40" ht="22" customHeight="1">
      <c r="A1327" s="1" t="s">
        <v>4223</v>
      </c>
      <c r="B1327" s="1" t="s">
        <v>4224</v>
      </c>
      <c r="C1327" s="1" t="s">
        <v>3147</v>
      </c>
      <c r="D1327" s="1" t="s">
        <v>4225</v>
      </c>
      <c r="E1327" s="1" t="s">
        <v>3149</v>
      </c>
      <c r="F1327" s="1" t="s">
        <v>3150</v>
      </c>
      <c r="G1327" s="1" t="s">
        <v>574</v>
      </c>
      <c r="H1327" s="1">
        <v>39.972220999999998</v>
      </c>
      <c r="I1327" s="1">
        <v>-75.222183000000001</v>
      </c>
      <c r="J1327" s="1" t="s">
        <v>3151</v>
      </c>
      <c r="K1327" s="1" t="s">
        <v>442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</row>
    <row r="1328" spans="1:40" ht="22" customHeight="1">
      <c r="A1328" s="1" t="s">
        <v>4226</v>
      </c>
      <c r="B1328" s="1" t="s">
        <v>4227</v>
      </c>
      <c r="C1328" s="1" t="s">
        <v>3154</v>
      </c>
      <c r="D1328" s="1" t="s">
        <v>4228</v>
      </c>
      <c r="E1328" s="1" t="s">
        <v>3258</v>
      </c>
      <c r="F1328" s="1" t="s">
        <v>3227</v>
      </c>
      <c r="G1328" s="1" t="s">
        <v>3259</v>
      </c>
      <c r="H1328" s="1">
        <v>39.869540999999998</v>
      </c>
      <c r="I1328" s="1">
        <v>-74.921974000000006</v>
      </c>
      <c r="J1328" s="1" t="s">
        <v>3151</v>
      </c>
      <c r="K1328" s="1" t="s">
        <v>442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</row>
    <row r="1329" spans="1:40" ht="22" customHeight="1">
      <c r="A1329" s="1" t="s">
        <v>4229</v>
      </c>
      <c r="B1329" s="1" t="s">
        <v>4230</v>
      </c>
      <c r="C1329" s="1" t="s">
        <v>3147</v>
      </c>
      <c r="D1329" s="1" t="s">
        <v>4231</v>
      </c>
      <c r="E1329" s="1" t="s">
        <v>3621</v>
      </c>
      <c r="F1329" s="1" t="s">
        <v>3150</v>
      </c>
      <c r="G1329" s="1" t="s">
        <v>3622</v>
      </c>
      <c r="H1329" s="1">
        <v>39.877892000000003</v>
      </c>
      <c r="I1329" s="1">
        <v>-75.396477000000004</v>
      </c>
      <c r="J1329" s="1" t="s">
        <v>3151</v>
      </c>
      <c r="K1329" s="1" t="s">
        <v>442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</row>
    <row r="1330" spans="1:40" ht="22" customHeight="1">
      <c r="A1330" s="1" t="s">
        <v>4232</v>
      </c>
      <c r="B1330" s="1" t="s">
        <v>4233</v>
      </c>
      <c r="C1330" s="1" t="s">
        <v>3154</v>
      </c>
      <c r="D1330" s="1" t="s">
        <v>4234</v>
      </c>
      <c r="E1330" s="1" t="s">
        <v>3149</v>
      </c>
      <c r="F1330" s="1" t="s">
        <v>3150</v>
      </c>
      <c r="G1330" s="1" t="s">
        <v>1588</v>
      </c>
      <c r="H1330" s="1">
        <v>40.049773999999999</v>
      </c>
      <c r="I1330" s="1">
        <v>-75.058197000000007</v>
      </c>
      <c r="J1330" s="1" t="s">
        <v>3151</v>
      </c>
      <c r="K1330" s="1" t="s">
        <v>442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</row>
    <row r="1331" spans="1:40" ht="22" customHeight="1">
      <c r="A1331" s="1" t="s">
        <v>4235</v>
      </c>
      <c r="B1331" s="1" t="s">
        <v>4236</v>
      </c>
      <c r="C1331" s="1" t="s">
        <v>3147</v>
      </c>
      <c r="D1331" s="1" t="s">
        <v>4237</v>
      </c>
      <c r="E1331" s="1" t="s">
        <v>3149</v>
      </c>
      <c r="F1331" s="1" t="s">
        <v>3150</v>
      </c>
      <c r="G1331" s="1" t="s">
        <v>1877</v>
      </c>
      <c r="H1331" s="1">
        <v>40.042327999999998</v>
      </c>
      <c r="I1331" s="1">
        <v>-75.074539000000001</v>
      </c>
      <c r="J1331" s="1" t="s">
        <v>3151</v>
      </c>
      <c r="K1331" s="1" t="s">
        <v>442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</row>
    <row r="1332" spans="1:40" ht="22" customHeight="1">
      <c r="A1332" s="1" t="s">
        <v>4238</v>
      </c>
      <c r="B1332" s="1" t="s">
        <v>3932</v>
      </c>
      <c r="C1332" s="1" t="s">
        <v>3154</v>
      </c>
      <c r="D1332" s="1" t="s">
        <v>4239</v>
      </c>
      <c r="E1332" s="1" t="s">
        <v>3149</v>
      </c>
      <c r="F1332" s="1" t="s">
        <v>3150</v>
      </c>
      <c r="G1332" s="1" t="s">
        <v>589</v>
      </c>
      <c r="H1332" s="1">
        <v>39.937221999999998</v>
      </c>
      <c r="I1332" s="1">
        <v>-75.161750999999995</v>
      </c>
      <c r="J1332" s="1" t="s">
        <v>3151</v>
      </c>
      <c r="K1332" s="1" t="s">
        <v>442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</row>
    <row r="1333" spans="1:40" ht="22" customHeight="1">
      <c r="A1333" s="1" t="s">
        <v>4240</v>
      </c>
      <c r="B1333" s="1" t="s">
        <v>4241</v>
      </c>
      <c r="C1333" s="1" t="s">
        <v>3154</v>
      </c>
      <c r="D1333" s="1" t="s">
        <v>4242</v>
      </c>
      <c r="E1333" s="1" t="s">
        <v>3375</v>
      </c>
      <c r="F1333" s="1" t="s">
        <v>3227</v>
      </c>
      <c r="G1333" s="1" t="s">
        <v>3254</v>
      </c>
      <c r="H1333" s="1">
        <v>39.860686999999999</v>
      </c>
      <c r="I1333" s="1">
        <v>-74.974541000000002</v>
      </c>
      <c r="J1333" s="1" t="s">
        <v>3151</v>
      </c>
      <c r="K1333" s="1" t="s">
        <v>442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</row>
    <row r="1334" spans="1:40" ht="22" customHeight="1">
      <c r="A1334" s="1" t="s">
        <v>4243</v>
      </c>
      <c r="B1334" s="1" t="s">
        <v>4244</v>
      </c>
      <c r="C1334" s="1" t="s">
        <v>3154</v>
      </c>
      <c r="D1334" s="1" t="s">
        <v>4245</v>
      </c>
      <c r="E1334" s="1" t="s">
        <v>3188</v>
      </c>
      <c r="F1334" s="1" t="s">
        <v>3150</v>
      </c>
      <c r="G1334" s="1" t="s">
        <v>3189</v>
      </c>
      <c r="H1334" s="1">
        <v>39.913578000000001</v>
      </c>
      <c r="I1334" s="1">
        <v>-75.349914999999996</v>
      </c>
      <c r="J1334" s="1" t="s">
        <v>3151</v>
      </c>
      <c r="K1334" s="1" t="s">
        <v>442</v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</row>
    <row r="1335" spans="1:40" ht="22" customHeight="1">
      <c r="A1335" s="1" t="s">
        <v>4246</v>
      </c>
      <c r="B1335" s="1" t="s">
        <v>4247</v>
      </c>
      <c r="C1335" s="1" t="s">
        <v>3154</v>
      </c>
      <c r="D1335" s="1" t="s">
        <v>4248</v>
      </c>
      <c r="E1335" s="1" t="s">
        <v>3149</v>
      </c>
      <c r="F1335" s="1" t="s">
        <v>3150</v>
      </c>
      <c r="G1335" s="1" t="s">
        <v>1271</v>
      </c>
      <c r="H1335" s="1">
        <v>40.011043999999998</v>
      </c>
      <c r="I1335" s="1">
        <v>-75.175133000000002</v>
      </c>
      <c r="J1335" s="1" t="s">
        <v>3151</v>
      </c>
      <c r="K1335" s="1" t="s">
        <v>442</v>
      </c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</row>
    <row r="1336" spans="1:40" ht="22" customHeight="1">
      <c r="A1336" s="1" t="s">
        <v>4249</v>
      </c>
      <c r="B1336" s="1" t="s">
        <v>4250</v>
      </c>
      <c r="C1336" s="1" t="s">
        <v>3154</v>
      </c>
      <c r="D1336" s="1" t="s">
        <v>4251</v>
      </c>
      <c r="E1336" s="1" t="s">
        <v>3375</v>
      </c>
      <c r="F1336" s="1" t="s">
        <v>3227</v>
      </c>
      <c r="G1336" s="1" t="s">
        <v>3757</v>
      </c>
      <c r="H1336" s="1">
        <v>39.915329</v>
      </c>
      <c r="I1336" s="1">
        <v>-75.008780999999999</v>
      </c>
      <c r="J1336" s="1" t="s">
        <v>3151</v>
      </c>
      <c r="K1336" s="1" t="s">
        <v>442</v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</row>
    <row r="1337" spans="1:40" ht="22" customHeight="1">
      <c r="A1337" s="1" t="s">
        <v>4252</v>
      </c>
      <c r="B1337" s="1" t="s">
        <v>4253</v>
      </c>
      <c r="C1337" s="1" t="s">
        <v>3147</v>
      </c>
      <c r="D1337" s="1" t="s">
        <v>4254</v>
      </c>
      <c r="E1337" s="1" t="s">
        <v>4255</v>
      </c>
      <c r="F1337" s="1" t="s">
        <v>3227</v>
      </c>
      <c r="G1337" s="1" t="s">
        <v>4256</v>
      </c>
      <c r="H1337" s="1">
        <v>39.876862000000003</v>
      </c>
      <c r="I1337" s="1">
        <v>-75.084029999999998</v>
      </c>
      <c r="J1337" s="1" t="s">
        <v>3151</v>
      </c>
      <c r="K1337" s="1" t="s">
        <v>442</v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</row>
    <row r="1338" spans="1:40" ht="22" customHeight="1">
      <c r="A1338" s="1" t="s">
        <v>4257</v>
      </c>
      <c r="B1338" s="1" t="s">
        <v>4258</v>
      </c>
      <c r="C1338" s="1" t="s">
        <v>3147</v>
      </c>
      <c r="D1338" s="1" t="s">
        <v>4259</v>
      </c>
      <c r="E1338" s="1" t="s">
        <v>3149</v>
      </c>
      <c r="F1338" s="1" t="s">
        <v>3150</v>
      </c>
      <c r="G1338" s="1" t="s">
        <v>608</v>
      </c>
      <c r="H1338" s="1">
        <v>39.924731999999999</v>
      </c>
      <c r="I1338" s="1">
        <v>-75.170119999999997</v>
      </c>
      <c r="J1338" s="1" t="s">
        <v>3151</v>
      </c>
      <c r="K1338" s="1" t="s">
        <v>442</v>
      </c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</row>
    <row r="1339" spans="1:40" ht="22" customHeight="1">
      <c r="A1339" s="1" t="s">
        <v>4260</v>
      </c>
      <c r="B1339" s="1" t="s">
        <v>3157</v>
      </c>
      <c r="C1339" s="1" t="s">
        <v>3154</v>
      </c>
      <c r="D1339" s="1" t="s">
        <v>3158</v>
      </c>
      <c r="E1339" s="1" t="s">
        <v>3149</v>
      </c>
      <c r="F1339" s="1" t="s">
        <v>3150</v>
      </c>
      <c r="G1339" s="1" t="s">
        <v>581</v>
      </c>
      <c r="H1339" s="1">
        <v>39.914482</v>
      </c>
      <c r="I1339" s="1">
        <v>-75.153403999999995</v>
      </c>
      <c r="J1339" s="1" t="s">
        <v>3151</v>
      </c>
      <c r="K1339" s="1" t="s">
        <v>442</v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</row>
    <row r="1340" spans="1:40" ht="22" customHeight="1">
      <c r="A1340" s="1" t="s">
        <v>4261</v>
      </c>
      <c r="B1340" s="1" t="s">
        <v>4262</v>
      </c>
      <c r="C1340" s="1" t="s">
        <v>3147</v>
      </c>
      <c r="D1340" s="1" t="s">
        <v>4263</v>
      </c>
      <c r="E1340" s="1" t="s">
        <v>3149</v>
      </c>
      <c r="F1340" s="1" t="s">
        <v>3150</v>
      </c>
      <c r="G1340" s="1" t="s">
        <v>1096</v>
      </c>
      <c r="H1340" s="1">
        <v>39.991076999999997</v>
      </c>
      <c r="I1340" s="1">
        <v>-75.132141000000004</v>
      </c>
      <c r="J1340" s="1" t="s">
        <v>3151</v>
      </c>
      <c r="K1340" s="1" t="s">
        <v>442</v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</row>
    <row r="1341" spans="1:40" ht="22" customHeight="1">
      <c r="A1341" s="1" t="s">
        <v>4264</v>
      </c>
      <c r="B1341" s="1" t="s">
        <v>4265</v>
      </c>
      <c r="C1341" s="1" t="s">
        <v>3154</v>
      </c>
      <c r="D1341" s="1" t="s">
        <v>4266</v>
      </c>
      <c r="E1341" s="1" t="s">
        <v>3998</v>
      </c>
      <c r="F1341" s="1" t="s">
        <v>3150</v>
      </c>
      <c r="G1341" s="1" t="s">
        <v>581</v>
      </c>
      <c r="H1341" s="1">
        <v>40.125511000000003</v>
      </c>
      <c r="I1341" s="1">
        <v>-75.117226000000002</v>
      </c>
      <c r="J1341" s="1" t="s">
        <v>3151</v>
      </c>
      <c r="K1341" s="1" t="s">
        <v>442</v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</row>
    <row r="1342" spans="1:40" ht="22" customHeight="1">
      <c r="A1342" s="1" t="s">
        <v>4267</v>
      </c>
      <c r="B1342" s="1" t="s">
        <v>4268</v>
      </c>
      <c r="C1342" s="1" t="s">
        <v>3147</v>
      </c>
      <c r="D1342" s="1" t="s">
        <v>4269</v>
      </c>
      <c r="E1342" s="1" t="s">
        <v>3345</v>
      </c>
      <c r="F1342" s="1" t="s">
        <v>3150</v>
      </c>
      <c r="G1342" s="1" t="s">
        <v>3346</v>
      </c>
      <c r="H1342" s="1">
        <v>40.090449999999997</v>
      </c>
      <c r="I1342" s="1">
        <v>-74.938950000000006</v>
      </c>
      <c r="J1342" s="1" t="s">
        <v>3151</v>
      </c>
      <c r="K1342" s="1" t="s">
        <v>442</v>
      </c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</row>
    <row r="1343" spans="1:40" ht="22" customHeight="1">
      <c r="A1343" s="1" t="s">
        <v>4270</v>
      </c>
      <c r="B1343" s="1" t="s">
        <v>4271</v>
      </c>
      <c r="C1343" s="1" t="s">
        <v>3154</v>
      </c>
      <c r="D1343" s="1" t="s">
        <v>4272</v>
      </c>
      <c r="E1343" s="1" t="s">
        <v>3149</v>
      </c>
      <c r="F1343" s="1" t="s">
        <v>3150</v>
      </c>
      <c r="G1343" s="1" t="s">
        <v>1633</v>
      </c>
      <c r="H1343" s="1">
        <v>40.075687000000002</v>
      </c>
      <c r="I1343" s="1">
        <v>-75.155090000000001</v>
      </c>
      <c r="J1343" s="1" t="s">
        <v>3151</v>
      </c>
      <c r="K1343" s="1" t="s">
        <v>442</v>
      </c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</row>
    <row r="1344" spans="1:40" ht="22" customHeight="1">
      <c r="A1344" s="1" t="s">
        <v>4273</v>
      </c>
      <c r="B1344" s="1" t="s">
        <v>4274</v>
      </c>
      <c r="C1344" s="1" t="s">
        <v>3147</v>
      </c>
      <c r="D1344" s="1" t="s">
        <v>4275</v>
      </c>
      <c r="E1344" s="1" t="s">
        <v>3998</v>
      </c>
      <c r="F1344" s="1" t="s">
        <v>3150</v>
      </c>
      <c r="G1344" s="1" t="s">
        <v>3999</v>
      </c>
      <c r="H1344" s="1">
        <v>40.121284000000003</v>
      </c>
      <c r="I1344" s="1">
        <v>-75.135673999999995</v>
      </c>
      <c r="J1344" s="1" t="s">
        <v>3151</v>
      </c>
      <c r="K1344" s="1" t="s">
        <v>442</v>
      </c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</row>
    <row r="1345" spans="1:40" ht="22" customHeight="1">
      <c r="A1345" s="1" t="s">
        <v>4276</v>
      </c>
      <c r="B1345" s="1" t="s">
        <v>4277</v>
      </c>
      <c r="C1345" s="1" t="s">
        <v>3147</v>
      </c>
      <c r="D1345" s="1" t="s">
        <v>4278</v>
      </c>
      <c r="E1345" s="1" t="s">
        <v>3998</v>
      </c>
      <c r="F1345" s="1" t="s">
        <v>3150</v>
      </c>
      <c r="G1345" s="1" t="s">
        <v>3999</v>
      </c>
      <c r="H1345" s="1">
        <v>40.123595999999999</v>
      </c>
      <c r="I1345" s="1">
        <v>-75.115905999999995</v>
      </c>
      <c r="J1345" s="1" t="s">
        <v>3151</v>
      </c>
      <c r="K1345" s="1" t="s">
        <v>442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</row>
    <row r="1346" spans="1:40" ht="22" customHeight="1">
      <c r="A1346" s="1" t="s">
        <v>4279</v>
      </c>
      <c r="B1346" s="1" t="s">
        <v>4280</v>
      </c>
      <c r="C1346" s="1" t="s">
        <v>3147</v>
      </c>
      <c r="D1346" s="1" t="s">
        <v>4281</v>
      </c>
      <c r="E1346" s="1" t="s">
        <v>3345</v>
      </c>
      <c r="F1346" s="1" t="s">
        <v>3150</v>
      </c>
      <c r="G1346" s="1" t="s">
        <v>3346</v>
      </c>
      <c r="H1346" s="1">
        <v>40.111190999999998</v>
      </c>
      <c r="I1346" s="1">
        <v>-74.951308999999995</v>
      </c>
      <c r="J1346" s="1" t="s">
        <v>3151</v>
      </c>
      <c r="K1346" s="1" t="s">
        <v>442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</row>
    <row r="1347" spans="1:40" ht="22" customHeight="1">
      <c r="A1347" s="1" t="s">
        <v>4282</v>
      </c>
      <c r="B1347" s="1" t="s">
        <v>4283</v>
      </c>
      <c r="C1347" s="1" t="s">
        <v>3154</v>
      </c>
      <c r="D1347" s="1" t="s">
        <v>4284</v>
      </c>
      <c r="E1347" s="1" t="s">
        <v>3149</v>
      </c>
      <c r="F1347" s="1" t="s">
        <v>3150</v>
      </c>
      <c r="G1347" s="1" t="s">
        <v>1660</v>
      </c>
      <c r="H1347" s="1">
        <v>40.075389999999999</v>
      </c>
      <c r="I1347" s="1">
        <v>-75.205466999999999</v>
      </c>
      <c r="J1347" s="1" t="s">
        <v>3151</v>
      </c>
      <c r="K1347" s="1" t="s">
        <v>442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</row>
    <row r="1348" spans="1:40" ht="22" customHeight="1">
      <c r="A1348" s="1" t="s">
        <v>4285</v>
      </c>
      <c r="B1348" s="1" t="s">
        <v>4286</v>
      </c>
      <c r="C1348" s="1" t="s">
        <v>3154</v>
      </c>
      <c r="D1348" s="1" t="s">
        <v>4287</v>
      </c>
      <c r="E1348" s="1" t="s">
        <v>4288</v>
      </c>
      <c r="F1348" s="1" t="s">
        <v>3227</v>
      </c>
      <c r="G1348" s="1" t="s">
        <v>4289</v>
      </c>
      <c r="H1348" s="1">
        <v>39.867373999999998</v>
      </c>
      <c r="I1348" s="1">
        <v>-75.040015999999994</v>
      </c>
      <c r="J1348" s="1" t="s">
        <v>3151</v>
      </c>
      <c r="K1348" s="1" t="s">
        <v>442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</row>
    <row r="1349" spans="1:40" ht="22" customHeight="1">
      <c r="A1349" s="1" t="s">
        <v>4290</v>
      </c>
      <c r="B1349" s="1" t="s">
        <v>4291</v>
      </c>
      <c r="C1349" s="1" t="s">
        <v>3154</v>
      </c>
      <c r="D1349" s="1" t="s">
        <v>4292</v>
      </c>
      <c r="E1349" s="1" t="s">
        <v>4293</v>
      </c>
      <c r="F1349" s="1" t="s">
        <v>3150</v>
      </c>
      <c r="G1349" s="1" t="s">
        <v>3481</v>
      </c>
      <c r="H1349" s="1">
        <v>40.025230000000001</v>
      </c>
      <c r="I1349" s="1">
        <v>-75.325965999999994</v>
      </c>
      <c r="J1349" s="1" t="s">
        <v>3151</v>
      </c>
      <c r="K1349" s="1" t="s">
        <v>442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</row>
    <row r="1350" spans="1:40" ht="22" customHeight="1">
      <c r="A1350" s="1" t="s">
        <v>4294</v>
      </c>
      <c r="B1350" s="1" t="s">
        <v>4295</v>
      </c>
      <c r="C1350" s="1" t="s">
        <v>3154</v>
      </c>
      <c r="D1350" s="1" t="s">
        <v>4296</v>
      </c>
      <c r="E1350" s="1" t="s">
        <v>3149</v>
      </c>
      <c r="F1350" s="1" t="s">
        <v>3150</v>
      </c>
      <c r="G1350" s="1" t="s">
        <v>581</v>
      </c>
      <c r="H1350" s="1">
        <v>39.923920000000003</v>
      </c>
      <c r="I1350" s="1">
        <v>-75.146904000000006</v>
      </c>
      <c r="J1350" s="1" t="s">
        <v>3151</v>
      </c>
      <c r="K1350" s="1" t="s">
        <v>442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</row>
    <row r="1351" spans="1:40" ht="22" customHeight="1">
      <c r="A1351" s="1" t="s">
        <v>4297</v>
      </c>
      <c r="B1351" s="1" t="s">
        <v>4298</v>
      </c>
      <c r="C1351" s="1" t="s">
        <v>3154</v>
      </c>
      <c r="D1351" s="1" t="s">
        <v>4299</v>
      </c>
      <c r="E1351" s="1" t="s">
        <v>3562</v>
      </c>
      <c r="F1351" s="1" t="s">
        <v>3227</v>
      </c>
      <c r="G1351" s="1" t="s">
        <v>3563</v>
      </c>
      <c r="H1351" s="1">
        <v>39.939056000000001</v>
      </c>
      <c r="I1351" s="1">
        <v>-74.915824999999998</v>
      </c>
      <c r="J1351" s="1" t="s">
        <v>3151</v>
      </c>
      <c r="K1351" s="1" t="s">
        <v>442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</row>
    <row r="1352" spans="1:40" ht="22" customHeight="1">
      <c r="A1352" s="1" t="s">
        <v>4300</v>
      </c>
      <c r="B1352" s="1" t="s">
        <v>4301</v>
      </c>
      <c r="C1352" s="1" t="s">
        <v>3154</v>
      </c>
      <c r="D1352" s="1" t="s">
        <v>4302</v>
      </c>
      <c r="E1352" s="1" t="s">
        <v>3149</v>
      </c>
      <c r="F1352" s="1" t="s">
        <v>3150</v>
      </c>
      <c r="G1352" s="1" t="s">
        <v>1077</v>
      </c>
      <c r="H1352" s="1">
        <v>40.029178999999999</v>
      </c>
      <c r="I1352" s="1">
        <v>-75.05735</v>
      </c>
      <c r="J1352" s="1" t="s">
        <v>3151</v>
      </c>
      <c r="K1352" s="1" t="s">
        <v>442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</row>
    <row r="1353" spans="1:40" ht="22" customHeight="1">
      <c r="A1353" s="1" t="s">
        <v>4303</v>
      </c>
      <c r="B1353" s="1" t="s">
        <v>4304</v>
      </c>
      <c r="C1353" s="1" t="s">
        <v>3154</v>
      </c>
      <c r="D1353" s="1" t="s">
        <v>4305</v>
      </c>
      <c r="E1353" s="1" t="s">
        <v>3149</v>
      </c>
      <c r="F1353" s="1" t="s">
        <v>3150</v>
      </c>
      <c r="G1353" s="1" t="s">
        <v>780</v>
      </c>
      <c r="H1353" s="1">
        <v>40.019558000000004</v>
      </c>
      <c r="I1353" s="1">
        <v>-75.095817999999994</v>
      </c>
      <c r="J1353" s="1" t="s">
        <v>3151</v>
      </c>
      <c r="K1353" s="1" t="s">
        <v>442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</row>
    <row r="1354" spans="1:40" ht="22" customHeight="1">
      <c r="A1354" s="1" t="s">
        <v>4306</v>
      </c>
      <c r="B1354" s="1" t="s">
        <v>4307</v>
      </c>
      <c r="C1354" s="1" t="s">
        <v>3154</v>
      </c>
      <c r="D1354" s="1" t="s">
        <v>4308</v>
      </c>
      <c r="E1354" s="1" t="s">
        <v>3149</v>
      </c>
      <c r="F1354" s="1" t="s">
        <v>3150</v>
      </c>
      <c r="G1354" s="1" t="s">
        <v>574</v>
      </c>
      <c r="H1354" s="1">
        <v>40.002547999999997</v>
      </c>
      <c r="I1354" s="1">
        <v>-75.214836000000005</v>
      </c>
      <c r="J1354" s="1" t="s">
        <v>3151</v>
      </c>
      <c r="K1354" s="1" t="s">
        <v>442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</row>
    <row r="1355" spans="1:40" ht="22" customHeight="1">
      <c r="A1355" s="1" t="s">
        <v>4309</v>
      </c>
      <c r="B1355" s="1" t="s">
        <v>4310</v>
      </c>
      <c r="C1355" s="1" t="s">
        <v>3154</v>
      </c>
      <c r="D1355" s="1" t="s">
        <v>4311</v>
      </c>
      <c r="E1355" s="1" t="s">
        <v>3504</v>
      </c>
      <c r="F1355" s="1" t="s">
        <v>3227</v>
      </c>
      <c r="G1355" s="1" t="s">
        <v>3505</v>
      </c>
      <c r="H1355" s="1">
        <v>39.970565999999998</v>
      </c>
      <c r="I1355" s="1">
        <v>-75.043114000000003</v>
      </c>
      <c r="J1355" s="1" t="s">
        <v>3151</v>
      </c>
      <c r="K1355" s="1" t="s">
        <v>442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</row>
    <row r="1356" spans="1:40" ht="22" customHeight="1">
      <c r="A1356" s="1" t="s">
        <v>4312</v>
      </c>
      <c r="B1356" s="1" t="s">
        <v>4313</v>
      </c>
      <c r="C1356" s="1" t="s">
        <v>3147</v>
      </c>
      <c r="D1356" s="1" t="s">
        <v>4314</v>
      </c>
      <c r="E1356" s="1" t="s">
        <v>3790</v>
      </c>
      <c r="F1356" s="1" t="s">
        <v>3150</v>
      </c>
      <c r="G1356" s="1" t="s">
        <v>3791</v>
      </c>
      <c r="H1356" s="1">
        <v>39.939072000000003</v>
      </c>
      <c r="I1356" s="1">
        <v>-75.264045999999993</v>
      </c>
      <c r="J1356" s="1" t="s">
        <v>3151</v>
      </c>
      <c r="K1356" s="1" t="s">
        <v>442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</row>
    <row r="1357" spans="1:40" ht="22" customHeight="1">
      <c r="A1357" s="1" t="s">
        <v>4315</v>
      </c>
      <c r="B1357" s="1" t="s">
        <v>4316</v>
      </c>
      <c r="C1357" s="1" t="s">
        <v>3147</v>
      </c>
      <c r="D1357" s="1" t="s">
        <v>4317</v>
      </c>
      <c r="E1357" s="1" t="s">
        <v>3371</v>
      </c>
      <c r="F1357" s="1" t="s">
        <v>3227</v>
      </c>
      <c r="G1357" s="1" t="s">
        <v>3331</v>
      </c>
      <c r="H1357" s="1">
        <v>39.819557000000003</v>
      </c>
      <c r="I1357" s="1">
        <v>-75.163939999999997</v>
      </c>
      <c r="J1357" s="1" t="s">
        <v>3151</v>
      </c>
      <c r="K1357" s="1" t="s">
        <v>442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</row>
    <row r="1358" spans="1:40" ht="22" customHeight="1">
      <c r="A1358" s="1" t="s">
        <v>4318</v>
      </c>
      <c r="B1358" s="1" t="s">
        <v>4319</v>
      </c>
      <c r="C1358" s="1" t="s">
        <v>3154</v>
      </c>
      <c r="D1358" s="1" t="s">
        <v>4320</v>
      </c>
      <c r="E1358" s="1" t="s">
        <v>3149</v>
      </c>
      <c r="F1358" s="1" t="s">
        <v>3150</v>
      </c>
      <c r="G1358" s="1" t="s">
        <v>1938</v>
      </c>
      <c r="H1358" s="1">
        <v>40.071261999999997</v>
      </c>
      <c r="I1358" s="1">
        <v>-75.031730999999994</v>
      </c>
      <c r="J1358" s="1" t="s">
        <v>3151</v>
      </c>
      <c r="K1358" s="1" t="s">
        <v>442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</row>
    <row r="1359" spans="1:40" ht="22" customHeight="1">
      <c r="A1359" s="1" t="s">
        <v>4321</v>
      </c>
      <c r="B1359" s="1" t="s">
        <v>4322</v>
      </c>
      <c r="C1359" s="1" t="s">
        <v>3154</v>
      </c>
      <c r="D1359" s="1" t="s">
        <v>4323</v>
      </c>
      <c r="E1359" s="1" t="s">
        <v>3149</v>
      </c>
      <c r="F1359" s="1" t="s">
        <v>3150</v>
      </c>
      <c r="G1359" s="1" t="s">
        <v>456</v>
      </c>
      <c r="H1359" s="1">
        <v>39.95496</v>
      </c>
      <c r="I1359" s="1">
        <v>-75.209228999999993</v>
      </c>
      <c r="J1359" s="1" t="s">
        <v>3151</v>
      </c>
      <c r="K1359" s="1" t="s">
        <v>442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</row>
    <row r="1360" spans="1:40" ht="22" customHeight="1">
      <c r="A1360" s="1" t="s">
        <v>4324</v>
      </c>
      <c r="B1360" s="1" t="s">
        <v>4325</v>
      </c>
      <c r="C1360" s="1" t="s">
        <v>3147</v>
      </c>
      <c r="D1360" s="1" t="s">
        <v>4326</v>
      </c>
      <c r="E1360" s="1" t="s">
        <v>3149</v>
      </c>
      <c r="F1360" s="1" t="s">
        <v>3150</v>
      </c>
      <c r="G1360" s="1" t="s">
        <v>478</v>
      </c>
      <c r="H1360" s="1">
        <v>39.932136999999997</v>
      </c>
      <c r="I1360" s="1">
        <v>-75.224952999999999</v>
      </c>
      <c r="J1360" s="1" t="s">
        <v>3151</v>
      </c>
      <c r="K1360" s="1" t="s">
        <v>442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</row>
    <row r="1361" spans="1:40" ht="22" customHeight="1">
      <c r="A1361" s="1" t="s">
        <v>4327</v>
      </c>
      <c r="B1361" s="1" t="s">
        <v>4328</v>
      </c>
      <c r="C1361" s="1" t="s">
        <v>3147</v>
      </c>
      <c r="D1361" s="1" t="s">
        <v>4329</v>
      </c>
      <c r="E1361" s="1" t="s">
        <v>3551</v>
      </c>
      <c r="F1361" s="1" t="s">
        <v>3227</v>
      </c>
      <c r="G1361" s="1" t="s">
        <v>3552</v>
      </c>
      <c r="H1361" s="1">
        <v>40.014057000000001</v>
      </c>
      <c r="I1361" s="1">
        <v>-74.957656999999998</v>
      </c>
      <c r="J1361" s="1" t="s">
        <v>3151</v>
      </c>
      <c r="K1361" s="1" t="s">
        <v>442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</row>
    <row r="1362" spans="1:40" ht="22" customHeight="1">
      <c r="A1362" s="1" t="s">
        <v>4330</v>
      </c>
      <c r="B1362" s="1" t="s">
        <v>4331</v>
      </c>
      <c r="C1362" s="1" t="s">
        <v>3147</v>
      </c>
      <c r="D1362" s="1" t="s">
        <v>4332</v>
      </c>
      <c r="E1362" s="1" t="s">
        <v>3149</v>
      </c>
      <c r="F1362" s="1" t="s">
        <v>3150</v>
      </c>
      <c r="G1362" s="1" t="s">
        <v>876</v>
      </c>
      <c r="H1362" s="1">
        <v>40.107452000000002</v>
      </c>
      <c r="I1362" s="1">
        <v>-75.027084000000002</v>
      </c>
      <c r="J1362" s="1" t="s">
        <v>3151</v>
      </c>
      <c r="K1362" s="1" t="s">
        <v>442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</row>
    <row r="1363" spans="1:40" ht="22" customHeight="1">
      <c r="A1363" s="1" t="s">
        <v>4333</v>
      </c>
      <c r="B1363" s="1" t="s">
        <v>4334</v>
      </c>
      <c r="C1363" s="1" t="s">
        <v>3154</v>
      </c>
      <c r="D1363" s="1" t="s">
        <v>4335</v>
      </c>
      <c r="E1363" s="1" t="s">
        <v>3301</v>
      </c>
      <c r="F1363" s="1" t="s">
        <v>3227</v>
      </c>
      <c r="G1363" s="1" t="s">
        <v>3302</v>
      </c>
      <c r="H1363" s="1">
        <v>39.993102999999998</v>
      </c>
      <c r="I1363" s="1">
        <v>-75.000900000000001</v>
      </c>
      <c r="J1363" s="1" t="s">
        <v>3151</v>
      </c>
      <c r="K1363" s="1" t="s">
        <v>442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</row>
    <row r="1364" spans="1:40" ht="22" customHeight="1">
      <c r="A1364" s="1" t="s">
        <v>4336</v>
      </c>
      <c r="B1364" s="1" t="s">
        <v>4337</v>
      </c>
      <c r="C1364" s="1" t="s">
        <v>3147</v>
      </c>
      <c r="D1364" s="1" t="s">
        <v>4338</v>
      </c>
      <c r="E1364" s="1" t="s">
        <v>3826</v>
      </c>
      <c r="F1364" s="1" t="s">
        <v>3150</v>
      </c>
      <c r="G1364" s="1" t="s">
        <v>3827</v>
      </c>
      <c r="H1364" s="1">
        <v>40.094067000000003</v>
      </c>
      <c r="I1364" s="1">
        <v>-75.365386999999998</v>
      </c>
      <c r="J1364" s="1" t="s">
        <v>3151</v>
      </c>
      <c r="K1364" s="1" t="s">
        <v>442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</row>
    <row r="1365" spans="1:40" ht="22" customHeight="1">
      <c r="A1365" s="1" t="s">
        <v>4339</v>
      </c>
      <c r="B1365" s="1" t="s">
        <v>4340</v>
      </c>
      <c r="C1365" s="1" t="s">
        <v>3154</v>
      </c>
      <c r="D1365" s="1" t="s">
        <v>4341</v>
      </c>
      <c r="E1365" s="1" t="s">
        <v>3149</v>
      </c>
      <c r="F1365" s="1" t="s">
        <v>3150</v>
      </c>
      <c r="G1365" s="1" t="s">
        <v>581</v>
      </c>
      <c r="H1365" s="1">
        <v>39.926406999999998</v>
      </c>
      <c r="I1365" s="1">
        <v>-75.141495000000006</v>
      </c>
      <c r="J1365" s="1" t="s">
        <v>3151</v>
      </c>
      <c r="K1365" s="1" t="s">
        <v>442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</row>
    <row r="1366" spans="1:40" ht="22" customHeight="1">
      <c r="A1366" s="1" t="s">
        <v>4342</v>
      </c>
      <c r="B1366" s="1" t="s">
        <v>4343</v>
      </c>
      <c r="C1366" s="1" t="s">
        <v>3147</v>
      </c>
      <c r="D1366" s="1" t="s">
        <v>4344</v>
      </c>
      <c r="E1366" s="1" t="s">
        <v>4345</v>
      </c>
      <c r="F1366" s="1" t="s">
        <v>3227</v>
      </c>
      <c r="G1366" s="1" t="s">
        <v>4346</v>
      </c>
      <c r="H1366" s="1">
        <v>39.816752999999999</v>
      </c>
      <c r="I1366" s="1">
        <v>-75.260863999999998</v>
      </c>
      <c r="J1366" s="1" t="s">
        <v>3151</v>
      </c>
      <c r="K1366" s="1" t="s">
        <v>442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</row>
    <row r="1367" spans="1:40" ht="22" customHeight="1">
      <c r="A1367" s="1" t="s">
        <v>4347</v>
      </c>
      <c r="B1367" s="1" t="s">
        <v>4348</v>
      </c>
      <c r="C1367" s="1" t="s">
        <v>3147</v>
      </c>
      <c r="D1367" s="1" t="s">
        <v>4349</v>
      </c>
      <c r="E1367" s="1" t="s">
        <v>3149</v>
      </c>
      <c r="F1367" s="1" t="s">
        <v>3150</v>
      </c>
      <c r="G1367" s="1" t="s">
        <v>1877</v>
      </c>
      <c r="H1367" s="1">
        <v>40.049576000000002</v>
      </c>
      <c r="I1367" s="1">
        <v>-75.060637999999997</v>
      </c>
      <c r="J1367" s="1" t="s">
        <v>3151</v>
      </c>
      <c r="K1367" s="1" t="s">
        <v>442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</row>
    <row r="1368" spans="1:40" ht="22" customHeight="1">
      <c r="A1368" s="1" t="s">
        <v>4350</v>
      </c>
      <c r="B1368" s="1" t="s">
        <v>4351</v>
      </c>
      <c r="C1368" s="1" t="s">
        <v>3147</v>
      </c>
      <c r="D1368" s="1" t="s">
        <v>4352</v>
      </c>
      <c r="E1368" s="1" t="s">
        <v>3149</v>
      </c>
      <c r="F1368" s="1" t="s">
        <v>3150</v>
      </c>
      <c r="G1368" s="1" t="s">
        <v>1228</v>
      </c>
      <c r="H1368" s="1">
        <v>39.993293999999999</v>
      </c>
      <c r="I1368" s="1">
        <v>-75.098517999999999</v>
      </c>
      <c r="J1368" s="1" t="s">
        <v>3151</v>
      </c>
      <c r="K1368" s="1" t="s">
        <v>442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</row>
    <row r="1369" spans="1:40" ht="22" customHeight="1">
      <c r="A1369" s="1" t="s">
        <v>4353</v>
      </c>
      <c r="B1369" s="1" t="s">
        <v>4354</v>
      </c>
      <c r="C1369" s="1" t="s">
        <v>3147</v>
      </c>
      <c r="D1369" s="1" t="s">
        <v>4355</v>
      </c>
      <c r="E1369" s="1" t="s">
        <v>3210</v>
      </c>
      <c r="F1369" s="1" t="s">
        <v>3150</v>
      </c>
      <c r="G1369" s="1" t="s">
        <v>3243</v>
      </c>
      <c r="H1369" s="1">
        <v>40.131863000000003</v>
      </c>
      <c r="I1369" s="1">
        <v>-75.334106000000006</v>
      </c>
      <c r="J1369" s="1" t="s">
        <v>3151</v>
      </c>
      <c r="K1369" s="1" t="s">
        <v>442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</row>
    <row r="1370" spans="1:40" ht="22" customHeight="1">
      <c r="A1370" s="1" t="s">
        <v>4356</v>
      </c>
      <c r="B1370" s="1" t="s">
        <v>4357</v>
      </c>
      <c r="C1370" s="1" t="s">
        <v>3154</v>
      </c>
      <c r="D1370" s="1" t="s">
        <v>4358</v>
      </c>
      <c r="E1370" s="1" t="s">
        <v>3149</v>
      </c>
      <c r="F1370" s="1" t="s">
        <v>3150</v>
      </c>
      <c r="G1370" s="1" t="s">
        <v>785</v>
      </c>
      <c r="H1370" s="1">
        <v>40.020972999999998</v>
      </c>
      <c r="I1370" s="1">
        <v>-75.117912000000004</v>
      </c>
      <c r="J1370" s="1" t="s">
        <v>3151</v>
      </c>
      <c r="K1370" s="1" t="s">
        <v>442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</row>
    <row r="1371" spans="1:40" ht="22" customHeight="1">
      <c r="A1371" s="1" t="s">
        <v>4359</v>
      </c>
      <c r="B1371" s="1" t="s">
        <v>4360</v>
      </c>
      <c r="C1371" s="1" t="s">
        <v>3154</v>
      </c>
      <c r="D1371" s="1" t="s">
        <v>4361</v>
      </c>
      <c r="E1371" s="1" t="s">
        <v>3149</v>
      </c>
      <c r="F1371" s="1" t="s">
        <v>3150</v>
      </c>
      <c r="G1371" s="1" t="s">
        <v>1588</v>
      </c>
      <c r="H1371" s="1">
        <v>40.052849000000002</v>
      </c>
      <c r="I1371" s="1">
        <v>-75.065002000000007</v>
      </c>
      <c r="J1371" s="1" t="s">
        <v>3151</v>
      </c>
      <c r="K1371" s="1" t="s">
        <v>442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</row>
    <row r="1372" spans="1:40" ht="22" customHeight="1">
      <c r="A1372" s="1" t="s">
        <v>4362</v>
      </c>
      <c r="B1372" s="1" t="s">
        <v>4363</v>
      </c>
      <c r="C1372" s="1" t="s">
        <v>3147</v>
      </c>
      <c r="D1372" s="1" t="s">
        <v>4364</v>
      </c>
      <c r="E1372" s="1" t="s">
        <v>3764</v>
      </c>
      <c r="F1372" s="1" t="s">
        <v>3150</v>
      </c>
      <c r="G1372" s="1" t="s">
        <v>3765</v>
      </c>
      <c r="H1372" s="1">
        <v>40.086472000000001</v>
      </c>
      <c r="I1372" s="1">
        <v>-75.091766000000007</v>
      </c>
      <c r="J1372" s="1" t="s">
        <v>3151</v>
      </c>
      <c r="K1372" s="1" t="s">
        <v>442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</row>
    <row r="1373" spans="1:40" ht="22" customHeight="1">
      <c r="A1373" s="1" t="s">
        <v>4365</v>
      </c>
      <c r="B1373" s="1" t="s">
        <v>4366</v>
      </c>
      <c r="C1373" s="1" t="s">
        <v>3147</v>
      </c>
      <c r="D1373" s="1" t="s">
        <v>4367</v>
      </c>
      <c r="E1373" s="1" t="s">
        <v>4368</v>
      </c>
      <c r="F1373" s="1" t="s">
        <v>3150</v>
      </c>
      <c r="G1373" s="1" t="s">
        <v>4369</v>
      </c>
      <c r="H1373" s="1">
        <v>40.169120999999997</v>
      </c>
      <c r="I1373" s="1">
        <v>-75.048264000000003</v>
      </c>
      <c r="J1373" s="1" t="s">
        <v>3151</v>
      </c>
      <c r="K1373" s="1" t="s">
        <v>442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</row>
    <row r="1374" spans="1:40" ht="22" customHeight="1">
      <c r="A1374" s="1" t="s">
        <v>4370</v>
      </c>
      <c r="B1374" s="1" t="s">
        <v>4371</v>
      </c>
      <c r="C1374" s="1" t="s">
        <v>3147</v>
      </c>
      <c r="D1374" s="1" t="s">
        <v>4372</v>
      </c>
      <c r="E1374" s="1" t="s">
        <v>3149</v>
      </c>
      <c r="F1374" s="1" t="s">
        <v>3150</v>
      </c>
      <c r="G1374" s="1" t="s">
        <v>901</v>
      </c>
      <c r="H1374" s="1">
        <v>39.959332000000003</v>
      </c>
      <c r="I1374" s="1">
        <v>-75.136032</v>
      </c>
      <c r="J1374" s="1" t="s">
        <v>3151</v>
      </c>
      <c r="K1374" s="1" t="s">
        <v>442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</row>
    <row r="1375" spans="1:40" ht="22" customHeight="1">
      <c r="A1375" s="1" t="s">
        <v>4373</v>
      </c>
      <c r="B1375" s="1" t="s">
        <v>4374</v>
      </c>
      <c r="C1375" s="1" t="s">
        <v>3147</v>
      </c>
      <c r="D1375" s="1" t="s">
        <v>4375</v>
      </c>
      <c r="E1375" s="1" t="s">
        <v>3687</v>
      </c>
      <c r="F1375" s="1" t="s">
        <v>3227</v>
      </c>
      <c r="G1375" s="1" t="s">
        <v>3331</v>
      </c>
      <c r="H1375" s="1">
        <v>39.836585999999997</v>
      </c>
      <c r="I1375" s="1">
        <v>-75.090141000000003</v>
      </c>
      <c r="J1375" s="1" t="s">
        <v>3151</v>
      </c>
      <c r="K1375" s="1" t="s">
        <v>442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</row>
    <row r="1376" spans="1:40" ht="22" customHeight="1">
      <c r="A1376" s="1" t="s">
        <v>4376</v>
      </c>
      <c r="B1376" s="1" t="s">
        <v>4377</v>
      </c>
      <c r="C1376" s="1" t="s">
        <v>3154</v>
      </c>
      <c r="D1376" s="1" t="s">
        <v>4378</v>
      </c>
      <c r="E1376" s="1" t="s">
        <v>3149</v>
      </c>
      <c r="F1376" s="1" t="s">
        <v>3150</v>
      </c>
      <c r="G1376" s="1" t="s">
        <v>1938</v>
      </c>
      <c r="H1376" s="1">
        <v>40.075232999999997</v>
      </c>
      <c r="I1376" s="1">
        <v>-75.032195999999999</v>
      </c>
      <c r="J1376" s="1" t="s">
        <v>3151</v>
      </c>
      <c r="K1376" s="1" t="s">
        <v>442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</row>
    <row r="1377" spans="1:40" ht="22" customHeight="1">
      <c r="A1377" s="1" t="s">
        <v>4379</v>
      </c>
      <c r="B1377" s="1" t="s">
        <v>4380</v>
      </c>
      <c r="C1377" s="1" t="s">
        <v>3154</v>
      </c>
      <c r="D1377" s="1" t="s">
        <v>4381</v>
      </c>
      <c r="E1377" s="1" t="s">
        <v>3826</v>
      </c>
      <c r="F1377" s="1" t="s">
        <v>3150</v>
      </c>
      <c r="G1377" s="1" t="s">
        <v>3827</v>
      </c>
      <c r="H1377" s="1">
        <v>40.091388999999999</v>
      </c>
      <c r="I1377" s="1">
        <v>-75.386985999999993</v>
      </c>
      <c r="J1377" s="1" t="s">
        <v>3151</v>
      </c>
      <c r="K1377" s="1" t="s">
        <v>442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</row>
    <row r="1378" spans="1:40" ht="22" customHeight="1">
      <c r="A1378" s="1" t="s">
        <v>4382</v>
      </c>
      <c r="B1378" s="1" t="s">
        <v>4383</v>
      </c>
      <c r="C1378" s="1" t="s">
        <v>3154</v>
      </c>
      <c r="D1378" s="1" t="s">
        <v>4384</v>
      </c>
      <c r="E1378" s="1" t="s">
        <v>3149</v>
      </c>
      <c r="F1378" s="1" t="s">
        <v>3150</v>
      </c>
      <c r="G1378" s="1" t="s">
        <v>1398</v>
      </c>
      <c r="H1378" s="1">
        <v>39.976573999999999</v>
      </c>
      <c r="I1378" s="1">
        <v>-75.157546999999994</v>
      </c>
      <c r="J1378" s="1" t="s">
        <v>3151</v>
      </c>
      <c r="K1378" s="1" t="s">
        <v>442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</row>
    <row r="1379" spans="1:40" ht="22" customHeight="1">
      <c r="A1379" s="1" t="s">
        <v>4385</v>
      </c>
      <c r="B1379" s="1" t="s">
        <v>4386</v>
      </c>
      <c r="C1379" s="1" t="s">
        <v>3147</v>
      </c>
      <c r="D1379" s="1" t="s">
        <v>4387</v>
      </c>
      <c r="E1379" s="1" t="s">
        <v>3806</v>
      </c>
      <c r="F1379" s="1" t="s">
        <v>3150</v>
      </c>
      <c r="G1379" s="1" t="s">
        <v>3807</v>
      </c>
      <c r="H1379" s="1">
        <v>39.967078999999998</v>
      </c>
      <c r="I1379" s="1">
        <v>-75.300933999999998</v>
      </c>
      <c r="J1379" s="1" t="s">
        <v>3151</v>
      </c>
      <c r="K1379" s="1" t="s">
        <v>442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</row>
    <row r="1380" spans="1:40" ht="22" customHeight="1">
      <c r="A1380" s="1" t="s">
        <v>4388</v>
      </c>
      <c r="B1380" s="1" t="s">
        <v>4389</v>
      </c>
      <c r="C1380" s="1" t="s">
        <v>3147</v>
      </c>
      <c r="D1380" s="1" t="s">
        <v>4390</v>
      </c>
      <c r="E1380" s="1" t="s">
        <v>3188</v>
      </c>
      <c r="F1380" s="1" t="s">
        <v>3150</v>
      </c>
      <c r="G1380" s="1" t="s">
        <v>3189</v>
      </c>
      <c r="H1380" s="1">
        <v>39.915706999999998</v>
      </c>
      <c r="I1380" s="1">
        <v>-75.341835000000003</v>
      </c>
      <c r="J1380" s="1" t="s">
        <v>3151</v>
      </c>
      <c r="K1380" s="1" t="s">
        <v>442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</row>
    <row r="1381" spans="1:40" ht="22" customHeight="1">
      <c r="A1381" s="1" t="s">
        <v>4391</v>
      </c>
      <c r="B1381" s="1" t="s">
        <v>4392</v>
      </c>
      <c r="C1381" s="1" t="s">
        <v>3147</v>
      </c>
      <c r="D1381" s="1" t="s">
        <v>4393</v>
      </c>
      <c r="E1381" s="1" t="s">
        <v>3330</v>
      </c>
      <c r="F1381" s="1" t="s">
        <v>3227</v>
      </c>
      <c r="G1381" s="1" t="s">
        <v>3331</v>
      </c>
      <c r="H1381" s="1">
        <v>39.827247999999997</v>
      </c>
      <c r="I1381" s="1">
        <v>-75.097533999999996</v>
      </c>
      <c r="J1381" s="1" t="s">
        <v>3151</v>
      </c>
      <c r="K1381" s="1" t="s">
        <v>442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</row>
    <row r="1382" spans="1:40" ht="22" customHeight="1">
      <c r="A1382" s="1" t="s">
        <v>4394</v>
      </c>
      <c r="B1382" s="1" t="s">
        <v>4395</v>
      </c>
      <c r="C1382" s="1" t="s">
        <v>3154</v>
      </c>
      <c r="D1382" s="1" t="s">
        <v>4396</v>
      </c>
      <c r="E1382" s="1" t="s">
        <v>3350</v>
      </c>
      <c r="F1382" s="1" t="s">
        <v>3227</v>
      </c>
      <c r="G1382" s="1" t="s">
        <v>3467</v>
      </c>
      <c r="H1382" s="1">
        <v>39.943568999999997</v>
      </c>
      <c r="I1382" s="1">
        <v>-75.088593000000003</v>
      </c>
      <c r="J1382" s="1" t="s">
        <v>3151</v>
      </c>
      <c r="K1382" s="1" t="s">
        <v>442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</row>
    <row r="1383" spans="1:40" ht="22" customHeight="1">
      <c r="A1383" s="1" t="s">
        <v>4397</v>
      </c>
      <c r="B1383" s="1" t="s">
        <v>4398</v>
      </c>
      <c r="C1383" s="1" t="s">
        <v>3154</v>
      </c>
      <c r="D1383" s="1" t="s">
        <v>4399</v>
      </c>
      <c r="E1383" s="1" t="s">
        <v>3149</v>
      </c>
      <c r="F1383" s="1" t="s">
        <v>3150</v>
      </c>
      <c r="G1383" s="1" t="s">
        <v>785</v>
      </c>
      <c r="H1383" s="1">
        <v>40.029324000000003</v>
      </c>
      <c r="I1383" s="1">
        <v>-75.118706000000003</v>
      </c>
      <c r="J1383" s="1" t="s">
        <v>3151</v>
      </c>
      <c r="K1383" s="1" t="s">
        <v>442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</row>
    <row r="1384" spans="1:40" ht="22" customHeight="1">
      <c r="A1384" s="1" t="s">
        <v>4400</v>
      </c>
      <c r="B1384" s="1" t="s">
        <v>4401</v>
      </c>
      <c r="C1384" s="1" t="s">
        <v>3147</v>
      </c>
      <c r="D1384" s="1" t="s">
        <v>4402</v>
      </c>
      <c r="E1384" s="1" t="s">
        <v>3165</v>
      </c>
      <c r="F1384" s="1" t="s">
        <v>3150</v>
      </c>
      <c r="G1384" s="1" t="s">
        <v>3166</v>
      </c>
      <c r="H1384" s="1">
        <v>40.093353</v>
      </c>
      <c r="I1384" s="1">
        <v>-75.285133000000002</v>
      </c>
      <c r="J1384" s="1" t="s">
        <v>3151</v>
      </c>
      <c r="K1384" s="1" t="s">
        <v>442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</row>
    <row r="1385" spans="1:40" ht="22" customHeight="1">
      <c r="A1385" s="1" t="s">
        <v>4403</v>
      </c>
      <c r="B1385" s="1" t="s">
        <v>4404</v>
      </c>
      <c r="C1385" s="1" t="s">
        <v>3147</v>
      </c>
      <c r="D1385" s="1" t="s">
        <v>4405</v>
      </c>
      <c r="E1385" s="1" t="s">
        <v>3149</v>
      </c>
      <c r="F1385" s="1" t="s">
        <v>3150</v>
      </c>
      <c r="G1385" s="1" t="s">
        <v>766</v>
      </c>
      <c r="H1385" s="1">
        <v>39.984718000000001</v>
      </c>
      <c r="I1385" s="1">
        <v>-75.121161999999998</v>
      </c>
      <c r="J1385" s="1" t="s">
        <v>3151</v>
      </c>
      <c r="K1385" s="1" t="s">
        <v>442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</row>
    <row r="1386" spans="1:40" ht="22" customHeight="1">
      <c r="A1386" s="1" t="s">
        <v>4406</v>
      </c>
      <c r="B1386" s="1" t="s">
        <v>4407</v>
      </c>
      <c r="C1386" s="1" t="s">
        <v>3147</v>
      </c>
      <c r="D1386" s="1" t="s">
        <v>4408</v>
      </c>
      <c r="E1386" s="1" t="s">
        <v>3448</v>
      </c>
      <c r="F1386" s="1" t="s">
        <v>3150</v>
      </c>
      <c r="G1386" s="1" t="s">
        <v>3449</v>
      </c>
      <c r="H1386" s="1">
        <v>39.963051</v>
      </c>
      <c r="I1386" s="1">
        <v>-75.254813999999996</v>
      </c>
      <c r="J1386" s="1" t="s">
        <v>3151</v>
      </c>
      <c r="K1386" s="1" t="s">
        <v>442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</row>
    <row r="1387" spans="1:40" ht="22" customHeight="1">
      <c r="A1387" s="1" t="s">
        <v>4409</v>
      </c>
      <c r="B1387" s="1" t="s">
        <v>4410</v>
      </c>
      <c r="C1387" s="1" t="s">
        <v>3154</v>
      </c>
      <c r="D1387" s="1" t="s">
        <v>4411</v>
      </c>
      <c r="E1387" s="1" t="s">
        <v>3149</v>
      </c>
      <c r="F1387" s="1" t="s">
        <v>3150</v>
      </c>
      <c r="G1387" s="1" t="s">
        <v>1955</v>
      </c>
      <c r="H1387" s="1">
        <v>40.099421999999997</v>
      </c>
      <c r="I1387" s="1">
        <v>-75.024383999999998</v>
      </c>
      <c r="J1387" s="1" t="s">
        <v>3151</v>
      </c>
      <c r="K1387" s="1" t="s">
        <v>442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</row>
    <row r="1388" spans="1:40" ht="22" customHeight="1">
      <c r="A1388" s="1" t="s">
        <v>4412</v>
      </c>
      <c r="B1388" s="1" t="s">
        <v>4413</v>
      </c>
      <c r="C1388" s="1" t="s">
        <v>3154</v>
      </c>
      <c r="D1388" s="1" t="s">
        <v>4414</v>
      </c>
      <c r="E1388" s="1" t="s">
        <v>3330</v>
      </c>
      <c r="F1388" s="1" t="s">
        <v>3227</v>
      </c>
      <c r="G1388" s="1" t="s">
        <v>3331</v>
      </c>
      <c r="H1388" s="1">
        <v>39.831077999999998</v>
      </c>
      <c r="I1388" s="1">
        <v>-75.090880999999996</v>
      </c>
      <c r="J1388" s="1" t="s">
        <v>3151</v>
      </c>
      <c r="K1388" s="1" t="s">
        <v>442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</row>
    <row r="1389" spans="1:40" ht="22" customHeight="1">
      <c r="A1389" s="1" t="s">
        <v>4415</v>
      </c>
      <c r="B1389" s="1" t="s">
        <v>4416</v>
      </c>
      <c r="C1389" s="1" t="s">
        <v>3154</v>
      </c>
      <c r="D1389" s="1" t="s">
        <v>4417</v>
      </c>
      <c r="E1389" s="1" t="s">
        <v>3375</v>
      </c>
      <c r="F1389" s="1" t="s">
        <v>3227</v>
      </c>
      <c r="G1389" s="1" t="s">
        <v>3376</v>
      </c>
      <c r="H1389" s="1">
        <v>39.938564</v>
      </c>
      <c r="I1389" s="1">
        <v>-75.044739000000007</v>
      </c>
      <c r="J1389" s="1" t="s">
        <v>3151</v>
      </c>
      <c r="K1389" s="1" t="s">
        <v>442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</row>
    <row r="1390" spans="1:40" ht="22" customHeight="1">
      <c r="A1390" s="1" t="s">
        <v>4418</v>
      </c>
      <c r="B1390" s="1" t="s">
        <v>4419</v>
      </c>
      <c r="C1390" s="1" t="s">
        <v>3154</v>
      </c>
      <c r="D1390" s="1" t="s">
        <v>4420</v>
      </c>
      <c r="E1390" s="1" t="s">
        <v>3149</v>
      </c>
      <c r="F1390" s="1" t="s">
        <v>3150</v>
      </c>
      <c r="G1390" s="1" t="s">
        <v>785</v>
      </c>
      <c r="H1390" s="1">
        <v>40.038330000000002</v>
      </c>
      <c r="I1390" s="1">
        <v>-75.107581999999994</v>
      </c>
      <c r="J1390" s="1" t="s">
        <v>3151</v>
      </c>
      <c r="K1390" s="1" t="s">
        <v>442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</row>
    <row r="1391" spans="1:40" ht="22" customHeight="1">
      <c r="A1391" s="1" t="s">
        <v>4421</v>
      </c>
      <c r="B1391" s="1" t="s">
        <v>4043</v>
      </c>
      <c r="C1391" s="1" t="s">
        <v>3154</v>
      </c>
      <c r="D1391" s="1" t="s">
        <v>4422</v>
      </c>
      <c r="E1391" s="1" t="s">
        <v>3149</v>
      </c>
      <c r="F1391" s="1" t="s">
        <v>3150</v>
      </c>
      <c r="G1391" s="1" t="s">
        <v>1588</v>
      </c>
      <c r="H1391" s="1">
        <v>40.067368000000002</v>
      </c>
      <c r="I1391" s="1">
        <v>-75.051276999999999</v>
      </c>
      <c r="J1391" s="1" t="s">
        <v>3151</v>
      </c>
      <c r="K1391" s="1" t="s">
        <v>442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</row>
    <row r="1392" spans="1:40" ht="22" customHeight="1">
      <c r="A1392" s="1" t="s">
        <v>4423</v>
      </c>
      <c r="B1392" s="1" t="s">
        <v>4424</v>
      </c>
      <c r="C1392" s="1" t="s">
        <v>3147</v>
      </c>
      <c r="D1392" s="1" t="s">
        <v>4425</v>
      </c>
      <c r="E1392" s="1" t="s">
        <v>3958</v>
      </c>
      <c r="F1392" s="1" t="s">
        <v>3150</v>
      </c>
      <c r="G1392" s="1" t="s">
        <v>3959</v>
      </c>
      <c r="H1392" s="1">
        <v>40.001761999999999</v>
      </c>
      <c r="I1392" s="1">
        <v>-75.274124</v>
      </c>
      <c r="J1392" s="1" t="s">
        <v>3151</v>
      </c>
      <c r="K1392" s="1" t="s">
        <v>442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</row>
    <row r="1393" spans="1:40" ht="22" customHeight="1">
      <c r="A1393" s="1" t="s">
        <v>4426</v>
      </c>
      <c r="B1393" s="1" t="s">
        <v>4427</v>
      </c>
      <c r="C1393" s="1" t="s">
        <v>3147</v>
      </c>
      <c r="D1393" s="1" t="s">
        <v>3575</v>
      </c>
      <c r="E1393" s="1" t="s">
        <v>3149</v>
      </c>
      <c r="F1393" s="1" t="s">
        <v>3150</v>
      </c>
      <c r="G1393" s="1" t="s">
        <v>876</v>
      </c>
      <c r="H1393" s="1">
        <v>40.102367000000001</v>
      </c>
      <c r="I1393" s="1">
        <v>-75.008537000000004</v>
      </c>
      <c r="J1393" s="1" t="s">
        <v>3151</v>
      </c>
      <c r="K1393" s="1" t="s">
        <v>442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</row>
    <row r="1394" spans="1:40" ht="22" customHeight="1">
      <c r="A1394" s="1" t="s">
        <v>4428</v>
      </c>
      <c r="B1394" s="1" t="s">
        <v>4429</v>
      </c>
      <c r="C1394" s="1" t="s">
        <v>3154</v>
      </c>
      <c r="D1394" s="1" t="s">
        <v>4430</v>
      </c>
      <c r="E1394" s="1" t="s">
        <v>3149</v>
      </c>
      <c r="F1394" s="1" t="s">
        <v>3150</v>
      </c>
      <c r="G1394" s="1" t="s">
        <v>908</v>
      </c>
      <c r="H1394" s="1">
        <v>39.996608999999999</v>
      </c>
      <c r="I1394" s="1">
        <v>-75.093384</v>
      </c>
      <c r="J1394" s="1" t="s">
        <v>3151</v>
      </c>
      <c r="K1394" s="1" t="s">
        <v>442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</row>
    <row r="1395" spans="1:40" ht="22" customHeight="1">
      <c r="A1395" s="1" t="s">
        <v>4431</v>
      </c>
      <c r="B1395" s="1" t="s">
        <v>4432</v>
      </c>
      <c r="C1395" s="1" t="s">
        <v>3154</v>
      </c>
      <c r="D1395" s="1" t="s">
        <v>4433</v>
      </c>
      <c r="E1395" s="1" t="s">
        <v>3375</v>
      </c>
      <c r="F1395" s="1" t="s">
        <v>3227</v>
      </c>
      <c r="G1395" s="1" t="s">
        <v>3376</v>
      </c>
      <c r="H1395" s="1">
        <v>39.936714000000002</v>
      </c>
      <c r="I1395" s="1">
        <v>-75.050858000000005</v>
      </c>
      <c r="J1395" s="1" t="s">
        <v>3151</v>
      </c>
      <c r="K1395" s="1" t="s">
        <v>442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</row>
    <row r="1396" spans="1:40" ht="22" customHeight="1">
      <c r="A1396" s="1" t="s">
        <v>4434</v>
      </c>
      <c r="B1396" s="1" t="s">
        <v>4435</v>
      </c>
      <c r="C1396" s="1" t="s">
        <v>3154</v>
      </c>
      <c r="D1396" s="1" t="s">
        <v>4436</v>
      </c>
      <c r="E1396" s="1" t="s">
        <v>3345</v>
      </c>
      <c r="F1396" s="1" t="s">
        <v>3150</v>
      </c>
      <c r="G1396" s="1" t="s">
        <v>3346</v>
      </c>
      <c r="H1396" s="1">
        <v>40.129814000000003</v>
      </c>
      <c r="I1396" s="1">
        <v>-74.923927000000006</v>
      </c>
      <c r="J1396" s="1" t="s">
        <v>3151</v>
      </c>
      <c r="K1396" s="1" t="s">
        <v>442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</row>
    <row r="1397" spans="1:40" ht="22" customHeight="1">
      <c r="A1397" s="1" t="s">
        <v>4437</v>
      </c>
      <c r="B1397" s="1" t="s">
        <v>4438</v>
      </c>
      <c r="C1397" s="1" t="s">
        <v>3154</v>
      </c>
      <c r="D1397" s="1" t="s">
        <v>4439</v>
      </c>
      <c r="E1397" s="1" t="s">
        <v>3448</v>
      </c>
      <c r="F1397" s="1" t="s">
        <v>3150</v>
      </c>
      <c r="G1397" s="1" t="s">
        <v>3449</v>
      </c>
      <c r="H1397" s="1">
        <v>39.961165999999999</v>
      </c>
      <c r="I1397" s="1">
        <v>-75.262825000000007</v>
      </c>
      <c r="J1397" s="1" t="s">
        <v>3151</v>
      </c>
      <c r="K1397" s="1" t="s">
        <v>442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</row>
    <row r="1398" spans="1:40" ht="22" customHeight="1">
      <c r="A1398" s="1" t="s">
        <v>4440</v>
      </c>
      <c r="B1398" s="1" t="s">
        <v>4441</v>
      </c>
      <c r="C1398" s="1" t="s">
        <v>3147</v>
      </c>
      <c r="D1398" s="1" t="s">
        <v>4442</v>
      </c>
      <c r="E1398" s="1" t="s">
        <v>3210</v>
      </c>
      <c r="F1398" s="1" t="s">
        <v>3150</v>
      </c>
      <c r="G1398" s="1" t="s">
        <v>3243</v>
      </c>
      <c r="H1398" s="1">
        <v>40.146388999999999</v>
      </c>
      <c r="I1398" s="1">
        <v>-75.319098999999994</v>
      </c>
      <c r="J1398" s="1" t="s">
        <v>3151</v>
      </c>
      <c r="K1398" s="1" t="s">
        <v>442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</row>
    <row r="1399" spans="1:40" ht="22" customHeight="1">
      <c r="A1399" s="1" t="s">
        <v>4443</v>
      </c>
      <c r="B1399" s="1" t="s">
        <v>4444</v>
      </c>
      <c r="C1399" s="1" t="s">
        <v>3154</v>
      </c>
      <c r="D1399" s="1" t="s">
        <v>4445</v>
      </c>
      <c r="E1399" s="1" t="s">
        <v>3149</v>
      </c>
      <c r="F1399" s="1" t="s">
        <v>3150</v>
      </c>
      <c r="G1399" s="1" t="s">
        <v>1264</v>
      </c>
      <c r="H1399" s="1">
        <v>40.087649999999996</v>
      </c>
      <c r="I1399" s="1">
        <v>-74.961333999999994</v>
      </c>
      <c r="J1399" s="1" t="s">
        <v>3151</v>
      </c>
      <c r="K1399" s="1" t="s">
        <v>442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</row>
    <row r="1400" spans="1:40" ht="22" customHeight="1">
      <c r="A1400" s="1" t="s">
        <v>4446</v>
      </c>
      <c r="B1400" s="1" t="s">
        <v>4447</v>
      </c>
      <c r="C1400" s="1" t="s">
        <v>3154</v>
      </c>
      <c r="D1400" s="1" t="s">
        <v>4448</v>
      </c>
      <c r="E1400" s="1" t="s">
        <v>3226</v>
      </c>
      <c r="F1400" s="1" t="s">
        <v>3227</v>
      </c>
      <c r="G1400" s="1" t="s">
        <v>3228</v>
      </c>
      <c r="H1400" s="1">
        <v>39.892077999999998</v>
      </c>
      <c r="I1400" s="1">
        <v>-75.084182999999996</v>
      </c>
      <c r="J1400" s="1" t="s">
        <v>3151</v>
      </c>
      <c r="K1400" s="1" t="s">
        <v>442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</row>
    <row r="1401" spans="1:40" ht="22" customHeight="1">
      <c r="A1401" s="1" t="s">
        <v>4449</v>
      </c>
      <c r="B1401" s="1" t="s">
        <v>4450</v>
      </c>
      <c r="C1401" s="1" t="s">
        <v>3154</v>
      </c>
      <c r="D1401" s="1" t="s">
        <v>4451</v>
      </c>
      <c r="E1401" s="1" t="s">
        <v>3149</v>
      </c>
      <c r="F1401" s="1" t="s">
        <v>3150</v>
      </c>
      <c r="G1401" s="1" t="s">
        <v>785</v>
      </c>
      <c r="H1401" s="1">
        <v>40.028103000000002</v>
      </c>
      <c r="I1401" s="1">
        <v>-75.125786000000005</v>
      </c>
      <c r="J1401" s="1" t="s">
        <v>3151</v>
      </c>
      <c r="K1401" s="1" t="s">
        <v>442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</row>
    <row r="1402" spans="1:40" ht="22" customHeight="1">
      <c r="A1402" s="1" t="s">
        <v>4452</v>
      </c>
      <c r="B1402" s="1" t="s">
        <v>4453</v>
      </c>
      <c r="C1402" s="1" t="s">
        <v>3147</v>
      </c>
      <c r="D1402" s="1" t="s">
        <v>4454</v>
      </c>
      <c r="E1402" s="1" t="s">
        <v>4455</v>
      </c>
      <c r="F1402" s="1" t="s">
        <v>3150</v>
      </c>
      <c r="G1402" s="1" t="s">
        <v>3424</v>
      </c>
      <c r="H1402" s="1">
        <v>39.932796000000003</v>
      </c>
      <c r="I1402" s="1">
        <v>-75.305724999999995</v>
      </c>
      <c r="J1402" s="1" t="s">
        <v>3151</v>
      </c>
      <c r="K1402" s="1" t="s">
        <v>442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</row>
    <row r="1403" spans="1:40" ht="22" customHeight="1">
      <c r="A1403" s="1" t="s">
        <v>4456</v>
      </c>
      <c r="B1403" s="1" t="s">
        <v>4457</v>
      </c>
      <c r="C1403" s="1" t="s">
        <v>3147</v>
      </c>
      <c r="D1403" s="1" t="s">
        <v>4458</v>
      </c>
      <c r="E1403" s="1" t="s">
        <v>3312</v>
      </c>
      <c r="F1403" s="1" t="s">
        <v>3150</v>
      </c>
      <c r="G1403" s="1" t="s">
        <v>3313</v>
      </c>
      <c r="H1403" s="1">
        <v>40.152439000000001</v>
      </c>
      <c r="I1403" s="1">
        <v>-75.009108999999995</v>
      </c>
      <c r="J1403" s="1" t="s">
        <v>3151</v>
      </c>
      <c r="K1403" s="1" t="s">
        <v>442</v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</row>
    <row r="1404" spans="1:40" ht="22" customHeight="1">
      <c r="A1404" s="1" t="s">
        <v>4459</v>
      </c>
      <c r="B1404" s="1" t="s">
        <v>4460</v>
      </c>
      <c r="C1404" s="1" t="s">
        <v>3147</v>
      </c>
      <c r="D1404" s="1" t="s">
        <v>4461</v>
      </c>
      <c r="E1404" s="1" t="s">
        <v>3826</v>
      </c>
      <c r="F1404" s="1" t="s">
        <v>3150</v>
      </c>
      <c r="G1404" s="1" t="s">
        <v>3827</v>
      </c>
      <c r="H1404" s="1">
        <v>40.091788999999999</v>
      </c>
      <c r="I1404" s="1">
        <v>-75.357703999999998</v>
      </c>
      <c r="J1404" s="1" t="s">
        <v>3151</v>
      </c>
      <c r="K1404" s="1" t="s">
        <v>442</v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</row>
    <row r="1405" spans="1:40" ht="22" customHeight="1">
      <c r="A1405" s="1" t="s">
        <v>4462</v>
      </c>
      <c r="B1405" s="1" t="s">
        <v>4463</v>
      </c>
      <c r="C1405" s="1" t="s">
        <v>3147</v>
      </c>
      <c r="D1405" s="1" t="s">
        <v>4464</v>
      </c>
      <c r="E1405" s="1" t="s">
        <v>3149</v>
      </c>
      <c r="F1405" s="1" t="s">
        <v>3150</v>
      </c>
      <c r="G1405" s="1" t="s">
        <v>780</v>
      </c>
      <c r="H1405" s="1">
        <v>40.035328</v>
      </c>
      <c r="I1405" s="1">
        <v>-75.099532999999994</v>
      </c>
      <c r="J1405" s="1" t="s">
        <v>3151</v>
      </c>
      <c r="K1405" s="1" t="s">
        <v>442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</row>
    <row r="1406" spans="1:40" ht="22" customHeight="1">
      <c r="A1406" s="1" t="s">
        <v>4465</v>
      </c>
      <c r="B1406" s="1" t="s">
        <v>4466</v>
      </c>
      <c r="C1406" s="1" t="s">
        <v>3147</v>
      </c>
      <c r="D1406" s="1" t="s">
        <v>4467</v>
      </c>
      <c r="E1406" s="1" t="s">
        <v>3149</v>
      </c>
      <c r="F1406" s="1" t="s">
        <v>3150</v>
      </c>
      <c r="G1406" s="1" t="s">
        <v>780</v>
      </c>
      <c r="H1406" s="1">
        <v>40.023090000000003</v>
      </c>
      <c r="I1406" s="1">
        <v>-75.076072999999994</v>
      </c>
      <c r="J1406" s="1" t="s">
        <v>3151</v>
      </c>
      <c r="K1406" s="1" t="s">
        <v>442</v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</row>
    <row r="1407" spans="1:40" ht="22" customHeight="1">
      <c r="A1407" s="1" t="s">
        <v>4468</v>
      </c>
      <c r="B1407" s="1" t="s">
        <v>4398</v>
      </c>
      <c r="C1407" s="1" t="s">
        <v>3154</v>
      </c>
      <c r="D1407" s="1" t="s">
        <v>4469</v>
      </c>
      <c r="E1407" s="1" t="s">
        <v>3149</v>
      </c>
      <c r="F1407" s="1" t="s">
        <v>3150</v>
      </c>
      <c r="G1407" s="1" t="s">
        <v>1877</v>
      </c>
      <c r="H1407" s="1">
        <v>40.040874000000002</v>
      </c>
      <c r="I1407" s="1">
        <v>-75.075103999999996</v>
      </c>
      <c r="J1407" s="1" t="s">
        <v>3151</v>
      </c>
      <c r="K1407" s="1" t="s">
        <v>442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</row>
    <row r="1408" spans="1:40" ht="22" customHeight="1">
      <c r="A1408" s="1" t="s">
        <v>4470</v>
      </c>
      <c r="B1408" s="1" t="s">
        <v>4471</v>
      </c>
      <c r="C1408" s="1" t="s">
        <v>3154</v>
      </c>
      <c r="D1408" s="1" t="s">
        <v>4472</v>
      </c>
      <c r="E1408" s="1" t="s">
        <v>3149</v>
      </c>
      <c r="F1408" s="1" t="s">
        <v>3150</v>
      </c>
      <c r="G1408" s="1" t="s">
        <v>1398</v>
      </c>
      <c r="H1408" s="1">
        <v>39.978588000000002</v>
      </c>
      <c r="I1408" s="1">
        <v>-75.138076999999996</v>
      </c>
      <c r="J1408" s="1" t="s">
        <v>3151</v>
      </c>
      <c r="K1408" s="1" t="s">
        <v>442</v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</row>
    <row r="1409" spans="1:40" ht="22" customHeight="1">
      <c r="A1409" s="1" t="s">
        <v>4473</v>
      </c>
      <c r="B1409" s="1" t="s">
        <v>4474</v>
      </c>
      <c r="C1409" s="1" t="s">
        <v>3154</v>
      </c>
      <c r="D1409" s="1" t="s">
        <v>4475</v>
      </c>
      <c r="E1409" s="1" t="s">
        <v>4200</v>
      </c>
      <c r="F1409" s="1" t="s">
        <v>3150</v>
      </c>
      <c r="G1409" s="1" t="s">
        <v>4201</v>
      </c>
      <c r="H1409" s="1">
        <v>39.907710999999999</v>
      </c>
      <c r="I1409" s="1">
        <v>-75.287459999999996</v>
      </c>
      <c r="J1409" s="1" t="s">
        <v>3151</v>
      </c>
      <c r="K1409" s="1" t="s">
        <v>442</v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</row>
    <row r="1410" spans="1:40" ht="22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</row>
    <row r="1411" spans="1:40" ht="22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</row>
    <row r="1412" spans="1:40" ht="22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</row>
    <row r="1413" spans="1:40" ht="22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</row>
    <row r="1414" spans="1:40" ht="22" customHeight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</row>
    <row r="1415" spans="1:40" ht="22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</row>
    <row r="1416" spans="1:40" ht="22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</row>
    <row r="1417" spans="1:40" ht="22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</row>
    <row r="1418" spans="1:40" ht="22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</row>
    <row r="1419" spans="1:40" ht="22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</row>
    <row r="1420" spans="1:40" ht="22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</row>
    <row r="1421" spans="1:40" ht="22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</row>
    <row r="1422" spans="1:40" ht="22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</row>
    <row r="1423" spans="1:40" ht="22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</row>
    <row r="1424" spans="1:40" ht="22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</row>
    <row r="1425" spans="1:40" ht="22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</row>
    <row r="1426" spans="1:40" ht="22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</row>
    <row r="1427" spans="1:40" ht="22" customHeight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</row>
    <row r="1428" spans="1:40" ht="22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</row>
    <row r="1429" spans="1:40" ht="22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</row>
    <row r="1430" spans="1:40" ht="22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</row>
    <row r="1431" spans="1:40" ht="22" customHeight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</row>
    <row r="1432" spans="1:40" ht="22" customHeight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</row>
    <row r="1433" spans="1:40" ht="22" customHeight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</row>
    <row r="1434" spans="1:40" ht="22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</row>
    <row r="1435" spans="1:40" ht="22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</row>
    <row r="1436" spans="1:40" ht="22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</row>
    <row r="1437" spans="1:40" ht="22" customHeight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</row>
    <row r="1438" spans="1:40" ht="22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</row>
    <row r="1439" spans="1:40" ht="22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</row>
    <row r="1440" spans="1:40" ht="22" customHeight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</row>
    <row r="1441" spans="1:40" ht="22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</row>
    <row r="1442" spans="1:40" ht="22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</row>
    <row r="1443" spans="1:40" ht="22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</row>
    <row r="1444" spans="1:40" ht="22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</row>
    <row r="1445" spans="1:40" ht="22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</row>
    <row r="1446" spans="1:40" ht="22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</row>
    <row r="1447" spans="1:40" ht="22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</row>
    <row r="1448" spans="1:40" ht="22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</row>
    <row r="1449" spans="1:40" ht="22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</row>
    <row r="1450" spans="1:40" ht="22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</row>
    <row r="1451" spans="1:40" ht="22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</row>
    <row r="1452" spans="1:40" ht="22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</row>
    <row r="1453" spans="1:40" ht="22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</row>
    <row r="1454" spans="1:40" ht="22" customHeight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</row>
    <row r="1455" spans="1:40" ht="22" customHeight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</row>
    <row r="1456" spans="1:40" ht="22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</row>
    <row r="1457" spans="1:40" ht="22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</row>
    <row r="1458" spans="1:40" ht="22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</row>
    <row r="1459" spans="1:40" ht="22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</row>
    <row r="1460" spans="1:40" ht="22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</row>
    <row r="1461" spans="1:40" ht="22" customHeight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</row>
    <row r="1462" spans="1:40" ht="22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</row>
    <row r="1463" spans="1:40" ht="22" customHeight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</row>
    <row r="1464" spans="1:40" ht="22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</row>
    <row r="1465" spans="1:40" ht="22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</row>
    <row r="1466" spans="1:40" ht="22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</row>
    <row r="1467" spans="1:40" ht="22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</row>
    <row r="1468" spans="1:40" ht="22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</row>
    <row r="1469" spans="1:40" ht="22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</row>
    <row r="1470" spans="1:40" ht="22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</row>
    <row r="1471" spans="1:40" ht="22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</row>
    <row r="1472" spans="1:40" ht="22" customHeight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</row>
    <row r="1473" spans="1:40" ht="22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</row>
    <row r="1474" spans="1:40" ht="22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</row>
    <row r="1475" spans="1:40" ht="22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</row>
    <row r="1476" spans="1:40" ht="22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</row>
    <row r="1477" spans="1:40" ht="22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</row>
    <row r="1478" spans="1:40" ht="22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</row>
    <row r="1479" spans="1:40" ht="22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</row>
    <row r="1480" spans="1:40" ht="22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</row>
    <row r="1481" spans="1:40" ht="22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</row>
    <row r="1482" spans="1:40" ht="22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</row>
    <row r="1483" spans="1:40" ht="22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</row>
    <row r="1484" spans="1:40" ht="22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</row>
    <row r="1485" spans="1:40" ht="22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</row>
    <row r="1486" spans="1:40" ht="22" customHeight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</row>
    <row r="1487" spans="1:40" ht="22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</row>
    <row r="1488" spans="1:40" ht="22" customHeight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</row>
    <row r="1489" spans="1:40" ht="22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</row>
    <row r="1490" spans="1:40" ht="22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</row>
    <row r="1491" spans="1:40" ht="22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</row>
    <row r="1492" spans="1:40" ht="22" customHeight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</row>
    <row r="1493" spans="1:40" ht="22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</row>
    <row r="1494" spans="1:40" ht="22" customHeight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</row>
    <row r="1495" spans="1:40" ht="22" customHeight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</row>
    <row r="1496" spans="1:40" ht="22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</row>
    <row r="1497" spans="1:40" ht="22" customHeight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</row>
    <row r="1498" spans="1:40" ht="22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</row>
    <row r="1499" spans="1:40" ht="22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</row>
    <row r="1500" spans="1:40" ht="22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</row>
    <row r="1501" spans="1:40" ht="22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</row>
    <row r="1502" spans="1:40" ht="22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</row>
    <row r="1503" spans="1:40" ht="22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</row>
    <row r="1504" spans="1:40" ht="22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</row>
    <row r="1505" spans="1:40" ht="22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</row>
    <row r="1506" spans="1:40" ht="22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</row>
    <row r="1507" spans="1:40" ht="22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</row>
    <row r="1508" spans="1:40" ht="22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</row>
    <row r="1509" spans="1:40" ht="22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</row>
    <row r="1510" spans="1:40" ht="22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</row>
    <row r="1511" spans="1:40" ht="22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</row>
    <row r="1512" spans="1:40" ht="22" customHeight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</row>
    <row r="1513" spans="1:40" ht="22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</row>
    <row r="1514" spans="1:40" ht="22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</row>
    <row r="1515" spans="1:40" ht="22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</row>
    <row r="1516" spans="1:40" ht="22" customHeight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</row>
    <row r="1517" spans="1:40" ht="22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</row>
    <row r="1518" spans="1:40" ht="22" customHeight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</row>
    <row r="1519" spans="1:40" ht="22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</row>
    <row r="1520" spans="1:40" ht="22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</row>
    <row r="1521" spans="1:40" ht="22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</row>
    <row r="1522" spans="1:40" ht="22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</row>
    <row r="1523" spans="1:40" ht="22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</row>
    <row r="1524" spans="1:40" ht="22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</row>
    <row r="1525" spans="1:40" ht="22" customHeight="1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</row>
    <row r="1526" spans="1:40" ht="22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</row>
    <row r="1527" spans="1:40" ht="22" customHeight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</row>
    <row r="1528" spans="1:40" ht="22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</row>
    <row r="1529" spans="1:40" ht="22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</row>
    <row r="1530" spans="1:40" ht="34" customHeight="1">
      <c r="A1530" s="5" t="s">
        <v>45</v>
      </c>
      <c r="B1530" s="5" t="s">
        <v>77</v>
      </c>
      <c r="C1530" s="5" t="s">
        <v>4476</v>
      </c>
      <c r="D1530" s="5" t="s">
        <v>3140</v>
      </c>
      <c r="E1530" s="5" t="s">
        <v>64</v>
      </c>
      <c r="F1530" s="5" t="s">
        <v>65</v>
      </c>
      <c r="G1530" s="5" t="s">
        <v>4477</v>
      </c>
      <c r="H1530" s="5" t="s">
        <v>428</v>
      </c>
      <c r="I1530" s="5" t="s">
        <v>4478</v>
      </c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</row>
    <row r="1531" spans="1:40" ht="22" customHeight="1">
      <c r="A1531" s="1" t="s">
        <v>225</v>
      </c>
      <c r="B1531" s="1" t="s">
        <v>434</v>
      </c>
      <c r="C1531" s="7">
        <v>0.3397819435174283</v>
      </c>
      <c r="D1531" s="1" t="s">
        <v>4059</v>
      </c>
      <c r="E1531" s="1" t="s">
        <v>4060</v>
      </c>
      <c r="F1531" s="1" t="s">
        <v>4479</v>
      </c>
      <c r="G1531" s="1">
        <v>4</v>
      </c>
      <c r="H1531" s="1" t="s">
        <v>442</v>
      </c>
      <c r="I1531" s="1" t="s">
        <v>4480</v>
      </c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</row>
    <row r="1532" spans="1:40" ht="22" customHeight="1">
      <c r="A1532" s="1" t="s">
        <v>399</v>
      </c>
      <c r="B1532" s="1" t="s">
        <v>448</v>
      </c>
      <c r="C1532" s="7">
        <v>0.35675630166563865</v>
      </c>
      <c r="D1532" s="1" t="s">
        <v>4139</v>
      </c>
      <c r="E1532" s="1" t="s">
        <v>4140</v>
      </c>
      <c r="F1532" s="1" t="s">
        <v>4481</v>
      </c>
      <c r="G1532" s="1">
        <v>14</v>
      </c>
      <c r="H1532" s="1" t="s">
        <v>442</v>
      </c>
      <c r="I1532" s="1" t="s">
        <v>4480</v>
      </c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</row>
    <row r="1533" spans="1:40" ht="22" customHeight="1">
      <c r="A1533" s="1" t="s">
        <v>203</v>
      </c>
      <c r="B1533" s="1" t="s">
        <v>454</v>
      </c>
      <c r="C1533" s="7">
        <v>0.92711382178907253</v>
      </c>
      <c r="D1533" s="1" t="s">
        <v>3781</v>
      </c>
      <c r="E1533" s="1" t="s">
        <v>3782</v>
      </c>
      <c r="F1533" s="1" t="s">
        <v>4482</v>
      </c>
      <c r="G1533" s="1">
        <v>9</v>
      </c>
      <c r="H1533" s="1" t="s">
        <v>442</v>
      </c>
      <c r="I1533" s="1" t="s">
        <v>4480</v>
      </c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</row>
    <row r="1534" spans="1:40" ht="22" customHeight="1">
      <c r="A1534" s="1" t="s">
        <v>315</v>
      </c>
      <c r="B1534" s="1" t="s">
        <v>460</v>
      </c>
      <c r="C1534" s="7">
        <v>0.1812821079384152</v>
      </c>
      <c r="D1534" s="1" t="s">
        <v>4015</v>
      </c>
      <c r="E1534" s="1" t="s">
        <v>4016</v>
      </c>
      <c r="F1534" s="1" t="s">
        <v>4483</v>
      </c>
      <c r="G1534" s="1">
        <v>12</v>
      </c>
      <c r="H1534" s="1" t="s">
        <v>442</v>
      </c>
      <c r="I1534" s="1" t="s">
        <v>4480</v>
      </c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</row>
    <row r="1535" spans="1:40" ht="22" customHeight="1">
      <c r="A1535" s="1" t="s">
        <v>409</v>
      </c>
      <c r="B1535" s="1" t="s">
        <v>465</v>
      </c>
      <c r="C1535" s="7">
        <v>0.29370303689259636</v>
      </c>
      <c r="D1535" s="1" t="s">
        <v>3244</v>
      </c>
      <c r="E1535" s="1" t="s">
        <v>3245</v>
      </c>
      <c r="F1535" s="1" t="s">
        <v>4484</v>
      </c>
      <c r="G1535" s="1">
        <v>13</v>
      </c>
      <c r="H1535" s="1" t="s">
        <v>442</v>
      </c>
      <c r="I1535" s="1" t="s">
        <v>4480</v>
      </c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</row>
    <row r="1536" spans="1:40" ht="22" customHeight="1">
      <c r="A1536" s="1" t="s">
        <v>413</v>
      </c>
      <c r="B1536" s="1" t="s">
        <v>470</v>
      </c>
      <c r="C1536" s="7">
        <v>0.38532714461506801</v>
      </c>
      <c r="D1536" s="1" t="s">
        <v>4059</v>
      </c>
      <c r="E1536" s="1" t="s">
        <v>4060</v>
      </c>
      <c r="F1536" s="1" t="s">
        <v>4479</v>
      </c>
      <c r="G1536" s="1">
        <v>4</v>
      </c>
      <c r="H1536" s="1" t="s">
        <v>442</v>
      </c>
      <c r="I1536" s="1" t="s">
        <v>4480</v>
      </c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</row>
    <row r="1537" spans="1:40" ht="22" customHeight="1">
      <c r="A1537" s="1" t="s">
        <v>290</v>
      </c>
      <c r="B1537" s="1" t="s">
        <v>476</v>
      </c>
      <c r="C1537" s="7">
        <v>0.2506320247265274</v>
      </c>
      <c r="D1537" s="1" t="s">
        <v>3193</v>
      </c>
      <c r="E1537" s="1" t="s">
        <v>3194</v>
      </c>
      <c r="F1537" s="1" t="s">
        <v>4485</v>
      </c>
      <c r="G1537" s="1">
        <v>5</v>
      </c>
      <c r="H1537" s="1" t="s">
        <v>442</v>
      </c>
      <c r="I1537" s="1" t="s">
        <v>4480</v>
      </c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</row>
    <row r="1538" spans="1:40" ht="22" customHeight="1">
      <c r="A1538" s="1" t="s">
        <v>224</v>
      </c>
      <c r="B1538" s="1" t="s">
        <v>482</v>
      </c>
      <c r="C1538" s="7">
        <v>0.35473149935309223</v>
      </c>
      <c r="D1538" s="1" t="s">
        <v>3655</v>
      </c>
      <c r="E1538" s="1" t="s">
        <v>3656</v>
      </c>
      <c r="F1538" s="1" t="s">
        <v>4486</v>
      </c>
      <c r="G1538" s="1">
        <v>11</v>
      </c>
      <c r="H1538" s="1" t="s">
        <v>442</v>
      </c>
      <c r="I1538" s="1" t="s">
        <v>4480</v>
      </c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</row>
    <row r="1539" spans="1:40" ht="22" customHeight="1">
      <c r="A1539" s="1" t="s">
        <v>401</v>
      </c>
      <c r="B1539" s="1" t="s">
        <v>486</v>
      </c>
      <c r="C1539" s="7">
        <v>0.55923747283886038</v>
      </c>
      <c r="D1539" s="1" t="s">
        <v>3193</v>
      </c>
      <c r="E1539" s="1" t="s">
        <v>3194</v>
      </c>
      <c r="F1539" s="1" t="s">
        <v>4485</v>
      </c>
      <c r="G1539" s="1">
        <v>5</v>
      </c>
      <c r="H1539" s="1" t="s">
        <v>442</v>
      </c>
      <c r="I1539" s="1" t="s">
        <v>4480</v>
      </c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</row>
    <row r="1540" spans="1:40" ht="22" customHeight="1">
      <c r="A1540" s="1" t="s">
        <v>238</v>
      </c>
      <c r="B1540" s="1" t="s">
        <v>489</v>
      </c>
      <c r="C1540" s="7">
        <v>0.33729059636229231</v>
      </c>
      <c r="D1540" s="1" t="s">
        <v>4059</v>
      </c>
      <c r="E1540" s="1" t="s">
        <v>4060</v>
      </c>
      <c r="F1540" s="1" t="s">
        <v>4479</v>
      </c>
      <c r="G1540" s="1">
        <v>5</v>
      </c>
      <c r="H1540" s="1" t="s">
        <v>442</v>
      </c>
      <c r="I1540" s="1" t="s">
        <v>4480</v>
      </c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</row>
    <row r="1541" spans="1:40" ht="22" customHeight="1">
      <c r="A1541" s="1" t="s">
        <v>119</v>
      </c>
      <c r="B1541" s="1" t="s">
        <v>493</v>
      </c>
      <c r="C1541" s="7">
        <v>0.56455783722068553</v>
      </c>
      <c r="D1541" s="1" t="s">
        <v>3393</v>
      </c>
      <c r="E1541" s="1" t="s">
        <v>3394</v>
      </c>
      <c r="F1541" s="1" t="s">
        <v>4487</v>
      </c>
      <c r="G1541" s="1">
        <v>7</v>
      </c>
      <c r="H1541" s="1" t="s">
        <v>442</v>
      </c>
      <c r="I1541" s="1" t="s">
        <v>4480</v>
      </c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</row>
    <row r="1542" spans="1:40" ht="22" customHeight="1">
      <c r="A1542" s="1" t="s">
        <v>349</v>
      </c>
      <c r="B1542" s="1" t="s">
        <v>498</v>
      </c>
      <c r="C1542" s="7">
        <v>0.13992622182183717</v>
      </c>
      <c r="D1542" s="1" t="s">
        <v>4321</v>
      </c>
      <c r="E1542" s="1" t="s">
        <v>4322</v>
      </c>
      <c r="F1542" s="1" t="s">
        <v>4488</v>
      </c>
      <c r="G1542" s="1">
        <v>10</v>
      </c>
      <c r="H1542" s="1" t="s">
        <v>442</v>
      </c>
      <c r="I1542" s="1" t="s">
        <v>4480</v>
      </c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</row>
    <row r="1543" spans="1:40" ht="22" customHeight="1">
      <c r="A1543" s="1" t="s">
        <v>107</v>
      </c>
      <c r="B1543" s="1" t="s">
        <v>503</v>
      </c>
      <c r="C1543" s="7">
        <v>0.30289871613356184</v>
      </c>
      <c r="D1543" s="1" t="s">
        <v>3244</v>
      </c>
      <c r="E1543" s="1" t="s">
        <v>3245</v>
      </c>
      <c r="F1543" s="1" t="s">
        <v>4484</v>
      </c>
      <c r="G1543" s="1">
        <v>10</v>
      </c>
      <c r="H1543" s="1" t="s">
        <v>442</v>
      </c>
      <c r="I1543" s="1" t="s">
        <v>4480</v>
      </c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</row>
    <row r="1544" spans="1:40" ht="22" customHeight="1">
      <c r="A1544" s="1" t="s">
        <v>114</v>
      </c>
      <c r="B1544" s="1" t="s">
        <v>508</v>
      </c>
      <c r="C1544" s="7">
        <v>0.37990796000976218</v>
      </c>
      <c r="D1544" s="1" t="s">
        <v>3193</v>
      </c>
      <c r="E1544" s="1" t="s">
        <v>3194</v>
      </c>
      <c r="F1544" s="1" t="s">
        <v>4485</v>
      </c>
      <c r="G1544" s="1">
        <v>11</v>
      </c>
      <c r="H1544" s="1" t="s">
        <v>442</v>
      </c>
      <c r="I1544" s="1" t="s">
        <v>4480</v>
      </c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</row>
    <row r="1545" spans="1:40" ht="22" customHeight="1">
      <c r="A1545" s="1" t="s">
        <v>199</v>
      </c>
      <c r="B1545" s="1" t="s">
        <v>513</v>
      </c>
      <c r="C1545" s="7">
        <v>0.37371428105719978</v>
      </c>
      <c r="D1545" s="1" t="s">
        <v>3576</v>
      </c>
      <c r="E1545" s="1" t="s">
        <v>3577</v>
      </c>
      <c r="F1545" s="1" t="s">
        <v>4489</v>
      </c>
      <c r="G1545" s="1">
        <v>12</v>
      </c>
      <c r="H1545" s="1" t="s">
        <v>442</v>
      </c>
      <c r="I1545" s="1" t="s">
        <v>4480</v>
      </c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</row>
    <row r="1546" spans="1:40" ht="22" customHeight="1">
      <c r="A1546" s="1" t="s">
        <v>402</v>
      </c>
      <c r="B1546" s="1" t="s">
        <v>517</v>
      </c>
      <c r="C1546" s="7">
        <v>0.45174624081432102</v>
      </c>
      <c r="D1546" s="1" t="s">
        <v>3193</v>
      </c>
      <c r="E1546" s="1" t="s">
        <v>3194</v>
      </c>
      <c r="F1546" s="1" t="s">
        <v>4485</v>
      </c>
      <c r="G1546" s="1">
        <v>8</v>
      </c>
      <c r="H1546" s="1" t="s">
        <v>442</v>
      </c>
      <c r="I1546" s="1" t="s">
        <v>4480</v>
      </c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</row>
    <row r="1547" spans="1:40" ht="22" customHeight="1">
      <c r="A1547" s="1" t="s">
        <v>289</v>
      </c>
      <c r="B1547" s="1" t="s">
        <v>522</v>
      </c>
      <c r="C1547" s="7">
        <v>0.7139799402420749</v>
      </c>
      <c r="D1547" s="1" t="s">
        <v>3781</v>
      </c>
      <c r="E1547" s="1" t="s">
        <v>3782</v>
      </c>
      <c r="F1547" s="1" t="s">
        <v>4482</v>
      </c>
      <c r="G1547" s="1">
        <v>11</v>
      </c>
      <c r="H1547" s="1" t="s">
        <v>442</v>
      </c>
      <c r="I1547" s="1" t="s">
        <v>4480</v>
      </c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</row>
    <row r="1548" spans="1:40" ht="22" customHeight="1">
      <c r="A1548" s="1" t="s">
        <v>348</v>
      </c>
      <c r="B1548" s="1" t="s">
        <v>527</v>
      </c>
      <c r="C1548" s="7">
        <v>0.33494930534260714</v>
      </c>
      <c r="D1548" s="1" t="s">
        <v>4324</v>
      </c>
      <c r="E1548" s="1" t="s">
        <v>4325</v>
      </c>
      <c r="F1548" s="1" t="s">
        <v>4490</v>
      </c>
      <c r="G1548" s="1">
        <v>9</v>
      </c>
      <c r="H1548" s="1" t="s">
        <v>442</v>
      </c>
      <c r="I1548" s="1" t="s">
        <v>4480</v>
      </c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</row>
    <row r="1549" spans="1:40" ht="22" customHeight="1">
      <c r="A1549" s="1" t="s">
        <v>382</v>
      </c>
      <c r="B1549" s="1" t="s">
        <v>531</v>
      </c>
      <c r="C1549" s="7">
        <v>0.41302315419188179</v>
      </c>
      <c r="D1549" s="1" t="s">
        <v>4059</v>
      </c>
      <c r="E1549" s="1" t="s">
        <v>4060</v>
      </c>
      <c r="F1549" s="1" t="s">
        <v>4479</v>
      </c>
      <c r="G1549" s="1">
        <v>5</v>
      </c>
      <c r="H1549" s="1" t="s">
        <v>442</v>
      </c>
      <c r="I1549" s="1" t="s">
        <v>4480</v>
      </c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</row>
    <row r="1550" spans="1:40" ht="22" customHeight="1">
      <c r="A1550" s="1" t="s">
        <v>353</v>
      </c>
      <c r="B1550" s="1" t="s">
        <v>536</v>
      </c>
      <c r="C1550" s="7">
        <v>0.24657974806699834</v>
      </c>
      <c r="D1550" s="1" t="s">
        <v>3940</v>
      </c>
      <c r="E1550" s="1" t="s">
        <v>3941</v>
      </c>
      <c r="F1550" s="1" t="s">
        <v>4491</v>
      </c>
      <c r="G1550" s="1">
        <v>10</v>
      </c>
      <c r="H1550" s="1" t="s">
        <v>442</v>
      </c>
      <c r="I1550" s="1" t="s">
        <v>4480</v>
      </c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</row>
    <row r="1551" spans="1:40" ht="22" customHeight="1">
      <c r="A1551" s="1" t="s">
        <v>230</v>
      </c>
      <c r="B1551" s="1" t="s">
        <v>541</v>
      </c>
      <c r="C1551" s="7">
        <v>0.73087419427995581</v>
      </c>
      <c r="D1551" s="1" t="s">
        <v>4059</v>
      </c>
      <c r="E1551" s="1" t="s">
        <v>4060</v>
      </c>
      <c r="F1551" s="1" t="s">
        <v>4479</v>
      </c>
      <c r="G1551" s="1">
        <v>3</v>
      </c>
      <c r="H1551" s="1" t="s">
        <v>442</v>
      </c>
      <c r="I1551" s="1" t="s">
        <v>4480</v>
      </c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</row>
    <row r="1552" spans="1:40" ht="22" customHeight="1">
      <c r="A1552" s="1" t="s">
        <v>220</v>
      </c>
      <c r="B1552" s="1" t="s">
        <v>546</v>
      </c>
      <c r="C1552" s="7">
        <v>0.3555034706883109</v>
      </c>
      <c r="D1552" s="1" t="s">
        <v>4223</v>
      </c>
      <c r="E1552" s="1" t="s">
        <v>4224</v>
      </c>
      <c r="F1552" s="1" t="s">
        <v>4492</v>
      </c>
      <c r="G1552" s="1">
        <v>12</v>
      </c>
      <c r="H1552" s="1" t="s">
        <v>442</v>
      </c>
      <c r="I1552" s="1" t="s">
        <v>4480</v>
      </c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</row>
    <row r="1553" spans="1:40" ht="22" customHeight="1">
      <c r="A1553" s="1" t="s">
        <v>265</v>
      </c>
      <c r="B1553" s="1" t="s">
        <v>551</v>
      </c>
      <c r="C1553" s="7">
        <v>0.48816221862959508</v>
      </c>
      <c r="D1553" s="1" t="s">
        <v>3576</v>
      </c>
      <c r="E1553" s="1" t="s">
        <v>3577</v>
      </c>
      <c r="F1553" s="1" t="s">
        <v>4489</v>
      </c>
      <c r="G1553" s="1">
        <v>14</v>
      </c>
      <c r="H1553" s="1" t="s">
        <v>442</v>
      </c>
      <c r="I1553" s="1" t="s">
        <v>4480</v>
      </c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</row>
    <row r="1554" spans="1:40" ht="22" customHeight="1">
      <c r="A1554" s="1" t="s">
        <v>318</v>
      </c>
      <c r="B1554" s="1" t="s">
        <v>556</v>
      </c>
      <c r="C1554" s="7">
        <v>0.50154308981642015</v>
      </c>
      <c r="D1554" s="1" t="s">
        <v>3730</v>
      </c>
      <c r="E1554" s="1" t="s">
        <v>3731</v>
      </c>
      <c r="F1554" s="1" t="s">
        <v>4493</v>
      </c>
      <c r="G1554" s="1">
        <v>1</v>
      </c>
      <c r="H1554" s="1" t="s">
        <v>442</v>
      </c>
      <c r="I1554" s="1" t="s">
        <v>4480</v>
      </c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</row>
    <row r="1555" spans="1:40" ht="22" customHeight="1">
      <c r="A1555" s="1" t="s">
        <v>98</v>
      </c>
      <c r="B1555" s="1" t="s">
        <v>562</v>
      </c>
      <c r="C1555" s="7">
        <v>0.43366695454428678</v>
      </c>
      <c r="D1555" s="1" t="s">
        <v>3193</v>
      </c>
      <c r="E1555" s="1" t="s">
        <v>3194</v>
      </c>
      <c r="F1555" s="1" t="s">
        <v>4485</v>
      </c>
      <c r="G1555" s="1">
        <v>6</v>
      </c>
      <c r="H1555" s="1" t="s">
        <v>442</v>
      </c>
      <c r="I1555" s="1" t="s">
        <v>4480</v>
      </c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</row>
    <row r="1556" spans="1:40" ht="22" customHeight="1">
      <c r="A1556" s="1" t="s">
        <v>99</v>
      </c>
      <c r="B1556" s="1" t="s">
        <v>567</v>
      </c>
      <c r="C1556" s="7">
        <v>0.23280418789792304</v>
      </c>
      <c r="D1556" s="1" t="s">
        <v>3576</v>
      </c>
      <c r="E1556" s="1" t="s">
        <v>3577</v>
      </c>
      <c r="F1556" s="1" t="s">
        <v>4489</v>
      </c>
      <c r="G1556" s="1">
        <v>15</v>
      </c>
      <c r="H1556" s="1" t="s">
        <v>442</v>
      </c>
      <c r="I1556" s="1" t="s">
        <v>4480</v>
      </c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</row>
    <row r="1557" spans="1:40" ht="22" customHeight="1">
      <c r="A1557" s="1" t="s">
        <v>345</v>
      </c>
      <c r="B1557" s="1" t="s">
        <v>572</v>
      </c>
      <c r="C1557" s="7">
        <v>0.44216629364402876</v>
      </c>
      <c r="D1557" s="1" t="s">
        <v>4223</v>
      </c>
      <c r="E1557" s="1" t="s">
        <v>4224</v>
      </c>
      <c r="F1557" s="1" t="s">
        <v>4492</v>
      </c>
      <c r="G1557" s="1">
        <v>9</v>
      </c>
      <c r="H1557" s="1" t="s">
        <v>442</v>
      </c>
      <c r="I1557" s="1" t="s">
        <v>4480</v>
      </c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</row>
    <row r="1558" spans="1:40" ht="22" customHeight="1">
      <c r="A1558" s="1" t="s">
        <v>288</v>
      </c>
      <c r="B1558" s="1" t="s">
        <v>576</v>
      </c>
      <c r="C1558" s="7">
        <v>0.36728004506671763</v>
      </c>
      <c r="D1558" s="1" t="s">
        <v>3576</v>
      </c>
      <c r="E1558" s="1" t="s">
        <v>3577</v>
      </c>
      <c r="F1558" s="1" t="s">
        <v>4489</v>
      </c>
      <c r="G1558" s="1">
        <v>14</v>
      </c>
      <c r="H1558" s="1" t="s">
        <v>442</v>
      </c>
      <c r="I1558" s="1" t="s">
        <v>4480</v>
      </c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</row>
    <row r="1559" spans="1:40" ht="22" customHeight="1">
      <c r="A1559" s="1" t="s">
        <v>359</v>
      </c>
      <c r="B1559" s="1" t="s">
        <v>579</v>
      </c>
      <c r="C1559" s="7">
        <v>6.7715010080251201E-2</v>
      </c>
      <c r="D1559" s="1" t="s">
        <v>4036</v>
      </c>
      <c r="E1559" s="1" t="s">
        <v>4037</v>
      </c>
      <c r="F1559" s="1" t="s">
        <v>4494</v>
      </c>
      <c r="G1559" s="1">
        <v>10</v>
      </c>
      <c r="H1559" s="1" t="s">
        <v>442</v>
      </c>
      <c r="I1559" s="1" t="s">
        <v>4480</v>
      </c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</row>
    <row r="1560" spans="1:40" ht="22" customHeight="1">
      <c r="A1560" s="1" t="s">
        <v>121</v>
      </c>
      <c r="B1560" s="1" t="s">
        <v>583</v>
      </c>
      <c r="C1560" s="7">
        <v>4.9479585756971922E-2</v>
      </c>
      <c r="D1560" s="1" t="s">
        <v>4108</v>
      </c>
      <c r="E1560" s="1" t="s">
        <v>4109</v>
      </c>
      <c r="F1560" s="1" t="s">
        <v>4495</v>
      </c>
      <c r="G1560" s="1">
        <v>10</v>
      </c>
      <c r="H1560" s="1" t="s">
        <v>442</v>
      </c>
      <c r="I1560" s="1" t="s">
        <v>4480</v>
      </c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</row>
    <row r="1561" spans="1:40" ht="22" customHeight="1">
      <c r="A1561" s="1" t="s">
        <v>202</v>
      </c>
      <c r="B1561" s="1" t="s">
        <v>587</v>
      </c>
      <c r="C1561" s="7">
        <v>7.5008438570214067E-2</v>
      </c>
      <c r="D1561" s="1" t="s">
        <v>4000</v>
      </c>
      <c r="E1561" s="1" t="s">
        <v>4001</v>
      </c>
      <c r="F1561" s="1" t="s">
        <v>4496</v>
      </c>
      <c r="G1561" s="1">
        <v>13</v>
      </c>
      <c r="H1561" s="1" t="s">
        <v>442</v>
      </c>
      <c r="I1561" s="1" t="s">
        <v>4480</v>
      </c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</row>
    <row r="1562" spans="1:40" ht="22" customHeight="1">
      <c r="A1562" s="1" t="s">
        <v>356</v>
      </c>
      <c r="B1562" s="1" t="s">
        <v>591</v>
      </c>
      <c r="C1562" s="7">
        <v>0.24657974806699834</v>
      </c>
      <c r="D1562" s="1" t="s">
        <v>3940</v>
      </c>
      <c r="E1562" s="1" t="s">
        <v>3941</v>
      </c>
      <c r="F1562" s="1" t="s">
        <v>4491</v>
      </c>
      <c r="G1562" s="1">
        <v>10</v>
      </c>
      <c r="H1562" s="1" t="s">
        <v>442</v>
      </c>
      <c r="I1562" s="1" t="s">
        <v>4480</v>
      </c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</row>
    <row r="1563" spans="1:40" ht="22" customHeight="1">
      <c r="A1563" s="1" t="s">
        <v>241</v>
      </c>
      <c r="B1563" s="1" t="s">
        <v>593</v>
      </c>
      <c r="C1563" s="7">
        <v>0.2115534996326848</v>
      </c>
      <c r="D1563" s="1" t="s">
        <v>4108</v>
      </c>
      <c r="E1563" s="1" t="s">
        <v>4109</v>
      </c>
      <c r="F1563" s="1" t="s">
        <v>4495</v>
      </c>
      <c r="G1563" s="1">
        <v>8</v>
      </c>
      <c r="H1563" s="1" t="s">
        <v>442</v>
      </c>
      <c r="I1563" s="1" t="s">
        <v>4480</v>
      </c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</row>
    <row r="1564" spans="1:40" ht="22" customHeight="1">
      <c r="A1564" s="1" t="s">
        <v>206</v>
      </c>
      <c r="B1564" s="1" t="s">
        <v>597</v>
      </c>
      <c r="C1564" s="7">
        <v>0.19535268348524887</v>
      </c>
      <c r="D1564" s="1" t="s">
        <v>4294</v>
      </c>
      <c r="E1564" s="1" t="s">
        <v>4295</v>
      </c>
      <c r="F1564" s="1" t="s">
        <v>4497</v>
      </c>
      <c r="G1564" s="1">
        <v>6</v>
      </c>
      <c r="H1564" s="1" t="s">
        <v>442</v>
      </c>
      <c r="I1564" s="1" t="s">
        <v>4480</v>
      </c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</row>
    <row r="1565" spans="1:40" ht="22" customHeight="1">
      <c r="A1565" s="1" t="s">
        <v>138</v>
      </c>
      <c r="B1565" s="1" t="s">
        <v>600</v>
      </c>
      <c r="C1565" s="7">
        <v>0.42834861587610301</v>
      </c>
      <c r="D1565" s="1" t="s">
        <v>3745</v>
      </c>
      <c r="E1565" s="1" t="s">
        <v>3746</v>
      </c>
      <c r="F1565" s="1" t="s">
        <v>4498</v>
      </c>
      <c r="G1565" s="1">
        <v>5</v>
      </c>
      <c r="H1565" s="1" t="s">
        <v>442</v>
      </c>
      <c r="I1565" s="1" t="s">
        <v>4480</v>
      </c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</row>
    <row r="1566" spans="1:40" ht="22" customHeight="1">
      <c r="A1566" s="1" t="s">
        <v>115</v>
      </c>
      <c r="B1566" s="1" t="s">
        <v>603</v>
      </c>
      <c r="C1566" s="7">
        <v>0.29713947061757184</v>
      </c>
      <c r="D1566" s="1" t="s">
        <v>3215</v>
      </c>
      <c r="E1566" s="1" t="s">
        <v>3216</v>
      </c>
      <c r="F1566" s="1" t="s">
        <v>4499</v>
      </c>
      <c r="G1566" s="1">
        <v>7</v>
      </c>
      <c r="H1566" s="1" t="s">
        <v>442</v>
      </c>
      <c r="I1566" s="1" t="s">
        <v>4480</v>
      </c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</row>
    <row r="1567" spans="1:40" ht="22" customHeight="1">
      <c r="A1567" s="1" t="s">
        <v>160</v>
      </c>
      <c r="B1567" s="1" t="s">
        <v>606</v>
      </c>
      <c r="C1567" s="7">
        <v>0.2488858573081863</v>
      </c>
      <c r="D1567" s="1" t="s">
        <v>3442</v>
      </c>
      <c r="E1567" s="1" t="s">
        <v>3443</v>
      </c>
      <c r="F1567" s="1" t="s">
        <v>4500</v>
      </c>
      <c r="G1567" s="1">
        <v>1</v>
      </c>
      <c r="H1567" s="1" t="s">
        <v>442</v>
      </c>
      <c r="I1567" s="1" t="s">
        <v>4480</v>
      </c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</row>
    <row r="1568" spans="1:40" ht="22" customHeight="1">
      <c r="A1568" s="1" t="s">
        <v>183</v>
      </c>
      <c r="B1568" s="1" t="s">
        <v>610</v>
      </c>
      <c r="C1568" s="7">
        <v>0.3433018637346939</v>
      </c>
      <c r="D1568" s="1" t="s">
        <v>4009</v>
      </c>
      <c r="E1568" s="1" t="s">
        <v>4010</v>
      </c>
      <c r="F1568" s="1" t="s">
        <v>4501</v>
      </c>
      <c r="G1568" s="1">
        <v>16</v>
      </c>
      <c r="H1568" s="1" t="s">
        <v>442</v>
      </c>
      <c r="I1568" s="1" t="s">
        <v>4480</v>
      </c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</row>
    <row r="1569" spans="1:40" ht="22" customHeight="1">
      <c r="A1569" s="1" t="s">
        <v>172</v>
      </c>
      <c r="B1569" s="1" t="s">
        <v>614</v>
      </c>
      <c r="C1569" s="7">
        <v>0.14628358627531837</v>
      </c>
      <c r="D1569" s="1" t="s">
        <v>4108</v>
      </c>
      <c r="E1569" s="1" t="s">
        <v>4109</v>
      </c>
      <c r="F1569" s="1" t="s">
        <v>4495</v>
      </c>
      <c r="G1569" s="1">
        <v>10</v>
      </c>
      <c r="H1569" s="1" t="s">
        <v>442</v>
      </c>
      <c r="I1569" s="1" t="s">
        <v>4480</v>
      </c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</row>
    <row r="1570" spans="1:40" ht="22" customHeight="1">
      <c r="A1570" s="1" t="s">
        <v>95</v>
      </c>
      <c r="B1570" s="1" t="s">
        <v>622</v>
      </c>
      <c r="C1570" s="7">
        <v>0.42951750596672367</v>
      </c>
      <c r="D1570" s="1" t="s">
        <v>3145</v>
      </c>
      <c r="E1570" s="1" t="s">
        <v>3146</v>
      </c>
      <c r="F1570" s="1" t="s">
        <v>4502</v>
      </c>
      <c r="G1570" s="1">
        <v>12</v>
      </c>
      <c r="H1570" s="1" t="s">
        <v>442</v>
      </c>
      <c r="I1570" s="1" t="s">
        <v>4480</v>
      </c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</row>
    <row r="1571" spans="1:40" ht="22" customHeight="1">
      <c r="A1571" s="1" t="s">
        <v>365</v>
      </c>
      <c r="B1571" s="1" t="s">
        <v>631</v>
      </c>
      <c r="C1571" s="7">
        <v>0.34467862061523435</v>
      </c>
      <c r="D1571" s="1" t="s">
        <v>4257</v>
      </c>
      <c r="E1571" s="1" t="s">
        <v>4258</v>
      </c>
      <c r="F1571" s="1" t="s">
        <v>4503</v>
      </c>
      <c r="G1571" s="1">
        <v>12</v>
      </c>
      <c r="H1571" s="1" t="s">
        <v>442</v>
      </c>
      <c r="I1571" s="1" t="s">
        <v>4480</v>
      </c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</row>
    <row r="1572" spans="1:40" ht="22" customHeight="1">
      <c r="A1572" s="1" t="s">
        <v>179</v>
      </c>
      <c r="B1572" s="1" t="s">
        <v>636</v>
      </c>
      <c r="C1572" s="7">
        <v>0.16356395069541119</v>
      </c>
      <c r="D1572" s="1" t="s">
        <v>3808</v>
      </c>
      <c r="E1572" s="1" t="s">
        <v>3809</v>
      </c>
      <c r="F1572" s="1" t="s">
        <v>4504</v>
      </c>
      <c r="G1572" s="1">
        <v>7</v>
      </c>
      <c r="H1572" s="1" t="s">
        <v>442</v>
      </c>
      <c r="I1572" s="1" t="s">
        <v>4480</v>
      </c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</row>
    <row r="1573" spans="1:40" ht="22" customHeight="1">
      <c r="A1573" s="1" t="s">
        <v>140</v>
      </c>
      <c r="B1573" s="1" t="s">
        <v>642</v>
      </c>
      <c r="C1573" s="7">
        <v>0.70377056286836415</v>
      </c>
      <c r="D1573" s="1" t="s">
        <v>4257</v>
      </c>
      <c r="E1573" s="1" t="s">
        <v>4258</v>
      </c>
      <c r="F1573" s="1" t="s">
        <v>4503</v>
      </c>
      <c r="G1573" s="1">
        <v>11</v>
      </c>
      <c r="H1573" s="1" t="s">
        <v>442</v>
      </c>
      <c r="I1573" s="1" t="s">
        <v>4480</v>
      </c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</row>
    <row r="1574" spans="1:40" ht="22" customHeight="1">
      <c r="A1574" s="1" t="s">
        <v>410</v>
      </c>
      <c r="B1574" s="1" t="s">
        <v>647</v>
      </c>
      <c r="C1574" s="7">
        <v>0.35822108467378699</v>
      </c>
      <c r="D1574" s="1" t="s">
        <v>3808</v>
      </c>
      <c r="E1574" s="1" t="s">
        <v>3809</v>
      </c>
      <c r="F1574" s="1" t="s">
        <v>4504</v>
      </c>
      <c r="G1574" s="1">
        <v>6</v>
      </c>
      <c r="H1574" s="1" t="s">
        <v>442</v>
      </c>
      <c r="I1574" s="1" t="s">
        <v>4480</v>
      </c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</row>
    <row r="1575" spans="1:40" ht="22" customHeight="1">
      <c r="A1575" s="1" t="s">
        <v>342</v>
      </c>
      <c r="B1575" s="1" t="s">
        <v>652</v>
      </c>
      <c r="C1575" s="7">
        <v>0.45576305239908549</v>
      </c>
      <c r="D1575" s="1" t="s">
        <v>3781</v>
      </c>
      <c r="E1575" s="1" t="s">
        <v>3782</v>
      </c>
      <c r="F1575" s="1" t="s">
        <v>4482</v>
      </c>
      <c r="G1575" s="1">
        <v>9</v>
      </c>
      <c r="H1575" s="1" t="s">
        <v>442</v>
      </c>
      <c r="I1575" s="1" t="s">
        <v>4480</v>
      </c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</row>
    <row r="1576" spans="1:40" ht="22" customHeight="1">
      <c r="A1576" s="1" t="s">
        <v>188</v>
      </c>
      <c r="B1576" s="1" t="s">
        <v>657</v>
      </c>
      <c r="C1576" s="7">
        <v>0.28063913700256932</v>
      </c>
      <c r="D1576" s="1" t="s">
        <v>4114</v>
      </c>
      <c r="E1576" s="1" t="s">
        <v>4115</v>
      </c>
      <c r="F1576" s="1" t="s">
        <v>4505</v>
      </c>
      <c r="G1576" s="1">
        <v>7</v>
      </c>
      <c r="H1576" s="1" t="s">
        <v>442</v>
      </c>
      <c r="I1576" s="1" t="s">
        <v>4480</v>
      </c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</row>
    <row r="1577" spans="1:40" ht="22" customHeight="1">
      <c r="A1577" s="1" t="s">
        <v>148</v>
      </c>
      <c r="B1577" s="1" t="s">
        <v>662</v>
      </c>
      <c r="C1577" s="7">
        <v>0.26255188949064612</v>
      </c>
      <c r="D1577" s="1" t="s">
        <v>4000</v>
      </c>
      <c r="E1577" s="1" t="s">
        <v>4001</v>
      </c>
      <c r="F1577" s="1" t="s">
        <v>4496</v>
      </c>
      <c r="G1577" s="1">
        <v>15</v>
      </c>
      <c r="H1577" s="1" t="s">
        <v>442</v>
      </c>
      <c r="I1577" s="1" t="s">
        <v>4480</v>
      </c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</row>
    <row r="1578" spans="1:40" ht="22" customHeight="1">
      <c r="A1578" s="1" t="s">
        <v>100</v>
      </c>
      <c r="B1578" s="1" t="s">
        <v>667</v>
      </c>
      <c r="C1578" s="7">
        <v>0.13384961289225211</v>
      </c>
      <c r="D1578" s="1" t="s">
        <v>3407</v>
      </c>
      <c r="E1578" s="1" t="s">
        <v>3408</v>
      </c>
      <c r="F1578" s="1" t="s">
        <v>4506</v>
      </c>
      <c r="G1578" s="1">
        <v>5</v>
      </c>
      <c r="H1578" s="1" t="s">
        <v>442</v>
      </c>
      <c r="I1578" s="1" t="s">
        <v>4480</v>
      </c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</row>
    <row r="1579" spans="1:40" ht="22" customHeight="1">
      <c r="A1579" s="1" t="s">
        <v>262</v>
      </c>
      <c r="B1579" s="1" t="s">
        <v>673</v>
      </c>
      <c r="C1579" s="7">
        <v>0.22881499019783172</v>
      </c>
      <c r="D1579" s="1" t="s">
        <v>3769</v>
      </c>
      <c r="E1579" s="1" t="s">
        <v>3770</v>
      </c>
      <c r="F1579" s="1" t="s">
        <v>4507</v>
      </c>
      <c r="G1579" s="1">
        <v>16</v>
      </c>
      <c r="H1579" s="1" t="s">
        <v>442</v>
      </c>
      <c r="I1579" s="1" t="s">
        <v>4480</v>
      </c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</row>
    <row r="1580" spans="1:40" ht="22" customHeight="1">
      <c r="A1580" s="1" t="s">
        <v>258</v>
      </c>
      <c r="B1580" s="1" t="s">
        <v>678</v>
      </c>
      <c r="C1580" s="7">
        <v>0.31974289027423447</v>
      </c>
      <c r="D1580" s="1" t="s">
        <v>4108</v>
      </c>
      <c r="E1580" s="1" t="s">
        <v>4109</v>
      </c>
      <c r="F1580" s="1" t="s">
        <v>4495</v>
      </c>
      <c r="G1580" s="1">
        <v>9</v>
      </c>
      <c r="H1580" s="1" t="s">
        <v>442</v>
      </c>
      <c r="I1580" s="1" t="s">
        <v>4480</v>
      </c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</row>
    <row r="1581" spans="1:40" ht="22" customHeight="1">
      <c r="A1581" s="1" t="s">
        <v>161</v>
      </c>
      <c r="B1581" s="1" t="s">
        <v>683</v>
      </c>
      <c r="C1581" s="7">
        <v>0.1719375482245509</v>
      </c>
      <c r="D1581" s="1" t="s">
        <v>3280</v>
      </c>
      <c r="E1581" s="1" t="s">
        <v>3281</v>
      </c>
      <c r="F1581" s="1" t="s">
        <v>4508</v>
      </c>
      <c r="G1581" s="1">
        <v>11</v>
      </c>
      <c r="H1581" s="1" t="s">
        <v>442</v>
      </c>
      <c r="I1581" s="1" t="s">
        <v>4480</v>
      </c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</row>
    <row r="1582" spans="1:40" ht="22" customHeight="1">
      <c r="A1582" s="1" t="s">
        <v>92</v>
      </c>
      <c r="B1582" s="1" t="s">
        <v>688</v>
      </c>
      <c r="C1582" s="7">
        <v>0.39797068808990738</v>
      </c>
      <c r="D1582" s="1" t="s">
        <v>4036</v>
      </c>
      <c r="E1582" s="1" t="s">
        <v>4037</v>
      </c>
      <c r="F1582" s="1" t="s">
        <v>4494</v>
      </c>
      <c r="G1582" s="1">
        <v>6</v>
      </c>
      <c r="H1582" s="1" t="s">
        <v>442</v>
      </c>
      <c r="I1582" s="1" t="s">
        <v>4480</v>
      </c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</row>
    <row r="1583" spans="1:40" ht="22" customHeight="1">
      <c r="A1583" s="1" t="s">
        <v>325</v>
      </c>
      <c r="B1583" s="1" t="s">
        <v>693</v>
      </c>
      <c r="C1583" s="7">
        <v>0.20340500695077349</v>
      </c>
      <c r="D1583" s="1" t="s">
        <v>3576</v>
      </c>
      <c r="E1583" s="1" t="s">
        <v>3577</v>
      </c>
      <c r="F1583" s="1" t="s">
        <v>4489</v>
      </c>
      <c r="G1583" s="1">
        <v>14</v>
      </c>
      <c r="H1583" s="1" t="s">
        <v>442</v>
      </c>
      <c r="I1583" s="1" t="s">
        <v>4480</v>
      </c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</row>
    <row r="1584" spans="1:40" ht="22" customHeight="1">
      <c r="A1584" s="1" t="s">
        <v>170</v>
      </c>
      <c r="B1584" s="1" t="s">
        <v>697</v>
      </c>
      <c r="C1584" s="7">
        <v>0.47317293014771705</v>
      </c>
      <c r="D1584" s="1" t="s">
        <v>4036</v>
      </c>
      <c r="E1584" s="1" t="s">
        <v>4037</v>
      </c>
      <c r="F1584" s="1" t="s">
        <v>4494</v>
      </c>
      <c r="G1584" s="1">
        <v>6</v>
      </c>
      <c r="H1584" s="1" t="s">
        <v>442</v>
      </c>
      <c r="I1584" s="1" t="s">
        <v>4480</v>
      </c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</row>
    <row r="1585" spans="1:40" ht="22" customHeight="1">
      <c r="A1585" s="1" t="s">
        <v>151</v>
      </c>
      <c r="B1585" s="1" t="s">
        <v>702</v>
      </c>
      <c r="C1585" s="7">
        <v>0.31234605949705418</v>
      </c>
      <c r="D1585" s="1" t="s">
        <v>3303</v>
      </c>
      <c r="E1585" s="1" t="s">
        <v>3304</v>
      </c>
      <c r="F1585" s="1" t="s">
        <v>4509</v>
      </c>
      <c r="G1585" s="1">
        <v>9</v>
      </c>
      <c r="H1585" s="1" t="s">
        <v>442</v>
      </c>
      <c r="I1585" s="1" t="s">
        <v>4480</v>
      </c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</row>
    <row r="1586" spans="1:40" ht="22" customHeight="1">
      <c r="A1586" s="1" t="s">
        <v>184</v>
      </c>
      <c r="B1586" s="1" t="s">
        <v>707</v>
      </c>
      <c r="C1586" s="7">
        <v>0.18536353970744446</v>
      </c>
      <c r="D1586" s="1" t="s">
        <v>3303</v>
      </c>
      <c r="E1586" s="1" t="s">
        <v>3304</v>
      </c>
      <c r="F1586" s="1" t="s">
        <v>4509</v>
      </c>
      <c r="G1586" s="1">
        <v>8</v>
      </c>
      <c r="H1586" s="1" t="s">
        <v>442</v>
      </c>
      <c r="I1586" s="1" t="s">
        <v>4480</v>
      </c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</row>
    <row r="1587" spans="1:40" ht="22" customHeight="1">
      <c r="A1587" s="1" t="s">
        <v>93</v>
      </c>
      <c r="B1587" s="1" t="s">
        <v>712</v>
      </c>
      <c r="C1587" s="7">
        <v>0.20588081692677693</v>
      </c>
      <c r="D1587" s="1" t="s">
        <v>4238</v>
      </c>
      <c r="E1587" s="1" t="s">
        <v>3932</v>
      </c>
      <c r="F1587" s="1" t="s">
        <v>4510</v>
      </c>
      <c r="G1587" s="1">
        <v>11</v>
      </c>
      <c r="H1587" s="1" t="s">
        <v>442</v>
      </c>
      <c r="I1587" s="1" t="s">
        <v>4480</v>
      </c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</row>
    <row r="1588" spans="1:40" ht="22" customHeight="1">
      <c r="A1588" s="1" t="s">
        <v>185</v>
      </c>
      <c r="B1588" s="1" t="s">
        <v>717</v>
      </c>
      <c r="C1588" s="7">
        <v>0.24947051507250717</v>
      </c>
      <c r="D1588" s="1" t="s">
        <v>3667</v>
      </c>
      <c r="E1588" s="1" t="s">
        <v>3668</v>
      </c>
      <c r="F1588" s="1" t="s">
        <v>4511</v>
      </c>
      <c r="G1588" s="1">
        <v>4</v>
      </c>
      <c r="H1588" s="1" t="s">
        <v>442</v>
      </c>
      <c r="I1588" s="1" t="s">
        <v>4480</v>
      </c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</row>
    <row r="1589" spans="1:40" ht="22" customHeight="1">
      <c r="A1589" s="1" t="s">
        <v>361</v>
      </c>
      <c r="B1589" s="1" t="s">
        <v>722</v>
      </c>
      <c r="C1589" s="7">
        <v>0.41951697224983825</v>
      </c>
      <c r="D1589" s="1" t="s">
        <v>3280</v>
      </c>
      <c r="E1589" s="1" t="s">
        <v>3281</v>
      </c>
      <c r="F1589" s="1" t="s">
        <v>4508</v>
      </c>
      <c r="G1589" s="1">
        <v>8</v>
      </c>
      <c r="H1589" s="1" t="s">
        <v>442</v>
      </c>
      <c r="I1589" s="1" t="s">
        <v>4480</v>
      </c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</row>
    <row r="1590" spans="1:40" ht="22" customHeight="1">
      <c r="A1590" s="1" t="s">
        <v>355</v>
      </c>
      <c r="B1590" s="1" t="s">
        <v>727</v>
      </c>
      <c r="C1590" s="7">
        <v>5.2755379355640127E-2</v>
      </c>
      <c r="D1590" s="1" t="s">
        <v>4108</v>
      </c>
      <c r="E1590" s="1" t="s">
        <v>4109</v>
      </c>
      <c r="F1590" s="1" t="s">
        <v>4495</v>
      </c>
      <c r="G1590" s="1">
        <v>10</v>
      </c>
      <c r="H1590" s="1" t="s">
        <v>442</v>
      </c>
      <c r="I1590" s="1" t="s">
        <v>4480</v>
      </c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</row>
    <row r="1591" spans="1:40" ht="22" customHeight="1">
      <c r="A1591" s="1" t="s">
        <v>134</v>
      </c>
      <c r="B1591" s="1" t="s">
        <v>732</v>
      </c>
      <c r="C1591" s="7">
        <v>0.33164819158662245</v>
      </c>
      <c r="D1591" s="1" t="s">
        <v>3688</v>
      </c>
      <c r="E1591" s="1" t="s">
        <v>3689</v>
      </c>
      <c r="F1591" s="1" t="s">
        <v>4512</v>
      </c>
      <c r="G1591" s="1">
        <v>7</v>
      </c>
      <c r="H1591" s="1" t="s">
        <v>442</v>
      </c>
      <c r="I1591" s="1" t="s">
        <v>4480</v>
      </c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</row>
    <row r="1592" spans="1:40" ht="22" customHeight="1">
      <c r="A1592" s="1" t="s">
        <v>377</v>
      </c>
      <c r="B1592" s="1" t="s">
        <v>737</v>
      </c>
      <c r="C1592" s="7">
        <v>1.0254135022515662</v>
      </c>
      <c r="D1592" s="1" t="s">
        <v>3727</v>
      </c>
      <c r="E1592" s="1" t="s">
        <v>3728</v>
      </c>
      <c r="F1592" s="1" t="s">
        <v>4513</v>
      </c>
      <c r="G1592" s="1">
        <v>5</v>
      </c>
      <c r="H1592" s="1" t="s">
        <v>442</v>
      </c>
      <c r="I1592" s="1" t="s">
        <v>4480</v>
      </c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</row>
    <row r="1593" spans="1:40" ht="22" customHeight="1">
      <c r="A1593" s="1" t="s">
        <v>228</v>
      </c>
      <c r="B1593" s="1" t="s">
        <v>742</v>
      </c>
      <c r="C1593" s="7">
        <v>0.19773198527602262</v>
      </c>
      <c r="D1593" s="1" t="s">
        <v>4260</v>
      </c>
      <c r="E1593" s="1" t="s">
        <v>3157</v>
      </c>
      <c r="F1593" s="1" t="s">
        <v>4514</v>
      </c>
      <c r="G1593" s="1">
        <v>4</v>
      </c>
      <c r="H1593" s="1" t="s">
        <v>442</v>
      </c>
      <c r="I1593" s="1" t="s">
        <v>4480</v>
      </c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</row>
    <row r="1594" spans="1:40" ht="22" customHeight="1">
      <c r="A1594" s="1" t="s">
        <v>392</v>
      </c>
      <c r="B1594" s="1" t="s">
        <v>747</v>
      </c>
      <c r="C1594" s="7">
        <v>6.4942968368302934E-2</v>
      </c>
      <c r="D1594" s="1" t="s">
        <v>3303</v>
      </c>
      <c r="E1594" s="1" t="s">
        <v>3304</v>
      </c>
      <c r="F1594" s="1" t="s">
        <v>4509</v>
      </c>
      <c r="G1594" s="1">
        <v>8</v>
      </c>
      <c r="H1594" s="1" t="s">
        <v>442</v>
      </c>
      <c r="I1594" s="1" t="s">
        <v>4480</v>
      </c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</row>
    <row r="1595" spans="1:40" ht="22" customHeight="1">
      <c r="A1595" s="1" t="s">
        <v>159</v>
      </c>
      <c r="B1595" s="1" t="s">
        <v>752</v>
      </c>
      <c r="C1595" s="7">
        <v>0.65370942557423917</v>
      </c>
      <c r="D1595" s="1" t="s">
        <v>4223</v>
      </c>
      <c r="E1595" s="1" t="s">
        <v>4224</v>
      </c>
      <c r="F1595" s="1" t="s">
        <v>4492</v>
      </c>
      <c r="G1595" s="1">
        <v>11</v>
      </c>
      <c r="H1595" s="1" t="s">
        <v>442</v>
      </c>
      <c r="I1595" s="1" t="s">
        <v>4480</v>
      </c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</row>
    <row r="1596" spans="1:40" ht="22" customHeight="1">
      <c r="A1596" s="1" t="s">
        <v>137</v>
      </c>
      <c r="B1596" s="1" t="s">
        <v>756</v>
      </c>
      <c r="C1596" s="7">
        <v>0.51816367324305457</v>
      </c>
      <c r="D1596" s="1" t="s">
        <v>3482</v>
      </c>
      <c r="E1596" s="1" t="s">
        <v>3483</v>
      </c>
      <c r="F1596" s="1" t="s">
        <v>4515</v>
      </c>
      <c r="G1596" s="1">
        <v>10</v>
      </c>
      <c r="H1596" s="1" t="s">
        <v>442</v>
      </c>
      <c r="I1596" s="1" t="s">
        <v>4480</v>
      </c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</row>
    <row r="1597" spans="1:40" ht="22" customHeight="1">
      <c r="A1597" s="1" t="s">
        <v>118</v>
      </c>
      <c r="B1597" s="1" t="s">
        <v>761</v>
      </c>
      <c r="C1597" s="7">
        <v>4.9479585756971922E-2</v>
      </c>
      <c r="D1597" s="1" t="s">
        <v>4108</v>
      </c>
      <c r="E1597" s="1" t="s">
        <v>4109</v>
      </c>
      <c r="F1597" s="1" t="s">
        <v>4495</v>
      </c>
      <c r="G1597" s="1">
        <v>10</v>
      </c>
      <c r="H1597" s="1" t="s">
        <v>442</v>
      </c>
      <c r="I1597" s="1" t="s">
        <v>4480</v>
      </c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</row>
    <row r="1598" spans="1:40" ht="22" customHeight="1">
      <c r="A1598" s="1" t="s">
        <v>373</v>
      </c>
      <c r="B1598" s="1" t="s">
        <v>764</v>
      </c>
      <c r="C1598" s="7">
        <v>0.25388415306094564</v>
      </c>
      <c r="D1598" s="1" t="s">
        <v>4403</v>
      </c>
      <c r="E1598" s="1" t="s">
        <v>4404</v>
      </c>
      <c r="F1598" s="1" t="s">
        <v>4516</v>
      </c>
      <c r="G1598" s="1">
        <v>6</v>
      </c>
      <c r="H1598" s="1" t="s">
        <v>442</v>
      </c>
      <c r="I1598" s="1" t="s">
        <v>4480</v>
      </c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</row>
    <row r="1599" spans="1:40" ht="22" customHeight="1">
      <c r="A1599" s="1" t="s">
        <v>143</v>
      </c>
      <c r="B1599" s="1" t="s">
        <v>771</v>
      </c>
      <c r="C1599" s="7">
        <v>0.25723468064181654</v>
      </c>
      <c r="D1599" s="1" t="s">
        <v>3766</v>
      </c>
      <c r="E1599" s="1" t="s">
        <v>3767</v>
      </c>
      <c r="F1599" s="1" t="s">
        <v>4517</v>
      </c>
      <c r="G1599" s="1">
        <v>10</v>
      </c>
      <c r="H1599" s="1" t="s">
        <v>442</v>
      </c>
      <c r="I1599" s="1" t="s">
        <v>4480</v>
      </c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</row>
    <row r="1600" spans="1:40" ht="22" customHeight="1">
      <c r="A1600" s="1" t="s">
        <v>158</v>
      </c>
      <c r="B1600" s="1" t="s">
        <v>778</v>
      </c>
      <c r="C1600" s="7">
        <v>0.22832825262966802</v>
      </c>
      <c r="D1600" s="1" t="s">
        <v>3713</v>
      </c>
      <c r="E1600" s="1" t="s">
        <v>3714</v>
      </c>
      <c r="F1600" s="1" t="s">
        <v>4518</v>
      </c>
      <c r="G1600" s="1">
        <v>3</v>
      </c>
      <c r="H1600" s="1" t="s">
        <v>442</v>
      </c>
      <c r="I1600" s="1" t="s">
        <v>4480</v>
      </c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</row>
    <row r="1601" spans="1:40" ht="22" customHeight="1">
      <c r="A1601" s="1" t="s">
        <v>156</v>
      </c>
      <c r="B1601" s="1" t="s">
        <v>783</v>
      </c>
      <c r="C1601" s="7">
        <v>0.17942385839555314</v>
      </c>
      <c r="D1601" s="1" t="s">
        <v>3736</v>
      </c>
      <c r="E1601" s="1" t="s">
        <v>3737</v>
      </c>
      <c r="F1601" s="1" t="s">
        <v>4519</v>
      </c>
      <c r="G1601" s="1">
        <v>6</v>
      </c>
      <c r="H1601" s="1" t="s">
        <v>442</v>
      </c>
      <c r="I1601" s="1" t="s">
        <v>4480</v>
      </c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</row>
    <row r="1602" spans="1:40" ht="22" customHeight="1">
      <c r="A1602" s="1" t="s">
        <v>372</v>
      </c>
      <c r="B1602" s="1" t="s">
        <v>788</v>
      </c>
      <c r="C1602" s="7">
        <v>0.11489059178460097</v>
      </c>
      <c r="D1602" s="1" t="s">
        <v>4108</v>
      </c>
      <c r="E1602" s="1" t="s">
        <v>4109</v>
      </c>
      <c r="F1602" s="1" t="s">
        <v>4495</v>
      </c>
      <c r="G1602" s="1">
        <v>10</v>
      </c>
      <c r="H1602" s="1" t="s">
        <v>442</v>
      </c>
      <c r="I1602" s="1" t="s">
        <v>4480</v>
      </c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</row>
    <row r="1603" spans="1:40" ht="22" customHeight="1">
      <c r="A1603" s="1" t="s">
        <v>133</v>
      </c>
      <c r="B1603" s="1" t="s">
        <v>792</v>
      </c>
      <c r="C1603" s="7">
        <v>0.15687259846166368</v>
      </c>
      <c r="D1603" s="1" t="s">
        <v>3943</v>
      </c>
      <c r="E1603" s="1" t="s">
        <v>3944</v>
      </c>
      <c r="F1603" s="1" t="s">
        <v>4520</v>
      </c>
      <c r="G1603" s="1">
        <v>7</v>
      </c>
      <c r="H1603" s="1" t="s">
        <v>442</v>
      </c>
      <c r="I1603" s="1" t="s">
        <v>4480</v>
      </c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</row>
    <row r="1604" spans="1:40" ht="22" customHeight="1">
      <c r="A1604" s="1" t="s">
        <v>197</v>
      </c>
      <c r="B1604" s="1" t="s">
        <v>798</v>
      </c>
      <c r="C1604" s="7">
        <v>0.71279356834158725</v>
      </c>
      <c r="D1604" s="1" t="s">
        <v>4406</v>
      </c>
      <c r="E1604" s="1" t="s">
        <v>4407</v>
      </c>
      <c r="F1604" s="1" t="s">
        <v>4521</v>
      </c>
      <c r="G1604" s="1">
        <v>7</v>
      </c>
      <c r="H1604" s="1" t="s">
        <v>442</v>
      </c>
      <c r="I1604" s="1" t="s">
        <v>4480</v>
      </c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</row>
    <row r="1605" spans="1:40" ht="22" customHeight="1">
      <c r="A1605" s="1" t="s">
        <v>418</v>
      </c>
      <c r="B1605" s="1" t="s">
        <v>805</v>
      </c>
      <c r="C1605" s="7">
        <v>0.70661457496291302</v>
      </c>
      <c r="D1605" s="1" t="s">
        <v>3857</v>
      </c>
      <c r="E1605" s="1" t="s">
        <v>3858</v>
      </c>
      <c r="F1605" s="1" t="s">
        <v>4522</v>
      </c>
      <c r="G1605" s="1">
        <v>16</v>
      </c>
      <c r="H1605" s="1" t="s">
        <v>442</v>
      </c>
      <c r="I1605" s="1" t="s">
        <v>4480</v>
      </c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</row>
    <row r="1606" spans="1:40" ht="22" customHeight="1">
      <c r="A1606" s="1" t="s">
        <v>131</v>
      </c>
      <c r="B1606" s="1" t="s">
        <v>812</v>
      </c>
      <c r="C1606" s="7">
        <v>0.22052858366333475</v>
      </c>
      <c r="D1606" s="1" t="s">
        <v>4238</v>
      </c>
      <c r="E1606" s="1" t="s">
        <v>3932</v>
      </c>
      <c r="F1606" s="1" t="s">
        <v>4510</v>
      </c>
      <c r="G1606" s="1">
        <v>11</v>
      </c>
      <c r="H1606" s="1" t="s">
        <v>442</v>
      </c>
      <c r="I1606" s="1" t="s">
        <v>4480</v>
      </c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</row>
    <row r="1607" spans="1:40" ht="22" customHeight="1">
      <c r="A1607" s="1" t="s">
        <v>155</v>
      </c>
      <c r="B1607" s="1" t="s">
        <v>818</v>
      </c>
      <c r="C1607" s="7">
        <v>0.2923713862135881</v>
      </c>
      <c r="D1607" s="1" t="s">
        <v>4030</v>
      </c>
      <c r="E1607" s="1" t="s">
        <v>4031</v>
      </c>
      <c r="F1607" s="1" t="s">
        <v>4523</v>
      </c>
      <c r="G1607" s="1">
        <v>3</v>
      </c>
      <c r="H1607" s="1" t="s">
        <v>442</v>
      </c>
      <c r="I1607" s="1" t="s">
        <v>4480</v>
      </c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</row>
    <row r="1608" spans="1:40" ht="22" customHeight="1">
      <c r="A1608" s="1" t="s">
        <v>211</v>
      </c>
      <c r="B1608" s="1" t="s">
        <v>824</v>
      </c>
      <c r="C1608" s="7">
        <v>0.54025252040445781</v>
      </c>
      <c r="D1608" s="1" t="s">
        <v>4223</v>
      </c>
      <c r="E1608" s="1" t="s">
        <v>4224</v>
      </c>
      <c r="F1608" s="1" t="s">
        <v>4492</v>
      </c>
      <c r="G1608" s="1">
        <v>9</v>
      </c>
      <c r="H1608" s="1" t="s">
        <v>442</v>
      </c>
      <c r="I1608" s="1" t="s">
        <v>4480</v>
      </c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</row>
    <row r="1609" spans="1:40" ht="22" customHeight="1">
      <c r="A1609" s="1" t="s">
        <v>208</v>
      </c>
      <c r="B1609" s="1" t="s">
        <v>830</v>
      </c>
      <c r="C1609" s="7">
        <v>0.56696854712567146</v>
      </c>
      <c r="D1609" s="1" t="s">
        <v>3664</v>
      </c>
      <c r="E1609" s="1" t="s">
        <v>3665</v>
      </c>
      <c r="F1609" s="1" t="s">
        <v>4524</v>
      </c>
      <c r="G1609" s="1">
        <v>13</v>
      </c>
      <c r="H1609" s="1" t="s">
        <v>442</v>
      </c>
      <c r="I1609" s="1" t="s">
        <v>4480</v>
      </c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</row>
    <row r="1610" spans="1:40" ht="22" customHeight="1">
      <c r="A1610" s="1" t="s">
        <v>255</v>
      </c>
      <c r="B1610" s="1" t="s">
        <v>838</v>
      </c>
      <c r="C1610" s="7">
        <v>0.4926131971074626</v>
      </c>
      <c r="D1610" s="1" t="s">
        <v>3724</v>
      </c>
      <c r="E1610" s="1" t="s">
        <v>3725</v>
      </c>
      <c r="F1610" s="1" t="s">
        <v>4525</v>
      </c>
      <c r="G1610" s="1">
        <v>10</v>
      </c>
      <c r="H1610" s="1" t="s">
        <v>442</v>
      </c>
      <c r="I1610" s="1" t="s">
        <v>4480</v>
      </c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</row>
    <row r="1611" spans="1:40" ht="22" customHeight="1">
      <c r="A1611" s="1" t="s">
        <v>291</v>
      </c>
      <c r="B1611" s="1" t="s">
        <v>844</v>
      </c>
      <c r="C1611" s="7">
        <v>0.69819959197966086</v>
      </c>
      <c r="D1611" s="1" t="s">
        <v>3742</v>
      </c>
      <c r="E1611" s="1" t="s">
        <v>3743</v>
      </c>
      <c r="F1611" s="1" t="s">
        <v>4526</v>
      </c>
      <c r="G1611" s="1">
        <v>9</v>
      </c>
      <c r="H1611" s="1" t="s">
        <v>442</v>
      </c>
      <c r="I1611" s="1" t="s">
        <v>4480</v>
      </c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</row>
    <row r="1612" spans="1:40" ht="22" customHeight="1">
      <c r="A1612" s="1" t="s">
        <v>333</v>
      </c>
      <c r="B1612" s="1" t="s">
        <v>850</v>
      </c>
      <c r="C1612" s="7">
        <v>0.61145574570213368</v>
      </c>
      <c r="D1612" s="1" t="s">
        <v>3990</v>
      </c>
      <c r="E1612" s="1" t="s">
        <v>3991</v>
      </c>
      <c r="F1612" s="1" t="s">
        <v>4527</v>
      </c>
      <c r="G1612" s="1">
        <v>10</v>
      </c>
      <c r="H1612" s="1" t="s">
        <v>442</v>
      </c>
      <c r="I1612" s="1" t="s">
        <v>4480</v>
      </c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</row>
    <row r="1613" spans="1:40" ht="22" customHeight="1">
      <c r="A1613" s="1" t="s">
        <v>397</v>
      </c>
      <c r="B1613" s="1" t="s">
        <v>856</v>
      </c>
      <c r="C1613" s="7">
        <v>0.78787322910509983</v>
      </c>
      <c r="D1613" s="1" t="s">
        <v>3851</v>
      </c>
      <c r="E1613" s="1" t="s">
        <v>3852</v>
      </c>
      <c r="F1613" s="1" t="s">
        <v>4528</v>
      </c>
      <c r="G1613" s="1">
        <v>8</v>
      </c>
      <c r="H1613" s="1" t="s">
        <v>442</v>
      </c>
      <c r="I1613" s="1" t="s">
        <v>4480</v>
      </c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</row>
    <row r="1614" spans="1:40" ht="22" customHeight="1">
      <c r="A1614" s="1" t="s">
        <v>104</v>
      </c>
      <c r="B1614" s="1" t="s">
        <v>862</v>
      </c>
      <c r="C1614" s="7">
        <v>0.21729732764076798</v>
      </c>
      <c r="D1614" s="1" t="s">
        <v>4205</v>
      </c>
      <c r="E1614" s="1" t="s">
        <v>4206</v>
      </c>
      <c r="F1614" s="1" t="s">
        <v>4502</v>
      </c>
      <c r="G1614" s="1">
        <v>14</v>
      </c>
      <c r="H1614" s="1" t="s">
        <v>442</v>
      </c>
      <c r="I1614" s="1" t="s">
        <v>4480</v>
      </c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</row>
    <row r="1615" spans="1:40" ht="22" customHeight="1">
      <c r="A1615" s="1" t="s">
        <v>176</v>
      </c>
      <c r="B1615" s="1" t="s">
        <v>868</v>
      </c>
      <c r="C1615" s="7">
        <v>0.13231860273611198</v>
      </c>
      <c r="D1615" s="1" t="s">
        <v>3963</v>
      </c>
      <c r="E1615" s="1" t="s">
        <v>3964</v>
      </c>
      <c r="F1615" s="1" t="s">
        <v>4529</v>
      </c>
      <c r="G1615" s="1">
        <v>5</v>
      </c>
      <c r="H1615" s="1" t="s">
        <v>442</v>
      </c>
      <c r="I1615" s="1" t="s">
        <v>4480</v>
      </c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</row>
    <row r="1616" spans="1:40" ht="22" customHeight="1">
      <c r="A1616" s="1" t="s">
        <v>320</v>
      </c>
      <c r="B1616" s="1" t="s">
        <v>874</v>
      </c>
      <c r="C1616" s="7">
        <v>0.15913114827820626</v>
      </c>
      <c r="D1616" s="1" t="s">
        <v>4426</v>
      </c>
      <c r="E1616" s="1" t="s">
        <v>4427</v>
      </c>
      <c r="F1616" s="1" t="s">
        <v>4530</v>
      </c>
      <c r="G1616" s="1">
        <v>3</v>
      </c>
      <c r="H1616" s="1" t="s">
        <v>442</v>
      </c>
      <c r="I1616" s="1" t="s">
        <v>4480</v>
      </c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</row>
    <row r="1617" spans="1:40" ht="22" customHeight="1">
      <c r="A1617" s="1" t="s">
        <v>275</v>
      </c>
      <c r="B1617" s="1" t="s">
        <v>881</v>
      </c>
      <c r="C1617" s="7">
        <v>0.54181121682101918</v>
      </c>
      <c r="D1617" s="1" t="s">
        <v>3393</v>
      </c>
      <c r="E1617" s="1" t="s">
        <v>3394</v>
      </c>
      <c r="F1617" s="1" t="s">
        <v>4487</v>
      </c>
      <c r="G1617" s="1">
        <v>10</v>
      </c>
      <c r="H1617" s="1" t="s">
        <v>442</v>
      </c>
      <c r="I1617" s="1" t="s">
        <v>4480</v>
      </c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</row>
    <row r="1618" spans="1:40" ht="22" customHeight="1">
      <c r="A1618" s="1" t="s">
        <v>391</v>
      </c>
      <c r="B1618" s="1" t="s">
        <v>887</v>
      </c>
      <c r="C1618" s="7">
        <v>0.16551476084089259</v>
      </c>
      <c r="D1618" s="1" t="s">
        <v>4000</v>
      </c>
      <c r="E1618" s="1" t="s">
        <v>4001</v>
      </c>
      <c r="F1618" s="1" t="s">
        <v>4496</v>
      </c>
      <c r="G1618" s="1">
        <v>13</v>
      </c>
      <c r="H1618" s="1" t="s">
        <v>442</v>
      </c>
      <c r="I1618" s="1" t="s">
        <v>4480</v>
      </c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</row>
    <row r="1619" spans="1:40" ht="22" customHeight="1">
      <c r="A1619" s="1" t="s">
        <v>285</v>
      </c>
      <c r="B1619" s="1" t="s">
        <v>893</v>
      </c>
      <c r="C1619" s="7">
        <v>0.51504147697237534</v>
      </c>
      <c r="D1619" s="1" t="s">
        <v>4111</v>
      </c>
      <c r="E1619" s="1" t="s">
        <v>4112</v>
      </c>
      <c r="F1619" s="1" t="s">
        <v>4531</v>
      </c>
      <c r="G1619" s="1">
        <v>1</v>
      </c>
      <c r="H1619" s="1" t="s">
        <v>442</v>
      </c>
      <c r="I1619" s="1" t="s">
        <v>4480</v>
      </c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</row>
    <row r="1620" spans="1:40" ht="22" customHeight="1">
      <c r="A1620" s="1" t="s">
        <v>417</v>
      </c>
      <c r="B1620" s="1" t="s">
        <v>899</v>
      </c>
      <c r="C1620" s="7">
        <v>0.40122889962049074</v>
      </c>
      <c r="D1620" s="1" t="s">
        <v>4039</v>
      </c>
      <c r="E1620" s="1" t="s">
        <v>4040</v>
      </c>
      <c r="F1620" s="1" t="s">
        <v>4532</v>
      </c>
      <c r="G1620" s="1">
        <v>11</v>
      </c>
      <c r="H1620" s="1" t="s">
        <v>442</v>
      </c>
      <c r="I1620" s="1" t="s">
        <v>4480</v>
      </c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</row>
    <row r="1621" spans="1:40" ht="22" customHeight="1">
      <c r="A1621" s="1" t="s">
        <v>175</v>
      </c>
      <c r="B1621" s="1" t="s">
        <v>906</v>
      </c>
      <c r="C1621" s="7">
        <v>0.30525046391309263</v>
      </c>
      <c r="D1621" s="1" t="s">
        <v>3212</v>
      </c>
      <c r="E1621" s="1" t="s">
        <v>3213</v>
      </c>
      <c r="F1621" s="1" t="s">
        <v>4533</v>
      </c>
      <c r="G1621" s="1">
        <v>4</v>
      </c>
      <c r="H1621" s="1" t="s">
        <v>442</v>
      </c>
      <c r="I1621" s="1" t="s">
        <v>4480</v>
      </c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</row>
    <row r="1622" spans="1:40" ht="22" customHeight="1">
      <c r="A1622" s="1" t="s">
        <v>263</v>
      </c>
      <c r="B1622" s="1" t="s">
        <v>913</v>
      </c>
      <c r="C1622" s="7">
        <v>0.25781245256366847</v>
      </c>
      <c r="D1622" s="1" t="s">
        <v>3797</v>
      </c>
      <c r="E1622" s="1" t="s">
        <v>3798</v>
      </c>
      <c r="F1622" s="1" t="s">
        <v>4534</v>
      </c>
      <c r="G1622" s="1">
        <v>9</v>
      </c>
      <c r="H1622" s="1" t="s">
        <v>442</v>
      </c>
      <c r="I1622" s="1" t="s">
        <v>4480</v>
      </c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</row>
    <row r="1623" spans="1:40" ht="22" customHeight="1">
      <c r="A1623" s="1" t="s">
        <v>153</v>
      </c>
      <c r="B1623" s="1" t="s">
        <v>919</v>
      </c>
      <c r="C1623" s="7">
        <v>0.22184891602670467</v>
      </c>
      <c r="D1623" s="1" t="s">
        <v>3482</v>
      </c>
      <c r="E1623" s="1" t="s">
        <v>3483</v>
      </c>
      <c r="F1623" s="1" t="s">
        <v>4515</v>
      </c>
      <c r="G1623" s="1">
        <v>10</v>
      </c>
      <c r="H1623" s="1" t="s">
        <v>442</v>
      </c>
      <c r="I1623" s="1" t="s">
        <v>4480</v>
      </c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</row>
    <row r="1624" spans="1:40" ht="22" customHeight="1">
      <c r="A1624" s="1" t="s">
        <v>293</v>
      </c>
      <c r="B1624" s="1" t="s">
        <v>925</v>
      </c>
      <c r="C1624" s="7">
        <v>1.3873237300055541</v>
      </c>
      <c r="D1624" s="1" t="s">
        <v>3698</v>
      </c>
      <c r="E1624" s="1" t="s">
        <v>3699</v>
      </c>
      <c r="F1624" s="1" t="s">
        <v>4535</v>
      </c>
      <c r="G1624" s="1">
        <v>2</v>
      </c>
      <c r="H1624" s="1" t="s">
        <v>442</v>
      </c>
      <c r="I1624" s="1" t="s">
        <v>4480</v>
      </c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</row>
    <row r="1625" spans="1:40" ht="22" customHeight="1">
      <c r="A1625" s="1" t="s">
        <v>319</v>
      </c>
      <c r="B1625" s="1" t="s">
        <v>932</v>
      </c>
      <c r="C1625" s="7">
        <v>0.1443955007665691</v>
      </c>
      <c r="D1625" s="1" t="s">
        <v>4033</v>
      </c>
      <c r="E1625" s="1" t="s">
        <v>4034</v>
      </c>
      <c r="F1625" s="1" t="s">
        <v>4536</v>
      </c>
      <c r="G1625" s="1">
        <v>11</v>
      </c>
      <c r="H1625" s="1" t="s">
        <v>442</v>
      </c>
      <c r="I1625" s="1" t="s">
        <v>4480</v>
      </c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</row>
    <row r="1626" spans="1:40" ht="22" customHeight="1">
      <c r="A1626" s="1" t="s">
        <v>330</v>
      </c>
      <c r="B1626" s="1" t="s">
        <v>938</v>
      </c>
      <c r="C1626" s="7">
        <v>0.46247214304635692</v>
      </c>
      <c r="D1626" s="1" t="s">
        <v>3442</v>
      </c>
      <c r="E1626" s="1" t="s">
        <v>3443</v>
      </c>
      <c r="F1626" s="1" t="s">
        <v>4500</v>
      </c>
      <c r="G1626" s="1">
        <v>5</v>
      </c>
      <c r="H1626" s="1" t="s">
        <v>442</v>
      </c>
      <c r="I1626" s="1" t="s">
        <v>4480</v>
      </c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</row>
    <row r="1627" spans="1:40" ht="22" customHeight="1">
      <c r="A1627" s="1" t="s">
        <v>189</v>
      </c>
      <c r="B1627" s="1" t="s">
        <v>944</v>
      </c>
      <c r="C1627" s="7">
        <v>0.3658513855331566</v>
      </c>
      <c r="D1627" s="1" t="s">
        <v>4223</v>
      </c>
      <c r="E1627" s="1" t="s">
        <v>4224</v>
      </c>
      <c r="F1627" s="1" t="s">
        <v>4492</v>
      </c>
      <c r="G1627" s="1">
        <v>9</v>
      </c>
      <c r="H1627" s="1" t="s">
        <v>442</v>
      </c>
      <c r="I1627" s="1" t="s">
        <v>4480</v>
      </c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</row>
    <row r="1628" spans="1:40" ht="22" customHeight="1">
      <c r="A1628" s="1" t="s">
        <v>210</v>
      </c>
      <c r="B1628" s="1" t="s">
        <v>950</v>
      </c>
      <c r="C1628" s="7">
        <v>0.20679124402661642</v>
      </c>
      <c r="D1628" s="1" t="s">
        <v>3766</v>
      </c>
      <c r="E1628" s="1" t="s">
        <v>3767</v>
      </c>
      <c r="F1628" s="1" t="s">
        <v>4517</v>
      </c>
      <c r="G1628" s="1">
        <v>10</v>
      </c>
      <c r="H1628" s="1" t="s">
        <v>442</v>
      </c>
      <c r="I1628" s="1" t="s">
        <v>4480</v>
      </c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</row>
    <row r="1629" spans="1:40" ht="22" customHeight="1">
      <c r="A1629" s="1" t="s">
        <v>250</v>
      </c>
      <c r="B1629" s="1" t="s">
        <v>956</v>
      </c>
      <c r="C1629" s="7">
        <v>0.25382886535158589</v>
      </c>
      <c r="D1629" s="1" t="s">
        <v>3727</v>
      </c>
      <c r="E1629" s="1" t="s">
        <v>3728</v>
      </c>
      <c r="F1629" s="1" t="s">
        <v>4513</v>
      </c>
      <c r="G1629" s="1">
        <v>5</v>
      </c>
      <c r="H1629" s="1" t="s">
        <v>442</v>
      </c>
      <c r="I1629" s="1" t="s">
        <v>4480</v>
      </c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</row>
    <row r="1630" spans="1:40" ht="22" customHeight="1">
      <c r="A1630" s="1" t="s">
        <v>398</v>
      </c>
      <c r="B1630" s="1" t="s">
        <v>962</v>
      </c>
      <c r="C1630" s="7">
        <v>0.52753063504001518</v>
      </c>
      <c r="D1630" s="1" t="s">
        <v>4406</v>
      </c>
      <c r="E1630" s="1" t="s">
        <v>4407</v>
      </c>
      <c r="F1630" s="1" t="s">
        <v>4521</v>
      </c>
      <c r="G1630" s="1">
        <v>7</v>
      </c>
      <c r="H1630" s="1" t="s">
        <v>442</v>
      </c>
      <c r="I1630" s="1" t="s">
        <v>4480</v>
      </c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</row>
    <row r="1631" spans="1:40" ht="22" customHeight="1">
      <c r="A1631" s="1" t="s">
        <v>322</v>
      </c>
      <c r="B1631" s="1" t="s">
        <v>968</v>
      </c>
      <c r="C1631" s="7">
        <v>0.34797554224224214</v>
      </c>
      <c r="D1631" s="1" t="s">
        <v>3946</v>
      </c>
      <c r="E1631" s="1" t="s">
        <v>3947</v>
      </c>
      <c r="F1631" s="1" t="s">
        <v>4537</v>
      </c>
      <c r="G1631" s="1">
        <v>7</v>
      </c>
      <c r="H1631" s="1" t="s">
        <v>442</v>
      </c>
      <c r="I1631" s="1" t="s">
        <v>4480</v>
      </c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</row>
    <row r="1632" spans="1:40" ht="22" customHeight="1">
      <c r="A1632" s="1" t="s">
        <v>337</v>
      </c>
      <c r="B1632" s="1" t="s">
        <v>974</v>
      </c>
      <c r="C1632" s="7">
        <v>0.41092523794122804</v>
      </c>
      <c r="D1632" s="1" t="s">
        <v>4324</v>
      </c>
      <c r="E1632" s="1" t="s">
        <v>4325</v>
      </c>
      <c r="F1632" s="1" t="s">
        <v>4490</v>
      </c>
      <c r="G1632" s="1">
        <v>7</v>
      </c>
      <c r="H1632" s="1" t="s">
        <v>442</v>
      </c>
      <c r="I1632" s="1" t="s">
        <v>4480</v>
      </c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</row>
    <row r="1633" spans="1:40" ht="22" customHeight="1">
      <c r="A1633" s="1" t="s">
        <v>346</v>
      </c>
      <c r="B1633" s="1" t="s">
        <v>980</v>
      </c>
      <c r="C1633" s="7">
        <v>0.28034979991197007</v>
      </c>
      <c r="D1633" s="1" t="s">
        <v>3407</v>
      </c>
      <c r="E1633" s="1" t="s">
        <v>3408</v>
      </c>
      <c r="F1633" s="1" t="s">
        <v>4506</v>
      </c>
      <c r="G1633" s="1">
        <v>5</v>
      </c>
      <c r="H1633" s="1" t="s">
        <v>442</v>
      </c>
      <c r="I1633" s="1" t="s">
        <v>4480</v>
      </c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</row>
    <row r="1634" spans="1:40" ht="22" customHeight="1">
      <c r="A1634" s="1" t="s">
        <v>270</v>
      </c>
      <c r="B1634" s="1" t="s">
        <v>986</v>
      </c>
      <c r="C1634" s="7">
        <v>0.32748912729383622</v>
      </c>
      <c r="D1634" s="1" t="s">
        <v>4079</v>
      </c>
      <c r="E1634" s="1" t="s">
        <v>4080</v>
      </c>
      <c r="F1634" s="1" t="s">
        <v>4538</v>
      </c>
      <c r="G1634" s="1">
        <v>3</v>
      </c>
      <c r="H1634" s="1" t="s">
        <v>442</v>
      </c>
      <c r="I1634" s="1" t="s">
        <v>4480</v>
      </c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</row>
    <row r="1635" spans="1:40" ht="22" customHeight="1">
      <c r="A1635" s="1" t="s">
        <v>415</v>
      </c>
      <c r="B1635" s="1" t="s">
        <v>992</v>
      </c>
      <c r="C1635" s="7">
        <v>0.30447532178112002</v>
      </c>
      <c r="D1635" s="1" t="s">
        <v>4246</v>
      </c>
      <c r="E1635" s="1" t="s">
        <v>4247</v>
      </c>
      <c r="F1635" s="1" t="s">
        <v>4539</v>
      </c>
      <c r="G1635" s="1">
        <v>4</v>
      </c>
      <c r="H1635" s="1" t="s">
        <v>442</v>
      </c>
      <c r="I1635" s="1" t="s">
        <v>4480</v>
      </c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</row>
    <row r="1636" spans="1:40" ht="22" customHeight="1">
      <c r="A1636" s="1" t="s">
        <v>164</v>
      </c>
      <c r="B1636" s="1" t="s">
        <v>999</v>
      </c>
      <c r="C1636" s="7">
        <v>0.75178174201665049</v>
      </c>
      <c r="D1636" s="1" t="s">
        <v>3692</v>
      </c>
      <c r="E1636" s="1" t="s">
        <v>3693</v>
      </c>
      <c r="F1636" s="1" t="s">
        <v>4540</v>
      </c>
      <c r="G1636" s="1">
        <v>7</v>
      </c>
      <c r="H1636" s="1" t="s">
        <v>442</v>
      </c>
      <c r="I1636" s="1" t="s">
        <v>4480</v>
      </c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</row>
    <row r="1637" spans="1:40" ht="22" customHeight="1">
      <c r="A1637" s="1" t="s">
        <v>192</v>
      </c>
      <c r="B1637" s="1" t="s">
        <v>1004</v>
      </c>
      <c r="C1637" s="7">
        <v>0.13618843029652308</v>
      </c>
      <c r="D1637" s="1" t="s">
        <v>3854</v>
      </c>
      <c r="E1637" s="1" t="s">
        <v>3855</v>
      </c>
      <c r="F1637" s="1" t="s">
        <v>4541</v>
      </c>
      <c r="G1637" s="1">
        <v>0</v>
      </c>
      <c r="H1637" s="1" t="s">
        <v>442</v>
      </c>
      <c r="I1637" s="1" t="s">
        <v>4480</v>
      </c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</row>
    <row r="1638" spans="1:40" ht="22" customHeight="1">
      <c r="A1638" s="1" t="s">
        <v>264</v>
      </c>
      <c r="B1638" s="1" t="s">
        <v>1011</v>
      </c>
      <c r="C1638" s="7">
        <v>0.27346367730613097</v>
      </c>
      <c r="D1638" s="1" t="s">
        <v>3212</v>
      </c>
      <c r="E1638" s="1" t="s">
        <v>3213</v>
      </c>
      <c r="F1638" s="1" t="s">
        <v>4533</v>
      </c>
      <c r="G1638" s="1">
        <v>6</v>
      </c>
      <c r="H1638" s="1" t="s">
        <v>442</v>
      </c>
      <c r="I1638" s="1" t="s">
        <v>4480</v>
      </c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</row>
    <row r="1639" spans="1:40" ht="22" customHeight="1">
      <c r="A1639" s="1" t="s">
        <v>117</v>
      </c>
      <c r="B1639" s="1" t="s">
        <v>1016</v>
      </c>
      <c r="C1639" s="7">
        <v>0.68388717926855458</v>
      </c>
      <c r="D1639" s="1" t="s">
        <v>3576</v>
      </c>
      <c r="E1639" s="1" t="s">
        <v>3577</v>
      </c>
      <c r="F1639" s="1" t="s">
        <v>4489</v>
      </c>
      <c r="G1639" s="1">
        <v>12</v>
      </c>
      <c r="H1639" s="1" t="s">
        <v>442</v>
      </c>
      <c r="I1639" s="1" t="s">
        <v>4480</v>
      </c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</row>
    <row r="1640" spans="1:40" ht="22" customHeight="1">
      <c r="A1640" s="1" t="s">
        <v>253</v>
      </c>
      <c r="B1640" s="1" t="s">
        <v>1022</v>
      </c>
      <c r="C1640" s="7">
        <v>0.4278518155031602</v>
      </c>
      <c r="D1640" s="1" t="s">
        <v>3629</v>
      </c>
      <c r="E1640" s="1" t="s">
        <v>3630</v>
      </c>
      <c r="F1640" s="1" t="s">
        <v>4542</v>
      </c>
      <c r="G1640" s="1">
        <v>8</v>
      </c>
      <c r="H1640" s="1" t="s">
        <v>442</v>
      </c>
      <c r="I1640" s="1" t="s">
        <v>4480</v>
      </c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</row>
    <row r="1641" spans="1:40" ht="22" customHeight="1">
      <c r="A1641" s="1" t="s">
        <v>374</v>
      </c>
      <c r="B1641" s="1" t="s">
        <v>1028</v>
      </c>
      <c r="C1641" s="7">
        <v>0.59571185515035929</v>
      </c>
      <c r="D1641" s="1" t="s">
        <v>4223</v>
      </c>
      <c r="E1641" s="1" t="s">
        <v>4224</v>
      </c>
      <c r="F1641" s="1" t="s">
        <v>4492</v>
      </c>
      <c r="G1641" s="1">
        <v>6</v>
      </c>
      <c r="H1641" s="1" t="s">
        <v>442</v>
      </c>
      <c r="I1641" s="1" t="s">
        <v>4480</v>
      </c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</row>
    <row r="1642" spans="1:40" ht="22" customHeight="1">
      <c r="A1642" s="1" t="s">
        <v>329</v>
      </c>
      <c r="B1642" s="1" t="s">
        <v>1034</v>
      </c>
      <c r="C1642" s="7">
        <v>0.91191315893029967</v>
      </c>
      <c r="D1642" s="1" t="s">
        <v>4059</v>
      </c>
      <c r="E1642" s="1" t="s">
        <v>4060</v>
      </c>
      <c r="F1642" s="1" t="s">
        <v>4479</v>
      </c>
      <c r="G1642" s="1">
        <v>1</v>
      </c>
      <c r="H1642" s="1" t="s">
        <v>442</v>
      </c>
      <c r="I1642" s="1" t="s">
        <v>4480</v>
      </c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</row>
    <row r="1643" spans="1:40" ht="22" customHeight="1">
      <c r="A1643" s="1" t="s">
        <v>97</v>
      </c>
      <c r="B1643" s="1" t="s">
        <v>1040</v>
      </c>
      <c r="C1643" s="7">
        <v>1.2644636123923818</v>
      </c>
      <c r="D1643" s="1" t="s">
        <v>3727</v>
      </c>
      <c r="E1643" s="1" t="s">
        <v>3728</v>
      </c>
      <c r="F1643" s="1" t="s">
        <v>4513</v>
      </c>
      <c r="G1643" s="1">
        <v>4</v>
      </c>
      <c r="H1643" s="1" t="s">
        <v>442</v>
      </c>
      <c r="I1643" s="1" t="s">
        <v>4480</v>
      </c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</row>
    <row r="1644" spans="1:40" ht="22" customHeight="1">
      <c r="A1644" s="1" t="s">
        <v>280</v>
      </c>
      <c r="B1644" s="1" t="s">
        <v>1046</v>
      </c>
      <c r="C1644" s="7">
        <v>0.2689432737347327</v>
      </c>
      <c r="D1644" s="1" t="s">
        <v>3727</v>
      </c>
      <c r="E1644" s="1" t="s">
        <v>3728</v>
      </c>
      <c r="F1644" s="1" t="s">
        <v>4513</v>
      </c>
      <c r="G1644" s="1">
        <v>10</v>
      </c>
      <c r="H1644" s="1" t="s">
        <v>442</v>
      </c>
      <c r="I1644" s="1" t="s">
        <v>4480</v>
      </c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</row>
    <row r="1645" spans="1:40" ht="22" customHeight="1">
      <c r="A1645" s="1" t="s">
        <v>166</v>
      </c>
      <c r="B1645" s="1" t="s">
        <v>1051</v>
      </c>
      <c r="C1645" s="7">
        <v>0.27837564931711301</v>
      </c>
      <c r="D1645" s="1" t="s">
        <v>3978</v>
      </c>
      <c r="E1645" s="1" t="s">
        <v>3979</v>
      </c>
      <c r="F1645" s="1" t="s">
        <v>4543</v>
      </c>
      <c r="G1645" s="1">
        <v>11</v>
      </c>
      <c r="H1645" s="1" t="s">
        <v>442</v>
      </c>
      <c r="I1645" s="1" t="s">
        <v>4480</v>
      </c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</row>
    <row r="1646" spans="1:40" ht="22" customHeight="1">
      <c r="A1646" s="1" t="s">
        <v>282</v>
      </c>
      <c r="B1646" s="1" t="s">
        <v>1057</v>
      </c>
      <c r="C1646" s="7">
        <v>0.43348121766882752</v>
      </c>
      <c r="D1646" s="1" t="s">
        <v>3745</v>
      </c>
      <c r="E1646" s="1" t="s">
        <v>3746</v>
      </c>
      <c r="F1646" s="1" t="s">
        <v>4498</v>
      </c>
      <c r="G1646" s="1">
        <v>4</v>
      </c>
      <c r="H1646" s="1" t="s">
        <v>442</v>
      </c>
      <c r="I1646" s="1" t="s">
        <v>4480</v>
      </c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</row>
    <row r="1647" spans="1:40" ht="22" customHeight="1">
      <c r="A1647" s="1" t="s">
        <v>297</v>
      </c>
      <c r="B1647" s="1" t="s">
        <v>1063</v>
      </c>
      <c r="C1647" s="7">
        <v>5.1136273911278562E-2</v>
      </c>
      <c r="D1647" s="1" t="s">
        <v>4303</v>
      </c>
      <c r="E1647" s="1" t="s">
        <v>4304</v>
      </c>
      <c r="F1647" s="1" t="s">
        <v>4544</v>
      </c>
      <c r="G1647" s="1">
        <v>6</v>
      </c>
      <c r="H1647" s="1" t="s">
        <v>442</v>
      </c>
      <c r="I1647" s="1" t="s">
        <v>4480</v>
      </c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</row>
    <row r="1648" spans="1:40" ht="22" customHeight="1">
      <c r="A1648" s="1" t="s">
        <v>122</v>
      </c>
      <c r="B1648" s="1" t="s">
        <v>1069</v>
      </c>
      <c r="C1648" s="7">
        <v>0.43883924319742251</v>
      </c>
      <c r="D1648" s="1" t="s">
        <v>3193</v>
      </c>
      <c r="E1648" s="1" t="s">
        <v>3194</v>
      </c>
      <c r="F1648" s="1" t="s">
        <v>4485</v>
      </c>
      <c r="G1648" s="1">
        <v>11</v>
      </c>
      <c r="H1648" s="1" t="s">
        <v>442</v>
      </c>
      <c r="I1648" s="1" t="s">
        <v>4480</v>
      </c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</row>
    <row r="1649" spans="1:40" ht="22" customHeight="1">
      <c r="A1649" s="1" t="s">
        <v>249</v>
      </c>
      <c r="B1649" s="1" t="s">
        <v>1075</v>
      </c>
      <c r="C1649" s="7">
        <v>0.46155674922950946</v>
      </c>
      <c r="D1649" s="1" t="s">
        <v>3698</v>
      </c>
      <c r="E1649" s="1" t="s">
        <v>3699</v>
      </c>
      <c r="F1649" s="1" t="s">
        <v>4535</v>
      </c>
      <c r="G1649" s="1">
        <v>6</v>
      </c>
      <c r="H1649" s="1" t="s">
        <v>442</v>
      </c>
      <c r="I1649" s="1" t="s">
        <v>4480</v>
      </c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</row>
    <row r="1650" spans="1:40" ht="22" customHeight="1">
      <c r="A1650" s="1" t="s">
        <v>362</v>
      </c>
      <c r="B1650" s="1" t="s">
        <v>1082</v>
      </c>
      <c r="C1650" s="7">
        <v>0.74331399043601476</v>
      </c>
      <c r="D1650" s="1" t="s">
        <v>4059</v>
      </c>
      <c r="E1650" s="1" t="s">
        <v>4060</v>
      </c>
      <c r="F1650" s="1" t="s">
        <v>4479</v>
      </c>
      <c r="G1650" s="1">
        <v>2</v>
      </c>
      <c r="H1650" s="1" t="s">
        <v>442</v>
      </c>
      <c r="I1650" s="1" t="s">
        <v>4480</v>
      </c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</row>
    <row r="1651" spans="1:40" ht="22" customHeight="1">
      <c r="A1651" s="1" t="s">
        <v>279</v>
      </c>
      <c r="B1651" s="1" t="s">
        <v>1088</v>
      </c>
      <c r="C1651" s="7">
        <v>7.6646918522881122E-2</v>
      </c>
      <c r="D1651" s="1" t="s">
        <v>3848</v>
      </c>
      <c r="E1651" s="1" t="s">
        <v>3849</v>
      </c>
      <c r="F1651" s="1" t="s">
        <v>4545</v>
      </c>
      <c r="G1651" s="1">
        <v>15</v>
      </c>
      <c r="H1651" s="1" t="s">
        <v>442</v>
      </c>
      <c r="I1651" s="1" t="s">
        <v>4480</v>
      </c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</row>
    <row r="1652" spans="1:40" ht="22" customHeight="1">
      <c r="A1652" s="1" t="s">
        <v>310</v>
      </c>
      <c r="B1652" s="1" t="s">
        <v>1094</v>
      </c>
      <c r="C1652" s="7">
        <v>0.30659980523741776</v>
      </c>
      <c r="D1652" s="1" t="s">
        <v>4261</v>
      </c>
      <c r="E1652" s="1" t="s">
        <v>4262</v>
      </c>
      <c r="F1652" s="1" t="s">
        <v>4546</v>
      </c>
      <c r="G1652" s="1">
        <v>12</v>
      </c>
      <c r="H1652" s="1" t="s">
        <v>442</v>
      </c>
      <c r="I1652" s="1" t="s">
        <v>4480</v>
      </c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</row>
    <row r="1653" spans="1:40" ht="22" customHeight="1">
      <c r="A1653" s="1" t="s">
        <v>112</v>
      </c>
      <c r="B1653" s="1" t="s">
        <v>1101</v>
      </c>
      <c r="C1653" s="7">
        <v>0.22446280484791564</v>
      </c>
      <c r="D1653" s="1" t="s">
        <v>3482</v>
      </c>
      <c r="E1653" s="1" t="s">
        <v>3483</v>
      </c>
      <c r="F1653" s="1" t="s">
        <v>4515</v>
      </c>
      <c r="G1653" s="1">
        <v>10</v>
      </c>
      <c r="H1653" s="1" t="s">
        <v>442</v>
      </c>
      <c r="I1653" s="1" t="s">
        <v>4480</v>
      </c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</row>
    <row r="1654" spans="1:40" ht="22" customHeight="1">
      <c r="A1654" s="1" t="s">
        <v>354</v>
      </c>
      <c r="B1654" s="1" t="s">
        <v>1107</v>
      </c>
      <c r="C1654" s="7">
        <v>0.33244576492227818</v>
      </c>
      <c r="D1654" s="1" t="s">
        <v>4261</v>
      </c>
      <c r="E1654" s="1" t="s">
        <v>4262</v>
      </c>
      <c r="F1654" s="1" t="s">
        <v>4546</v>
      </c>
      <c r="G1654" s="1">
        <v>10</v>
      </c>
      <c r="H1654" s="1" t="s">
        <v>442</v>
      </c>
      <c r="I1654" s="1" t="s">
        <v>4480</v>
      </c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</row>
    <row r="1655" spans="1:40" ht="22" customHeight="1">
      <c r="A1655" s="1" t="s">
        <v>174</v>
      </c>
      <c r="B1655" s="1" t="s">
        <v>1113</v>
      </c>
      <c r="C1655" s="7">
        <v>0.80801878161764606</v>
      </c>
      <c r="D1655" s="1" t="s">
        <v>4142</v>
      </c>
      <c r="E1655" s="1" t="s">
        <v>4143</v>
      </c>
      <c r="F1655" s="1" t="s">
        <v>4547</v>
      </c>
      <c r="G1655" s="1">
        <v>1</v>
      </c>
      <c r="H1655" s="1" t="s">
        <v>442</v>
      </c>
      <c r="I1655" s="1" t="s">
        <v>4480</v>
      </c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</row>
    <row r="1656" spans="1:40" ht="22" customHeight="1">
      <c r="A1656" s="1" t="s">
        <v>369</v>
      </c>
      <c r="B1656" s="1" t="s">
        <v>48</v>
      </c>
      <c r="C1656" s="7">
        <v>0.77847905884412827</v>
      </c>
      <c r="D1656" s="1" t="s">
        <v>4421</v>
      </c>
      <c r="E1656" s="1" t="s">
        <v>4043</v>
      </c>
      <c r="F1656" s="1" t="s">
        <v>4548</v>
      </c>
      <c r="G1656" s="1">
        <v>0</v>
      </c>
      <c r="H1656" s="1" t="s">
        <v>442</v>
      </c>
      <c r="I1656" s="1" t="s">
        <v>4480</v>
      </c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</row>
    <row r="1657" spans="1:40" ht="22" customHeight="1">
      <c r="A1657" s="1" t="s">
        <v>276</v>
      </c>
      <c r="B1657" s="1" t="s">
        <v>1125</v>
      </c>
      <c r="C1657" s="7">
        <v>0.20122199767020996</v>
      </c>
      <c r="D1657" s="1" t="s">
        <v>3193</v>
      </c>
      <c r="E1657" s="1" t="s">
        <v>3194</v>
      </c>
      <c r="F1657" s="1" t="s">
        <v>4485</v>
      </c>
      <c r="G1657" s="1">
        <v>9</v>
      </c>
      <c r="H1657" s="1" t="s">
        <v>442</v>
      </c>
      <c r="I1657" s="1" t="s">
        <v>4480</v>
      </c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</row>
    <row r="1658" spans="1:40" ht="22" customHeight="1">
      <c r="A1658" s="1" t="s">
        <v>277</v>
      </c>
      <c r="B1658" s="1" t="s">
        <v>1131</v>
      </c>
      <c r="C1658" s="7">
        <v>0.59459036029679779</v>
      </c>
      <c r="D1658" s="1" t="s">
        <v>3727</v>
      </c>
      <c r="E1658" s="1" t="s">
        <v>3728</v>
      </c>
      <c r="F1658" s="1" t="s">
        <v>4513</v>
      </c>
      <c r="G1658" s="1">
        <v>5</v>
      </c>
      <c r="H1658" s="1" t="s">
        <v>442</v>
      </c>
      <c r="I1658" s="1" t="s">
        <v>4480</v>
      </c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</row>
    <row r="1659" spans="1:40" ht="22" customHeight="1">
      <c r="A1659" s="1" t="s">
        <v>281</v>
      </c>
      <c r="B1659" s="1" t="s">
        <v>1137</v>
      </c>
      <c r="C1659" s="7">
        <v>0.25579541821587615</v>
      </c>
      <c r="D1659" s="1" t="s">
        <v>4465</v>
      </c>
      <c r="E1659" s="1" t="s">
        <v>4466</v>
      </c>
      <c r="F1659" s="1" t="s">
        <v>4549</v>
      </c>
      <c r="G1659" s="1">
        <v>10</v>
      </c>
      <c r="H1659" s="1" t="s">
        <v>442</v>
      </c>
      <c r="I1659" s="1" t="s">
        <v>4480</v>
      </c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</row>
    <row r="1660" spans="1:40" ht="22" customHeight="1">
      <c r="A1660" s="1" t="s">
        <v>273</v>
      </c>
      <c r="B1660" s="1" t="s">
        <v>1143</v>
      </c>
      <c r="C1660" s="7">
        <v>0.46190672527788151</v>
      </c>
      <c r="D1660" s="1" t="s">
        <v>3145</v>
      </c>
      <c r="E1660" s="1" t="s">
        <v>3146</v>
      </c>
      <c r="F1660" s="1" t="s">
        <v>4502</v>
      </c>
      <c r="G1660" s="1">
        <v>19</v>
      </c>
      <c r="H1660" s="1" t="s">
        <v>442</v>
      </c>
      <c r="I1660" s="1" t="s">
        <v>4480</v>
      </c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</row>
    <row r="1661" spans="1:40" ht="22" customHeight="1">
      <c r="A1661" s="1" t="s">
        <v>272</v>
      </c>
      <c r="B1661" s="1" t="s">
        <v>1149</v>
      </c>
      <c r="C1661" s="7">
        <v>0.36645928419428137</v>
      </c>
      <c r="D1661" s="1" t="s">
        <v>3857</v>
      </c>
      <c r="E1661" s="1" t="s">
        <v>3858</v>
      </c>
      <c r="F1661" s="1" t="s">
        <v>4522</v>
      </c>
      <c r="G1661" s="1">
        <v>14</v>
      </c>
      <c r="H1661" s="1" t="s">
        <v>442</v>
      </c>
      <c r="I1661" s="1" t="s">
        <v>4480</v>
      </c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</row>
    <row r="1662" spans="1:40" ht="22" customHeight="1">
      <c r="A1662" s="1" t="s">
        <v>274</v>
      </c>
      <c r="B1662" s="1" t="s">
        <v>1155</v>
      </c>
      <c r="C1662" s="7">
        <v>0.61868295596478018</v>
      </c>
      <c r="D1662" s="1" t="s">
        <v>3742</v>
      </c>
      <c r="E1662" s="1" t="s">
        <v>3743</v>
      </c>
      <c r="F1662" s="1" t="s">
        <v>4526</v>
      </c>
      <c r="G1662" s="1">
        <v>8</v>
      </c>
      <c r="H1662" s="1" t="s">
        <v>442</v>
      </c>
      <c r="I1662" s="1" t="s">
        <v>4480</v>
      </c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</row>
    <row r="1663" spans="1:40" ht="22" customHeight="1">
      <c r="A1663" s="1" t="s">
        <v>389</v>
      </c>
      <c r="B1663" s="1" t="s">
        <v>1161</v>
      </c>
      <c r="C1663" s="7">
        <v>0.45171754911048706</v>
      </c>
      <c r="D1663" s="1" t="s">
        <v>3969</v>
      </c>
      <c r="E1663" s="1" t="s">
        <v>3970</v>
      </c>
      <c r="F1663" s="1" t="s">
        <v>4550</v>
      </c>
      <c r="G1663" s="1">
        <v>6</v>
      </c>
      <c r="H1663" s="1" t="s">
        <v>442</v>
      </c>
      <c r="I1663" s="1" t="s">
        <v>4480</v>
      </c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</row>
    <row r="1664" spans="1:40" ht="22" customHeight="1">
      <c r="A1664" s="1" t="s">
        <v>178</v>
      </c>
      <c r="B1664" s="1" t="s">
        <v>1167</v>
      </c>
      <c r="C1664" s="7">
        <v>0.69744530076782285</v>
      </c>
      <c r="D1664" s="1" t="s">
        <v>4449</v>
      </c>
      <c r="E1664" s="1" t="s">
        <v>4450</v>
      </c>
      <c r="F1664" s="1" t="s">
        <v>4551</v>
      </c>
      <c r="G1664" s="1">
        <v>11</v>
      </c>
      <c r="H1664" s="1" t="s">
        <v>442</v>
      </c>
      <c r="I1664" s="1" t="s">
        <v>4480</v>
      </c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</row>
    <row r="1665" spans="1:40" ht="22" customHeight="1">
      <c r="A1665" s="1" t="s">
        <v>271</v>
      </c>
      <c r="B1665" s="1" t="s">
        <v>1174</v>
      </c>
      <c r="C1665" s="7">
        <v>0.85093629160971995</v>
      </c>
      <c r="D1665" s="1" t="s">
        <v>4246</v>
      </c>
      <c r="E1665" s="1" t="s">
        <v>4247</v>
      </c>
      <c r="F1665" s="1" t="s">
        <v>4539</v>
      </c>
      <c r="G1665" s="1">
        <v>5</v>
      </c>
      <c r="H1665" s="1" t="s">
        <v>442</v>
      </c>
      <c r="I1665" s="1" t="s">
        <v>4480</v>
      </c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</row>
    <row r="1666" spans="1:40" ht="22" customHeight="1">
      <c r="A1666" s="1" t="s">
        <v>390</v>
      </c>
      <c r="B1666" s="1" t="s">
        <v>1180</v>
      </c>
      <c r="C1666" s="7">
        <v>0.14388906543772775</v>
      </c>
      <c r="D1666" s="1" t="s">
        <v>3159</v>
      </c>
      <c r="E1666" s="1" t="s">
        <v>3160</v>
      </c>
      <c r="F1666" s="1" t="s">
        <v>4552</v>
      </c>
      <c r="G1666" s="1">
        <v>6</v>
      </c>
      <c r="H1666" s="1" t="s">
        <v>442</v>
      </c>
      <c r="I1666" s="1" t="s">
        <v>4480</v>
      </c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</row>
    <row r="1667" spans="1:40" ht="22" customHeight="1">
      <c r="A1667" s="1" t="s">
        <v>376</v>
      </c>
      <c r="B1667" s="1" t="s">
        <v>1186</v>
      </c>
      <c r="C1667" s="7">
        <v>0.53094574008861539</v>
      </c>
      <c r="D1667" s="1" t="s">
        <v>4465</v>
      </c>
      <c r="E1667" s="1" t="s">
        <v>4466</v>
      </c>
      <c r="F1667" s="1" t="s">
        <v>4549</v>
      </c>
      <c r="G1667" s="1">
        <v>7</v>
      </c>
      <c r="H1667" s="1" t="s">
        <v>442</v>
      </c>
      <c r="I1667" s="1" t="s">
        <v>4480</v>
      </c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</row>
    <row r="1668" spans="1:40" ht="22" customHeight="1">
      <c r="A1668" s="1" t="s">
        <v>388</v>
      </c>
      <c r="B1668" s="1" t="s">
        <v>1192</v>
      </c>
      <c r="C1668" s="7">
        <v>0.3274344983886211</v>
      </c>
      <c r="D1668" s="1" t="s">
        <v>3969</v>
      </c>
      <c r="E1668" s="1" t="s">
        <v>3970</v>
      </c>
      <c r="F1668" s="1" t="s">
        <v>4550</v>
      </c>
      <c r="G1668" s="1">
        <v>8</v>
      </c>
      <c r="H1668" s="1" t="s">
        <v>442</v>
      </c>
      <c r="I1668" s="1" t="s">
        <v>4480</v>
      </c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</row>
    <row r="1669" spans="1:40" ht="22" customHeight="1">
      <c r="A1669" s="1" t="s">
        <v>278</v>
      </c>
      <c r="B1669" s="1" t="s">
        <v>1197</v>
      </c>
      <c r="C1669" s="7">
        <v>0.46452177836250569</v>
      </c>
      <c r="D1669" s="1" t="s">
        <v>3664</v>
      </c>
      <c r="E1669" s="1" t="s">
        <v>3665</v>
      </c>
      <c r="F1669" s="1" t="s">
        <v>4524</v>
      </c>
      <c r="G1669" s="1">
        <v>17</v>
      </c>
      <c r="H1669" s="1" t="s">
        <v>442</v>
      </c>
      <c r="I1669" s="1" t="s">
        <v>4480</v>
      </c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</row>
    <row r="1670" spans="1:40" ht="22" customHeight="1">
      <c r="A1670" s="1" t="s">
        <v>283</v>
      </c>
      <c r="B1670" s="1" t="s">
        <v>1203</v>
      </c>
      <c r="C1670" s="7">
        <v>0.62541190004521929</v>
      </c>
      <c r="D1670" s="1" t="s">
        <v>4176</v>
      </c>
      <c r="E1670" s="1" t="s">
        <v>4177</v>
      </c>
      <c r="F1670" s="1" t="s">
        <v>4553</v>
      </c>
      <c r="G1670" s="1">
        <v>19</v>
      </c>
      <c r="H1670" s="1" t="s">
        <v>442</v>
      </c>
      <c r="I1670" s="1" t="s">
        <v>4480</v>
      </c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</row>
    <row r="1671" spans="1:40" ht="22" customHeight="1">
      <c r="A1671" s="1" t="s">
        <v>190</v>
      </c>
      <c r="B1671" s="1" t="s">
        <v>1209</v>
      </c>
      <c r="C1671" s="7">
        <v>0.44433526700745068</v>
      </c>
      <c r="D1671" s="1" t="s">
        <v>4139</v>
      </c>
      <c r="E1671" s="1" t="s">
        <v>4140</v>
      </c>
      <c r="F1671" s="1" t="s">
        <v>4481</v>
      </c>
      <c r="G1671" s="1">
        <v>11</v>
      </c>
      <c r="H1671" s="1" t="s">
        <v>442</v>
      </c>
      <c r="I1671" s="1" t="s">
        <v>4480</v>
      </c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</row>
    <row r="1672" spans="1:40" ht="22" customHeight="1">
      <c r="A1672" s="1" t="s">
        <v>252</v>
      </c>
      <c r="B1672" s="1" t="s">
        <v>1214</v>
      </c>
      <c r="C1672" s="7">
        <v>8.8978563925790746E-2</v>
      </c>
      <c r="D1672" s="1" t="s">
        <v>3576</v>
      </c>
      <c r="E1672" s="1" t="s">
        <v>3577</v>
      </c>
      <c r="F1672" s="1" t="s">
        <v>4489</v>
      </c>
      <c r="G1672" s="1">
        <v>15</v>
      </c>
      <c r="H1672" s="1" t="s">
        <v>442</v>
      </c>
      <c r="I1672" s="1" t="s">
        <v>4480</v>
      </c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</row>
    <row r="1673" spans="1:40" ht="22" customHeight="1">
      <c r="A1673" s="1" t="s">
        <v>251</v>
      </c>
      <c r="B1673" s="1" t="s">
        <v>1220</v>
      </c>
      <c r="C1673" s="7">
        <v>0.47647430656461814</v>
      </c>
      <c r="D1673" s="1" t="s">
        <v>3643</v>
      </c>
      <c r="E1673" s="1" t="s">
        <v>3644</v>
      </c>
      <c r="F1673" s="1" t="s">
        <v>4554</v>
      </c>
      <c r="G1673" s="1">
        <v>16</v>
      </c>
      <c r="H1673" s="1" t="s">
        <v>442</v>
      </c>
      <c r="I1673" s="1" t="s">
        <v>4480</v>
      </c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</row>
    <row r="1674" spans="1:40" ht="22" customHeight="1">
      <c r="A1674" s="1" t="s">
        <v>139</v>
      </c>
      <c r="B1674" s="1" t="s">
        <v>1226</v>
      </c>
      <c r="C1674" s="7">
        <v>0.36937979163708123</v>
      </c>
      <c r="D1674" s="1" t="s">
        <v>4350</v>
      </c>
      <c r="E1674" s="1" t="s">
        <v>4351</v>
      </c>
      <c r="F1674" s="1" t="s">
        <v>4555</v>
      </c>
      <c r="G1674" s="1">
        <v>7</v>
      </c>
      <c r="H1674" s="1" t="s">
        <v>442</v>
      </c>
      <c r="I1674" s="1" t="s">
        <v>4480</v>
      </c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</row>
    <row r="1675" spans="1:40" ht="22" customHeight="1">
      <c r="A1675" s="1" t="s">
        <v>284</v>
      </c>
      <c r="B1675" s="1" t="s">
        <v>1233</v>
      </c>
      <c r="C1675" s="7">
        <v>0.65998673866220969</v>
      </c>
      <c r="D1675" s="1" t="s">
        <v>3742</v>
      </c>
      <c r="E1675" s="1" t="s">
        <v>3743</v>
      </c>
      <c r="F1675" s="1" t="s">
        <v>4526</v>
      </c>
      <c r="G1675" s="1">
        <v>9</v>
      </c>
      <c r="H1675" s="1" t="s">
        <v>442</v>
      </c>
      <c r="I1675" s="1" t="s">
        <v>4480</v>
      </c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</row>
    <row r="1676" spans="1:40" ht="22" customHeight="1">
      <c r="A1676" s="1" t="s">
        <v>268</v>
      </c>
      <c r="B1676" s="1" t="s">
        <v>1239</v>
      </c>
      <c r="C1676" s="7">
        <v>0.47445885090459661</v>
      </c>
      <c r="D1676" s="1" t="s">
        <v>3895</v>
      </c>
      <c r="E1676" s="1" t="s">
        <v>3896</v>
      </c>
      <c r="F1676" s="1" t="s">
        <v>4556</v>
      </c>
      <c r="G1676" s="1">
        <v>3</v>
      </c>
      <c r="H1676" s="1" t="s">
        <v>442</v>
      </c>
      <c r="I1676" s="1" t="s">
        <v>4480</v>
      </c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</row>
    <row r="1677" spans="1:40" ht="22" customHeight="1">
      <c r="A1677" s="1" t="s">
        <v>371</v>
      </c>
      <c r="B1677" s="1" t="s">
        <v>1245</v>
      </c>
      <c r="C1677" s="7">
        <v>0.71564975129558095</v>
      </c>
      <c r="D1677" s="1" t="s">
        <v>3972</v>
      </c>
      <c r="E1677" s="1" t="s">
        <v>3973</v>
      </c>
      <c r="F1677" s="1" t="s">
        <v>4557</v>
      </c>
      <c r="G1677" s="1">
        <v>16</v>
      </c>
      <c r="H1677" s="1" t="s">
        <v>442</v>
      </c>
      <c r="I1677" s="1" t="s">
        <v>4480</v>
      </c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</row>
    <row r="1678" spans="1:40" ht="22" customHeight="1">
      <c r="A1678" s="1" t="s">
        <v>209</v>
      </c>
      <c r="B1678" s="1" t="s">
        <v>1251</v>
      </c>
      <c r="C1678" s="7">
        <v>0.36316271827883184</v>
      </c>
      <c r="D1678" s="1" t="s">
        <v>4324</v>
      </c>
      <c r="E1678" s="1" t="s">
        <v>4325</v>
      </c>
      <c r="F1678" s="1" t="s">
        <v>4490</v>
      </c>
      <c r="G1678" s="1">
        <v>10</v>
      </c>
      <c r="H1678" s="1" t="s">
        <v>442</v>
      </c>
      <c r="I1678" s="1" t="s">
        <v>4480</v>
      </c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</row>
    <row r="1679" spans="1:40" ht="22" customHeight="1">
      <c r="A1679" s="1" t="s">
        <v>254</v>
      </c>
      <c r="B1679" s="1" t="s">
        <v>1257</v>
      </c>
      <c r="C1679" s="7">
        <v>0.22272035791186792</v>
      </c>
      <c r="D1679" s="1" t="s">
        <v>3727</v>
      </c>
      <c r="E1679" s="1" t="s">
        <v>3728</v>
      </c>
      <c r="F1679" s="1" t="s">
        <v>4513</v>
      </c>
      <c r="G1679" s="1">
        <v>5</v>
      </c>
      <c r="H1679" s="1" t="s">
        <v>442</v>
      </c>
      <c r="I1679" s="1" t="s">
        <v>4480</v>
      </c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</row>
    <row r="1680" spans="1:40" ht="22" customHeight="1">
      <c r="A1680" s="1" t="s">
        <v>269</v>
      </c>
      <c r="B1680" s="1" t="s">
        <v>1262</v>
      </c>
      <c r="C1680" s="7">
        <v>0.56566903169902805</v>
      </c>
      <c r="D1680" s="1" t="s">
        <v>4111</v>
      </c>
      <c r="E1680" s="1" t="s">
        <v>4112</v>
      </c>
      <c r="F1680" s="1" t="s">
        <v>4531</v>
      </c>
      <c r="G1680" s="1">
        <v>1</v>
      </c>
      <c r="H1680" s="1" t="s">
        <v>442</v>
      </c>
      <c r="I1680" s="1" t="s">
        <v>4480</v>
      </c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</row>
    <row r="1681" spans="1:40" ht="22" customHeight="1">
      <c r="A1681" s="1" t="s">
        <v>323</v>
      </c>
      <c r="B1681" s="1" t="s">
        <v>1269</v>
      </c>
      <c r="C1681" s="7">
        <v>0.4940020933208758</v>
      </c>
      <c r="D1681" s="1" t="s">
        <v>4246</v>
      </c>
      <c r="E1681" s="1" t="s">
        <v>4247</v>
      </c>
      <c r="F1681" s="1" t="s">
        <v>4539</v>
      </c>
      <c r="G1681" s="1">
        <v>3</v>
      </c>
      <c r="H1681" s="1" t="s">
        <v>442</v>
      </c>
      <c r="I1681" s="1" t="s">
        <v>4480</v>
      </c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</row>
    <row r="1682" spans="1:40" ht="22" customHeight="1">
      <c r="A1682" s="1" t="s">
        <v>149</v>
      </c>
      <c r="B1682" s="1" t="s">
        <v>1276</v>
      </c>
      <c r="C1682" s="7">
        <v>0.45756944650038078</v>
      </c>
      <c r="D1682" s="1" t="s">
        <v>4350</v>
      </c>
      <c r="E1682" s="1" t="s">
        <v>4351</v>
      </c>
      <c r="F1682" s="1" t="s">
        <v>4555</v>
      </c>
      <c r="G1682" s="1">
        <v>7</v>
      </c>
      <c r="H1682" s="1" t="s">
        <v>442</v>
      </c>
      <c r="I1682" s="1" t="s">
        <v>4480</v>
      </c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</row>
    <row r="1683" spans="1:40" ht="22" customHeight="1">
      <c r="A1683" s="1" t="s">
        <v>302</v>
      </c>
      <c r="B1683" s="1" t="s">
        <v>1280</v>
      </c>
      <c r="C1683" s="7">
        <v>0.36299937586084763</v>
      </c>
      <c r="D1683" s="1" t="s">
        <v>4059</v>
      </c>
      <c r="E1683" s="1" t="s">
        <v>4060</v>
      </c>
      <c r="F1683" s="1" t="s">
        <v>4479</v>
      </c>
      <c r="G1683" s="1">
        <v>5</v>
      </c>
      <c r="H1683" s="1" t="s">
        <v>442</v>
      </c>
      <c r="I1683" s="1" t="s">
        <v>4480</v>
      </c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</row>
    <row r="1684" spans="1:40" ht="22" customHeight="1">
      <c r="A1684" s="1" t="s">
        <v>96</v>
      </c>
      <c r="B1684" s="1" t="s">
        <v>1284</v>
      </c>
      <c r="C1684" s="7">
        <v>0.51816367324305457</v>
      </c>
      <c r="D1684" s="1" t="s">
        <v>3482</v>
      </c>
      <c r="E1684" s="1" t="s">
        <v>3483</v>
      </c>
      <c r="F1684" s="1" t="s">
        <v>4515</v>
      </c>
      <c r="G1684" s="1">
        <v>10</v>
      </c>
      <c r="H1684" s="1" t="s">
        <v>442</v>
      </c>
      <c r="I1684" s="1" t="s">
        <v>4480</v>
      </c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</row>
    <row r="1685" spans="1:40" ht="22" customHeight="1">
      <c r="A1685" s="1" t="s">
        <v>296</v>
      </c>
      <c r="B1685" s="1" t="s">
        <v>1287</v>
      </c>
      <c r="C1685" s="7">
        <v>0.38029979381130363</v>
      </c>
      <c r="D1685" s="1" t="s">
        <v>4359</v>
      </c>
      <c r="E1685" s="1" t="s">
        <v>4360</v>
      </c>
      <c r="F1685" s="1" t="s">
        <v>4558</v>
      </c>
      <c r="G1685" s="1">
        <v>0</v>
      </c>
      <c r="H1685" s="1" t="s">
        <v>442</v>
      </c>
      <c r="I1685" s="1" t="s">
        <v>4480</v>
      </c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</row>
    <row r="1686" spans="1:40" ht="22" customHeight="1">
      <c r="A1686" s="1" t="s">
        <v>360</v>
      </c>
      <c r="B1686" s="1" t="s">
        <v>1291</v>
      </c>
      <c r="C1686" s="7">
        <v>6.7715010080251201E-2</v>
      </c>
      <c r="D1686" s="1" t="s">
        <v>4036</v>
      </c>
      <c r="E1686" s="1" t="s">
        <v>4037</v>
      </c>
      <c r="F1686" s="1" t="s">
        <v>4494</v>
      </c>
      <c r="G1686" s="1">
        <v>10</v>
      </c>
      <c r="H1686" s="1" t="s">
        <v>442</v>
      </c>
      <c r="I1686" s="1" t="s">
        <v>4480</v>
      </c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</row>
    <row r="1687" spans="1:40" ht="22" customHeight="1">
      <c r="A1687" s="1" t="s">
        <v>309</v>
      </c>
      <c r="B1687" s="1" t="s">
        <v>1294</v>
      </c>
      <c r="C1687" s="7">
        <v>0.72953283618444287</v>
      </c>
      <c r="D1687" s="1" t="s">
        <v>3727</v>
      </c>
      <c r="E1687" s="1" t="s">
        <v>3728</v>
      </c>
      <c r="F1687" s="1" t="s">
        <v>4513</v>
      </c>
      <c r="G1687" s="1">
        <v>8</v>
      </c>
      <c r="H1687" s="1" t="s">
        <v>442</v>
      </c>
      <c r="I1687" s="1" t="s">
        <v>4480</v>
      </c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</row>
    <row r="1688" spans="1:40" ht="22" customHeight="1">
      <c r="A1688" s="1" t="s">
        <v>125</v>
      </c>
      <c r="B1688" s="1" t="s">
        <v>1299</v>
      </c>
      <c r="C1688" s="7">
        <v>0.51247886527807518</v>
      </c>
      <c r="D1688" s="1" t="s">
        <v>4382</v>
      </c>
      <c r="E1688" s="1" t="s">
        <v>4383</v>
      </c>
      <c r="F1688" s="1" t="s">
        <v>4559</v>
      </c>
      <c r="G1688" s="1">
        <v>13</v>
      </c>
      <c r="H1688" s="1" t="s">
        <v>442</v>
      </c>
      <c r="I1688" s="1" t="s">
        <v>4480</v>
      </c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</row>
    <row r="1689" spans="1:40" ht="22" customHeight="1">
      <c r="A1689" s="1" t="s">
        <v>292</v>
      </c>
      <c r="B1689" s="1" t="s">
        <v>1304</v>
      </c>
      <c r="C1689" s="7">
        <v>4.4839469695336018E-2</v>
      </c>
      <c r="D1689" s="1" t="s">
        <v>3643</v>
      </c>
      <c r="E1689" s="1" t="s">
        <v>3644</v>
      </c>
      <c r="F1689" s="1" t="s">
        <v>4554</v>
      </c>
      <c r="G1689" s="1">
        <v>14</v>
      </c>
      <c r="H1689" s="1" t="s">
        <v>442</v>
      </c>
      <c r="I1689" s="1" t="s">
        <v>4480</v>
      </c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</row>
    <row r="1690" spans="1:40" ht="22" customHeight="1">
      <c r="A1690" s="1" t="s">
        <v>367</v>
      </c>
      <c r="B1690" s="1" t="s">
        <v>1309</v>
      </c>
      <c r="C1690" s="7">
        <v>0.325702508834255</v>
      </c>
      <c r="D1690" s="1" t="s">
        <v>3453</v>
      </c>
      <c r="E1690" s="1" t="s">
        <v>3454</v>
      </c>
      <c r="F1690" s="1" t="s">
        <v>4560</v>
      </c>
      <c r="G1690" s="1">
        <v>12</v>
      </c>
      <c r="H1690" s="1" t="s">
        <v>442</v>
      </c>
      <c r="I1690" s="1" t="s">
        <v>4480</v>
      </c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</row>
    <row r="1691" spans="1:40" ht="22" customHeight="1">
      <c r="A1691" s="1" t="s">
        <v>215</v>
      </c>
      <c r="B1691" s="1" t="s">
        <v>1314</v>
      </c>
      <c r="C1691" s="7">
        <v>0.46870724449513518</v>
      </c>
      <c r="D1691" s="1" t="s">
        <v>3453</v>
      </c>
      <c r="E1691" s="1" t="s">
        <v>3454</v>
      </c>
      <c r="F1691" s="1" t="s">
        <v>4560</v>
      </c>
      <c r="G1691" s="1">
        <v>11</v>
      </c>
      <c r="H1691" s="1" t="s">
        <v>442</v>
      </c>
      <c r="I1691" s="1" t="s">
        <v>4480</v>
      </c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</row>
    <row r="1692" spans="1:40" ht="22" customHeight="1">
      <c r="A1692" s="1" t="s">
        <v>259</v>
      </c>
      <c r="B1692" s="1" t="s">
        <v>1319</v>
      </c>
      <c r="C1692" s="7">
        <v>0.8875990918896205</v>
      </c>
      <c r="D1692" s="1" t="s">
        <v>4406</v>
      </c>
      <c r="E1692" s="1" t="s">
        <v>4407</v>
      </c>
      <c r="F1692" s="1" t="s">
        <v>4521</v>
      </c>
      <c r="G1692" s="1">
        <v>6</v>
      </c>
      <c r="H1692" s="1" t="s">
        <v>442</v>
      </c>
      <c r="I1692" s="1" t="s">
        <v>4480</v>
      </c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</row>
    <row r="1693" spans="1:40" ht="22" customHeight="1">
      <c r="A1693" s="1" t="s">
        <v>405</v>
      </c>
      <c r="B1693" s="1" t="s">
        <v>1323</v>
      </c>
      <c r="C1693" s="7">
        <v>0.35343027900899937</v>
      </c>
      <c r="D1693" s="1" t="s">
        <v>3453</v>
      </c>
      <c r="E1693" s="1" t="s">
        <v>3454</v>
      </c>
      <c r="F1693" s="1" t="s">
        <v>4560</v>
      </c>
      <c r="G1693" s="1">
        <v>18</v>
      </c>
      <c r="H1693" s="1" t="s">
        <v>442</v>
      </c>
      <c r="I1693" s="1" t="s">
        <v>4480</v>
      </c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</row>
    <row r="1694" spans="1:40" ht="22" customHeight="1">
      <c r="A1694" s="1" t="s">
        <v>351</v>
      </c>
      <c r="B1694" s="1" t="s">
        <v>1327</v>
      </c>
      <c r="C1694" s="7">
        <v>1.0969192688329938</v>
      </c>
      <c r="D1694" s="1" t="s">
        <v>3358</v>
      </c>
      <c r="E1694" s="1" t="s">
        <v>3359</v>
      </c>
      <c r="F1694" s="1" t="s">
        <v>4561</v>
      </c>
      <c r="G1694" s="1">
        <v>3</v>
      </c>
      <c r="H1694" s="1" t="s">
        <v>442</v>
      </c>
      <c r="I1694" s="1" t="s">
        <v>4480</v>
      </c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</row>
    <row r="1695" spans="1:40" ht="22" customHeight="1">
      <c r="A1695" s="1" t="s">
        <v>145</v>
      </c>
      <c r="B1695" s="1" t="s">
        <v>1331</v>
      </c>
      <c r="C1695" s="7">
        <v>0.25223782033026793</v>
      </c>
      <c r="D1695" s="1" t="s">
        <v>3727</v>
      </c>
      <c r="E1695" s="1" t="s">
        <v>3728</v>
      </c>
      <c r="F1695" s="1" t="s">
        <v>4513</v>
      </c>
      <c r="G1695" s="1">
        <v>11</v>
      </c>
      <c r="H1695" s="1" t="s">
        <v>442</v>
      </c>
      <c r="I1695" s="1" t="s">
        <v>4480</v>
      </c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</row>
    <row r="1696" spans="1:40" ht="22" customHeight="1">
      <c r="A1696" s="1" t="s">
        <v>341</v>
      </c>
      <c r="B1696" s="1" t="s">
        <v>1335</v>
      </c>
      <c r="C1696" s="7">
        <v>0.31893513589770489</v>
      </c>
      <c r="D1696" s="1" t="s">
        <v>3845</v>
      </c>
      <c r="E1696" s="1" t="s">
        <v>3846</v>
      </c>
      <c r="F1696" s="1" t="s">
        <v>4562</v>
      </c>
      <c r="G1696" s="1">
        <v>0</v>
      </c>
      <c r="H1696" s="1" t="s">
        <v>442</v>
      </c>
      <c r="I1696" s="1" t="s">
        <v>4480</v>
      </c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</row>
    <row r="1697" spans="1:40" ht="22" customHeight="1">
      <c r="A1697" s="1" t="s">
        <v>142</v>
      </c>
      <c r="B1697" s="1" t="s">
        <v>1340</v>
      </c>
      <c r="C1697" s="7">
        <v>0.5272856449124409</v>
      </c>
      <c r="D1697" s="1" t="s">
        <v>3629</v>
      </c>
      <c r="E1697" s="1" t="s">
        <v>3630</v>
      </c>
      <c r="F1697" s="1" t="s">
        <v>4542</v>
      </c>
      <c r="G1697" s="1">
        <v>9</v>
      </c>
      <c r="H1697" s="1" t="s">
        <v>442</v>
      </c>
      <c r="I1697" s="1" t="s">
        <v>4480</v>
      </c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</row>
    <row r="1698" spans="1:40" ht="22" customHeight="1">
      <c r="A1698" s="1" t="s">
        <v>244</v>
      </c>
      <c r="B1698" s="1" t="s">
        <v>1345</v>
      </c>
      <c r="C1698" s="7">
        <v>0.90176727678550506</v>
      </c>
      <c r="D1698" s="1" t="s">
        <v>3643</v>
      </c>
      <c r="E1698" s="1" t="s">
        <v>3644</v>
      </c>
      <c r="F1698" s="1" t="s">
        <v>4554</v>
      </c>
      <c r="G1698" s="1">
        <v>10</v>
      </c>
      <c r="H1698" s="1" t="s">
        <v>442</v>
      </c>
      <c r="I1698" s="1" t="s">
        <v>4480</v>
      </c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</row>
    <row r="1699" spans="1:40" ht="22" customHeight="1">
      <c r="A1699" s="1" t="s">
        <v>308</v>
      </c>
      <c r="B1699" s="1" t="s">
        <v>1350</v>
      </c>
      <c r="C1699" s="7">
        <v>1.1247382610709691</v>
      </c>
      <c r="D1699" s="1" t="s">
        <v>3727</v>
      </c>
      <c r="E1699" s="1" t="s">
        <v>3728</v>
      </c>
      <c r="F1699" s="1" t="s">
        <v>4513</v>
      </c>
      <c r="G1699" s="1">
        <v>6</v>
      </c>
      <c r="H1699" s="1" t="s">
        <v>442</v>
      </c>
      <c r="I1699" s="1" t="s">
        <v>4480</v>
      </c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</row>
    <row r="1700" spans="1:40" ht="22" customHeight="1">
      <c r="A1700" s="1" t="s">
        <v>385</v>
      </c>
      <c r="B1700" s="1" t="s">
        <v>1355</v>
      </c>
      <c r="C1700" s="7">
        <v>0.26794264837210008</v>
      </c>
      <c r="D1700" s="1" t="s">
        <v>3643</v>
      </c>
      <c r="E1700" s="1" t="s">
        <v>3644</v>
      </c>
      <c r="F1700" s="1" t="s">
        <v>4554</v>
      </c>
      <c r="G1700" s="1">
        <v>12</v>
      </c>
      <c r="H1700" s="1" t="s">
        <v>442</v>
      </c>
      <c r="I1700" s="1" t="s">
        <v>4480</v>
      </c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</row>
    <row r="1701" spans="1:40" ht="22" customHeight="1">
      <c r="A1701" s="1" t="s">
        <v>141</v>
      </c>
      <c r="B1701" s="1" t="s">
        <v>1359</v>
      </c>
      <c r="C1701" s="7">
        <v>0.55178441743296414</v>
      </c>
      <c r="D1701" s="1" t="s">
        <v>3629</v>
      </c>
      <c r="E1701" s="1" t="s">
        <v>3630</v>
      </c>
      <c r="F1701" s="1" t="s">
        <v>4542</v>
      </c>
      <c r="G1701" s="1">
        <v>10</v>
      </c>
      <c r="H1701" s="1" t="s">
        <v>442</v>
      </c>
      <c r="I1701" s="1" t="s">
        <v>4480</v>
      </c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</row>
    <row r="1702" spans="1:40" ht="22" customHeight="1">
      <c r="A1702" s="1" t="s">
        <v>370</v>
      </c>
      <c r="B1702" s="1" t="s">
        <v>1363</v>
      </c>
      <c r="C1702" s="7">
        <v>0.59754365481934968</v>
      </c>
      <c r="D1702" s="1" t="s">
        <v>4382</v>
      </c>
      <c r="E1702" s="1" t="s">
        <v>4383</v>
      </c>
      <c r="F1702" s="1" t="s">
        <v>4559</v>
      </c>
      <c r="G1702" s="1">
        <v>14</v>
      </c>
      <c r="H1702" s="1" t="s">
        <v>442</v>
      </c>
      <c r="I1702" s="1" t="s">
        <v>4480</v>
      </c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</row>
    <row r="1703" spans="1:40" ht="22" customHeight="1">
      <c r="A1703" s="1" t="s">
        <v>338</v>
      </c>
      <c r="B1703" s="1" t="s">
        <v>1367</v>
      </c>
      <c r="C1703" s="7">
        <v>5.1769638776506491E-2</v>
      </c>
      <c r="D1703" s="1" t="s">
        <v>3453</v>
      </c>
      <c r="E1703" s="1" t="s">
        <v>3454</v>
      </c>
      <c r="F1703" s="1" t="s">
        <v>4560</v>
      </c>
      <c r="G1703" s="1">
        <v>16</v>
      </c>
      <c r="H1703" s="1" t="s">
        <v>442</v>
      </c>
      <c r="I1703" s="1" t="s">
        <v>4480</v>
      </c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</row>
    <row r="1704" spans="1:40" ht="22" customHeight="1">
      <c r="A1704" s="1" t="s">
        <v>307</v>
      </c>
      <c r="B1704" s="1" t="s">
        <v>1371</v>
      </c>
      <c r="C1704" s="7">
        <v>0.77835700311251033</v>
      </c>
      <c r="D1704" s="1" t="s">
        <v>4406</v>
      </c>
      <c r="E1704" s="1" t="s">
        <v>4407</v>
      </c>
      <c r="F1704" s="1" t="s">
        <v>4521</v>
      </c>
      <c r="G1704" s="1">
        <v>6</v>
      </c>
      <c r="H1704" s="1" t="s">
        <v>442</v>
      </c>
      <c r="I1704" s="1" t="s">
        <v>4480</v>
      </c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</row>
    <row r="1705" spans="1:40" ht="22" customHeight="1">
      <c r="A1705" s="1" t="s">
        <v>194</v>
      </c>
      <c r="B1705" s="1" t="s">
        <v>1375</v>
      </c>
      <c r="C1705" s="7">
        <v>0.59682532312868697</v>
      </c>
      <c r="D1705" s="1" t="s">
        <v>3655</v>
      </c>
      <c r="E1705" s="1" t="s">
        <v>3656</v>
      </c>
      <c r="F1705" s="1" t="s">
        <v>4486</v>
      </c>
      <c r="G1705" s="1">
        <v>12</v>
      </c>
      <c r="H1705" s="1" t="s">
        <v>442</v>
      </c>
      <c r="I1705" s="1" t="s">
        <v>4480</v>
      </c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</row>
    <row r="1706" spans="1:40" ht="22" customHeight="1">
      <c r="A1706" s="1" t="s">
        <v>144</v>
      </c>
      <c r="B1706" s="1" t="s">
        <v>1379</v>
      </c>
      <c r="C1706" s="7">
        <v>0.45189484768964749</v>
      </c>
      <c r="D1706" s="1" t="s">
        <v>3453</v>
      </c>
      <c r="E1706" s="1" t="s">
        <v>3454</v>
      </c>
      <c r="F1706" s="1" t="s">
        <v>4560</v>
      </c>
      <c r="G1706" s="1">
        <v>14</v>
      </c>
      <c r="H1706" s="1" t="s">
        <v>442</v>
      </c>
      <c r="I1706" s="1" t="s">
        <v>4480</v>
      </c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</row>
    <row r="1707" spans="1:40" ht="22" customHeight="1">
      <c r="A1707" s="1" t="s">
        <v>404</v>
      </c>
      <c r="B1707" s="1" t="s">
        <v>1384</v>
      </c>
      <c r="C1707" s="7">
        <v>0.51824319933366925</v>
      </c>
      <c r="D1707" s="1" t="s">
        <v>3781</v>
      </c>
      <c r="E1707" s="1" t="s">
        <v>3782</v>
      </c>
      <c r="F1707" s="1" t="s">
        <v>4482</v>
      </c>
      <c r="G1707" s="1">
        <v>11</v>
      </c>
      <c r="H1707" s="1" t="s">
        <v>442</v>
      </c>
      <c r="I1707" s="1" t="s">
        <v>4480</v>
      </c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</row>
    <row r="1708" spans="1:40" ht="22" customHeight="1">
      <c r="A1708" s="1" t="s">
        <v>180</v>
      </c>
      <c r="B1708" s="1" t="s">
        <v>1388</v>
      </c>
      <c r="C1708" s="7">
        <v>0.21564962660321715</v>
      </c>
      <c r="D1708" s="1" t="s">
        <v>4205</v>
      </c>
      <c r="E1708" s="1" t="s">
        <v>4206</v>
      </c>
      <c r="F1708" s="1" t="s">
        <v>4502</v>
      </c>
      <c r="G1708" s="1">
        <v>15</v>
      </c>
      <c r="H1708" s="1" t="s">
        <v>442</v>
      </c>
      <c r="I1708" s="1" t="s">
        <v>4480</v>
      </c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</row>
    <row r="1709" spans="1:40" ht="22" customHeight="1">
      <c r="A1709" s="1" t="s">
        <v>381</v>
      </c>
      <c r="B1709" s="1" t="s">
        <v>1392</v>
      </c>
      <c r="C1709" s="7">
        <v>0.38478756667770925</v>
      </c>
      <c r="D1709" s="1" t="s">
        <v>3482</v>
      </c>
      <c r="E1709" s="1" t="s">
        <v>3483</v>
      </c>
      <c r="F1709" s="1" t="s">
        <v>4515</v>
      </c>
      <c r="G1709" s="1">
        <v>11</v>
      </c>
      <c r="H1709" s="1" t="s">
        <v>442</v>
      </c>
      <c r="I1709" s="1" t="s">
        <v>4480</v>
      </c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</row>
    <row r="1710" spans="1:40" ht="22" customHeight="1">
      <c r="A1710" s="1" t="s">
        <v>328</v>
      </c>
      <c r="B1710" s="1" t="s">
        <v>1396</v>
      </c>
      <c r="C1710" s="7">
        <v>0.58577932376010866</v>
      </c>
      <c r="D1710" s="1" t="s">
        <v>4382</v>
      </c>
      <c r="E1710" s="1" t="s">
        <v>4383</v>
      </c>
      <c r="F1710" s="1" t="s">
        <v>4559</v>
      </c>
      <c r="G1710" s="1">
        <v>14</v>
      </c>
      <c r="H1710" s="1" t="s">
        <v>442</v>
      </c>
      <c r="I1710" s="1" t="s">
        <v>4480</v>
      </c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</row>
    <row r="1711" spans="1:40" ht="22" customHeight="1">
      <c r="A1711" s="1" t="s">
        <v>239</v>
      </c>
      <c r="B1711" s="1" t="s">
        <v>1401</v>
      </c>
      <c r="C1711" s="7">
        <v>0.70127199729099987</v>
      </c>
      <c r="D1711" s="1" t="s">
        <v>4403</v>
      </c>
      <c r="E1711" s="1" t="s">
        <v>4404</v>
      </c>
      <c r="F1711" s="1" t="s">
        <v>4516</v>
      </c>
      <c r="G1711" s="1">
        <v>9</v>
      </c>
      <c r="H1711" s="1" t="s">
        <v>442</v>
      </c>
      <c r="I1711" s="1" t="s">
        <v>4480</v>
      </c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</row>
    <row r="1712" spans="1:40" ht="22" customHeight="1">
      <c r="A1712" s="1" t="s">
        <v>312</v>
      </c>
      <c r="B1712" s="1" t="s">
        <v>1406</v>
      </c>
      <c r="C1712" s="7">
        <v>0.62042566965217638</v>
      </c>
      <c r="D1712" s="1" t="s">
        <v>3851</v>
      </c>
      <c r="E1712" s="1" t="s">
        <v>3852</v>
      </c>
      <c r="F1712" s="1" t="s">
        <v>4528</v>
      </c>
      <c r="G1712" s="1">
        <v>12</v>
      </c>
      <c r="H1712" s="1" t="s">
        <v>442</v>
      </c>
      <c r="I1712" s="1" t="s">
        <v>4480</v>
      </c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</row>
    <row r="1713" spans="1:40" ht="22" customHeight="1">
      <c r="A1713" s="1" t="s">
        <v>311</v>
      </c>
      <c r="B1713" s="1" t="s">
        <v>1410</v>
      </c>
      <c r="C1713" s="7">
        <v>0.1555798399436579</v>
      </c>
      <c r="D1713" s="1" t="s">
        <v>4108</v>
      </c>
      <c r="E1713" s="1" t="s">
        <v>4109</v>
      </c>
      <c r="F1713" s="1" t="s">
        <v>4495</v>
      </c>
      <c r="G1713" s="1">
        <v>10</v>
      </c>
      <c r="H1713" s="1" t="s">
        <v>442</v>
      </c>
      <c r="I1713" s="1" t="s">
        <v>4480</v>
      </c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</row>
    <row r="1714" spans="1:40" ht="22" customHeight="1">
      <c r="A1714" s="1" t="s">
        <v>313</v>
      </c>
      <c r="B1714" s="1" t="s">
        <v>1414</v>
      </c>
      <c r="C1714" s="7">
        <v>0.36728004506671763</v>
      </c>
      <c r="D1714" s="1" t="s">
        <v>3576</v>
      </c>
      <c r="E1714" s="1" t="s">
        <v>3577</v>
      </c>
      <c r="F1714" s="1" t="s">
        <v>4489</v>
      </c>
      <c r="G1714" s="1">
        <v>14</v>
      </c>
      <c r="H1714" s="1" t="s">
        <v>442</v>
      </c>
      <c r="I1714" s="1" t="s">
        <v>4480</v>
      </c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</row>
    <row r="1715" spans="1:40" ht="22" customHeight="1">
      <c r="A1715" s="1" t="s">
        <v>414</v>
      </c>
      <c r="B1715" s="1" t="s">
        <v>1417</v>
      </c>
      <c r="C1715" s="7">
        <v>0.18327217006672497</v>
      </c>
      <c r="D1715" s="1" t="s">
        <v>4039</v>
      </c>
      <c r="E1715" s="1" t="s">
        <v>4040</v>
      </c>
      <c r="F1715" s="1" t="s">
        <v>4532</v>
      </c>
      <c r="G1715" s="1">
        <v>10</v>
      </c>
      <c r="H1715" s="1" t="s">
        <v>442</v>
      </c>
      <c r="I1715" s="1" t="s">
        <v>4480</v>
      </c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</row>
    <row r="1716" spans="1:40" ht="22" customHeight="1">
      <c r="A1716" s="1" t="s">
        <v>316</v>
      </c>
      <c r="B1716" s="1" t="s">
        <v>1421</v>
      </c>
      <c r="C1716" s="7">
        <v>0.49568608739377595</v>
      </c>
      <c r="D1716" s="1" t="s">
        <v>4048</v>
      </c>
      <c r="E1716" s="1" t="s">
        <v>4049</v>
      </c>
      <c r="F1716" s="1" t="s">
        <v>4563</v>
      </c>
      <c r="G1716" s="1">
        <v>4</v>
      </c>
      <c r="H1716" s="1" t="s">
        <v>442</v>
      </c>
      <c r="I1716" s="1" t="s">
        <v>4480</v>
      </c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</row>
    <row r="1717" spans="1:40" ht="22" customHeight="1">
      <c r="A1717" s="1" t="s">
        <v>240</v>
      </c>
      <c r="B1717" s="1" t="s">
        <v>1425</v>
      </c>
      <c r="C1717" s="7">
        <v>0.28858847730923592</v>
      </c>
      <c r="D1717" s="1" t="s">
        <v>3857</v>
      </c>
      <c r="E1717" s="1" t="s">
        <v>3858</v>
      </c>
      <c r="F1717" s="1" t="s">
        <v>4522</v>
      </c>
      <c r="G1717" s="1">
        <v>14</v>
      </c>
      <c r="H1717" s="1" t="s">
        <v>442</v>
      </c>
      <c r="I1717" s="1" t="s">
        <v>4480</v>
      </c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</row>
    <row r="1718" spans="1:40" ht="22" customHeight="1">
      <c r="A1718" s="1" t="s">
        <v>393</v>
      </c>
      <c r="B1718" s="1" t="s">
        <v>1429</v>
      </c>
      <c r="C1718" s="7">
        <v>0.27094219653936186</v>
      </c>
      <c r="D1718" s="1" t="s">
        <v>3145</v>
      </c>
      <c r="E1718" s="1" t="s">
        <v>3146</v>
      </c>
      <c r="F1718" s="1" t="s">
        <v>4502</v>
      </c>
      <c r="G1718" s="1">
        <v>11</v>
      </c>
      <c r="H1718" s="1" t="s">
        <v>442</v>
      </c>
      <c r="I1718" s="1" t="s">
        <v>4480</v>
      </c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</row>
    <row r="1719" spans="1:40" ht="22" customHeight="1">
      <c r="A1719" s="1" t="s">
        <v>101</v>
      </c>
      <c r="B1719" s="1" t="s">
        <v>1433</v>
      </c>
      <c r="C1719" s="7">
        <v>0.56132509723043378</v>
      </c>
      <c r="D1719" s="1" t="s">
        <v>3772</v>
      </c>
      <c r="E1719" s="1" t="s">
        <v>3773</v>
      </c>
      <c r="F1719" s="1" t="s">
        <v>4564</v>
      </c>
      <c r="G1719" s="1">
        <v>3</v>
      </c>
      <c r="H1719" s="1" t="s">
        <v>442</v>
      </c>
      <c r="I1719" s="1" t="s">
        <v>4480</v>
      </c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</row>
    <row r="1720" spans="1:40" ht="22" customHeight="1">
      <c r="A1720" s="1" t="s">
        <v>198</v>
      </c>
      <c r="B1720" s="1" t="s">
        <v>1437</v>
      </c>
      <c r="C1720" s="7">
        <v>0.34832443416744341</v>
      </c>
      <c r="D1720" s="1" t="s">
        <v>4403</v>
      </c>
      <c r="E1720" s="1" t="s">
        <v>4404</v>
      </c>
      <c r="F1720" s="1" t="s">
        <v>4516</v>
      </c>
      <c r="G1720" s="1">
        <v>10</v>
      </c>
      <c r="H1720" s="1" t="s">
        <v>442</v>
      </c>
      <c r="I1720" s="1" t="s">
        <v>4480</v>
      </c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</row>
    <row r="1721" spans="1:40" ht="22" customHeight="1">
      <c r="A1721" s="1" t="s">
        <v>347</v>
      </c>
      <c r="B1721" s="1" t="s">
        <v>1441</v>
      </c>
      <c r="C1721" s="7">
        <v>0.58993085910750065</v>
      </c>
      <c r="D1721" s="1" t="s">
        <v>3934</v>
      </c>
      <c r="E1721" s="1" t="s">
        <v>3935</v>
      </c>
      <c r="F1721" s="1" t="s">
        <v>4565</v>
      </c>
      <c r="G1721" s="1">
        <v>12</v>
      </c>
      <c r="H1721" s="1" t="s">
        <v>442</v>
      </c>
      <c r="I1721" s="1" t="s">
        <v>4480</v>
      </c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</row>
    <row r="1722" spans="1:40" ht="22" customHeight="1">
      <c r="A1722" s="1" t="s">
        <v>314</v>
      </c>
      <c r="B1722" s="1" t="s">
        <v>1446</v>
      </c>
      <c r="C1722" s="7">
        <v>0.26926386473880953</v>
      </c>
      <c r="D1722" s="1" t="s">
        <v>4382</v>
      </c>
      <c r="E1722" s="1" t="s">
        <v>4383</v>
      </c>
      <c r="F1722" s="1" t="s">
        <v>4559</v>
      </c>
      <c r="G1722" s="1">
        <v>17</v>
      </c>
      <c r="H1722" s="1" t="s">
        <v>442</v>
      </c>
      <c r="I1722" s="1" t="s">
        <v>4480</v>
      </c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</row>
    <row r="1723" spans="1:40" ht="22" customHeight="1">
      <c r="A1723" s="1" t="s">
        <v>260</v>
      </c>
      <c r="B1723" s="1" t="s">
        <v>1451</v>
      </c>
      <c r="C1723" s="7">
        <v>0.32714422014659533</v>
      </c>
      <c r="D1723" s="1" t="s">
        <v>4166</v>
      </c>
      <c r="E1723" s="1" t="s">
        <v>4167</v>
      </c>
      <c r="F1723" s="1" t="s">
        <v>4566</v>
      </c>
      <c r="G1723" s="1">
        <v>10</v>
      </c>
      <c r="H1723" s="1" t="s">
        <v>442</v>
      </c>
      <c r="I1723" s="1" t="s">
        <v>4480</v>
      </c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</row>
    <row r="1724" spans="1:40" ht="22" customHeight="1">
      <c r="A1724" s="1" t="s">
        <v>207</v>
      </c>
      <c r="B1724" s="1" t="s">
        <v>1456</v>
      </c>
      <c r="C1724" s="7">
        <v>0.39765574679839522</v>
      </c>
      <c r="D1724" s="1" t="s">
        <v>4403</v>
      </c>
      <c r="E1724" s="1" t="s">
        <v>4404</v>
      </c>
      <c r="F1724" s="1" t="s">
        <v>4516</v>
      </c>
      <c r="G1724" s="1">
        <v>5</v>
      </c>
      <c r="H1724" s="1" t="s">
        <v>442</v>
      </c>
      <c r="I1724" s="1" t="s">
        <v>4480</v>
      </c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</row>
    <row r="1725" spans="1:40" ht="22" customHeight="1">
      <c r="A1725" s="1" t="s">
        <v>226</v>
      </c>
      <c r="B1725" s="1" t="s">
        <v>1460</v>
      </c>
      <c r="C1725" s="7">
        <v>0.29148165118256492</v>
      </c>
      <c r="D1725" s="1" t="s">
        <v>3857</v>
      </c>
      <c r="E1725" s="1" t="s">
        <v>3858</v>
      </c>
      <c r="F1725" s="1" t="s">
        <v>4522</v>
      </c>
      <c r="G1725" s="1">
        <v>15</v>
      </c>
      <c r="H1725" s="1" t="s">
        <v>442</v>
      </c>
      <c r="I1725" s="1" t="s">
        <v>4480</v>
      </c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</row>
    <row r="1726" spans="1:40" ht="22" customHeight="1">
      <c r="A1726" s="1" t="s">
        <v>406</v>
      </c>
      <c r="B1726" s="1" t="s">
        <v>1463</v>
      </c>
      <c r="C1726" s="7">
        <v>0.26515504946539381</v>
      </c>
      <c r="D1726" s="1" t="s">
        <v>4261</v>
      </c>
      <c r="E1726" s="1" t="s">
        <v>4262</v>
      </c>
      <c r="F1726" s="1" t="s">
        <v>4546</v>
      </c>
      <c r="G1726" s="1">
        <v>12</v>
      </c>
      <c r="H1726" s="1" t="s">
        <v>442</v>
      </c>
      <c r="I1726" s="1" t="s">
        <v>4480</v>
      </c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</row>
    <row r="1727" spans="1:40" ht="22" customHeight="1">
      <c r="A1727" s="1" t="s">
        <v>219</v>
      </c>
      <c r="B1727" s="1" t="s">
        <v>1468</v>
      </c>
      <c r="C1727" s="7">
        <v>0.41978614301721801</v>
      </c>
      <c r="D1727" s="1" t="s">
        <v>3772</v>
      </c>
      <c r="E1727" s="1" t="s">
        <v>3773</v>
      </c>
      <c r="F1727" s="1" t="s">
        <v>4564</v>
      </c>
      <c r="G1727" s="1">
        <v>13</v>
      </c>
      <c r="H1727" s="1" t="s">
        <v>442</v>
      </c>
      <c r="I1727" s="1" t="s">
        <v>4480</v>
      </c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</row>
    <row r="1728" spans="1:40" ht="22" customHeight="1">
      <c r="A1728" s="1" t="s">
        <v>411</v>
      </c>
      <c r="B1728" s="1" t="s">
        <v>1473</v>
      </c>
      <c r="C1728" s="7">
        <v>0.17660905495101062</v>
      </c>
      <c r="D1728" s="1" t="s">
        <v>3972</v>
      </c>
      <c r="E1728" s="1" t="s">
        <v>3973</v>
      </c>
      <c r="F1728" s="1" t="s">
        <v>4557</v>
      </c>
      <c r="G1728" s="1">
        <v>14</v>
      </c>
      <c r="H1728" s="1" t="s">
        <v>442</v>
      </c>
      <c r="I1728" s="1" t="s">
        <v>4480</v>
      </c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</row>
    <row r="1729" spans="1:40" ht="22" customHeight="1">
      <c r="A1729" s="1" t="s">
        <v>232</v>
      </c>
      <c r="B1729" s="1" t="s">
        <v>1478</v>
      </c>
      <c r="C1729" s="7">
        <v>0.3328580538926092</v>
      </c>
      <c r="D1729" s="1" t="s">
        <v>4470</v>
      </c>
      <c r="E1729" s="1" t="s">
        <v>4471</v>
      </c>
      <c r="F1729" s="1" t="s">
        <v>4567</v>
      </c>
      <c r="G1729" s="1">
        <v>7</v>
      </c>
      <c r="H1729" s="1" t="s">
        <v>442</v>
      </c>
      <c r="I1729" s="1" t="s">
        <v>4480</v>
      </c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</row>
    <row r="1730" spans="1:40" ht="22" customHeight="1">
      <c r="A1730" s="1" t="s">
        <v>332</v>
      </c>
      <c r="B1730" s="1" t="s">
        <v>1483</v>
      </c>
      <c r="C1730" s="7">
        <v>0.26977388594570439</v>
      </c>
      <c r="D1730" s="1" t="s">
        <v>3724</v>
      </c>
      <c r="E1730" s="1" t="s">
        <v>3725</v>
      </c>
      <c r="F1730" s="1" t="s">
        <v>4525</v>
      </c>
      <c r="G1730" s="1">
        <v>13</v>
      </c>
      <c r="H1730" s="1" t="s">
        <v>442</v>
      </c>
      <c r="I1730" s="1" t="s">
        <v>4480</v>
      </c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</row>
    <row r="1731" spans="1:40" ht="22" customHeight="1">
      <c r="A1731" s="1" t="s">
        <v>339</v>
      </c>
      <c r="B1731" s="1" t="s">
        <v>1488</v>
      </c>
      <c r="C1731" s="7">
        <v>0.57120741278241549</v>
      </c>
      <c r="D1731" s="1" t="s">
        <v>4403</v>
      </c>
      <c r="E1731" s="1" t="s">
        <v>4404</v>
      </c>
      <c r="F1731" s="1" t="s">
        <v>4516</v>
      </c>
      <c r="G1731" s="1">
        <v>6</v>
      </c>
      <c r="H1731" s="1" t="s">
        <v>442</v>
      </c>
      <c r="I1731" s="1" t="s">
        <v>4480</v>
      </c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</row>
    <row r="1732" spans="1:40" ht="22" customHeight="1">
      <c r="A1732" s="1" t="s">
        <v>212</v>
      </c>
      <c r="B1732" s="1" t="s">
        <v>1493</v>
      </c>
      <c r="C1732" s="7">
        <v>0.17989175044806002</v>
      </c>
      <c r="D1732" s="1" t="s">
        <v>4261</v>
      </c>
      <c r="E1732" s="1" t="s">
        <v>4262</v>
      </c>
      <c r="F1732" s="1" t="s">
        <v>4546</v>
      </c>
      <c r="G1732" s="1">
        <v>12</v>
      </c>
      <c r="H1732" s="1" t="s">
        <v>442</v>
      </c>
      <c r="I1732" s="1" t="s">
        <v>4480</v>
      </c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</row>
    <row r="1733" spans="1:40" ht="22" customHeight="1">
      <c r="A1733" s="1" t="s">
        <v>234</v>
      </c>
      <c r="B1733" s="1" t="s">
        <v>1498</v>
      </c>
      <c r="C1733" s="7">
        <v>0.44887041257974719</v>
      </c>
      <c r="D1733" s="1" t="s">
        <v>3972</v>
      </c>
      <c r="E1733" s="1" t="s">
        <v>3973</v>
      </c>
      <c r="F1733" s="1" t="s">
        <v>4557</v>
      </c>
      <c r="G1733" s="1">
        <v>13</v>
      </c>
      <c r="H1733" s="1" t="s">
        <v>442</v>
      </c>
      <c r="I1733" s="1" t="s">
        <v>4480</v>
      </c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</row>
    <row r="1734" spans="1:40" ht="22" customHeight="1">
      <c r="A1734" s="1" t="s">
        <v>106</v>
      </c>
      <c r="B1734" s="1" t="s">
        <v>1503</v>
      </c>
      <c r="C1734" s="7">
        <v>0.4846753577767704</v>
      </c>
      <c r="D1734" s="1" t="s">
        <v>3608</v>
      </c>
      <c r="E1734" s="1" t="s">
        <v>3609</v>
      </c>
      <c r="F1734" s="1" t="s">
        <v>4568</v>
      </c>
      <c r="G1734" s="1">
        <v>4</v>
      </c>
      <c r="H1734" s="1" t="s">
        <v>442</v>
      </c>
      <c r="I1734" s="1" t="s">
        <v>4480</v>
      </c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</row>
    <row r="1735" spans="1:40" ht="22" customHeight="1">
      <c r="A1735" s="1" t="s">
        <v>168</v>
      </c>
      <c r="B1735" s="1" t="s">
        <v>1508</v>
      </c>
      <c r="C1735" s="7">
        <v>0.64030941931744734</v>
      </c>
      <c r="D1735" s="1" t="s">
        <v>4403</v>
      </c>
      <c r="E1735" s="1" t="s">
        <v>4404</v>
      </c>
      <c r="F1735" s="1" t="s">
        <v>4516</v>
      </c>
      <c r="G1735" s="1">
        <v>12</v>
      </c>
      <c r="H1735" s="1" t="s">
        <v>442</v>
      </c>
      <c r="I1735" s="1" t="s">
        <v>4480</v>
      </c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</row>
    <row r="1736" spans="1:40" ht="22" customHeight="1">
      <c r="A1736" s="1" t="s">
        <v>403</v>
      </c>
      <c r="B1736" s="1" t="s">
        <v>1513</v>
      </c>
      <c r="C1736" s="7">
        <v>0.3393336462114892</v>
      </c>
      <c r="D1736" s="1" t="s">
        <v>4166</v>
      </c>
      <c r="E1736" s="1" t="s">
        <v>4167</v>
      </c>
      <c r="F1736" s="1" t="s">
        <v>4566</v>
      </c>
      <c r="G1736" s="1">
        <v>13</v>
      </c>
      <c r="H1736" s="1" t="s">
        <v>442</v>
      </c>
      <c r="I1736" s="1" t="s">
        <v>4480</v>
      </c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</row>
    <row r="1737" spans="1:40" ht="22" customHeight="1">
      <c r="A1737" s="1" t="s">
        <v>182</v>
      </c>
      <c r="B1737" s="1" t="s">
        <v>1518</v>
      </c>
      <c r="C1737" s="7">
        <v>0.28863590297615782</v>
      </c>
      <c r="D1737" s="1" t="s">
        <v>3981</v>
      </c>
      <c r="E1737" s="1" t="s">
        <v>3982</v>
      </c>
      <c r="F1737" s="1" t="s">
        <v>4569</v>
      </c>
      <c r="G1737" s="1">
        <v>11</v>
      </c>
      <c r="H1737" s="1" t="s">
        <v>442</v>
      </c>
      <c r="I1737" s="1" t="s">
        <v>4480</v>
      </c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</row>
    <row r="1738" spans="1:40" ht="22" customHeight="1">
      <c r="A1738" s="1" t="s">
        <v>127</v>
      </c>
      <c r="B1738" s="1" t="s">
        <v>1523</v>
      </c>
      <c r="C1738" s="7">
        <v>0.34920878850166492</v>
      </c>
      <c r="D1738" s="1" t="s">
        <v>3482</v>
      </c>
      <c r="E1738" s="1" t="s">
        <v>3483</v>
      </c>
      <c r="F1738" s="1" t="s">
        <v>4515</v>
      </c>
      <c r="G1738" s="1">
        <v>12</v>
      </c>
      <c r="H1738" s="1" t="s">
        <v>442</v>
      </c>
      <c r="I1738" s="1" t="s">
        <v>4480</v>
      </c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</row>
    <row r="1739" spans="1:40" ht="22" customHeight="1">
      <c r="A1739" s="1" t="s">
        <v>387</v>
      </c>
      <c r="B1739" s="1" t="s">
        <v>1528</v>
      </c>
      <c r="C1739" s="7">
        <v>0.45193134419384995</v>
      </c>
      <c r="D1739" s="1" t="s">
        <v>4449</v>
      </c>
      <c r="E1739" s="1" t="s">
        <v>4450</v>
      </c>
      <c r="F1739" s="1" t="s">
        <v>4551</v>
      </c>
      <c r="G1739" s="1">
        <v>12</v>
      </c>
      <c r="H1739" s="1" t="s">
        <v>442</v>
      </c>
      <c r="I1739" s="1" t="s">
        <v>4480</v>
      </c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</row>
    <row r="1740" spans="1:40" ht="22" customHeight="1">
      <c r="A1740" s="1" t="s">
        <v>248</v>
      </c>
      <c r="B1740" s="1" t="s">
        <v>1533</v>
      </c>
      <c r="C1740" s="7">
        <v>0.2696204651098893</v>
      </c>
      <c r="D1740" s="1" t="s">
        <v>4470</v>
      </c>
      <c r="E1740" s="1" t="s">
        <v>4471</v>
      </c>
      <c r="F1740" s="1" t="s">
        <v>4567</v>
      </c>
      <c r="G1740" s="1">
        <v>8</v>
      </c>
      <c r="H1740" s="1" t="s">
        <v>442</v>
      </c>
      <c r="I1740" s="1" t="s">
        <v>4480</v>
      </c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</row>
    <row r="1741" spans="1:40" ht="22" customHeight="1">
      <c r="A1741" s="1" t="s">
        <v>191</v>
      </c>
      <c r="B1741" s="1" t="s">
        <v>1538</v>
      </c>
      <c r="C1741" s="7">
        <v>0.26749925895825077</v>
      </c>
      <c r="D1741" s="1" t="s">
        <v>3934</v>
      </c>
      <c r="E1741" s="1" t="s">
        <v>3935</v>
      </c>
      <c r="F1741" s="1" t="s">
        <v>4565</v>
      </c>
      <c r="G1741" s="1">
        <v>10</v>
      </c>
      <c r="H1741" s="1" t="s">
        <v>442</v>
      </c>
      <c r="I1741" s="1" t="s">
        <v>4480</v>
      </c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</row>
    <row r="1742" spans="1:40" ht="22" customHeight="1">
      <c r="A1742" s="1" t="s">
        <v>246</v>
      </c>
      <c r="B1742" s="1" t="s">
        <v>1543</v>
      </c>
      <c r="C1742" s="7">
        <v>0.39883842683812082</v>
      </c>
      <c r="D1742" s="1" t="s">
        <v>4403</v>
      </c>
      <c r="E1742" s="1" t="s">
        <v>4404</v>
      </c>
      <c r="F1742" s="1" t="s">
        <v>4516</v>
      </c>
      <c r="G1742" s="1">
        <v>9</v>
      </c>
      <c r="H1742" s="1" t="s">
        <v>442</v>
      </c>
      <c r="I1742" s="1" t="s">
        <v>4480</v>
      </c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</row>
    <row r="1743" spans="1:40" ht="22" customHeight="1">
      <c r="A1743" s="1" t="s">
        <v>363</v>
      </c>
      <c r="B1743" s="1" t="s">
        <v>1548</v>
      </c>
      <c r="C1743" s="7">
        <v>0.18757831963817834</v>
      </c>
      <c r="D1743" s="1" t="s">
        <v>4033</v>
      </c>
      <c r="E1743" s="1" t="s">
        <v>4034</v>
      </c>
      <c r="F1743" s="1" t="s">
        <v>4536</v>
      </c>
      <c r="G1743" s="1">
        <v>10</v>
      </c>
      <c r="H1743" s="1" t="s">
        <v>442</v>
      </c>
      <c r="I1743" s="1" t="s">
        <v>4480</v>
      </c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</row>
    <row r="1744" spans="1:40" ht="22" customHeight="1">
      <c r="A1744" s="1" t="s">
        <v>223</v>
      </c>
      <c r="B1744" s="1" t="s">
        <v>1553</v>
      </c>
      <c r="C1744" s="7">
        <v>9.4165649111854308E-2</v>
      </c>
      <c r="D1744" s="1" t="s">
        <v>4166</v>
      </c>
      <c r="E1744" s="1" t="s">
        <v>4167</v>
      </c>
      <c r="F1744" s="1" t="s">
        <v>4566</v>
      </c>
      <c r="G1744" s="1">
        <v>12</v>
      </c>
      <c r="H1744" s="1" t="s">
        <v>442</v>
      </c>
      <c r="I1744" s="1" t="s">
        <v>4480</v>
      </c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</row>
    <row r="1745" spans="1:40" ht="22" customHeight="1">
      <c r="A1745" s="1" t="s">
        <v>366</v>
      </c>
      <c r="B1745" s="1" t="s">
        <v>1558</v>
      </c>
      <c r="C1745" s="7">
        <v>0.10724705243360236</v>
      </c>
      <c r="D1745" s="1" t="s">
        <v>4166</v>
      </c>
      <c r="E1745" s="1" t="s">
        <v>4167</v>
      </c>
      <c r="F1745" s="1" t="s">
        <v>4566</v>
      </c>
      <c r="G1745" s="1">
        <v>12</v>
      </c>
      <c r="H1745" s="1" t="s">
        <v>442</v>
      </c>
      <c r="I1745" s="1" t="s">
        <v>4480</v>
      </c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</row>
    <row r="1746" spans="1:40" ht="22" customHeight="1">
      <c r="A1746" s="1" t="s">
        <v>229</v>
      </c>
      <c r="B1746" s="1" t="s">
        <v>1561</v>
      </c>
      <c r="C1746" s="7">
        <v>0.37561574093849293</v>
      </c>
      <c r="D1746" s="1" t="s">
        <v>4350</v>
      </c>
      <c r="E1746" s="1" t="s">
        <v>4351</v>
      </c>
      <c r="F1746" s="1" t="s">
        <v>4555</v>
      </c>
      <c r="G1746" s="1">
        <v>7</v>
      </c>
      <c r="H1746" s="1" t="s">
        <v>442</v>
      </c>
      <c r="I1746" s="1" t="s">
        <v>4480</v>
      </c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</row>
    <row r="1747" spans="1:40" ht="22" customHeight="1">
      <c r="A1747" s="1" t="s">
        <v>124</v>
      </c>
      <c r="B1747" s="1" t="s">
        <v>1566</v>
      </c>
      <c r="C1747" s="7">
        <v>0.68626310034147042</v>
      </c>
      <c r="D1747" s="1" t="s">
        <v>3800</v>
      </c>
      <c r="E1747" s="1" t="s">
        <v>3801</v>
      </c>
      <c r="F1747" s="1" t="s">
        <v>4570</v>
      </c>
      <c r="G1747" s="1">
        <v>13</v>
      </c>
      <c r="H1747" s="1" t="s">
        <v>442</v>
      </c>
      <c r="I1747" s="1" t="s">
        <v>4480</v>
      </c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</row>
    <row r="1748" spans="1:40" ht="22" customHeight="1">
      <c r="A1748" s="1" t="s">
        <v>378</v>
      </c>
      <c r="B1748" s="1" t="s">
        <v>1571</v>
      </c>
      <c r="C1748" s="7">
        <v>0.11452251110429579</v>
      </c>
      <c r="D1748" s="1" t="s">
        <v>3972</v>
      </c>
      <c r="E1748" s="1" t="s">
        <v>3973</v>
      </c>
      <c r="F1748" s="1" t="s">
        <v>4557</v>
      </c>
      <c r="G1748" s="1">
        <v>16</v>
      </c>
      <c r="H1748" s="1" t="s">
        <v>442</v>
      </c>
      <c r="I1748" s="1" t="s">
        <v>4480</v>
      </c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</row>
    <row r="1749" spans="1:40" ht="22" customHeight="1">
      <c r="A1749" s="1" t="s">
        <v>375</v>
      </c>
      <c r="B1749" s="1" t="s">
        <v>1576</v>
      </c>
      <c r="C1749" s="7">
        <v>0.51554061281690178</v>
      </c>
      <c r="D1749" s="1" t="s">
        <v>3482</v>
      </c>
      <c r="E1749" s="1" t="s">
        <v>3483</v>
      </c>
      <c r="F1749" s="1" t="s">
        <v>4515</v>
      </c>
      <c r="G1749" s="1">
        <v>9</v>
      </c>
      <c r="H1749" s="1" t="s">
        <v>442</v>
      </c>
      <c r="I1749" s="1" t="s">
        <v>4480</v>
      </c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</row>
    <row r="1750" spans="1:40" ht="22" customHeight="1">
      <c r="A1750" s="1" t="s">
        <v>205</v>
      </c>
      <c r="B1750" s="1" t="s">
        <v>1581</v>
      </c>
      <c r="C1750" s="7">
        <v>0.15156155022007126</v>
      </c>
      <c r="D1750" s="1" t="s">
        <v>3724</v>
      </c>
      <c r="E1750" s="1" t="s">
        <v>3725</v>
      </c>
      <c r="F1750" s="1" t="s">
        <v>4525</v>
      </c>
      <c r="G1750" s="1">
        <v>14</v>
      </c>
      <c r="H1750" s="1" t="s">
        <v>442</v>
      </c>
      <c r="I1750" s="1" t="s">
        <v>4480</v>
      </c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</row>
    <row r="1751" spans="1:40" ht="22" customHeight="1">
      <c r="A1751" s="1" t="s">
        <v>247</v>
      </c>
      <c r="B1751" s="1" t="s">
        <v>1586</v>
      </c>
      <c r="C1751" s="7">
        <v>0.61090703009295655</v>
      </c>
      <c r="D1751" s="1" t="s">
        <v>4003</v>
      </c>
      <c r="E1751" s="1" t="s">
        <v>4004</v>
      </c>
      <c r="F1751" s="1" t="s">
        <v>4571</v>
      </c>
      <c r="G1751" s="1">
        <v>2</v>
      </c>
      <c r="H1751" s="1" t="s">
        <v>442</v>
      </c>
      <c r="I1751" s="1" t="s">
        <v>4480</v>
      </c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</row>
    <row r="1752" spans="1:40" ht="22" customHeight="1">
      <c r="A1752" s="1" t="s">
        <v>287</v>
      </c>
      <c r="B1752" s="1" t="s">
        <v>1592</v>
      </c>
      <c r="C1752" s="7">
        <v>0.44693046338504855</v>
      </c>
      <c r="D1752" s="1" t="s">
        <v>4403</v>
      </c>
      <c r="E1752" s="1" t="s">
        <v>4404</v>
      </c>
      <c r="F1752" s="1" t="s">
        <v>4516</v>
      </c>
      <c r="G1752" s="1">
        <v>9</v>
      </c>
      <c r="H1752" s="1" t="s">
        <v>442</v>
      </c>
      <c r="I1752" s="1" t="s">
        <v>4480</v>
      </c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</row>
    <row r="1753" spans="1:40" ht="22" customHeight="1">
      <c r="A1753" s="1" t="s">
        <v>128</v>
      </c>
      <c r="B1753" s="1" t="s">
        <v>1597</v>
      </c>
      <c r="C1753" s="7">
        <v>0.52481256973767909</v>
      </c>
      <c r="D1753" s="1" t="s">
        <v>3664</v>
      </c>
      <c r="E1753" s="1" t="s">
        <v>3665</v>
      </c>
      <c r="F1753" s="1" t="s">
        <v>4524</v>
      </c>
      <c r="G1753" s="1">
        <v>12</v>
      </c>
      <c r="H1753" s="1" t="s">
        <v>442</v>
      </c>
      <c r="I1753" s="1" t="s">
        <v>4480</v>
      </c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</row>
    <row r="1754" spans="1:40" ht="22" customHeight="1">
      <c r="A1754" s="1" t="s">
        <v>344</v>
      </c>
      <c r="B1754" s="1" t="s">
        <v>1602</v>
      </c>
      <c r="C1754" s="7">
        <v>0.44340961937886253</v>
      </c>
      <c r="D1754" s="1" t="s">
        <v>3471</v>
      </c>
      <c r="E1754" s="1" t="s">
        <v>3472</v>
      </c>
      <c r="F1754" s="1" t="s">
        <v>4572</v>
      </c>
      <c r="G1754" s="1">
        <v>1</v>
      </c>
      <c r="H1754" s="1" t="s">
        <v>442</v>
      </c>
      <c r="I1754" s="1" t="s">
        <v>4480</v>
      </c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</row>
    <row r="1755" spans="1:40" ht="22" customHeight="1">
      <c r="A1755" s="1" t="s">
        <v>394</v>
      </c>
      <c r="B1755" s="1" t="s">
        <v>1607</v>
      </c>
      <c r="C1755" s="7">
        <v>0.56905153586304957</v>
      </c>
      <c r="D1755" s="1" t="s">
        <v>3471</v>
      </c>
      <c r="E1755" s="1" t="s">
        <v>3472</v>
      </c>
      <c r="F1755" s="1" t="s">
        <v>4572</v>
      </c>
      <c r="G1755" s="1">
        <v>0</v>
      </c>
      <c r="H1755" s="1" t="s">
        <v>442</v>
      </c>
      <c r="I1755" s="1" t="s">
        <v>4480</v>
      </c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</row>
    <row r="1756" spans="1:40" ht="22" customHeight="1">
      <c r="A1756" s="1" t="s">
        <v>324</v>
      </c>
      <c r="B1756" s="1" t="s">
        <v>1612</v>
      </c>
      <c r="C1756" s="7">
        <v>0.6142739073848581</v>
      </c>
      <c r="D1756" s="1" t="s">
        <v>3800</v>
      </c>
      <c r="E1756" s="1" t="s">
        <v>3801</v>
      </c>
      <c r="F1756" s="1" t="s">
        <v>4570</v>
      </c>
      <c r="G1756" s="1">
        <v>9</v>
      </c>
      <c r="H1756" s="1" t="s">
        <v>442</v>
      </c>
      <c r="I1756" s="1" t="s">
        <v>4480</v>
      </c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</row>
    <row r="1757" spans="1:40" ht="22" customHeight="1">
      <c r="A1757" s="1" t="s">
        <v>266</v>
      </c>
      <c r="B1757" s="1" t="s">
        <v>1617</v>
      </c>
      <c r="C1757" s="7">
        <v>0.75924370962115928</v>
      </c>
      <c r="D1757" s="1" t="s">
        <v>3851</v>
      </c>
      <c r="E1757" s="1" t="s">
        <v>3852</v>
      </c>
      <c r="F1757" s="1" t="s">
        <v>4528</v>
      </c>
      <c r="G1757" s="1">
        <v>9</v>
      </c>
      <c r="H1757" s="1" t="s">
        <v>442</v>
      </c>
      <c r="I1757" s="1" t="s">
        <v>4480</v>
      </c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</row>
    <row r="1758" spans="1:40" ht="22" customHeight="1">
      <c r="A1758" s="1" t="s">
        <v>87</v>
      </c>
      <c r="B1758" s="1" t="s">
        <v>1621</v>
      </c>
      <c r="C1758" s="7">
        <v>0.29480313408940284</v>
      </c>
      <c r="D1758" s="1" t="s">
        <v>4246</v>
      </c>
      <c r="E1758" s="1" t="s">
        <v>4247</v>
      </c>
      <c r="F1758" s="1" t="s">
        <v>4539</v>
      </c>
      <c r="G1758" s="1">
        <v>6</v>
      </c>
      <c r="H1758" s="1" t="s">
        <v>442</v>
      </c>
      <c r="I1758" s="1" t="s">
        <v>4480</v>
      </c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</row>
    <row r="1759" spans="1:40" ht="22" customHeight="1">
      <c r="A1759" s="1" t="s">
        <v>109</v>
      </c>
      <c r="B1759" s="1" t="s">
        <v>1626</v>
      </c>
      <c r="C1759" s="7">
        <v>0.59104790602180424</v>
      </c>
      <c r="D1759" s="1" t="s">
        <v>3851</v>
      </c>
      <c r="E1759" s="1" t="s">
        <v>3852</v>
      </c>
      <c r="F1759" s="1" t="s">
        <v>4528</v>
      </c>
      <c r="G1759" s="1">
        <v>10</v>
      </c>
      <c r="H1759" s="1" t="s">
        <v>442</v>
      </c>
      <c r="I1759" s="1" t="s">
        <v>4480</v>
      </c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</row>
    <row r="1760" spans="1:40" ht="22" customHeight="1">
      <c r="A1760" s="1" t="s">
        <v>173</v>
      </c>
      <c r="B1760" s="1" t="s">
        <v>1631</v>
      </c>
      <c r="C1760" s="7">
        <v>0.69991420185199138</v>
      </c>
      <c r="D1760" s="1" t="s">
        <v>4089</v>
      </c>
      <c r="E1760" s="1" t="s">
        <v>4090</v>
      </c>
      <c r="F1760" s="1" t="s">
        <v>4573</v>
      </c>
      <c r="G1760" s="1">
        <v>4</v>
      </c>
      <c r="H1760" s="1" t="s">
        <v>442</v>
      </c>
      <c r="I1760" s="1" t="s">
        <v>4480</v>
      </c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</row>
    <row r="1761" spans="1:40" ht="22" customHeight="1">
      <c r="A1761" s="1" t="s">
        <v>150</v>
      </c>
      <c r="B1761" s="1" t="s">
        <v>1637</v>
      </c>
      <c r="C1761" s="7">
        <v>0.33706104927098002</v>
      </c>
      <c r="D1761" s="1" t="s">
        <v>3851</v>
      </c>
      <c r="E1761" s="1" t="s">
        <v>3852</v>
      </c>
      <c r="F1761" s="1" t="s">
        <v>4528</v>
      </c>
      <c r="G1761" s="1">
        <v>13</v>
      </c>
      <c r="H1761" s="1" t="s">
        <v>442</v>
      </c>
      <c r="I1761" s="1" t="s">
        <v>4480</v>
      </c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</row>
    <row r="1762" spans="1:40" ht="22" customHeight="1">
      <c r="A1762" s="1" t="s">
        <v>165</v>
      </c>
      <c r="B1762" s="1" t="s">
        <v>1643</v>
      </c>
      <c r="C1762" s="7">
        <v>0.76489357891222021</v>
      </c>
      <c r="D1762" s="1" t="s">
        <v>4176</v>
      </c>
      <c r="E1762" s="1" t="s">
        <v>4177</v>
      </c>
      <c r="F1762" s="1" t="s">
        <v>4553</v>
      </c>
      <c r="G1762" s="1">
        <v>14</v>
      </c>
      <c r="H1762" s="1" t="s">
        <v>442</v>
      </c>
      <c r="I1762" s="1" t="s">
        <v>4480</v>
      </c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</row>
    <row r="1763" spans="1:40" ht="22" customHeight="1">
      <c r="A1763" s="1" t="s">
        <v>130</v>
      </c>
      <c r="B1763" s="1" t="s">
        <v>1648</v>
      </c>
      <c r="C1763" s="7">
        <v>0.6497032188856483</v>
      </c>
      <c r="D1763" s="1" t="s">
        <v>3751</v>
      </c>
      <c r="E1763" s="1" t="s">
        <v>3752</v>
      </c>
      <c r="F1763" s="1" t="s">
        <v>4574</v>
      </c>
      <c r="G1763" s="1">
        <v>3</v>
      </c>
      <c r="H1763" s="1" t="s">
        <v>442</v>
      </c>
      <c r="I1763" s="1" t="s">
        <v>4480</v>
      </c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</row>
    <row r="1764" spans="1:40" ht="22" customHeight="1">
      <c r="A1764" s="1" t="s">
        <v>200</v>
      </c>
      <c r="B1764" s="1" t="s">
        <v>1653</v>
      </c>
      <c r="C1764" s="7">
        <v>0.35314230213490028</v>
      </c>
      <c r="D1764" s="1" t="s">
        <v>3277</v>
      </c>
      <c r="E1764" s="1" t="s">
        <v>3278</v>
      </c>
      <c r="F1764" s="1" t="s">
        <v>4575</v>
      </c>
      <c r="G1764" s="1">
        <v>2</v>
      </c>
      <c r="H1764" s="1" t="s">
        <v>442</v>
      </c>
      <c r="I1764" s="1" t="s">
        <v>4480</v>
      </c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</row>
    <row r="1765" spans="1:40" ht="22" customHeight="1">
      <c r="A1765" s="1" t="s">
        <v>233</v>
      </c>
      <c r="B1765" s="1" t="s">
        <v>1658</v>
      </c>
      <c r="C1765" s="7">
        <v>7.2008835620664083E-2</v>
      </c>
      <c r="D1765" s="1" t="s">
        <v>3870</v>
      </c>
      <c r="E1765" s="1" t="s">
        <v>3871</v>
      </c>
      <c r="F1765" s="1" t="s">
        <v>4576</v>
      </c>
      <c r="G1765" s="1">
        <v>0</v>
      </c>
      <c r="H1765" s="1" t="s">
        <v>442</v>
      </c>
      <c r="I1765" s="1" t="s">
        <v>4480</v>
      </c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</row>
    <row r="1766" spans="1:40" ht="22" customHeight="1">
      <c r="A1766" s="1" t="s">
        <v>217</v>
      </c>
      <c r="B1766" s="1" t="s">
        <v>1664</v>
      </c>
      <c r="C1766" s="7">
        <v>0.69701528040601435</v>
      </c>
      <c r="D1766" s="1" t="s">
        <v>3742</v>
      </c>
      <c r="E1766" s="1" t="s">
        <v>3743</v>
      </c>
      <c r="F1766" s="1" t="s">
        <v>4526</v>
      </c>
      <c r="G1766" s="1">
        <v>8</v>
      </c>
      <c r="H1766" s="1" t="s">
        <v>442</v>
      </c>
      <c r="I1766" s="1" t="s">
        <v>4480</v>
      </c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</row>
    <row r="1767" spans="1:40" ht="22" customHeight="1">
      <c r="A1767" s="1" t="s">
        <v>227</v>
      </c>
      <c r="B1767" s="1" t="s">
        <v>1669</v>
      </c>
      <c r="C1767" s="7">
        <v>0.25948804250327318</v>
      </c>
      <c r="D1767" s="1" t="s">
        <v>4218</v>
      </c>
      <c r="E1767" s="1" t="s">
        <v>4219</v>
      </c>
      <c r="F1767" s="1" t="s">
        <v>4577</v>
      </c>
      <c r="G1767" s="1">
        <v>0</v>
      </c>
      <c r="H1767" s="1" t="s">
        <v>442</v>
      </c>
      <c r="I1767" s="1" t="s">
        <v>4480</v>
      </c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</row>
    <row r="1768" spans="1:40" ht="22" customHeight="1">
      <c r="A1768" s="1" t="s">
        <v>386</v>
      </c>
      <c r="B1768" s="1" t="s">
        <v>1674</v>
      </c>
      <c r="C1768" s="7">
        <v>0.87254924112408028</v>
      </c>
      <c r="D1768" s="1" t="s">
        <v>4246</v>
      </c>
      <c r="E1768" s="1" t="s">
        <v>4247</v>
      </c>
      <c r="F1768" s="1" t="s">
        <v>4539</v>
      </c>
      <c r="G1768" s="1">
        <v>3</v>
      </c>
      <c r="H1768" s="1" t="s">
        <v>442</v>
      </c>
      <c r="I1768" s="1" t="s">
        <v>4480</v>
      </c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</row>
    <row r="1769" spans="1:40" ht="22" customHeight="1">
      <c r="A1769" s="1" t="s">
        <v>237</v>
      </c>
      <c r="B1769" s="1" t="s">
        <v>1679</v>
      </c>
      <c r="C1769" s="7">
        <v>0.36982424424793359</v>
      </c>
      <c r="D1769" s="1" t="s">
        <v>3664</v>
      </c>
      <c r="E1769" s="1" t="s">
        <v>3665</v>
      </c>
      <c r="F1769" s="1" t="s">
        <v>4524</v>
      </c>
      <c r="G1769" s="1">
        <v>13</v>
      </c>
      <c r="H1769" s="1" t="s">
        <v>442</v>
      </c>
      <c r="I1769" s="1" t="s">
        <v>4480</v>
      </c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</row>
    <row r="1770" spans="1:40" ht="22" customHeight="1">
      <c r="A1770" s="1" t="s">
        <v>352</v>
      </c>
      <c r="B1770" s="1" t="s">
        <v>1684</v>
      </c>
      <c r="C1770" s="7">
        <v>0.71542009682673491</v>
      </c>
      <c r="D1770" s="1" t="s">
        <v>4089</v>
      </c>
      <c r="E1770" s="1" t="s">
        <v>4090</v>
      </c>
      <c r="F1770" s="1" t="s">
        <v>4573</v>
      </c>
      <c r="G1770" s="1">
        <v>6</v>
      </c>
      <c r="H1770" s="1" t="s">
        <v>442</v>
      </c>
      <c r="I1770" s="1" t="s">
        <v>4480</v>
      </c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</row>
    <row r="1771" spans="1:40" ht="22" customHeight="1">
      <c r="A1771" s="1" t="s">
        <v>380</v>
      </c>
      <c r="B1771" s="1" t="s">
        <v>1689</v>
      </c>
      <c r="C1771" s="7">
        <v>0.1824803055818448</v>
      </c>
      <c r="D1771" s="1" t="s">
        <v>3851</v>
      </c>
      <c r="E1771" s="1" t="s">
        <v>3852</v>
      </c>
      <c r="F1771" s="1" t="s">
        <v>4528</v>
      </c>
      <c r="G1771" s="1">
        <v>18</v>
      </c>
      <c r="H1771" s="1" t="s">
        <v>442</v>
      </c>
      <c r="I1771" s="1" t="s">
        <v>4480</v>
      </c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</row>
    <row r="1772" spans="1:40" ht="22" customHeight="1">
      <c r="A1772" s="1" t="s">
        <v>357</v>
      </c>
      <c r="B1772" s="1" t="s">
        <v>1694</v>
      </c>
      <c r="C1772" s="7">
        <v>0.57084825977341969</v>
      </c>
      <c r="D1772" s="1" t="s">
        <v>3854</v>
      </c>
      <c r="E1772" s="1" t="s">
        <v>3855</v>
      </c>
      <c r="F1772" s="1" t="s">
        <v>4541</v>
      </c>
      <c r="G1772" s="1">
        <v>0</v>
      </c>
      <c r="H1772" s="1" t="s">
        <v>442</v>
      </c>
      <c r="I1772" s="1" t="s">
        <v>4480</v>
      </c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</row>
    <row r="1773" spans="1:40" ht="22" customHeight="1">
      <c r="A1773" s="1" t="s">
        <v>146</v>
      </c>
      <c r="B1773" s="1" t="s">
        <v>1699</v>
      </c>
      <c r="C1773" s="7">
        <v>0.46393107210585915</v>
      </c>
      <c r="D1773" s="1" t="s">
        <v>3742</v>
      </c>
      <c r="E1773" s="1" t="s">
        <v>3743</v>
      </c>
      <c r="F1773" s="1" t="s">
        <v>4526</v>
      </c>
      <c r="G1773" s="1">
        <v>7</v>
      </c>
      <c r="H1773" s="1" t="s">
        <v>442</v>
      </c>
      <c r="I1773" s="1" t="s">
        <v>4480</v>
      </c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</row>
    <row r="1774" spans="1:40" ht="22" customHeight="1">
      <c r="A1774" s="1" t="s">
        <v>400</v>
      </c>
      <c r="B1774" s="1" t="s">
        <v>1704</v>
      </c>
      <c r="C1774" s="7">
        <v>0.72902058200269082</v>
      </c>
      <c r="D1774" s="1" t="s">
        <v>3800</v>
      </c>
      <c r="E1774" s="1" t="s">
        <v>3801</v>
      </c>
      <c r="F1774" s="1" t="s">
        <v>4570</v>
      </c>
      <c r="G1774" s="1">
        <v>9</v>
      </c>
      <c r="H1774" s="1" t="s">
        <v>442</v>
      </c>
      <c r="I1774" s="1" t="s">
        <v>4480</v>
      </c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</row>
    <row r="1775" spans="1:40" ht="22" customHeight="1">
      <c r="A1775" s="1" t="s">
        <v>135</v>
      </c>
      <c r="B1775" s="1" t="s">
        <v>1709</v>
      </c>
      <c r="C1775" s="7">
        <v>0.64413707291291522</v>
      </c>
      <c r="D1775" s="1" t="s">
        <v>3399</v>
      </c>
      <c r="E1775" s="1" t="s">
        <v>3400</v>
      </c>
      <c r="F1775" s="1" t="s">
        <v>4578</v>
      </c>
      <c r="G1775" s="1">
        <v>1</v>
      </c>
      <c r="H1775" s="1" t="s">
        <v>442</v>
      </c>
      <c r="I1775" s="1" t="s">
        <v>4480</v>
      </c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</row>
    <row r="1776" spans="1:40" ht="22" customHeight="1">
      <c r="A1776" s="1" t="s">
        <v>110</v>
      </c>
      <c r="B1776" s="1" t="s">
        <v>1714</v>
      </c>
      <c r="C1776" s="7">
        <v>0.50919049133552885</v>
      </c>
      <c r="D1776" s="1" t="s">
        <v>3518</v>
      </c>
      <c r="E1776" s="1" t="s">
        <v>3519</v>
      </c>
      <c r="F1776" s="1" t="s">
        <v>4579</v>
      </c>
      <c r="G1776" s="1">
        <v>12</v>
      </c>
      <c r="H1776" s="1" t="s">
        <v>442</v>
      </c>
      <c r="I1776" s="1" t="s">
        <v>4480</v>
      </c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</row>
    <row r="1777" spans="1:40" ht="22" customHeight="1">
      <c r="A1777" s="1" t="s">
        <v>214</v>
      </c>
      <c r="B1777" s="1" t="s">
        <v>1719</v>
      </c>
      <c r="C1777" s="7">
        <v>0.83432830510015976</v>
      </c>
      <c r="D1777" s="1" t="s">
        <v>3471</v>
      </c>
      <c r="E1777" s="1" t="s">
        <v>3472</v>
      </c>
      <c r="F1777" s="1" t="s">
        <v>4572</v>
      </c>
      <c r="G1777" s="1">
        <v>1</v>
      </c>
      <c r="H1777" s="1" t="s">
        <v>442</v>
      </c>
      <c r="I1777" s="1" t="s">
        <v>4480</v>
      </c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</row>
    <row r="1778" spans="1:40" ht="22" customHeight="1">
      <c r="A1778" s="1" t="s">
        <v>204</v>
      </c>
      <c r="B1778" s="1" t="s">
        <v>1725</v>
      </c>
      <c r="C1778" s="7">
        <v>0.83599563873424443</v>
      </c>
      <c r="D1778" s="1" t="s">
        <v>4218</v>
      </c>
      <c r="E1778" s="1" t="s">
        <v>4219</v>
      </c>
      <c r="F1778" s="1" t="s">
        <v>4577</v>
      </c>
      <c r="G1778" s="1">
        <v>3</v>
      </c>
      <c r="H1778" s="1" t="s">
        <v>442</v>
      </c>
      <c r="I1778" s="1" t="s">
        <v>4480</v>
      </c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</row>
    <row r="1779" spans="1:40" ht="22" customHeight="1">
      <c r="A1779" s="1" t="s">
        <v>222</v>
      </c>
      <c r="B1779" s="1" t="s">
        <v>1730</v>
      </c>
      <c r="C1779" s="7">
        <v>0.63546306847062006</v>
      </c>
      <c r="D1779" s="1" t="s">
        <v>4176</v>
      </c>
      <c r="E1779" s="1" t="s">
        <v>4177</v>
      </c>
      <c r="F1779" s="1" t="s">
        <v>4553</v>
      </c>
      <c r="G1779" s="1">
        <v>11</v>
      </c>
      <c r="H1779" s="1" t="s">
        <v>442</v>
      </c>
      <c r="I1779" s="1" t="s">
        <v>4480</v>
      </c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</row>
    <row r="1780" spans="1:40" ht="22" customHeight="1">
      <c r="A1780" s="1" t="s">
        <v>94</v>
      </c>
      <c r="B1780" s="1" t="s">
        <v>1735</v>
      </c>
      <c r="C1780" s="7">
        <v>7.6516780020060932E-2</v>
      </c>
      <c r="D1780" s="1" t="s">
        <v>3399</v>
      </c>
      <c r="E1780" s="1" t="s">
        <v>3400</v>
      </c>
      <c r="F1780" s="1" t="s">
        <v>4578</v>
      </c>
      <c r="G1780" s="1">
        <v>1</v>
      </c>
      <c r="H1780" s="1" t="s">
        <v>442</v>
      </c>
      <c r="I1780" s="1" t="s">
        <v>4480</v>
      </c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</row>
    <row r="1781" spans="1:40" ht="22" customHeight="1">
      <c r="A1781" s="1" t="s">
        <v>256</v>
      </c>
      <c r="B1781" s="1" t="s">
        <v>1740</v>
      </c>
      <c r="C1781" s="7">
        <v>0.86714508435949522</v>
      </c>
      <c r="D1781" s="1" t="s">
        <v>3167</v>
      </c>
      <c r="E1781" s="1" t="s">
        <v>3168</v>
      </c>
      <c r="F1781" s="1" t="s">
        <v>4580</v>
      </c>
      <c r="G1781" s="1">
        <v>0</v>
      </c>
      <c r="H1781" s="1" t="s">
        <v>442</v>
      </c>
      <c r="I1781" s="1" t="s">
        <v>4480</v>
      </c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</row>
    <row r="1782" spans="1:40" ht="22" customHeight="1">
      <c r="A1782" s="1" t="s">
        <v>171</v>
      </c>
      <c r="B1782" s="1" t="s">
        <v>1745</v>
      </c>
      <c r="C1782" s="7">
        <v>0.47425198671318852</v>
      </c>
      <c r="D1782" s="1" t="s">
        <v>4465</v>
      </c>
      <c r="E1782" s="1" t="s">
        <v>4466</v>
      </c>
      <c r="F1782" s="1" t="s">
        <v>4549</v>
      </c>
      <c r="G1782" s="1">
        <v>7</v>
      </c>
      <c r="H1782" s="1" t="s">
        <v>442</v>
      </c>
      <c r="I1782" s="1" t="s">
        <v>4480</v>
      </c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</row>
    <row r="1783" spans="1:40" ht="22" customHeight="1">
      <c r="A1783" s="1" t="s">
        <v>300</v>
      </c>
      <c r="B1783" s="1" t="s">
        <v>1749</v>
      </c>
      <c r="C1783" s="7">
        <v>0.11440310296307804</v>
      </c>
      <c r="D1783" s="1" t="s">
        <v>4449</v>
      </c>
      <c r="E1783" s="1" t="s">
        <v>4450</v>
      </c>
      <c r="F1783" s="1" t="s">
        <v>4551</v>
      </c>
      <c r="G1783" s="1">
        <v>8</v>
      </c>
      <c r="H1783" s="1" t="s">
        <v>442</v>
      </c>
      <c r="I1783" s="1" t="s">
        <v>4480</v>
      </c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</row>
    <row r="1784" spans="1:40" ht="22" customHeight="1">
      <c r="A1784" s="1" t="s">
        <v>301</v>
      </c>
      <c r="B1784" s="1" t="s">
        <v>1754</v>
      </c>
      <c r="C1784" s="7">
        <v>0.12853245737993235</v>
      </c>
      <c r="D1784" s="1" t="s">
        <v>4449</v>
      </c>
      <c r="E1784" s="1" t="s">
        <v>4450</v>
      </c>
      <c r="F1784" s="1" t="s">
        <v>4551</v>
      </c>
      <c r="G1784" s="1">
        <v>8</v>
      </c>
      <c r="H1784" s="1" t="s">
        <v>442</v>
      </c>
      <c r="I1784" s="1" t="s">
        <v>4480</v>
      </c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</row>
    <row r="1785" spans="1:40" ht="22" customHeight="1">
      <c r="A1785" s="1" t="s">
        <v>321</v>
      </c>
      <c r="B1785" s="1" t="s">
        <v>1756</v>
      </c>
      <c r="C1785" s="7">
        <v>0.11440310296307804</v>
      </c>
      <c r="D1785" s="1" t="s">
        <v>4449</v>
      </c>
      <c r="E1785" s="1" t="s">
        <v>4450</v>
      </c>
      <c r="F1785" s="1" t="s">
        <v>4551</v>
      </c>
      <c r="G1785" s="1">
        <v>8</v>
      </c>
      <c r="H1785" s="1" t="s">
        <v>442</v>
      </c>
      <c r="I1785" s="1" t="s">
        <v>4480</v>
      </c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</row>
    <row r="1786" spans="1:40" ht="22" customHeight="1">
      <c r="A1786" s="1" t="s">
        <v>221</v>
      </c>
      <c r="B1786" s="1" t="s">
        <v>1760</v>
      </c>
      <c r="C1786" s="7">
        <v>0.3345589633179345</v>
      </c>
      <c r="D1786" s="1" t="s">
        <v>3742</v>
      </c>
      <c r="E1786" s="1" t="s">
        <v>3743</v>
      </c>
      <c r="F1786" s="1" t="s">
        <v>4526</v>
      </c>
      <c r="G1786" s="1">
        <v>10</v>
      </c>
      <c r="H1786" s="1" t="s">
        <v>442</v>
      </c>
      <c r="I1786" s="1" t="s">
        <v>4480</v>
      </c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</row>
    <row r="1787" spans="1:40" ht="22" customHeight="1">
      <c r="A1787" s="1" t="s">
        <v>395</v>
      </c>
      <c r="B1787" s="1" t="s">
        <v>1765</v>
      </c>
      <c r="C1787" s="7">
        <v>0.39687573751729766</v>
      </c>
      <c r="D1787" s="1" t="s">
        <v>3212</v>
      </c>
      <c r="E1787" s="1" t="s">
        <v>3213</v>
      </c>
      <c r="F1787" s="1" t="s">
        <v>4533</v>
      </c>
      <c r="G1787" s="1">
        <v>9</v>
      </c>
      <c r="H1787" s="1" t="s">
        <v>442</v>
      </c>
      <c r="I1787" s="1" t="s">
        <v>4480</v>
      </c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</row>
    <row r="1788" spans="1:40" ht="22" customHeight="1">
      <c r="A1788" s="1" t="s">
        <v>350</v>
      </c>
      <c r="B1788" s="1" t="s">
        <v>1770</v>
      </c>
      <c r="C1788" s="7">
        <v>0.4469722876802889</v>
      </c>
      <c r="D1788" s="1" t="s">
        <v>4462</v>
      </c>
      <c r="E1788" s="1" t="s">
        <v>4463</v>
      </c>
      <c r="F1788" s="1" t="s">
        <v>4581</v>
      </c>
      <c r="G1788" s="1">
        <v>6</v>
      </c>
      <c r="H1788" s="1" t="s">
        <v>442</v>
      </c>
      <c r="I1788" s="1" t="s">
        <v>4480</v>
      </c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</row>
    <row r="1789" spans="1:40" ht="22" customHeight="1">
      <c r="A1789" s="1" t="s">
        <v>181</v>
      </c>
      <c r="B1789" s="1" t="s">
        <v>1775</v>
      </c>
      <c r="C1789" s="7">
        <v>0.41866095869762276</v>
      </c>
      <c r="D1789" s="1" t="s">
        <v>3800</v>
      </c>
      <c r="E1789" s="1" t="s">
        <v>3801</v>
      </c>
      <c r="F1789" s="1" t="s">
        <v>4570</v>
      </c>
      <c r="G1789" s="1">
        <v>11</v>
      </c>
      <c r="H1789" s="1" t="s">
        <v>442</v>
      </c>
      <c r="I1789" s="1" t="s">
        <v>4480</v>
      </c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</row>
    <row r="1790" spans="1:40" ht="22" customHeight="1">
      <c r="A1790" s="1" t="s">
        <v>243</v>
      </c>
      <c r="B1790" s="1" t="s">
        <v>1781</v>
      </c>
      <c r="C1790" s="7">
        <v>0.26634925426293254</v>
      </c>
      <c r="D1790" s="1" t="s">
        <v>4202</v>
      </c>
      <c r="E1790" s="1" t="s">
        <v>4203</v>
      </c>
      <c r="F1790" s="1" t="s">
        <v>4582</v>
      </c>
      <c r="G1790" s="1">
        <v>3</v>
      </c>
      <c r="H1790" s="1" t="s">
        <v>442</v>
      </c>
      <c r="I1790" s="1" t="s">
        <v>4480</v>
      </c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</row>
    <row r="1791" spans="1:40" ht="22" customHeight="1">
      <c r="A1791" s="1" t="s">
        <v>132</v>
      </c>
      <c r="B1791" s="1" t="s">
        <v>1786</v>
      </c>
      <c r="C1791" s="7">
        <v>0.14073385908456693</v>
      </c>
      <c r="D1791" s="1" t="s">
        <v>4356</v>
      </c>
      <c r="E1791" s="1" t="s">
        <v>4357</v>
      </c>
      <c r="F1791" s="1" t="s">
        <v>4583</v>
      </c>
      <c r="G1791" s="1">
        <v>7</v>
      </c>
      <c r="H1791" s="1" t="s">
        <v>442</v>
      </c>
      <c r="I1791" s="1" t="s">
        <v>4480</v>
      </c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</row>
    <row r="1792" spans="1:40" ht="22" customHeight="1">
      <c r="A1792" s="1" t="s">
        <v>257</v>
      </c>
      <c r="B1792" s="1" t="s">
        <v>1791</v>
      </c>
      <c r="C1792" s="7">
        <v>0.38637813621413586</v>
      </c>
      <c r="D1792" s="1" t="s">
        <v>3649</v>
      </c>
      <c r="E1792" s="1" t="s">
        <v>3650</v>
      </c>
      <c r="F1792" s="1" t="s">
        <v>4584</v>
      </c>
      <c r="G1792" s="1">
        <v>4</v>
      </c>
      <c r="H1792" s="1" t="s">
        <v>442</v>
      </c>
      <c r="I1792" s="1" t="s">
        <v>4480</v>
      </c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</row>
    <row r="1793" spans="1:40" ht="22" customHeight="1">
      <c r="A1793" s="1" t="s">
        <v>152</v>
      </c>
      <c r="B1793" s="1" t="s">
        <v>1796</v>
      </c>
      <c r="C1793" s="7">
        <v>0.5681186042219577</v>
      </c>
      <c r="D1793" s="1" t="s">
        <v>3543</v>
      </c>
      <c r="E1793" s="1" t="s">
        <v>3544</v>
      </c>
      <c r="F1793" s="1" t="s">
        <v>4585</v>
      </c>
      <c r="G1793" s="1">
        <v>7</v>
      </c>
      <c r="H1793" s="1" t="s">
        <v>442</v>
      </c>
      <c r="I1793" s="1" t="s">
        <v>4480</v>
      </c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</row>
    <row r="1794" spans="1:40" ht="22" customHeight="1">
      <c r="A1794" s="1" t="s">
        <v>384</v>
      </c>
      <c r="B1794" s="1" t="s">
        <v>1801</v>
      </c>
      <c r="C1794" s="7">
        <v>0.12118412732571376</v>
      </c>
      <c r="D1794" s="1" t="s">
        <v>4030</v>
      </c>
      <c r="E1794" s="1" t="s">
        <v>4031</v>
      </c>
      <c r="F1794" s="1" t="s">
        <v>4523</v>
      </c>
      <c r="G1794" s="1">
        <v>5</v>
      </c>
      <c r="H1794" s="1" t="s">
        <v>442</v>
      </c>
      <c r="I1794" s="1" t="s">
        <v>4480</v>
      </c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</row>
    <row r="1795" spans="1:40" ht="22" customHeight="1">
      <c r="A1795" s="1" t="s">
        <v>120</v>
      </c>
      <c r="B1795" s="1" t="s">
        <v>1806</v>
      </c>
      <c r="C1795" s="7">
        <v>0.25198509666340335</v>
      </c>
      <c r="D1795" s="1" t="s">
        <v>3863</v>
      </c>
      <c r="E1795" s="1" t="s">
        <v>3749</v>
      </c>
      <c r="F1795" s="1" t="s">
        <v>4586</v>
      </c>
      <c r="G1795" s="1">
        <v>5</v>
      </c>
      <c r="H1795" s="1" t="s">
        <v>442</v>
      </c>
      <c r="I1795" s="1" t="s">
        <v>4480</v>
      </c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</row>
    <row r="1796" spans="1:40" ht="22" customHeight="1">
      <c r="A1796" s="1" t="s">
        <v>103</v>
      </c>
      <c r="B1796" s="1" t="s">
        <v>1811</v>
      </c>
      <c r="C1796" s="7">
        <v>0.78220235714954256</v>
      </c>
      <c r="D1796" s="1" t="s">
        <v>4303</v>
      </c>
      <c r="E1796" s="1" t="s">
        <v>4304</v>
      </c>
      <c r="F1796" s="1" t="s">
        <v>4544</v>
      </c>
      <c r="G1796" s="1">
        <v>7</v>
      </c>
      <c r="H1796" s="1" t="s">
        <v>442</v>
      </c>
      <c r="I1796" s="1" t="s">
        <v>4480</v>
      </c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</row>
    <row r="1797" spans="1:40" ht="22" customHeight="1">
      <c r="A1797" s="1" t="s">
        <v>169</v>
      </c>
      <c r="B1797" s="1" t="s">
        <v>1816</v>
      </c>
      <c r="C1797" s="7">
        <v>0.1496540986840621</v>
      </c>
      <c r="D1797" s="1" t="s">
        <v>3739</v>
      </c>
      <c r="E1797" s="1" t="s">
        <v>3740</v>
      </c>
      <c r="F1797" s="1" t="s">
        <v>4587</v>
      </c>
      <c r="G1797" s="1">
        <v>8</v>
      </c>
      <c r="H1797" s="1" t="s">
        <v>442</v>
      </c>
      <c r="I1797" s="1" t="s">
        <v>4480</v>
      </c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</row>
    <row r="1798" spans="1:40" ht="22" customHeight="1">
      <c r="A1798" s="1" t="s">
        <v>162</v>
      </c>
      <c r="B1798" s="1" t="s">
        <v>1821</v>
      </c>
      <c r="C1798" s="7">
        <v>0.1704569315956346</v>
      </c>
      <c r="D1798" s="1" t="s">
        <v>4356</v>
      </c>
      <c r="E1798" s="1" t="s">
        <v>4357</v>
      </c>
      <c r="F1798" s="1" t="s">
        <v>4583</v>
      </c>
      <c r="G1798" s="1">
        <v>7</v>
      </c>
      <c r="H1798" s="1" t="s">
        <v>442</v>
      </c>
      <c r="I1798" s="1" t="s">
        <v>4480</v>
      </c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</row>
    <row r="1799" spans="1:40" ht="22" customHeight="1">
      <c r="A1799" s="1" t="s">
        <v>242</v>
      </c>
      <c r="B1799" s="1" t="s">
        <v>1826</v>
      </c>
      <c r="C1799" s="7">
        <v>0.39989290414268719</v>
      </c>
      <c r="D1799" s="1" t="s">
        <v>3800</v>
      </c>
      <c r="E1799" s="1" t="s">
        <v>3801</v>
      </c>
      <c r="F1799" s="1" t="s">
        <v>4570</v>
      </c>
      <c r="G1799" s="1">
        <v>8</v>
      </c>
      <c r="H1799" s="1" t="s">
        <v>442</v>
      </c>
      <c r="I1799" s="1" t="s">
        <v>4480</v>
      </c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</row>
    <row r="1800" spans="1:40" ht="22" customHeight="1">
      <c r="A1800" s="1" t="s">
        <v>201</v>
      </c>
      <c r="B1800" s="1" t="s">
        <v>1831</v>
      </c>
      <c r="C1800" s="7">
        <v>0.36615105059730751</v>
      </c>
      <c r="D1800" s="1" t="s">
        <v>3895</v>
      </c>
      <c r="E1800" s="1" t="s">
        <v>3896</v>
      </c>
      <c r="F1800" s="1" t="s">
        <v>4556</v>
      </c>
      <c r="G1800" s="1">
        <v>3</v>
      </c>
      <c r="H1800" s="1" t="s">
        <v>442</v>
      </c>
      <c r="I1800" s="1" t="s">
        <v>4480</v>
      </c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</row>
    <row r="1801" spans="1:40" ht="22" customHeight="1">
      <c r="A1801" s="1" t="s">
        <v>218</v>
      </c>
      <c r="B1801" s="1" t="s">
        <v>1836</v>
      </c>
      <c r="C1801" s="7">
        <v>0.54540436369651768</v>
      </c>
      <c r="D1801" s="1" t="s">
        <v>3736</v>
      </c>
      <c r="E1801" s="1" t="s">
        <v>3737</v>
      </c>
      <c r="F1801" s="1" t="s">
        <v>4519</v>
      </c>
      <c r="G1801" s="1">
        <v>4</v>
      </c>
      <c r="H1801" s="1" t="s">
        <v>442</v>
      </c>
      <c r="I1801" s="1" t="s">
        <v>4480</v>
      </c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</row>
    <row r="1802" spans="1:40" ht="22" customHeight="1">
      <c r="A1802" s="1" t="s">
        <v>231</v>
      </c>
      <c r="B1802" s="1" t="s">
        <v>1841</v>
      </c>
      <c r="C1802" s="7">
        <v>0.57437948377283043</v>
      </c>
      <c r="D1802" s="1" t="s">
        <v>4303</v>
      </c>
      <c r="E1802" s="1" t="s">
        <v>4304</v>
      </c>
      <c r="F1802" s="1" t="s">
        <v>4544</v>
      </c>
      <c r="G1802" s="1">
        <v>7</v>
      </c>
      <c r="H1802" s="1" t="s">
        <v>442</v>
      </c>
      <c r="I1802" s="1" t="s">
        <v>4480</v>
      </c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</row>
    <row r="1803" spans="1:40" ht="22" customHeight="1">
      <c r="A1803" s="1" t="s">
        <v>193</v>
      </c>
      <c r="B1803" s="1" t="s">
        <v>1846</v>
      </c>
      <c r="C1803" s="7">
        <v>0.17926401142772272</v>
      </c>
      <c r="D1803" s="1" t="s">
        <v>3736</v>
      </c>
      <c r="E1803" s="1" t="s">
        <v>3737</v>
      </c>
      <c r="F1803" s="1" t="s">
        <v>4519</v>
      </c>
      <c r="G1803" s="1">
        <v>6</v>
      </c>
      <c r="H1803" s="1" t="s">
        <v>442</v>
      </c>
      <c r="I1803" s="1" t="s">
        <v>4480</v>
      </c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</row>
    <row r="1804" spans="1:40" ht="22" customHeight="1">
      <c r="A1804" s="1" t="s">
        <v>102</v>
      </c>
      <c r="B1804" s="1" t="s">
        <v>1850</v>
      </c>
      <c r="C1804" s="7">
        <v>0.1960096497110867</v>
      </c>
      <c r="D1804" s="1" t="s">
        <v>3482</v>
      </c>
      <c r="E1804" s="1" t="s">
        <v>3483</v>
      </c>
      <c r="F1804" s="1" t="s">
        <v>4515</v>
      </c>
      <c r="G1804" s="1">
        <v>12</v>
      </c>
      <c r="H1804" s="1" t="s">
        <v>442</v>
      </c>
      <c r="I1804" s="1" t="s">
        <v>4480</v>
      </c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</row>
    <row r="1805" spans="1:40" ht="22" customHeight="1">
      <c r="A1805" s="1" t="s">
        <v>108</v>
      </c>
      <c r="B1805" s="1" t="s">
        <v>1855</v>
      </c>
      <c r="C1805" s="7">
        <v>0.19318629483885716</v>
      </c>
      <c r="D1805" s="1" t="s">
        <v>4449</v>
      </c>
      <c r="E1805" s="1" t="s">
        <v>4450</v>
      </c>
      <c r="F1805" s="1" t="s">
        <v>4551</v>
      </c>
      <c r="G1805" s="1">
        <v>9</v>
      </c>
      <c r="H1805" s="1" t="s">
        <v>442</v>
      </c>
      <c r="I1805" s="1" t="s">
        <v>4480</v>
      </c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</row>
    <row r="1806" spans="1:40" ht="22" customHeight="1">
      <c r="A1806" s="1" t="s">
        <v>299</v>
      </c>
      <c r="B1806" s="1" t="s">
        <v>1860</v>
      </c>
      <c r="C1806" s="7">
        <v>0.16456988188391411</v>
      </c>
      <c r="D1806" s="1" t="s">
        <v>4397</v>
      </c>
      <c r="E1806" s="1" t="s">
        <v>4398</v>
      </c>
      <c r="F1806" s="1" t="s">
        <v>4588</v>
      </c>
      <c r="G1806" s="1">
        <v>8</v>
      </c>
      <c r="H1806" s="1" t="s">
        <v>442</v>
      </c>
      <c r="I1806" s="1" t="s">
        <v>4480</v>
      </c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</row>
    <row r="1807" spans="1:40" ht="22" customHeight="1">
      <c r="A1807" s="1" t="s">
        <v>216</v>
      </c>
      <c r="B1807" s="1" t="s">
        <v>1865</v>
      </c>
      <c r="C1807" s="7">
        <v>0.24666584149936449</v>
      </c>
      <c r="D1807" s="1" t="s">
        <v>3212</v>
      </c>
      <c r="E1807" s="1" t="s">
        <v>3213</v>
      </c>
      <c r="F1807" s="1" t="s">
        <v>4533</v>
      </c>
      <c r="G1807" s="1">
        <v>8</v>
      </c>
      <c r="H1807" s="1" t="s">
        <v>442</v>
      </c>
      <c r="I1807" s="1" t="s">
        <v>4480</v>
      </c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</row>
    <row r="1808" spans="1:40" ht="22" customHeight="1">
      <c r="A1808" s="1" t="s">
        <v>116</v>
      </c>
      <c r="B1808" s="1" t="s">
        <v>1870</v>
      </c>
      <c r="C1808" s="7">
        <v>0.3832553292704573</v>
      </c>
      <c r="D1808" s="1" t="s">
        <v>3482</v>
      </c>
      <c r="E1808" s="1" t="s">
        <v>3483</v>
      </c>
      <c r="F1808" s="1" t="s">
        <v>4515</v>
      </c>
      <c r="G1808" s="1">
        <v>12</v>
      </c>
      <c r="H1808" s="1" t="s">
        <v>442</v>
      </c>
      <c r="I1808" s="1" t="s">
        <v>4480</v>
      </c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</row>
    <row r="1809" spans="1:40" ht="22" customHeight="1">
      <c r="A1809" s="1" t="s">
        <v>408</v>
      </c>
      <c r="B1809" s="1" t="s">
        <v>1875</v>
      </c>
      <c r="C1809" s="7">
        <v>0.4804050832420565</v>
      </c>
      <c r="D1809" s="1" t="s">
        <v>4465</v>
      </c>
      <c r="E1809" s="1" t="s">
        <v>4466</v>
      </c>
      <c r="F1809" s="1" t="s">
        <v>4549</v>
      </c>
      <c r="G1809" s="1">
        <v>5</v>
      </c>
      <c r="H1809" s="1" t="s">
        <v>442</v>
      </c>
      <c r="I1809" s="1" t="s">
        <v>4480</v>
      </c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</row>
    <row r="1810" spans="1:40" ht="22" customHeight="1">
      <c r="A1810" s="1" t="s">
        <v>123</v>
      </c>
      <c r="B1810" s="1" t="s">
        <v>1881</v>
      </c>
      <c r="C1810" s="7">
        <v>0.79035879691660538</v>
      </c>
      <c r="D1810" s="1" t="s">
        <v>3212</v>
      </c>
      <c r="E1810" s="1" t="s">
        <v>3213</v>
      </c>
      <c r="F1810" s="1" t="s">
        <v>4533</v>
      </c>
      <c r="G1810" s="1">
        <v>1</v>
      </c>
      <c r="H1810" s="1" t="s">
        <v>442</v>
      </c>
      <c r="I1810" s="1" t="s">
        <v>4480</v>
      </c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</row>
    <row r="1811" spans="1:40" ht="22" customHeight="1">
      <c r="A1811" s="1" t="s">
        <v>334</v>
      </c>
      <c r="B1811" s="1" t="s">
        <v>1886</v>
      </c>
      <c r="C1811" s="7">
        <v>0.35373085831047146</v>
      </c>
      <c r="D1811" s="1" t="s">
        <v>3800</v>
      </c>
      <c r="E1811" s="1" t="s">
        <v>3801</v>
      </c>
      <c r="F1811" s="1" t="s">
        <v>4570</v>
      </c>
      <c r="G1811" s="1">
        <v>12</v>
      </c>
      <c r="H1811" s="1" t="s">
        <v>442</v>
      </c>
      <c r="I1811" s="1" t="s">
        <v>4480</v>
      </c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</row>
    <row r="1812" spans="1:40" ht="22" customHeight="1">
      <c r="A1812" s="1" t="s">
        <v>163</v>
      </c>
      <c r="B1812" s="1" t="s">
        <v>1891</v>
      </c>
      <c r="C1812" s="7">
        <v>0.22562896148912306</v>
      </c>
      <c r="D1812" s="1" t="s">
        <v>4356</v>
      </c>
      <c r="E1812" s="1" t="s">
        <v>4357</v>
      </c>
      <c r="F1812" s="1" t="s">
        <v>4583</v>
      </c>
      <c r="G1812" s="1">
        <v>7</v>
      </c>
      <c r="H1812" s="1" t="s">
        <v>442</v>
      </c>
      <c r="I1812" s="1" t="s">
        <v>4480</v>
      </c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</row>
    <row r="1813" spans="1:40" ht="22" customHeight="1">
      <c r="A1813" s="1" t="s">
        <v>267</v>
      </c>
      <c r="B1813" s="1" t="s">
        <v>1896</v>
      </c>
      <c r="C1813" s="7">
        <v>0.67579567641859406</v>
      </c>
      <c r="D1813" s="1" t="s">
        <v>3724</v>
      </c>
      <c r="E1813" s="1" t="s">
        <v>3725</v>
      </c>
      <c r="F1813" s="1" t="s">
        <v>4525</v>
      </c>
      <c r="G1813" s="1">
        <v>10</v>
      </c>
      <c r="H1813" s="1" t="s">
        <v>442</v>
      </c>
      <c r="I1813" s="1" t="s">
        <v>4480</v>
      </c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</row>
    <row r="1814" spans="1:40" ht="22" customHeight="1">
      <c r="A1814" s="1" t="s">
        <v>412</v>
      </c>
      <c r="B1814" s="1" t="s">
        <v>1901</v>
      </c>
      <c r="C1814" s="7">
        <v>0.6957903531749603</v>
      </c>
      <c r="D1814" s="1" t="s">
        <v>3543</v>
      </c>
      <c r="E1814" s="1" t="s">
        <v>3544</v>
      </c>
      <c r="F1814" s="1" t="s">
        <v>4585</v>
      </c>
      <c r="G1814" s="1">
        <v>9</v>
      </c>
      <c r="H1814" s="1" t="s">
        <v>442</v>
      </c>
      <c r="I1814" s="1" t="s">
        <v>4480</v>
      </c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</row>
    <row r="1815" spans="1:40" ht="22" customHeight="1">
      <c r="A1815" s="1" t="s">
        <v>343</v>
      </c>
      <c r="B1815" s="1" t="s">
        <v>1906</v>
      </c>
      <c r="C1815" s="7">
        <v>0.51554061281690178</v>
      </c>
      <c r="D1815" s="1" t="s">
        <v>3482</v>
      </c>
      <c r="E1815" s="1" t="s">
        <v>3483</v>
      </c>
      <c r="F1815" s="1" t="s">
        <v>4515</v>
      </c>
      <c r="G1815" s="1">
        <v>9</v>
      </c>
      <c r="H1815" s="1" t="s">
        <v>442</v>
      </c>
      <c r="I1815" s="1" t="s">
        <v>4480</v>
      </c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</row>
    <row r="1816" spans="1:40" ht="22" customHeight="1">
      <c r="A1816" s="1" t="s">
        <v>91</v>
      </c>
      <c r="B1816" s="1" t="s">
        <v>1910</v>
      </c>
      <c r="C1816" s="7">
        <v>0.53087781898475694</v>
      </c>
      <c r="D1816" s="1" t="s">
        <v>4003</v>
      </c>
      <c r="E1816" s="1" t="s">
        <v>4004</v>
      </c>
      <c r="F1816" s="1" t="s">
        <v>4571</v>
      </c>
      <c r="G1816" s="1">
        <v>2</v>
      </c>
      <c r="H1816" s="1" t="s">
        <v>442</v>
      </c>
      <c r="I1816" s="1" t="s">
        <v>4480</v>
      </c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</row>
    <row r="1817" spans="1:40" ht="22" customHeight="1">
      <c r="A1817" s="1" t="s">
        <v>295</v>
      </c>
      <c r="B1817" s="1" t="s">
        <v>1915</v>
      </c>
      <c r="C1817" s="7">
        <v>0.37970186361207736</v>
      </c>
      <c r="D1817" s="1" t="s">
        <v>4359</v>
      </c>
      <c r="E1817" s="1" t="s">
        <v>4360</v>
      </c>
      <c r="F1817" s="1" t="s">
        <v>4558</v>
      </c>
      <c r="G1817" s="1">
        <v>0</v>
      </c>
      <c r="H1817" s="1" t="s">
        <v>442</v>
      </c>
      <c r="I1817" s="1" t="s">
        <v>4480</v>
      </c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</row>
    <row r="1818" spans="1:40" ht="22" customHeight="1">
      <c r="A1818" s="1" t="s">
        <v>186</v>
      </c>
      <c r="B1818" s="1" t="s">
        <v>1919</v>
      </c>
      <c r="C1818" s="7">
        <v>0.10160074514179536</v>
      </c>
      <c r="D1818" s="1" t="s">
        <v>4330</v>
      </c>
      <c r="E1818" s="1" t="s">
        <v>4331</v>
      </c>
      <c r="F1818" s="1" t="s">
        <v>4589</v>
      </c>
      <c r="G1818" s="1">
        <v>3</v>
      </c>
      <c r="H1818" s="1" t="s">
        <v>442</v>
      </c>
      <c r="I1818" s="1" t="s">
        <v>4480</v>
      </c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</row>
    <row r="1819" spans="1:40" ht="22" customHeight="1">
      <c r="A1819" s="1" t="s">
        <v>113</v>
      </c>
      <c r="B1819" s="1" t="s">
        <v>1924</v>
      </c>
      <c r="C1819" s="7">
        <v>0.3281166835630559</v>
      </c>
      <c r="D1819" s="1" t="s">
        <v>4145</v>
      </c>
      <c r="E1819" s="1" t="s">
        <v>4146</v>
      </c>
      <c r="F1819" s="1" t="s">
        <v>4590</v>
      </c>
      <c r="G1819" s="1">
        <v>0</v>
      </c>
      <c r="H1819" s="1" t="s">
        <v>442</v>
      </c>
      <c r="I1819" s="1" t="s">
        <v>4480</v>
      </c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</row>
    <row r="1820" spans="1:40" ht="22" customHeight="1">
      <c r="A1820" s="1" t="s">
        <v>298</v>
      </c>
      <c r="B1820" s="1" t="s">
        <v>1929</v>
      </c>
      <c r="C1820" s="7">
        <v>0.15291218927303687</v>
      </c>
      <c r="D1820" s="1" t="s">
        <v>3981</v>
      </c>
      <c r="E1820" s="1" t="s">
        <v>3982</v>
      </c>
      <c r="F1820" s="1" t="s">
        <v>4569</v>
      </c>
      <c r="G1820" s="1">
        <v>8</v>
      </c>
      <c r="H1820" s="1" t="s">
        <v>442</v>
      </c>
      <c r="I1820" s="1" t="s">
        <v>4480</v>
      </c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</row>
    <row r="1821" spans="1:40" ht="22" customHeight="1">
      <c r="A1821" s="1" t="s">
        <v>157</v>
      </c>
      <c r="B1821" s="1" t="s">
        <v>1933</v>
      </c>
      <c r="C1821" s="7">
        <v>0.42951750596672367</v>
      </c>
      <c r="D1821" s="1" t="s">
        <v>3145</v>
      </c>
      <c r="E1821" s="1" t="s">
        <v>3146</v>
      </c>
      <c r="F1821" s="1" t="s">
        <v>4502</v>
      </c>
      <c r="G1821" s="1">
        <v>12</v>
      </c>
      <c r="H1821" s="1" t="s">
        <v>442</v>
      </c>
      <c r="I1821" s="1" t="s">
        <v>4480</v>
      </c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</row>
    <row r="1822" spans="1:40" ht="22" customHeight="1">
      <c r="A1822" s="1" t="s">
        <v>368</v>
      </c>
      <c r="B1822" s="1" t="s">
        <v>1936</v>
      </c>
      <c r="C1822" s="7">
        <v>0.74643934453215777</v>
      </c>
      <c r="D1822" s="1" t="s">
        <v>4409</v>
      </c>
      <c r="E1822" s="1" t="s">
        <v>4410</v>
      </c>
      <c r="F1822" s="1" t="s">
        <v>4591</v>
      </c>
      <c r="G1822" s="1">
        <v>2</v>
      </c>
      <c r="H1822" s="1" t="s">
        <v>442</v>
      </c>
      <c r="I1822" s="1" t="s">
        <v>4480</v>
      </c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</row>
    <row r="1823" spans="1:40" ht="22" customHeight="1">
      <c r="A1823" s="1" t="s">
        <v>177</v>
      </c>
      <c r="B1823" s="1" t="s">
        <v>1942</v>
      </c>
      <c r="C1823" s="7">
        <v>0.21434327892512375</v>
      </c>
      <c r="D1823" s="1" t="s">
        <v>4108</v>
      </c>
      <c r="E1823" s="1" t="s">
        <v>4109</v>
      </c>
      <c r="F1823" s="1" t="s">
        <v>4495</v>
      </c>
      <c r="G1823" s="1">
        <v>8</v>
      </c>
      <c r="H1823" s="1" t="s">
        <v>442</v>
      </c>
      <c r="I1823" s="1" t="s">
        <v>4480</v>
      </c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</row>
    <row r="1824" spans="1:40" ht="22" customHeight="1">
      <c r="A1824" s="1" t="s">
        <v>126</v>
      </c>
      <c r="B1824" s="1" t="s">
        <v>1944</v>
      </c>
      <c r="C1824" s="7">
        <v>0.21854622660693576</v>
      </c>
      <c r="D1824" s="1" t="s">
        <v>4359</v>
      </c>
      <c r="E1824" s="1" t="s">
        <v>4360</v>
      </c>
      <c r="F1824" s="1" t="s">
        <v>4558</v>
      </c>
      <c r="G1824" s="1">
        <v>1</v>
      </c>
      <c r="H1824" s="1" t="s">
        <v>442</v>
      </c>
      <c r="I1824" s="1" t="s">
        <v>4480</v>
      </c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</row>
    <row r="1825" spans="1:40" ht="22" customHeight="1">
      <c r="A1825" s="1" t="s">
        <v>294</v>
      </c>
      <c r="B1825" s="1" t="s">
        <v>1948</v>
      </c>
      <c r="C1825" s="7">
        <v>0.61933032419567058</v>
      </c>
      <c r="D1825" s="1" t="s">
        <v>4003</v>
      </c>
      <c r="E1825" s="1" t="s">
        <v>4004</v>
      </c>
      <c r="F1825" s="1" t="s">
        <v>4571</v>
      </c>
      <c r="G1825" s="1">
        <v>2</v>
      </c>
      <c r="H1825" s="1" t="s">
        <v>442</v>
      </c>
      <c r="I1825" s="1" t="s">
        <v>4480</v>
      </c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</row>
    <row r="1826" spans="1:40" ht="22" customHeight="1">
      <c r="A1826" s="1" t="s">
        <v>129</v>
      </c>
      <c r="B1826" s="1" t="s">
        <v>1953</v>
      </c>
      <c r="C1826" s="7">
        <v>0.56351640587517471</v>
      </c>
      <c r="D1826" s="1" t="s">
        <v>3928</v>
      </c>
      <c r="E1826" s="1" t="s">
        <v>3929</v>
      </c>
      <c r="F1826" s="1" t="s">
        <v>4592</v>
      </c>
      <c r="G1826" s="1">
        <v>0</v>
      </c>
      <c r="H1826" s="1" t="s">
        <v>442</v>
      </c>
      <c r="I1826" s="1" t="s">
        <v>4480</v>
      </c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</row>
    <row r="1827" spans="1:40" ht="22" customHeight="1">
      <c r="A1827" s="1" t="s">
        <v>303</v>
      </c>
      <c r="B1827" s="1" t="s">
        <v>1959</v>
      </c>
      <c r="C1827" s="7">
        <v>0.3150754745130222</v>
      </c>
      <c r="D1827" s="1" t="s">
        <v>3857</v>
      </c>
      <c r="E1827" s="1" t="s">
        <v>3858</v>
      </c>
      <c r="F1827" s="1" t="s">
        <v>4522</v>
      </c>
      <c r="G1827" s="1">
        <v>13</v>
      </c>
      <c r="H1827" s="1" t="s">
        <v>442</v>
      </c>
      <c r="I1827" s="1" t="s">
        <v>4480</v>
      </c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</row>
    <row r="1828" spans="1:40" ht="22" customHeight="1">
      <c r="A1828" s="1" t="s">
        <v>154</v>
      </c>
      <c r="B1828" s="1" t="s">
        <v>1963</v>
      </c>
      <c r="C1828" s="7">
        <v>0.28294524749778188</v>
      </c>
      <c r="D1828" s="1" t="s">
        <v>4300</v>
      </c>
      <c r="E1828" s="1" t="s">
        <v>4301</v>
      </c>
      <c r="F1828" s="1" t="s">
        <v>4593</v>
      </c>
      <c r="G1828" s="1">
        <v>4</v>
      </c>
      <c r="H1828" s="1" t="s">
        <v>442</v>
      </c>
      <c r="I1828" s="1" t="s">
        <v>4480</v>
      </c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</row>
    <row r="1829" spans="1:40" ht="22" customHeight="1">
      <c r="A1829" s="1" t="s">
        <v>236</v>
      </c>
      <c r="B1829" s="1" t="s">
        <v>1968</v>
      </c>
      <c r="C1829" s="7">
        <v>0.99422840329417839</v>
      </c>
      <c r="D1829" s="1" t="s">
        <v>3748</v>
      </c>
      <c r="E1829" s="1" t="s">
        <v>3749</v>
      </c>
      <c r="F1829" s="1" t="s">
        <v>4594</v>
      </c>
      <c r="G1829" s="1">
        <v>1</v>
      </c>
      <c r="H1829" s="1" t="s">
        <v>442</v>
      </c>
      <c r="I1829" s="1" t="s">
        <v>4480</v>
      </c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</row>
    <row r="1830" spans="1:40" ht="22" customHeight="1">
      <c r="A1830" s="1" t="s">
        <v>245</v>
      </c>
      <c r="B1830" s="1" t="s">
        <v>1973</v>
      </c>
      <c r="C1830" s="7">
        <v>0.82466884245046634</v>
      </c>
      <c r="D1830" s="1" t="s">
        <v>3229</v>
      </c>
      <c r="E1830" s="1" t="s">
        <v>3230</v>
      </c>
      <c r="F1830" s="1" t="s">
        <v>4595</v>
      </c>
      <c r="G1830" s="1">
        <v>2</v>
      </c>
      <c r="H1830" s="1" t="s">
        <v>442</v>
      </c>
      <c r="I1830" s="1" t="s">
        <v>4480</v>
      </c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</row>
    <row r="1831" spans="1:40" ht="22" customHeight="1">
      <c r="A1831" s="1" t="s">
        <v>195</v>
      </c>
      <c r="B1831" s="1" t="s">
        <v>1978</v>
      </c>
      <c r="C1831" s="7">
        <v>0.31446689701862951</v>
      </c>
      <c r="D1831" s="1" t="s">
        <v>3698</v>
      </c>
      <c r="E1831" s="1" t="s">
        <v>3699</v>
      </c>
      <c r="F1831" s="1" t="s">
        <v>4535</v>
      </c>
      <c r="G1831" s="1">
        <v>6</v>
      </c>
      <c r="H1831" s="1" t="s">
        <v>442</v>
      </c>
      <c r="I1831" s="1" t="s">
        <v>4480</v>
      </c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</row>
    <row r="1832" spans="1:40" ht="22" customHeight="1">
      <c r="A1832" s="1" t="s">
        <v>147</v>
      </c>
      <c r="B1832" s="1" t="s">
        <v>1983</v>
      </c>
      <c r="C1832" s="7">
        <v>0.7703459815748348</v>
      </c>
      <c r="D1832" s="1" t="s">
        <v>3698</v>
      </c>
      <c r="E1832" s="1" t="s">
        <v>3699</v>
      </c>
      <c r="F1832" s="1" t="s">
        <v>4535</v>
      </c>
      <c r="G1832" s="1">
        <v>3</v>
      </c>
      <c r="H1832" s="1" t="s">
        <v>442</v>
      </c>
      <c r="I1832" s="1" t="s">
        <v>4480</v>
      </c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</row>
    <row r="1833" spans="1:40" ht="22" customHeight="1">
      <c r="A1833" s="1" t="s">
        <v>167</v>
      </c>
      <c r="B1833" s="1" t="s">
        <v>1988</v>
      </c>
      <c r="C1833" s="7">
        <v>0.86765671809517808</v>
      </c>
      <c r="D1833" s="1" t="s">
        <v>4362</v>
      </c>
      <c r="E1833" s="1" t="s">
        <v>4363</v>
      </c>
      <c r="F1833" s="1" t="s">
        <v>4596</v>
      </c>
      <c r="G1833" s="1">
        <v>2</v>
      </c>
      <c r="H1833" s="1" t="s">
        <v>442</v>
      </c>
      <c r="I1833" s="1" t="s">
        <v>4480</v>
      </c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</row>
    <row r="1834" spans="1:40" ht="22" customHeight="1">
      <c r="A1834" s="1" t="s">
        <v>383</v>
      </c>
      <c r="B1834" s="1" t="s">
        <v>1993</v>
      </c>
      <c r="C1834" s="7">
        <v>0.21108360174862981</v>
      </c>
      <c r="D1834" s="1" t="s">
        <v>3748</v>
      </c>
      <c r="E1834" s="1" t="s">
        <v>3749</v>
      </c>
      <c r="F1834" s="1" t="s">
        <v>4594</v>
      </c>
      <c r="G1834" s="1">
        <v>1</v>
      </c>
      <c r="H1834" s="1" t="s">
        <v>442</v>
      </c>
      <c r="I1834" s="1" t="s">
        <v>4480</v>
      </c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</row>
    <row r="1835" spans="1:40" ht="22" customHeight="1">
      <c r="A1835" s="1" t="s">
        <v>286</v>
      </c>
      <c r="B1835" s="1" t="s">
        <v>1998</v>
      </c>
      <c r="C1835" s="7">
        <v>0.18475066467909304</v>
      </c>
      <c r="D1835" s="1" t="s">
        <v>4003</v>
      </c>
      <c r="E1835" s="1" t="s">
        <v>4004</v>
      </c>
      <c r="F1835" s="1" t="s">
        <v>4571</v>
      </c>
      <c r="G1835" s="1">
        <v>2</v>
      </c>
      <c r="H1835" s="1" t="s">
        <v>442</v>
      </c>
      <c r="I1835" s="1" t="s">
        <v>4480</v>
      </c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</row>
    <row r="1836" spans="1:40" ht="22" customHeight="1">
      <c r="A1836" s="1" t="s">
        <v>213</v>
      </c>
      <c r="B1836" s="1" t="s">
        <v>2003</v>
      </c>
      <c r="C1836" s="7">
        <v>0.48677921687658265</v>
      </c>
      <c r="D1836" s="1" t="s">
        <v>4235</v>
      </c>
      <c r="E1836" s="1" t="s">
        <v>4236</v>
      </c>
      <c r="F1836" s="1" t="s">
        <v>4597</v>
      </c>
      <c r="G1836" s="1">
        <v>2</v>
      </c>
      <c r="H1836" s="1" t="s">
        <v>442</v>
      </c>
      <c r="I1836" s="1" t="s">
        <v>4480</v>
      </c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</row>
    <row r="1837" spans="1:40" ht="22" customHeight="1">
      <c r="A1837" s="1" t="s">
        <v>358</v>
      </c>
      <c r="B1837" s="1" t="s">
        <v>2008</v>
      </c>
      <c r="C1837" s="7">
        <v>0.36391859379799124</v>
      </c>
      <c r="D1837" s="1" t="s">
        <v>3817</v>
      </c>
      <c r="E1837" s="1" t="s">
        <v>3818</v>
      </c>
      <c r="F1837" s="1" t="s">
        <v>4598</v>
      </c>
      <c r="G1837" s="1">
        <v>3</v>
      </c>
      <c r="H1837" s="1" t="s">
        <v>442</v>
      </c>
      <c r="I1837" s="1" t="s">
        <v>4480</v>
      </c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</row>
    <row r="1838" spans="1:40" ht="22" customHeight="1">
      <c r="A1838" s="1" t="s">
        <v>187</v>
      </c>
      <c r="B1838" s="1" t="s">
        <v>2013</v>
      </c>
      <c r="C1838" s="7">
        <v>0.27189586889960465</v>
      </c>
      <c r="D1838" s="1" t="s">
        <v>4468</v>
      </c>
      <c r="E1838" s="1" t="s">
        <v>4398</v>
      </c>
      <c r="F1838" s="1" t="s">
        <v>4599</v>
      </c>
      <c r="G1838" s="1">
        <v>4</v>
      </c>
      <c r="H1838" s="1" t="s">
        <v>442</v>
      </c>
      <c r="I1838" s="1" t="s">
        <v>4480</v>
      </c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</row>
    <row r="1839" spans="1:40" ht="22" customHeight="1">
      <c r="A1839" s="1" t="s">
        <v>336</v>
      </c>
      <c r="B1839" s="1" t="s">
        <v>2018</v>
      </c>
      <c r="C1839" s="7">
        <v>0.51437216105070149</v>
      </c>
      <c r="D1839" s="1" t="s">
        <v>4359</v>
      </c>
      <c r="E1839" s="1" t="s">
        <v>4360</v>
      </c>
      <c r="F1839" s="1" t="s">
        <v>4558</v>
      </c>
      <c r="G1839" s="1">
        <v>0</v>
      </c>
      <c r="H1839" s="1" t="s">
        <v>442</v>
      </c>
      <c r="I1839" s="1" t="s">
        <v>4480</v>
      </c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</row>
    <row r="1840" spans="1:40" ht="22" customHeight="1">
      <c r="A1840" s="1" t="s">
        <v>396</v>
      </c>
      <c r="B1840" s="1" t="s">
        <v>2023</v>
      </c>
      <c r="C1840" s="7">
        <v>0.42671826805716384</v>
      </c>
      <c r="D1840" s="1" t="s">
        <v>3515</v>
      </c>
      <c r="E1840" s="1" t="s">
        <v>3516</v>
      </c>
      <c r="F1840" s="1" t="s">
        <v>4600</v>
      </c>
      <c r="G1840" s="1">
        <v>1</v>
      </c>
      <c r="H1840" s="1" t="s">
        <v>442</v>
      </c>
      <c r="I1840" s="1" t="s">
        <v>4480</v>
      </c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</row>
    <row r="1841" spans="1:40" ht="22" customHeight="1">
      <c r="A1841" s="1" t="s">
        <v>261</v>
      </c>
      <c r="B1841" s="1" t="s">
        <v>2028</v>
      </c>
      <c r="C1841" s="7">
        <v>8.1529450428878991E-2</v>
      </c>
      <c r="D1841" s="1" t="s">
        <v>4421</v>
      </c>
      <c r="E1841" s="1" t="s">
        <v>4043</v>
      </c>
      <c r="F1841" s="1" t="s">
        <v>4548</v>
      </c>
      <c r="G1841" s="1">
        <v>0</v>
      </c>
      <c r="H1841" s="1" t="s">
        <v>442</v>
      </c>
      <c r="I1841" s="1" t="s">
        <v>4480</v>
      </c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</row>
    <row r="1842" spans="1:40" ht="22" customHeight="1">
      <c r="A1842" s="1" t="s">
        <v>105</v>
      </c>
      <c r="B1842" s="1" t="s">
        <v>2033</v>
      </c>
      <c r="C1842" s="7">
        <v>0.48645902345094222</v>
      </c>
      <c r="D1842" s="1" t="s">
        <v>4145</v>
      </c>
      <c r="E1842" s="1" t="s">
        <v>4146</v>
      </c>
      <c r="F1842" s="1" t="s">
        <v>4590</v>
      </c>
      <c r="G1842" s="1">
        <v>0</v>
      </c>
      <c r="H1842" s="1" t="s">
        <v>442</v>
      </c>
      <c r="I1842" s="1" t="s">
        <v>4480</v>
      </c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</row>
    <row r="1843" spans="1:40" ht="22" customHeight="1">
      <c r="A1843" s="1" t="s">
        <v>111</v>
      </c>
      <c r="B1843" s="1" t="s">
        <v>2038</v>
      </c>
      <c r="C1843" s="7">
        <v>0.32586149861755442</v>
      </c>
      <c r="D1843" s="1" t="s">
        <v>3912</v>
      </c>
      <c r="E1843" s="1" t="s">
        <v>3913</v>
      </c>
      <c r="F1843" s="1" t="s">
        <v>4601</v>
      </c>
      <c r="G1843" s="1">
        <v>2</v>
      </c>
      <c r="H1843" s="1" t="s">
        <v>442</v>
      </c>
      <c r="I1843" s="1" t="s">
        <v>4480</v>
      </c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</row>
    <row r="1844" spans="1:40" ht="22" customHeight="1">
      <c r="A1844" s="1" t="s">
        <v>340</v>
      </c>
      <c r="B1844" s="1" t="s">
        <v>2043</v>
      </c>
      <c r="C1844" s="7">
        <v>0.80763086314446486</v>
      </c>
      <c r="D1844" s="1" t="s">
        <v>4318</v>
      </c>
      <c r="E1844" s="1" t="s">
        <v>4319</v>
      </c>
      <c r="F1844" s="1" t="s">
        <v>4602</v>
      </c>
      <c r="G1844" s="1">
        <v>2</v>
      </c>
      <c r="H1844" s="1" t="s">
        <v>442</v>
      </c>
      <c r="I1844" s="1" t="s">
        <v>4480</v>
      </c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</row>
    <row r="1845" spans="1:40" ht="22" customHeight="1">
      <c r="A1845" s="1" t="s">
        <v>364</v>
      </c>
      <c r="B1845" s="1" t="s">
        <v>2048</v>
      </c>
      <c r="C1845" s="7">
        <v>0.6602426050811474</v>
      </c>
      <c r="D1845" s="1" t="s">
        <v>4095</v>
      </c>
      <c r="E1845" s="1" t="s">
        <v>4096</v>
      </c>
      <c r="F1845" s="1" t="s">
        <v>4603</v>
      </c>
      <c r="G1845" s="1">
        <v>1</v>
      </c>
      <c r="H1845" s="1" t="s">
        <v>442</v>
      </c>
      <c r="I1845" s="1" t="s">
        <v>4480</v>
      </c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</row>
    <row r="1846" spans="1:40" ht="22" customHeight="1">
      <c r="A1846" s="1" t="s">
        <v>235</v>
      </c>
      <c r="B1846" s="1" t="s">
        <v>2053</v>
      </c>
      <c r="C1846" s="7">
        <v>0.90583823073951042</v>
      </c>
      <c r="D1846" s="1" t="s">
        <v>3928</v>
      </c>
      <c r="E1846" s="1" t="s">
        <v>3929</v>
      </c>
      <c r="F1846" s="1" t="s">
        <v>4592</v>
      </c>
      <c r="G1846" s="1">
        <v>0</v>
      </c>
      <c r="H1846" s="1" t="s">
        <v>442</v>
      </c>
      <c r="I1846" s="1" t="s">
        <v>4480</v>
      </c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</row>
    <row r="1847" spans="1:40" ht="22" customHeight="1">
      <c r="A1847" s="1" t="s">
        <v>407</v>
      </c>
      <c r="B1847" s="1" t="s">
        <v>2058</v>
      </c>
      <c r="C1847" s="7">
        <v>0.45647317626121353</v>
      </c>
      <c r="D1847" s="1" t="s">
        <v>4330</v>
      </c>
      <c r="E1847" s="1" t="s">
        <v>4331</v>
      </c>
      <c r="F1847" s="1" t="s">
        <v>4589</v>
      </c>
      <c r="G1847" s="1">
        <v>4</v>
      </c>
      <c r="H1847" s="1" t="s">
        <v>442</v>
      </c>
      <c r="I1847" s="1" t="s">
        <v>4480</v>
      </c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</row>
    <row r="1848" spans="1:40" ht="22" customHeight="1">
      <c r="A1848" s="1" t="s">
        <v>416</v>
      </c>
      <c r="B1848" s="1" t="s">
        <v>2063</v>
      </c>
      <c r="C1848" s="7">
        <v>0.54117704287237034</v>
      </c>
      <c r="D1848" s="1" t="s">
        <v>3857</v>
      </c>
      <c r="E1848" s="1" t="s">
        <v>3858</v>
      </c>
      <c r="F1848" s="1" t="s">
        <v>4522</v>
      </c>
      <c r="G1848" s="1">
        <v>15</v>
      </c>
      <c r="H1848" s="1" t="s">
        <v>442</v>
      </c>
      <c r="I1848" s="1" t="s">
        <v>4480</v>
      </c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</row>
    <row r="1849" spans="1:40" ht="22" customHeight="1">
      <c r="A1849" s="1" t="s">
        <v>327</v>
      </c>
      <c r="B1849" s="1" t="s">
        <v>2067</v>
      </c>
      <c r="C1849" s="7">
        <v>0.66104747662637997</v>
      </c>
      <c r="D1849" s="1" t="s">
        <v>4223</v>
      </c>
      <c r="E1849" s="1" t="s">
        <v>4224</v>
      </c>
      <c r="F1849" s="1" t="s">
        <v>4492</v>
      </c>
      <c r="G1849" s="1">
        <v>11</v>
      </c>
      <c r="H1849" s="1" t="s">
        <v>442</v>
      </c>
      <c r="I1849" s="1" t="s">
        <v>4480</v>
      </c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</row>
    <row r="1850" spans="1:40" ht="22" customHeight="1">
      <c r="A1850" s="1" t="s">
        <v>326</v>
      </c>
      <c r="B1850" s="1" t="s">
        <v>2071</v>
      </c>
      <c r="C1850" s="7">
        <v>0.51816367324305457</v>
      </c>
      <c r="D1850" s="1" t="s">
        <v>3482</v>
      </c>
      <c r="E1850" s="1" t="s">
        <v>3483</v>
      </c>
      <c r="F1850" s="1" t="s">
        <v>4515</v>
      </c>
      <c r="G1850" s="1">
        <v>10</v>
      </c>
      <c r="H1850" s="1" t="s">
        <v>442</v>
      </c>
      <c r="I1850" s="1" t="s">
        <v>4480</v>
      </c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</row>
    <row r="1851" spans="1:40" ht="22" customHeight="1">
      <c r="A1851" s="1" t="s">
        <v>317</v>
      </c>
      <c r="B1851" s="1" t="s">
        <v>2075</v>
      </c>
      <c r="C1851" s="7">
        <v>1.4877013342422842</v>
      </c>
      <c r="D1851" s="1" t="s">
        <v>3748</v>
      </c>
      <c r="E1851" s="1" t="s">
        <v>3749</v>
      </c>
      <c r="F1851" s="1" t="s">
        <v>4594</v>
      </c>
      <c r="G1851" s="1">
        <v>2</v>
      </c>
      <c r="H1851" s="1" t="s">
        <v>442</v>
      </c>
      <c r="I1851" s="1" t="s">
        <v>4480</v>
      </c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</row>
    <row r="1852" spans="1:40" ht="22" customHeight="1">
      <c r="A1852" s="1" t="s">
        <v>379</v>
      </c>
      <c r="B1852" s="1" t="s">
        <v>2079</v>
      </c>
      <c r="C1852" s="7">
        <v>0.40195766619653583</v>
      </c>
      <c r="D1852" s="1" t="s">
        <v>3576</v>
      </c>
      <c r="E1852" s="1" t="s">
        <v>3577</v>
      </c>
      <c r="F1852" s="1" t="s">
        <v>4489</v>
      </c>
      <c r="G1852" s="1">
        <v>11</v>
      </c>
      <c r="H1852" s="1" t="s">
        <v>442</v>
      </c>
      <c r="I1852" s="1" t="s">
        <v>4480</v>
      </c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</row>
    <row r="1853" spans="1:40" ht="22" customHeight="1">
      <c r="A1853" s="1" t="s">
        <v>136</v>
      </c>
      <c r="B1853" s="1" t="s">
        <v>2084</v>
      </c>
      <c r="C1853" s="7">
        <v>0.66104747662637997</v>
      </c>
      <c r="D1853" s="1" t="s">
        <v>4223</v>
      </c>
      <c r="E1853" s="1" t="s">
        <v>4224</v>
      </c>
      <c r="F1853" s="1" t="s">
        <v>4492</v>
      </c>
      <c r="G1853" s="1">
        <v>11</v>
      </c>
      <c r="H1853" s="1" t="s">
        <v>442</v>
      </c>
      <c r="I1853" s="1" t="s">
        <v>4480</v>
      </c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</row>
    <row r="1854" spans="1:40" ht="22" customHeight="1">
      <c r="A1854" s="1" t="s">
        <v>196</v>
      </c>
      <c r="B1854" s="1" t="s">
        <v>2087</v>
      </c>
      <c r="C1854" s="7">
        <v>0.33709717399389799</v>
      </c>
      <c r="D1854" s="1" t="s">
        <v>4191</v>
      </c>
      <c r="E1854" s="1" t="s">
        <v>4192</v>
      </c>
      <c r="F1854" s="1" t="s">
        <v>4604</v>
      </c>
      <c r="G1854" s="1">
        <v>0</v>
      </c>
      <c r="H1854" s="1" t="s">
        <v>442</v>
      </c>
      <c r="I1854" s="1" t="s">
        <v>4480</v>
      </c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</row>
    <row r="1855" spans="1:40" ht="22" customHeight="1">
      <c r="A1855" s="1" t="s">
        <v>331</v>
      </c>
      <c r="B1855" s="1" t="s">
        <v>2092</v>
      </c>
      <c r="C1855" s="7">
        <v>0.13651599008722429</v>
      </c>
      <c r="D1855" s="1" t="s">
        <v>4108</v>
      </c>
      <c r="E1855" s="1" t="s">
        <v>4109</v>
      </c>
      <c r="F1855" s="1" t="s">
        <v>4495</v>
      </c>
      <c r="G1855" s="1">
        <v>10</v>
      </c>
      <c r="H1855" s="1" t="s">
        <v>442</v>
      </c>
      <c r="I1855" s="1" t="s">
        <v>4480</v>
      </c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</row>
    <row r="1856" spans="1:40" ht="22" customHeight="1">
      <c r="A1856" s="1" t="s">
        <v>304</v>
      </c>
      <c r="B1856" s="1" t="s">
        <v>2096</v>
      </c>
      <c r="C1856" s="7">
        <v>0.325702508834255</v>
      </c>
      <c r="D1856" s="1" t="s">
        <v>3453</v>
      </c>
      <c r="E1856" s="1" t="s">
        <v>3454</v>
      </c>
      <c r="F1856" s="1" t="s">
        <v>4560</v>
      </c>
      <c r="G1856" s="1">
        <v>12</v>
      </c>
      <c r="H1856" s="1" t="s">
        <v>442</v>
      </c>
      <c r="I1856" s="1" t="s">
        <v>4480</v>
      </c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</row>
    <row r="1857" spans="1:40" ht="22" customHeight="1">
      <c r="A1857" s="1" t="s">
        <v>305</v>
      </c>
      <c r="B1857" s="1" t="s">
        <v>2098</v>
      </c>
      <c r="C1857" s="7">
        <v>6.4939953124175831E-2</v>
      </c>
      <c r="D1857" s="1" t="s">
        <v>3943</v>
      </c>
      <c r="E1857" s="1" t="s">
        <v>3944</v>
      </c>
      <c r="F1857" s="1" t="s">
        <v>4520</v>
      </c>
      <c r="G1857" s="1">
        <v>7</v>
      </c>
      <c r="H1857" s="1" t="s">
        <v>442</v>
      </c>
      <c r="I1857" s="1" t="s">
        <v>4480</v>
      </c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</row>
    <row r="1858" spans="1:40" ht="22" customHeight="1">
      <c r="A1858" s="1" t="s">
        <v>306</v>
      </c>
      <c r="B1858" s="1" t="s">
        <v>2102</v>
      </c>
      <c r="C1858" s="7">
        <v>6.4902508397519057E-2</v>
      </c>
      <c r="D1858" s="1" t="s">
        <v>3943</v>
      </c>
      <c r="E1858" s="1" t="s">
        <v>3944</v>
      </c>
      <c r="F1858" s="1" t="s">
        <v>4520</v>
      </c>
      <c r="G1858" s="1">
        <v>7</v>
      </c>
      <c r="H1858" s="1" t="s">
        <v>442</v>
      </c>
      <c r="I1858" s="1" t="s">
        <v>4480</v>
      </c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</row>
    <row r="1859" spans="1:40" ht="22" customHeight="1">
      <c r="A1859" s="1" t="s">
        <v>335</v>
      </c>
      <c r="B1859" s="1" t="s">
        <v>2105</v>
      </c>
      <c r="C1859" s="7">
        <v>0.13651599008722429</v>
      </c>
      <c r="D1859" s="1" t="s">
        <v>4108</v>
      </c>
      <c r="E1859" s="1" t="s">
        <v>4109</v>
      </c>
      <c r="F1859" s="1" t="s">
        <v>4495</v>
      </c>
      <c r="G1859" s="1">
        <v>10</v>
      </c>
      <c r="H1859" s="1" t="s">
        <v>442</v>
      </c>
      <c r="I1859" s="1" t="s">
        <v>4480</v>
      </c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</row>
    <row r="1860" spans="1:40" ht="22" customHeight="1">
      <c r="A1860" s="1"/>
      <c r="B1860" s="1"/>
      <c r="C1860" s="7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</row>
    <row r="1861" spans="1:40" ht="22" customHeight="1">
      <c r="A1861" s="1"/>
      <c r="B1861" s="1"/>
      <c r="C1861" s="7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</row>
    <row r="1862" spans="1:40" ht="22" customHeight="1">
      <c r="A1862" s="1"/>
      <c r="B1862" s="1"/>
      <c r="C1862" s="7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</row>
    <row r="1863" spans="1:40" ht="22" customHeight="1">
      <c r="A1863" s="1"/>
      <c r="B1863" s="1"/>
      <c r="C1863" s="7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</row>
    <row r="1864" spans="1:40" ht="22" customHeight="1">
      <c r="A1864" s="1"/>
      <c r="B1864" s="1"/>
      <c r="C1864" s="7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</row>
    <row r="1865" spans="1:40" ht="22" customHeight="1">
      <c r="A1865" s="1"/>
      <c r="B1865" s="1"/>
      <c r="C1865" s="7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</row>
    <row r="1866" spans="1:40" ht="22" customHeight="1">
      <c r="A1866" s="1"/>
      <c r="B1866" s="1"/>
      <c r="C1866" s="7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</row>
    <row r="1867" spans="1:40" ht="22" customHeight="1">
      <c r="A1867" s="1"/>
      <c r="B1867" s="1"/>
      <c r="C1867" s="7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</row>
    <row r="1868" spans="1:40" ht="22" customHeight="1">
      <c r="A1868" s="1"/>
      <c r="B1868" s="1"/>
      <c r="C1868" s="7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</row>
    <row r="1869" spans="1:40" ht="22" customHeight="1">
      <c r="A1869" s="1"/>
      <c r="B1869" s="1"/>
      <c r="C1869" s="7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</row>
    <row r="1870" spans="1:40" ht="22" customHeight="1">
      <c r="A1870" s="1"/>
      <c r="B1870" s="1"/>
      <c r="C1870" s="7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</row>
    <row r="1871" spans="1:40" ht="22" customHeight="1">
      <c r="A1871" s="1"/>
      <c r="B1871" s="1"/>
      <c r="C1871" s="7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</row>
    <row r="1872" spans="1:40" ht="22" customHeight="1">
      <c r="A1872" s="1"/>
      <c r="B1872" s="1"/>
      <c r="C1872" s="7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</row>
    <row r="1873" spans="1:40" ht="22" customHeight="1">
      <c r="A1873" s="1"/>
      <c r="B1873" s="1"/>
      <c r="C1873" s="7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</row>
    <row r="1874" spans="1:40" ht="22" customHeight="1">
      <c r="A1874" s="1"/>
      <c r="B1874" s="1"/>
      <c r="C1874" s="7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</row>
    <row r="1875" spans="1:40" ht="22" customHeight="1">
      <c r="A1875" s="1"/>
      <c r="B1875" s="1"/>
      <c r="C1875" s="7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</row>
    <row r="1876" spans="1:40" ht="22" customHeight="1">
      <c r="A1876" s="1"/>
      <c r="B1876" s="1"/>
      <c r="C1876" s="7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</row>
    <row r="1877" spans="1:40" ht="22" customHeight="1">
      <c r="A1877" s="1"/>
      <c r="B1877" s="1"/>
      <c r="C1877" s="7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</row>
    <row r="1878" spans="1:40" ht="22" customHeight="1">
      <c r="A1878" s="1"/>
      <c r="B1878" s="1"/>
      <c r="C1878" s="7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</row>
    <row r="1879" spans="1:40" ht="22" customHeight="1">
      <c r="A1879" s="1"/>
      <c r="B1879" s="1"/>
      <c r="C1879" s="7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</row>
    <row r="1880" spans="1:40" ht="22" customHeight="1">
      <c r="A1880" s="1"/>
      <c r="B1880" s="1"/>
      <c r="C1880" s="7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</row>
    <row r="1881" spans="1:40" ht="22" customHeight="1">
      <c r="A1881" s="1"/>
      <c r="B1881" s="1"/>
      <c r="C1881" s="7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</row>
    <row r="1882" spans="1:40" ht="22" customHeight="1">
      <c r="A1882" s="1"/>
      <c r="B1882" s="1"/>
      <c r="C1882" s="7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</row>
    <row r="1883" spans="1:40" ht="22" customHeight="1">
      <c r="A1883" s="1"/>
      <c r="B1883" s="1"/>
      <c r="C1883" s="7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</row>
    <row r="1884" spans="1:40" ht="22" customHeight="1">
      <c r="A1884" s="1"/>
      <c r="B1884" s="1"/>
      <c r="C1884" s="7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</row>
    <row r="1885" spans="1:40" ht="22" customHeight="1">
      <c r="A1885" s="1"/>
      <c r="B1885" s="1"/>
      <c r="C1885" s="7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</row>
    <row r="1886" spans="1:40" ht="22" customHeight="1">
      <c r="A1886" s="1"/>
      <c r="B1886" s="1"/>
      <c r="C1886" s="7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</row>
    <row r="1887" spans="1:40" ht="22" customHeight="1">
      <c r="A1887" s="1"/>
      <c r="B1887" s="1"/>
      <c r="C1887" s="7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</row>
    <row r="1888" spans="1:40" ht="22" customHeight="1">
      <c r="A1888" s="1"/>
      <c r="B1888" s="1"/>
      <c r="C1888" s="7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</row>
    <row r="1889" spans="1:40" ht="22" customHeight="1">
      <c r="A1889" s="1"/>
      <c r="B1889" s="1"/>
      <c r="C1889" s="7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</row>
    <row r="1890" spans="1:40" ht="22" customHeight="1">
      <c r="A1890" s="1"/>
      <c r="B1890" s="1"/>
      <c r="C1890" s="7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</row>
    <row r="1891" spans="1:40" ht="22" customHeight="1">
      <c r="A1891" s="1"/>
      <c r="B1891" s="1"/>
      <c r="C1891" s="7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</row>
    <row r="1892" spans="1:40" ht="22" customHeight="1">
      <c r="A1892" s="1"/>
      <c r="B1892" s="1"/>
      <c r="C1892" s="7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</row>
    <row r="1893" spans="1:40" ht="22" customHeight="1">
      <c r="A1893" s="1"/>
      <c r="B1893" s="1"/>
      <c r="C1893" s="7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</row>
    <row r="1894" spans="1:40" ht="22" customHeight="1">
      <c r="A1894" s="1"/>
      <c r="B1894" s="1"/>
      <c r="C1894" s="7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</row>
    <row r="1895" spans="1:40" ht="22" customHeight="1">
      <c r="A1895" s="1"/>
      <c r="B1895" s="1"/>
      <c r="C1895" s="7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</row>
    <row r="1896" spans="1:40" ht="22" customHeight="1">
      <c r="A1896" s="1"/>
      <c r="B1896" s="1"/>
      <c r="C1896" s="7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</row>
    <row r="1897" spans="1:40" ht="22" customHeight="1">
      <c r="A1897" s="1"/>
      <c r="B1897" s="1"/>
      <c r="C1897" s="7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</row>
    <row r="1898" spans="1:40" ht="22" customHeight="1">
      <c r="A1898" s="1"/>
      <c r="B1898" s="1"/>
      <c r="C1898" s="7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</row>
    <row r="1899" spans="1:40" ht="22" customHeight="1">
      <c r="A1899" s="1"/>
      <c r="B1899" s="1"/>
      <c r="C1899" s="7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</row>
    <row r="1900" spans="1:40" ht="22" customHeight="1">
      <c r="A1900" s="1"/>
      <c r="B1900" s="1"/>
      <c r="C1900" s="7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</row>
    <row r="1901" spans="1:40" ht="22" customHeight="1">
      <c r="A1901" s="1"/>
      <c r="B1901" s="1"/>
      <c r="C1901" s="7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</row>
    <row r="1902" spans="1:40" ht="22" customHeight="1">
      <c r="A1902" s="1"/>
      <c r="B1902" s="1"/>
      <c r="C1902" s="7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</row>
    <row r="1903" spans="1:40" ht="22" customHeight="1">
      <c r="A1903" s="1"/>
      <c r="B1903" s="1"/>
      <c r="C1903" s="7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</row>
    <row r="1904" spans="1:40" ht="22" customHeight="1">
      <c r="A1904" s="1"/>
      <c r="B1904" s="1"/>
      <c r="C1904" s="7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</row>
    <row r="1905" spans="1:40" ht="22" customHeight="1">
      <c r="A1905" s="1"/>
      <c r="B1905" s="1"/>
      <c r="C1905" s="7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</row>
    <row r="1906" spans="1:40" ht="22" customHeight="1">
      <c r="A1906" s="1"/>
      <c r="B1906" s="1"/>
      <c r="C1906" s="7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</row>
    <row r="1907" spans="1:40" ht="22" customHeight="1">
      <c r="A1907" s="1"/>
      <c r="B1907" s="1"/>
      <c r="C1907" s="7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</row>
    <row r="1908" spans="1:40" ht="22" customHeight="1">
      <c r="A1908" s="1"/>
      <c r="B1908" s="1"/>
      <c r="C1908" s="7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</row>
    <row r="1909" spans="1:40" ht="22" customHeight="1">
      <c r="A1909" s="1"/>
      <c r="B1909" s="1"/>
      <c r="C1909" s="7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</row>
    <row r="1910" spans="1:40" ht="22" customHeight="1">
      <c r="A1910" s="1"/>
      <c r="B1910" s="1"/>
      <c r="C1910" s="7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</row>
    <row r="1911" spans="1:40" ht="22" customHeight="1">
      <c r="A1911" s="1"/>
      <c r="B1911" s="1"/>
      <c r="C1911" s="7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</row>
    <row r="1912" spans="1:40" ht="22" customHeight="1">
      <c r="A1912" s="1"/>
      <c r="B1912" s="1"/>
      <c r="C1912" s="7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</row>
    <row r="1913" spans="1:40" ht="22" customHeight="1">
      <c r="A1913" s="1"/>
      <c r="B1913" s="1"/>
      <c r="C1913" s="7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</row>
    <row r="1914" spans="1:40" ht="22" customHeight="1">
      <c r="A1914" s="1"/>
      <c r="B1914" s="1"/>
      <c r="C1914" s="7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</row>
    <row r="1915" spans="1:40" ht="22" customHeight="1">
      <c r="A1915" s="1"/>
      <c r="B1915" s="1"/>
      <c r="C1915" s="7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</row>
    <row r="1916" spans="1:40" ht="22" customHeight="1">
      <c r="A1916" s="1"/>
      <c r="B1916" s="1"/>
      <c r="C1916" s="7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</row>
    <row r="1917" spans="1:40" ht="22" customHeight="1">
      <c r="A1917" s="1"/>
      <c r="B1917" s="1"/>
      <c r="C1917" s="7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</row>
    <row r="1918" spans="1:40" ht="22" customHeight="1">
      <c r="A1918" s="1"/>
      <c r="B1918" s="1"/>
      <c r="C1918" s="7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</row>
    <row r="1919" spans="1:40" ht="22" customHeight="1">
      <c r="A1919" s="1"/>
      <c r="B1919" s="1"/>
      <c r="C1919" s="7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</row>
    <row r="1920" spans="1:40" ht="22" customHeight="1">
      <c r="A1920" s="1"/>
      <c r="B1920" s="1"/>
      <c r="C1920" s="7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</row>
    <row r="1921" spans="1:40" ht="22" customHeight="1">
      <c r="A1921" s="1"/>
      <c r="B1921" s="1"/>
      <c r="C1921" s="7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</row>
    <row r="1922" spans="1:40" ht="22" customHeight="1">
      <c r="A1922" s="1"/>
      <c r="B1922" s="1"/>
      <c r="C1922" s="7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</row>
    <row r="1923" spans="1:40" ht="22" customHeight="1">
      <c r="A1923" s="1"/>
      <c r="B1923" s="1"/>
      <c r="C1923" s="7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</row>
    <row r="1924" spans="1:40" ht="22" customHeight="1">
      <c r="A1924" s="1"/>
      <c r="B1924" s="1"/>
      <c r="C1924" s="7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</row>
    <row r="1925" spans="1:40" ht="22" customHeight="1">
      <c r="A1925" s="1"/>
      <c r="B1925" s="1"/>
      <c r="C1925" s="7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</row>
    <row r="1926" spans="1:40" ht="22" customHeight="1">
      <c r="A1926" s="1"/>
      <c r="B1926" s="1"/>
      <c r="C1926" s="7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</row>
    <row r="1927" spans="1:40" ht="22" customHeight="1">
      <c r="A1927" s="1"/>
      <c r="B1927" s="1"/>
      <c r="C1927" s="7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</row>
    <row r="1928" spans="1:40" ht="22" customHeight="1">
      <c r="A1928" s="1"/>
      <c r="B1928" s="1"/>
      <c r="C1928" s="7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</row>
    <row r="1929" spans="1:40" ht="22" customHeight="1">
      <c r="A1929" s="1"/>
      <c r="B1929" s="1"/>
      <c r="C1929" s="7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</row>
    <row r="1930" spans="1:40" ht="22" customHeight="1">
      <c r="A1930" s="1"/>
      <c r="B1930" s="1"/>
      <c r="C1930" s="7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</row>
    <row r="1931" spans="1:40" ht="22" customHeight="1">
      <c r="A1931" s="1"/>
      <c r="B1931" s="1"/>
      <c r="C1931" s="7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</row>
    <row r="1932" spans="1:40" ht="22" customHeight="1">
      <c r="A1932" s="1"/>
      <c r="B1932" s="1"/>
      <c r="C1932" s="7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</row>
    <row r="1933" spans="1:40" ht="22" customHeight="1">
      <c r="A1933" s="1"/>
      <c r="B1933" s="1"/>
      <c r="C1933" s="7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</row>
    <row r="1934" spans="1:40" ht="22" customHeight="1">
      <c r="A1934" s="1"/>
      <c r="B1934" s="1"/>
      <c r="C1934" s="7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</row>
    <row r="1935" spans="1:40" ht="22" customHeight="1">
      <c r="A1935" s="1"/>
      <c r="B1935" s="1"/>
      <c r="C1935" s="7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</row>
    <row r="1936" spans="1:40" ht="22" customHeight="1">
      <c r="A1936" s="1"/>
      <c r="B1936" s="1"/>
      <c r="C1936" s="7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</row>
    <row r="1937" spans="1:40" ht="22" customHeight="1">
      <c r="A1937" s="1"/>
      <c r="B1937" s="1"/>
      <c r="C1937" s="7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</row>
    <row r="1938" spans="1:40" ht="22" customHeight="1">
      <c r="A1938" s="1"/>
      <c r="B1938" s="1"/>
      <c r="C1938" s="7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</row>
    <row r="1939" spans="1:40" ht="22" customHeight="1">
      <c r="A1939" s="1"/>
      <c r="B1939" s="1"/>
      <c r="C1939" s="7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</row>
    <row r="1940" spans="1:40" ht="22" customHeight="1">
      <c r="A1940" s="1"/>
      <c r="B1940" s="1"/>
      <c r="C1940" s="7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</row>
    <row r="1941" spans="1:40" ht="22" customHeight="1">
      <c r="A1941" s="1"/>
      <c r="B1941" s="1"/>
      <c r="C1941" s="7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</row>
    <row r="1942" spans="1:40" ht="22" customHeight="1">
      <c r="A1942" s="1"/>
      <c r="B1942" s="1"/>
      <c r="C1942" s="7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</row>
    <row r="1943" spans="1:40" ht="22" customHeight="1">
      <c r="A1943" s="1"/>
      <c r="B1943" s="1"/>
      <c r="C1943" s="7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</row>
    <row r="1944" spans="1:40" ht="22" customHeight="1">
      <c r="A1944" s="1"/>
      <c r="B1944" s="1"/>
      <c r="C1944" s="7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</row>
    <row r="1945" spans="1:40" ht="22" customHeight="1">
      <c r="A1945" s="1"/>
      <c r="B1945" s="1"/>
      <c r="C1945" s="7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</row>
    <row r="1946" spans="1:40" ht="22" customHeight="1">
      <c r="A1946" s="1"/>
      <c r="B1946" s="1"/>
      <c r="C1946" s="7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</row>
    <row r="1947" spans="1:40" ht="22" customHeight="1">
      <c r="A1947" s="1"/>
      <c r="B1947" s="1"/>
      <c r="C1947" s="7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</row>
    <row r="1948" spans="1:40" ht="22" customHeight="1">
      <c r="A1948" s="1"/>
      <c r="B1948" s="1"/>
      <c r="C1948" s="7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</row>
    <row r="1949" spans="1:40" ht="22" customHeight="1">
      <c r="A1949" s="1"/>
      <c r="B1949" s="1"/>
      <c r="C1949" s="7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</row>
    <row r="1950" spans="1:40" ht="22" customHeight="1">
      <c r="A1950" s="1"/>
      <c r="B1950" s="1"/>
      <c r="C1950" s="7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</row>
    <row r="1951" spans="1:40" ht="22" customHeight="1">
      <c r="A1951" s="1"/>
      <c r="B1951" s="1"/>
      <c r="C1951" s="7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</row>
    <row r="1952" spans="1:40" ht="22" customHeight="1">
      <c r="A1952" s="1"/>
      <c r="B1952" s="1"/>
      <c r="C1952" s="7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</row>
    <row r="1953" spans="1:40" ht="22" customHeight="1">
      <c r="A1953" s="1"/>
      <c r="B1953" s="1"/>
      <c r="C1953" s="7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</row>
    <row r="1954" spans="1:40" ht="22" customHeight="1">
      <c r="A1954" s="1"/>
      <c r="B1954" s="1"/>
      <c r="C1954" s="7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</row>
    <row r="1955" spans="1:40" ht="22" customHeight="1">
      <c r="A1955" s="1"/>
      <c r="B1955" s="1"/>
      <c r="C1955" s="7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</row>
    <row r="1956" spans="1:40" ht="22" customHeight="1">
      <c r="A1956" s="1"/>
      <c r="B1956" s="1"/>
      <c r="C1956" s="7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</row>
    <row r="1957" spans="1:40" ht="22" customHeight="1">
      <c r="A1957" s="1"/>
      <c r="B1957" s="1"/>
      <c r="C1957" s="7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</row>
    <row r="1958" spans="1:40" ht="22" customHeight="1">
      <c r="A1958" s="1"/>
      <c r="B1958" s="1"/>
      <c r="C1958" s="7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</row>
    <row r="1959" spans="1:40" ht="22" customHeight="1">
      <c r="A1959" s="1"/>
      <c r="B1959" s="1"/>
      <c r="C1959" s="7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</row>
    <row r="1960" spans="1:40" ht="22" customHeight="1">
      <c r="A1960" s="1"/>
      <c r="B1960" s="1"/>
      <c r="C1960" s="7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</row>
    <row r="1961" spans="1:40" ht="22" customHeight="1">
      <c r="A1961" s="1"/>
      <c r="B1961" s="1"/>
      <c r="C1961" s="7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</row>
    <row r="1962" spans="1:40" ht="22" customHeight="1">
      <c r="A1962" s="1"/>
      <c r="B1962" s="1"/>
      <c r="C1962" s="7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</row>
    <row r="1963" spans="1:40" ht="22" customHeight="1">
      <c r="A1963" s="1"/>
      <c r="B1963" s="1"/>
      <c r="C1963" s="7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</row>
    <row r="1964" spans="1:40" ht="22" customHeight="1">
      <c r="A1964" s="1"/>
      <c r="B1964" s="1"/>
      <c r="C1964" s="7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</row>
    <row r="1965" spans="1:40" ht="22" customHeight="1">
      <c r="A1965" s="1"/>
      <c r="B1965" s="1"/>
      <c r="C1965" s="7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</row>
    <row r="1966" spans="1:40" ht="22" customHeight="1">
      <c r="A1966" s="1"/>
      <c r="B1966" s="1"/>
      <c r="C1966" s="7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</row>
    <row r="1967" spans="1:40" ht="22" customHeight="1">
      <c r="A1967" s="1"/>
      <c r="B1967" s="1"/>
      <c r="C1967" s="7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</row>
    <row r="1968" spans="1:40" ht="22" customHeight="1">
      <c r="A1968" s="1"/>
      <c r="B1968" s="1"/>
      <c r="C1968" s="7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</row>
    <row r="1969" spans="1:40" ht="22" customHeight="1">
      <c r="A1969" s="1"/>
      <c r="B1969" s="1"/>
      <c r="C1969" s="7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</row>
    <row r="1970" spans="1:40" ht="22" customHeight="1">
      <c r="A1970" s="1"/>
      <c r="B1970" s="1"/>
      <c r="C1970" s="7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</row>
    <row r="1971" spans="1:40" ht="22" customHeight="1">
      <c r="A1971" s="1"/>
      <c r="B1971" s="1"/>
      <c r="C1971" s="7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</row>
    <row r="1972" spans="1:40" ht="22" customHeight="1">
      <c r="A1972" s="1"/>
      <c r="B1972" s="1"/>
      <c r="C1972" s="7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</row>
    <row r="1973" spans="1:40" ht="22" customHeight="1">
      <c r="A1973" s="1"/>
      <c r="B1973" s="1"/>
      <c r="C1973" s="7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</row>
    <row r="1974" spans="1:40" ht="22" customHeight="1">
      <c r="A1974" s="1"/>
      <c r="B1974" s="1"/>
      <c r="C1974" s="7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</row>
    <row r="1975" spans="1:40" ht="22" customHeight="1">
      <c r="A1975" s="1"/>
      <c r="B1975" s="1"/>
      <c r="C1975" s="7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</row>
    <row r="1976" spans="1:40" ht="22" customHeight="1">
      <c r="A1976" s="1"/>
      <c r="B1976" s="1"/>
      <c r="C1976" s="7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</row>
    <row r="1977" spans="1:40" ht="22" customHeight="1">
      <c r="A1977" s="1"/>
      <c r="B1977" s="1"/>
      <c r="C1977" s="7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</row>
    <row r="1978" spans="1:40" ht="22" customHeight="1">
      <c r="A1978" s="1"/>
      <c r="B1978" s="1"/>
      <c r="C1978" s="7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</row>
    <row r="1979" spans="1:40" ht="22" customHeight="1">
      <c r="A1979" s="1"/>
      <c r="B1979" s="1"/>
      <c r="C1979" s="7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</row>
    <row r="1980" spans="1:40" ht="22" customHeight="1">
      <c r="A1980" s="1"/>
      <c r="B1980" s="1"/>
      <c r="C1980" s="7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</row>
    <row r="1981" spans="1:40" ht="22" customHeight="1">
      <c r="A1981" s="1"/>
      <c r="B1981" s="1"/>
      <c r="C1981" s="7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</row>
    <row r="1982" spans="1:40" ht="22" customHeight="1">
      <c r="A1982" s="1"/>
      <c r="B1982" s="1"/>
      <c r="C1982" s="7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</row>
    <row r="1983" spans="1:40" ht="22" customHeight="1">
      <c r="A1983" s="1"/>
      <c r="B1983" s="1"/>
      <c r="C1983" s="7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</row>
    <row r="1984" spans="1:40" ht="22" customHeight="1">
      <c r="A1984" s="1"/>
      <c r="B1984" s="1"/>
      <c r="C1984" s="7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</row>
    <row r="1985" spans="1:40" ht="22" customHeight="1">
      <c r="A1985" s="1"/>
      <c r="B1985" s="1"/>
      <c r="C1985" s="7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</row>
    <row r="1986" spans="1:40" ht="22" customHeight="1">
      <c r="A1986" s="1"/>
      <c r="B1986" s="1"/>
      <c r="C1986" s="7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</row>
    <row r="1987" spans="1:40" ht="22" customHeight="1">
      <c r="A1987" s="1"/>
      <c r="B1987" s="1"/>
      <c r="C1987" s="7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</row>
    <row r="1988" spans="1:40" ht="22" customHeight="1">
      <c r="A1988" s="1"/>
      <c r="B1988" s="1"/>
      <c r="C1988" s="7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</row>
    <row r="1989" spans="1:40" ht="22" customHeight="1">
      <c r="A1989" s="1"/>
      <c r="B1989" s="1"/>
      <c r="C1989" s="7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</row>
    <row r="1990" spans="1:40" ht="22" customHeight="1">
      <c r="A1990" s="1"/>
      <c r="B1990" s="1"/>
      <c r="C1990" s="7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</row>
    <row r="1991" spans="1:40" ht="22" customHeight="1">
      <c r="A1991" s="1"/>
      <c r="B1991" s="1"/>
      <c r="C1991" s="7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</row>
    <row r="1992" spans="1:40" ht="22" customHeight="1">
      <c r="A1992" s="1"/>
      <c r="B1992" s="1"/>
      <c r="C1992" s="7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</row>
    <row r="1993" spans="1:40" ht="22" customHeight="1">
      <c r="A1993" s="1"/>
      <c r="B1993" s="1"/>
      <c r="C1993" s="7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</row>
    <row r="1994" spans="1:40" ht="22" customHeight="1">
      <c r="A1994" s="1"/>
      <c r="B1994" s="1"/>
      <c r="C1994" s="7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</row>
    <row r="1995" spans="1:40" ht="22" customHeight="1">
      <c r="A1995" s="1"/>
      <c r="B1995" s="1"/>
      <c r="C1995" s="7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</row>
    <row r="1996" spans="1:40" ht="22" customHeight="1">
      <c r="A1996" s="1"/>
      <c r="B1996" s="1"/>
      <c r="C1996" s="7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</row>
    <row r="1997" spans="1:40" ht="22" customHeight="1">
      <c r="A1997" s="1"/>
      <c r="B1997" s="1"/>
      <c r="C1997" s="7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</row>
    <row r="1998" spans="1:40" ht="22" customHeight="1">
      <c r="A1998" s="1"/>
      <c r="B1998" s="1"/>
      <c r="C1998" s="7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</row>
    <row r="1999" spans="1:40" ht="22" customHeight="1">
      <c r="A1999" s="1"/>
      <c r="B1999" s="1"/>
      <c r="C1999" s="7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</row>
    <row r="2000" spans="1:40" ht="22" customHeight="1">
      <c r="A2000" s="1"/>
      <c r="B2000" s="1"/>
      <c r="C2000" s="7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</row>
    <row r="2001" spans="1:40" ht="22" customHeight="1">
      <c r="A2001" s="1"/>
      <c r="B2001" s="1"/>
      <c r="C2001" s="7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</row>
    <row r="2002" spans="1:40" ht="22" customHeight="1">
      <c r="A2002" s="1"/>
      <c r="B2002" s="1"/>
      <c r="C2002" s="7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</row>
    <row r="2003" spans="1:40" ht="22" customHeight="1">
      <c r="A2003" s="1"/>
      <c r="B2003" s="1"/>
      <c r="C2003" s="7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</row>
    <row r="2004" spans="1:40" ht="22" customHeight="1">
      <c r="A2004" s="1"/>
      <c r="B2004" s="1"/>
      <c r="C2004" s="7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</row>
    <row r="2005" spans="1:40" ht="22" customHeight="1">
      <c r="A2005" s="1"/>
      <c r="B2005" s="1"/>
      <c r="C2005" s="7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</row>
    <row r="2006" spans="1:40" ht="22" customHeight="1">
      <c r="A2006" s="1"/>
      <c r="B2006" s="1"/>
      <c r="C2006" s="7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</row>
    <row r="2007" spans="1:40" ht="22" customHeight="1">
      <c r="A2007" s="1"/>
      <c r="B2007" s="1"/>
      <c r="C2007" s="7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</row>
    <row r="2008" spans="1:40" ht="22" customHeight="1">
      <c r="A2008" s="1"/>
      <c r="B2008" s="1"/>
      <c r="C2008" s="7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</row>
    <row r="2009" spans="1:40" ht="22" customHeight="1">
      <c r="A2009" s="1"/>
      <c r="B2009" s="1"/>
      <c r="C2009" s="7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</row>
    <row r="2010" spans="1:40" ht="22" customHeight="1">
      <c r="A2010" s="1"/>
      <c r="B2010" s="1"/>
      <c r="C2010" s="7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</row>
    <row r="2011" spans="1:40" ht="22" customHeight="1">
      <c r="A2011" s="1"/>
      <c r="B2011" s="1"/>
      <c r="C2011" s="7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</row>
    <row r="2012" spans="1:40" ht="22" customHeight="1">
      <c r="A2012" s="1"/>
      <c r="B2012" s="1"/>
      <c r="C2012" s="7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</row>
    <row r="2013" spans="1:40" ht="22" customHeight="1">
      <c r="A2013" s="1"/>
      <c r="B2013" s="1"/>
      <c r="C2013" s="7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</row>
    <row r="2014" spans="1:40" ht="22" customHeight="1">
      <c r="A2014" s="1"/>
      <c r="B2014" s="1"/>
      <c r="C2014" s="7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</row>
    <row r="2015" spans="1:40" ht="22" customHeight="1">
      <c r="A2015" s="1"/>
      <c r="B2015" s="1"/>
      <c r="C2015" s="7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</row>
    <row r="2016" spans="1:40" ht="22" customHeight="1">
      <c r="A2016" s="1"/>
      <c r="B2016" s="1"/>
      <c r="C2016" s="7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</row>
    <row r="2017" spans="1:40" ht="22" customHeight="1">
      <c r="A2017" s="1"/>
      <c r="B2017" s="1"/>
      <c r="C2017" s="7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</row>
    <row r="2018" spans="1:40" ht="22" customHeight="1">
      <c r="A2018" s="1"/>
      <c r="B2018" s="1"/>
      <c r="C2018" s="7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</row>
    <row r="2019" spans="1:40" ht="22" customHeight="1">
      <c r="A2019" s="1"/>
      <c r="B2019" s="1"/>
      <c r="C2019" s="7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</row>
    <row r="2020" spans="1:40" ht="22" customHeight="1">
      <c r="A2020" s="1"/>
      <c r="B2020" s="1"/>
      <c r="C2020" s="7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</row>
    <row r="2021" spans="1:40" ht="22" customHeight="1">
      <c r="A2021" s="1"/>
      <c r="B2021" s="1"/>
      <c r="C2021" s="7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</row>
    <row r="2022" spans="1:40" ht="22" customHeight="1">
      <c r="A2022" s="1"/>
      <c r="B2022" s="1"/>
      <c r="C2022" s="7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</row>
    <row r="2023" spans="1:40" ht="22" customHeight="1">
      <c r="A2023" s="1"/>
      <c r="B2023" s="1"/>
      <c r="C2023" s="7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</row>
    <row r="2024" spans="1:40" ht="22" customHeight="1">
      <c r="A2024" s="1"/>
      <c r="B2024" s="1"/>
      <c r="C2024" s="7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</row>
    <row r="2025" spans="1:40" ht="22" customHeight="1">
      <c r="A2025" s="1"/>
      <c r="B2025" s="1"/>
      <c r="C2025" s="7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</row>
    <row r="2026" spans="1:40" ht="22" customHeight="1">
      <c r="A2026" s="1"/>
      <c r="B2026" s="1"/>
      <c r="C2026" s="7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</row>
    <row r="2027" spans="1:40" ht="22" customHeight="1">
      <c r="A2027" s="1"/>
      <c r="B2027" s="1"/>
      <c r="C2027" s="7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</row>
    <row r="2028" spans="1:40" ht="22" customHeight="1">
      <c r="A2028" s="1"/>
      <c r="B2028" s="1"/>
      <c r="C2028" s="7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</row>
    <row r="2029" spans="1:40" ht="22" customHeight="1">
      <c r="A2029" s="1"/>
      <c r="B2029" s="1"/>
      <c r="C2029" s="7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</row>
    <row r="2030" spans="1:40" ht="22" customHeight="1">
      <c r="A2030" s="1"/>
      <c r="B2030" s="1"/>
      <c r="C2030" s="7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</row>
    <row r="2031" spans="1:40" ht="22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</row>
    <row r="2032" spans="1:40" ht="22" customHeight="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</row>
    <row r="2033" spans="1:40" ht="22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</row>
    <row r="2034" spans="1:40" ht="22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</row>
    <row r="2035" spans="1:40" ht="22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</row>
    <row r="2036" spans="1:40" ht="22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</row>
    <row r="2037" spans="1:40" ht="22" customHeight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</row>
    <row r="2038" spans="1:40" ht="22" customHeight="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</row>
    <row r="2039" spans="1:40" ht="22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</row>
    <row r="2040" spans="1:40" ht="22" customHeight="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</row>
    <row r="2041" spans="1:40" ht="22" customHeight="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</row>
    <row r="2042" spans="1:40" ht="22" customHeight="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</row>
    <row r="2043" spans="1:40" ht="22" customHeight="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</row>
    <row r="2044" spans="1:40" ht="22" customHeight="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</row>
    <row r="2045" spans="1:40" ht="22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</row>
    <row r="2046" spans="1:40" ht="22" customHeight="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</row>
    <row r="2047" spans="1:40" ht="22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</row>
    <row r="2048" spans="1:40" ht="22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</row>
    <row r="2049" spans="1:48" ht="22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</row>
    <row r="2050" spans="1:48" ht="34" customHeight="1">
      <c r="A2050" s="5" t="s">
        <v>45</v>
      </c>
      <c r="B2050" s="5" t="s">
        <v>12</v>
      </c>
      <c r="C2050" s="5" t="s">
        <v>13</v>
      </c>
      <c r="D2050" s="5" t="s">
        <v>421</v>
      </c>
      <c r="E2050" s="5" t="s">
        <v>423</v>
      </c>
      <c r="F2050" s="5" t="s">
        <v>15</v>
      </c>
      <c r="G2050" s="5" t="s">
        <v>14</v>
      </c>
      <c r="H2050" s="5" t="s">
        <v>4605</v>
      </c>
      <c r="I2050" s="5" t="s">
        <v>21</v>
      </c>
      <c r="J2050" s="5" t="s">
        <v>43</v>
      </c>
      <c r="K2050" s="5" t="s">
        <v>4606</v>
      </c>
      <c r="L2050" s="5" t="s">
        <v>4607</v>
      </c>
      <c r="M2050" s="5" t="s">
        <v>4608</v>
      </c>
      <c r="N2050" s="5" t="s">
        <v>63</v>
      </c>
      <c r="O2050" s="5" t="s">
        <v>4609</v>
      </c>
      <c r="P2050" s="5" t="s">
        <v>4610</v>
      </c>
      <c r="Q2050" s="5" t="s">
        <v>4611</v>
      </c>
      <c r="R2050" s="5" t="s">
        <v>4612</v>
      </c>
      <c r="S2050" s="5" t="s">
        <v>4613</v>
      </c>
      <c r="T2050" s="5" t="s">
        <v>4614</v>
      </c>
      <c r="U2050" s="5" t="s">
        <v>19</v>
      </c>
      <c r="V2050" s="5" t="s">
        <v>44</v>
      </c>
      <c r="W2050" s="5" t="s">
        <v>4615</v>
      </c>
      <c r="X2050" s="5" t="s">
        <v>42</v>
      </c>
      <c r="Y2050" s="5" t="s">
        <v>4616</v>
      </c>
      <c r="Z2050" s="5" t="s">
        <v>4617</v>
      </c>
      <c r="AA2050" s="5" t="s">
        <v>4618</v>
      </c>
      <c r="AB2050" s="5" t="s">
        <v>4619</v>
      </c>
      <c r="AC2050" s="5" t="s">
        <v>4620</v>
      </c>
      <c r="AD2050" s="5" t="s">
        <v>65</v>
      </c>
      <c r="AE2050" s="5" t="s">
        <v>51</v>
      </c>
      <c r="AF2050" s="5" t="s">
        <v>424</v>
      </c>
      <c r="AG2050" s="5" t="s">
        <v>425</v>
      </c>
      <c r="AH2050" s="5" t="s">
        <v>84</v>
      </c>
      <c r="AI2050" s="5" t="s">
        <v>4621</v>
      </c>
      <c r="AJ2050" s="5" t="s">
        <v>4622</v>
      </c>
      <c r="AK2050" s="5" t="s">
        <v>4623</v>
      </c>
      <c r="AL2050" s="5" t="s">
        <v>4624</v>
      </c>
      <c r="AM2050" s="5" t="s">
        <v>4625</v>
      </c>
      <c r="AN2050" s="5" t="s">
        <v>4626</v>
      </c>
      <c r="AO2050" t="s">
        <v>4627</v>
      </c>
      <c r="AP2050" s="105" t="s">
        <v>4635</v>
      </c>
      <c r="AQ2050" s="105" t="s">
        <v>4636</v>
      </c>
      <c r="AR2050" s="105" t="s">
        <v>4637</v>
      </c>
      <c r="AT2050" s="105" t="s">
        <v>4646</v>
      </c>
      <c r="AU2050" s="105" t="s">
        <v>4647</v>
      </c>
      <c r="AV2050" s="105" t="s">
        <v>4648</v>
      </c>
    </row>
    <row r="2051" spans="1:48" ht="22" customHeight="1">
      <c r="A2051" s="1" t="str">
        <f t="shared" ref="A2051:A2114" si="0">IF(A2="","",A2)</f>
        <v>1010</v>
      </c>
      <c r="B2051" s="1" t="str">
        <f t="shared" ref="B2051:B2114" si="1">IF(A2051="","",B2)</f>
        <v>John Bartram High School</v>
      </c>
      <c r="C2051" s="1" t="str">
        <f t="shared" ref="C2051:C2114" si="2">IF(A2051="","",C2)</f>
        <v>District</v>
      </c>
      <c r="D2051" s="1" t="str">
        <f t="shared" ref="D2051:D2114" si="3">IF(A2051="","",E2)</f>
        <v>High</v>
      </c>
      <c r="E2051" s="1" t="str">
        <f t="shared" ref="E2051:E2114" si="4">IF(A2051="","",H2)</f>
        <v>19142</v>
      </c>
      <c r="F2051" s="1">
        <f t="shared" ref="F2051:F2114" si="5">IF(ISNUMBER(K2),K2,"")</f>
        <v>594</v>
      </c>
      <c r="G2051" s="1">
        <f t="shared" ref="G2051:G2114" si="6">IF(ISNUMBER(L2),L2,"")</f>
        <v>0.80530000000000002</v>
      </c>
      <c r="H2051" s="1" t="str">
        <f t="shared" ref="H2051:H2114" si="7">IF(A2051="","",IF(AND(UPPER(G2)="PHILADELPHIA",OR(C2051="District",AND(C2051="Charter",D2="Yes"))),"Yes","No"))</f>
        <v>Yes</v>
      </c>
      <c r="I2051" s="1">
        <f>IF(OR(A2051="",COUNTIFS('Staff Review'!$A$8:$A$507,A2051)&lt;&gt;1),0,MATCH(A2051,'Staff Review'!$A$8:$A$507,0))</f>
        <v>136</v>
      </c>
      <c r="J2051" s="1" t="str">
        <f>IF(I2051=0,"No",IF(INDEX('Staff Review'!$C$8:$C$507,I2051)="Yes","Yes","No"))</f>
        <v>No</v>
      </c>
      <c r="K2051" s="1">
        <f ca="1">IF(AI2051="Yes",INDEX('Staff Review'!$D$8:$D$507,I2051),IF(AB2051=0,"",IF(COUNT(INDEX($C$1531:$C$2030,AB2051))=1,INDEX($C$1531:$C$2030,AB2051),"")))</f>
        <v>0.3397819435174283</v>
      </c>
      <c r="L2051" s="1">
        <f>IF(AJ2051="Yes",INDEX('Staff Review'!$F$8:$F$507,I2051),IF(AB2051=0,"",IF(COUNT(INDEX($G$1531:$G$2030,AB2051))=1,INDEX($G$1531:$G$2030,AB2051),"")))</f>
        <v>4</v>
      </c>
      <c r="M2051" s="1" t="str">
        <f t="shared" ref="M2051:M2114" ca="1" si="8">IF(A2051="","",IF(AI2051="Yes","Verified","Listed"))</f>
        <v>Listed</v>
      </c>
      <c r="N2051" s="1" t="str">
        <f t="shared" ref="N2051:N2114" si="9">IF(A2051="","",IF(AJ2051="Yes","Verified","Listed"))</f>
        <v>Listed</v>
      </c>
      <c r="O2051" s="1">
        <f t="shared" ref="O2051:O2114" si="10">IF(AND(ISNUMBER(G2051),G2051&gt;=0,G2051&lt;=1),IF(G2051&gt;=0.9,30,IF(G2051&gt;=0.8,25,IF(G2051&gt;=0.7,20,IF(G2051&gt;=0.6,15,IF(G2051&gt;=0.5,10,IF(G2051&gt;=0.4,5,0)))))),"")</f>
        <v>25</v>
      </c>
      <c r="P2051" s="1">
        <f t="shared" ref="P2051:P2114" ca="1" si="11">IF(ISNUMBER(K2051),IF(K2051&lt;0,"",IF(K2051&gt;1,25,IF(K2051&gt;=0.75,20,IF(K2051&gt;=0.5,15,IF(K2051&gt;=0.25,10,5))))),"")</f>
        <v>10</v>
      </c>
      <c r="Q2051" s="1">
        <f t="shared" ref="Q2051:Q2114" si="12">IF(NOT(ISNUMBER(L2051)),"",IF(AND(L2051&gt;=0,MOD(L2051,1)=0),MAX(0,25-5*L2051),""))</f>
        <v>5</v>
      </c>
      <c r="R2051" s="1">
        <f t="shared" ref="R2051:R2114" si="13">IF(NOT(ISNUMBER(F2051)),"",IF(AND(F2051&gt;0,MOD(F2051,1)=0),IF(F2051&gt;=700,5,IF(F2051&gt;=500,4,IF(F2051&gt;=350,3,IF(F2051&gt;=200,2,1)))),""))</f>
        <v>4</v>
      </c>
      <c r="S2051" s="1">
        <f t="shared" ref="S2051:S2114" ca="1" si="14">IF(COUNT(O2051:R2051)=4,SUM(O2051:R2051),"")</f>
        <v>44</v>
      </c>
      <c r="T2051" s="1">
        <f ca="1">IF(OR(COUNT(O2051:R2051)&lt;&gt;4,COUNT('Top 25'!$B$45:$E$45)&lt;&gt;4,MIN('Top 25'!$B$45:$E$45)&lt;0,SUM('Top 25'!$B$45:$E$45)&lt;=0),"",ROUND(85*(O2051/30*'Top 25'!$B$45+P2051/25*'Top 25'!$C$45+Q2051/25*'Top 25'!$D$45+R2051/5*'Top 25'!$E$45)/SUM('Top 25'!$B$45:$E$45),6))</f>
        <v>44</v>
      </c>
      <c r="U2051" s="1" t="str">
        <f t="shared" ref="U2051:U2114" ca="1" si="15">IF(A2051="","",IF(AND(M2051="Verified",N2051="Verified"),"Verified",IF(AND(M2051="Listed",N2051="Listed"),"Listed","Mixed")))</f>
        <v>Listed</v>
      </c>
      <c r="V2051" s="1" t="str">
        <f ca="1">IF(A2051="","",IF(AK2051&lt;&gt;1,"Duplicate source ID",IF(COUNTIFS('Staff Review'!$A$8:$A$507,A2051)&gt;1,"Duplicate review ID",IF(H2051&lt;&gt;"Yes","Outside scope",IF(J2051="Yes","Already served",IF(NOT(ISNUMBER(T2051)),"Missing data","Candidate"))))))</f>
        <v>Candidate</v>
      </c>
      <c r="W2051" s="1">
        <f t="shared" ref="W2051:W2114" ca="1" si="16">IF(AL2051=0,"",1+COUNTIFS($AL$2051:$AL$2550,1,$T$2051:$T$2550,"&gt;"&amp;T2051)+COUNTIFS($AL$2051:$AL$2550,1,$T$2051:$T$2550,T2051,$G$2051:$G$2550,"&gt;"&amp;G2051)+COUNTIFS($AL$2051:$AL$2550,1,$T$2051:$T$2550,T2051,$G$2051:$G$2550,G2051,$F$2051:$F$2550,"&gt;"&amp;F2051)+COUNTIFS($AL$2051:$AL$2550,1,$T$2051:$T$2550,T2051,$G$2051:$G$2550,G2051,$F$2051:$F$2550,F2051,$AM$2051:$AM$2550,"&lt;"&amp;AM2051))</f>
        <v>87</v>
      </c>
      <c r="X2051" s="1">
        <f t="shared" ref="X2051:X2114" ca="1" si="17">IF(AL2051=0,"",1+COUNTIFS($AL$2051:$AL$2550,1,$T$2051:$T$2550,"&gt;"&amp;T2051))</f>
        <v>81</v>
      </c>
      <c r="Y2051" s="1">
        <f ca="1">IF(AND(H2051="Yes",OR(LEN('School Search'!$B$5)=0,ISNUMBER(SEARCH('School Search'!$B$5,B2051&amp;" "&amp;E2051&amp;" "&amp;A2051))),OR('School Search'!$D$5="All",C2051='School Search'!$D$5),OR('School Search'!$G$5="All eligible",AND('School Search'!$G$5="Not marked served",J2051&lt;&gt;"Yes"),AND('School Search'!$G$5="Missing data",V2051="Missing data"),AND('School Search'!$G$5="Marked served",J2051="Yes"))),1,0)</f>
        <v>1</v>
      </c>
      <c r="Z2051" s="1">
        <f ca="1">IF(Y2051=0,"",COUNTIFS($Y$2051:$Y$2550,1,$AO$2051:$AO$2550,"&lt;"&amp;AO2051)+COUNTIFS($Y$2051:Y2051,1,$AO$2051:AO2051,AO2051))</f>
        <v>87</v>
      </c>
      <c r="AA2051" s="1" t="str">
        <f t="shared" ref="AA2051:AA2114" ca="1" si="18">IF(NOT(ISNUMBER(S2051)),"Missing demographic or access input",TEXT(G2051,"0%")&amp;" economic need; "&amp;TEXT(K2051,"0.00")&amp;" mi fresh access; "&amp;L2051&amp;" nearby resources")</f>
        <v>81% economic need; 0.34 mi fresh access; 4 nearby resources</v>
      </c>
      <c r="AB2051" s="1">
        <f t="shared" ref="AB2051:AB2114" si="19">IF(OR(A2051="",COUNTIFS($A$1531:$A$2030,A2051)&lt;&gt;1),0,MATCH(A2051,$A$1531:$A$2030,0))</f>
        <v>1</v>
      </c>
      <c r="AC2051" s="1" t="str">
        <f t="shared" ref="AC2051:AC2114" si="20">IF(AB2051=0,"",INDEX($E$1531:$E$2030,AB2051))</f>
        <v>Cousin's Fresh Market Inc</v>
      </c>
      <c r="AD2051" s="1" t="str">
        <f t="shared" ref="AD2051:AD2114" si="21">IF(AB2051=0,"",INDEX($F$1531:$F$2030,AB2051))</f>
        <v>6411 Woodland Ave, Philadelphia, PA, 19142</v>
      </c>
      <c r="AE2051" s="1" t="str">
        <f t="shared" ref="AE2051:AE2114" si="22">IF(A2051="","",F2)</f>
        <v>2401 S 67TH ST</v>
      </c>
      <c r="AF2051" s="1">
        <f t="shared" ref="AF2051:AF2114" si="23">IF(ISNUMBER(I2),I2,"")</f>
        <v>39.921497369999997</v>
      </c>
      <c r="AG2051" s="1">
        <f t="shared" ref="AG2051:AG2114" si="24">IF(ISNUMBER(J2),J2,"")</f>
        <v>-75.234055620000007</v>
      </c>
      <c r="AH2051" s="1" t="str">
        <f>IF(I2051=0,"Not contacted",IF(INDEX('Staff Review'!$J$8:$J$507,I2051)="","Not contacted",INDEX('Staff Review'!$J$8:$J$507,I2051)))</f>
        <v>Not contacted</v>
      </c>
      <c r="AI2051" s="1" t="str">
        <f ca="1">IF(I2051=0,"No",IF(AND(COUNT(INDEX('Staff Review'!$D$8:$D$507,I2051))=1,INDEX('Staff Review'!$D$8:$D$507,I2051)&gt;=0,COUNT(INDEX('Staff Review'!$E$8:$E$507,I2051))=1,INDEX('Staff Review'!$E$8:$E$507,I2051)&gt;0,INDEX('Staff Review'!$E$8:$E$507,I2051)&lt;='Top 25'!$E$5,'Top 25'!$E$5-INDEX('Staff Review'!$E$8:$E$507,I2051)&lt;='Top 25'!$H$5,LEN(INDEX('Staff Review'!$H$8:$H$507,I2051))&gt;0),"Yes","No"))</f>
        <v>No</v>
      </c>
      <c r="AJ2051" s="1" t="str">
        <f>IF(I2051=0,"No",IF(COUNT(INDEX('Staff Review'!$F$8:$F$507,I2051))&lt;&gt;1,"No",IF(AND(INDEX('Staff Review'!$F$8:$F$507,I2051)&gt;=0,MOD(INDEX('Staff Review'!$F$8:$F$507,I2051),1)=0,COUNT(INDEX('Staff Review'!$G$8:$G$507,I2051))=1,INDEX('Staff Review'!$G$8:$G$507,I2051)&gt;0,INDEX('Staff Review'!$G$8:$G$507,I2051)&lt;='Top 25'!$E$5,'Top 25'!$E$5-INDEX('Staff Review'!$G$8:$G$507,I2051)&lt;='Top 25'!$H$5,LEN(INDEX('Staff Review'!$H$8:$H$507,I2051))&gt;0),"Yes","No")))</f>
        <v>No</v>
      </c>
      <c r="AK2051" s="1">
        <f t="shared" ref="AK2051:AK2114" si="25">IF(A2051="",0,COUNTIFS($A$2:$A$501,A2051))</f>
        <v>1</v>
      </c>
      <c r="AL2051" s="1">
        <f t="shared" ref="AL2051:AL2114" ca="1" si="26">IF(V2051="Candidate",1,0)</f>
        <v>1</v>
      </c>
      <c r="AM2051" s="1">
        <f t="shared" ref="AM2051:AM2114" si="27">IF(A2051="",0,VALUE(A2051))</f>
        <v>1010</v>
      </c>
      <c r="AN2051" s="1">
        <f t="shared" ref="AN2051:AN2114" si="28">IF(OR(A2051="",COUNTIFS($T$41:$T$540,A2051)&lt;&gt;1),0,MATCH(A2051,$T$41:$T$540,0))</f>
        <v>1</v>
      </c>
      <c r="AO2051">
        <f t="shared" ref="AO2051:AO2114" ca="1" si="29">IF(ISNUMBER(W2051),W2051,10000+AM2051)</f>
        <v>87</v>
      </c>
      <c r="AP2051" s="105">
        <f ca="1">IF(AND(AL2051=1,OR('Top 25'!$A$10="All",C2051='Top 25'!$A$10),OR('Top 25'!$D$10="All",D2051='Top 25'!$D$10)),1,0)</f>
        <v>0</v>
      </c>
      <c r="AQ2051" s="105" t="str">
        <f ca="1">IF(AP2051=0,"",CHOOSE(MATCH('Top 25'!$G$10,{"Priority score","Economic need","Enrollment","Fresh miles","Nearby resources"},0),T2051,G2051,F2051,K2051,L2051))</f>
        <v/>
      </c>
      <c r="AR2051" s="105" t="str">
        <f ca="1">IF(AP2051=0,"",1+COUNTIFS($AP$2051:$AP$2550,1,$AQ$2051:$AQ$2550,IF('Top 25'!$J$10="Ascending","&lt;","&gt;")&amp;AQ2051)+COUNTIFS($AP$2051:$AP$2550,1,$AQ$2051:$AQ$2550,AQ2051,$W$2051:$W$2550,"&lt;"&amp;W2051))</f>
        <v/>
      </c>
      <c r="AT2051" s="105">
        <f ca="1">IF(AND(AL2051=1,OR(Master_rankableSchools!$A$10="All",C2051=Master_rankableSchools!$A$10),OR(Master_rankableSchools!$D$10="All",D2051=Master_rankableSchools!$D$10)),1,0)</f>
        <v>1</v>
      </c>
      <c r="AU2051" s="105">
        <f ca="1">IF(AT2051=0,"",CHOOSE(MATCH(Master_rankableSchools!$G$10,{"Priority score","Economic need","Enrollment","Fresh miles","Nearby resources"},0),T2051,G2051,F2051,K2051,L2051))</f>
        <v>44</v>
      </c>
      <c r="AV2051" s="105">
        <f ca="1">IF(AT2051=0,"",1+COUNTIFS($AT$2051:$AT$2550,1,$AU$2051:$AU$2550,IF(Master_rankableSchools!$J$10="Ascending","&lt;","&gt;")&amp;AU2051)+COUNTIFS($AT$2051:$AT$2550,1,$AU$2051:$AU$2550,AU2051,$W$2051:$W$2550,"&lt;"&amp;W2051))</f>
        <v>87</v>
      </c>
    </row>
    <row r="2052" spans="1:48" ht="22" customHeight="1">
      <c r="A2052" s="1" t="str">
        <f t="shared" si="0"/>
        <v>1020</v>
      </c>
      <c r="B2052" s="1" t="str">
        <f t="shared" si="1"/>
        <v>West Philadelphia High School</v>
      </c>
      <c r="C2052" s="1" t="str">
        <f t="shared" si="2"/>
        <v>District</v>
      </c>
      <c r="D2052" s="1" t="str">
        <f t="shared" si="3"/>
        <v>High</v>
      </c>
      <c r="E2052" s="1" t="str">
        <f t="shared" si="4"/>
        <v>19139</v>
      </c>
      <c r="F2052" s="1">
        <f t="shared" si="5"/>
        <v>729</v>
      </c>
      <c r="G2052" s="1">
        <f t="shared" si="6"/>
        <v>0.84560000000000002</v>
      </c>
      <c r="H2052" s="1" t="str">
        <f t="shared" si="7"/>
        <v>Yes</v>
      </c>
      <c r="I2052" s="1">
        <f>IF(OR(A2052="",COUNTIFS('Staff Review'!$A$8:$A$507,A2052)&lt;&gt;1),0,MATCH(A2052,'Staff Review'!$A$8:$A$507,0))</f>
        <v>310</v>
      </c>
      <c r="J2052" s="1" t="str">
        <f>IF(I2052=0,"No",IF(INDEX('Staff Review'!$C$8:$C$507,I2052)="Yes","Yes","No"))</f>
        <v>No</v>
      </c>
      <c r="K2052" s="1">
        <f ca="1">IF(AI2052="Yes",INDEX('Staff Review'!$D$8:$D$507,I2052),IF(AB2052=0,"",IF(COUNT(INDEX($C$1531:$C$2030,AB2052))=1,INDEX($C$1531:$C$2030,AB2052),"")))</f>
        <v>0.35675630166563865</v>
      </c>
      <c r="L2052" s="1">
        <f>IF(AJ2052="Yes",INDEX('Staff Review'!$F$8:$F$507,I2052),IF(AB2052=0,"",IF(COUNT(INDEX($G$1531:$G$2030,AB2052))=1,INDEX($G$1531:$G$2030,AB2052),"")))</f>
        <v>14</v>
      </c>
      <c r="M2052" s="1" t="str">
        <f t="shared" ca="1" si="8"/>
        <v>Listed</v>
      </c>
      <c r="N2052" s="1" t="str">
        <f t="shared" si="9"/>
        <v>Listed</v>
      </c>
      <c r="O2052" s="1">
        <f t="shared" si="10"/>
        <v>25</v>
      </c>
      <c r="P2052" s="1">
        <f t="shared" ca="1" si="11"/>
        <v>10</v>
      </c>
      <c r="Q2052" s="1">
        <f t="shared" si="12"/>
        <v>0</v>
      </c>
      <c r="R2052" s="1">
        <f t="shared" si="13"/>
        <v>5</v>
      </c>
      <c r="S2052" s="1">
        <f t="shared" ca="1" si="14"/>
        <v>40</v>
      </c>
      <c r="T2052" s="1">
        <f ca="1">IF(OR(COUNT(O2052:R2052)&lt;&gt;4,COUNT('Top 25'!$B$45:$E$45)&lt;&gt;4,MIN('Top 25'!$B$45:$E$45)&lt;0,SUM('Top 25'!$B$45:$E$45)&lt;=0),"",ROUND(85*(O2052/30*'Top 25'!$B$45+P2052/25*'Top 25'!$C$45+Q2052/25*'Top 25'!$D$45+R2052/5*'Top 25'!$E$45)/SUM('Top 25'!$B$45:$E$45),6))</f>
        <v>40</v>
      </c>
      <c r="U2052" s="1" t="str">
        <f t="shared" ca="1" si="15"/>
        <v>Listed</v>
      </c>
      <c r="V2052" s="1" t="str">
        <f ca="1">IF(A2052="","",IF(AK2052&lt;&gt;1,"Duplicate source ID",IF(COUNTIFS('Staff Review'!$A$8:$A$507,A2052)&gt;1,"Duplicate review ID",IF(H2052&lt;&gt;"Yes","Outside scope",IF(J2052="Yes","Already served",IF(NOT(ISNUMBER(T2052)),"Missing data","Candidate"))))))</f>
        <v>Candidate</v>
      </c>
      <c r="W2052" s="1">
        <f t="shared" ca="1" si="16"/>
        <v>139</v>
      </c>
      <c r="X2052" s="1">
        <f t="shared" ca="1" si="17"/>
        <v>133</v>
      </c>
      <c r="Y2052" s="1">
        <f ca="1">IF(AND(H2052="Yes",OR(LEN('School Search'!$B$5)=0,ISNUMBER(SEARCH('School Search'!$B$5,B2052&amp;" "&amp;E2052&amp;" "&amp;A2052))),OR('School Search'!$D$5="All",C2052='School Search'!$D$5),OR('School Search'!$G$5="All eligible",AND('School Search'!$G$5="Not marked served",J2052&lt;&gt;"Yes"),AND('School Search'!$G$5="Missing data",V2052="Missing data"),AND('School Search'!$G$5="Marked served",J2052="Yes"))),1,0)</f>
        <v>1</v>
      </c>
      <c r="Z2052" s="1">
        <f ca="1">IF(Y2052=0,"",COUNTIFS($Y$2051:$Y$2550,1,$AO$2051:$AO$2550,"&lt;"&amp;AO2052)+COUNTIFS($Y$2051:Y2052,1,$AO$2051:AO2052,AO2052))</f>
        <v>139</v>
      </c>
      <c r="AA2052" s="1" t="str">
        <f t="shared" ca="1" si="18"/>
        <v>85% economic need; 0.36 mi fresh access; 14 nearby resources</v>
      </c>
      <c r="AB2052" s="1">
        <f t="shared" si="19"/>
        <v>2</v>
      </c>
      <c r="AC2052" s="1" t="str">
        <f t="shared" si="20"/>
        <v>Afor Market Philadelphia Llc</v>
      </c>
      <c r="AD2052" s="1" t="str">
        <f t="shared" si="21"/>
        <v>5228 Market St, Philadelphia, PA, 19139</v>
      </c>
      <c r="AE2052" s="1" t="str">
        <f t="shared" si="22"/>
        <v>4901 CHESTNUT ST</v>
      </c>
      <c r="AF2052" s="1">
        <f t="shared" si="23"/>
        <v>39.958109999999998</v>
      </c>
      <c r="AG2052" s="1">
        <f t="shared" si="24"/>
        <v>-75.219654000000006</v>
      </c>
      <c r="AH2052" s="1" t="str">
        <f>IF(I2052=0,"Not contacted",IF(INDEX('Staff Review'!$J$8:$J$507,I2052)="","Not contacted",INDEX('Staff Review'!$J$8:$J$507,I2052)))</f>
        <v>Not contacted</v>
      </c>
      <c r="AI2052" s="1" t="str">
        <f ca="1">IF(I2052=0,"No",IF(AND(COUNT(INDEX('Staff Review'!$D$8:$D$507,I2052))=1,INDEX('Staff Review'!$D$8:$D$507,I2052)&gt;=0,COUNT(INDEX('Staff Review'!$E$8:$E$507,I2052))=1,INDEX('Staff Review'!$E$8:$E$507,I2052)&gt;0,INDEX('Staff Review'!$E$8:$E$507,I2052)&lt;='Top 25'!$E$5,'Top 25'!$E$5-INDEX('Staff Review'!$E$8:$E$507,I2052)&lt;='Top 25'!$H$5,LEN(INDEX('Staff Review'!$H$8:$H$507,I2052))&gt;0),"Yes","No"))</f>
        <v>No</v>
      </c>
      <c r="AJ2052" s="1" t="str">
        <f>IF(I2052=0,"No",IF(COUNT(INDEX('Staff Review'!$F$8:$F$507,I2052))&lt;&gt;1,"No",IF(AND(INDEX('Staff Review'!$F$8:$F$507,I2052)&gt;=0,MOD(INDEX('Staff Review'!$F$8:$F$507,I2052),1)=0,COUNT(INDEX('Staff Review'!$G$8:$G$507,I2052))=1,INDEX('Staff Review'!$G$8:$G$507,I2052)&gt;0,INDEX('Staff Review'!$G$8:$G$507,I2052)&lt;='Top 25'!$E$5,'Top 25'!$E$5-INDEX('Staff Review'!$G$8:$G$507,I2052)&lt;='Top 25'!$H$5,LEN(INDEX('Staff Review'!$H$8:$H$507,I2052))&gt;0),"Yes","No")))</f>
        <v>No</v>
      </c>
      <c r="AK2052" s="1">
        <f t="shared" si="25"/>
        <v>1</v>
      </c>
      <c r="AL2052" s="1">
        <f t="shared" ca="1" si="26"/>
        <v>1</v>
      </c>
      <c r="AM2052" s="1">
        <f t="shared" si="27"/>
        <v>1020</v>
      </c>
      <c r="AN2052" s="1">
        <f t="shared" si="28"/>
        <v>2</v>
      </c>
      <c r="AO2052">
        <f t="shared" ca="1" si="29"/>
        <v>139</v>
      </c>
      <c r="AP2052" s="105">
        <f ca="1">IF(AND(AL2052=1,OR('Top 25'!$A$10="All",C2052='Top 25'!$A$10),OR('Top 25'!$D$10="All",D2052='Top 25'!$D$10)),1,0)</f>
        <v>0</v>
      </c>
      <c r="AQ2052" s="105" t="str">
        <f ca="1">IF(AP2052=0,"",CHOOSE(MATCH('Top 25'!$G$10,{"Priority score","Economic need","Enrollment","Fresh miles","Nearby resources"},0),T2052,G2052,F2052,K2052,L2052))</f>
        <v/>
      </c>
      <c r="AR2052" s="105" t="str">
        <f ca="1">IF(AP2052=0,"",1+COUNTIFS($AP$2051:$AP$2550,1,$AQ$2051:$AQ$2550,IF('Top 25'!$J$10="Ascending","&lt;","&gt;")&amp;AQ2052)+COUNTIFS($AP$2051:$AP$2550,1,$AQ$2051:$AQ$2550,AQ2052,$W$2051:$W$2550,"&lt;"&amp;W2052))</f>
        <v/>
      </c>
      <c r="AT2052" s="105">
        <f ca="1">IF(AND(AL2052=1,OR(Master_rankableSchools!$A$10="All",C2052=Master_rankableSchools!$A$10),OR(Master_rankableSchools!$D$10="All",D2052=Master_rankableSchools!$D$10)),1,0)</f>
        <v>1</v>
      </c>
      <c r="AU2052" s="105">
        <f ca="1">IF(AT2052=0,"",CHOOSE(MATCH(Master_rankableSchools!$G$10,{"Priority score","Economic need","Enrollment","Fresh miles","Nearby resources"},0),T2052,G2052,F2052,K2052,L2052))</f>
        <v>40</v>
      </c>
      <c r="AV2052" s="105">
        <f ca="1">IF(AT2052=0,"",1+COUNTIFS($AT$2051:$AT$2550,1,$AU$2051:$AU$2550,IF(Master_rankableSchools!$J$10="Ascending","&lt;","&gt;")&amp;AU2052)+COUNTIFS($AT$2051:$AT$2550,1,$AU$2051:$AU$2550,AU2052,$W$2051:$W$2550,"&lt;"&amp;W2052))</f>
        <v>139</v>
      </c>
    </row>
    <row r="2053" spans="1:48" ht="22" customHeight="1">
      <c r="A2053" s="1" t="str">
        <f t="shared" si="0"/>
        <v>1030</v>
      </c>
      <c r="B2053" s="1" t="str">
        <f t="shared" si="1"/>
        <v>High School of the Future</v>
      </c>
      <c r="C2053" s="1" t="str">
        <f t="shared" si="2"/>
        <v>District</v>
      </c>
      <c r="D2053" s="1" t="str">
        <f t="shared" si="3"/>
        <v>High</v>
      </c>
      <c r="E2053" s="1" t="str">
        <f t="shared" si="4"/>
        <v>19104</v>
      </c>
      <c r="F2053" s="1">
        <f t="shared" si="5"/>
        <v>648</v>
      </c>
      <c r="G2053" s="1">
        <f t="shared" si="6"/>
        <v>0.84160000000000001</v>
      </c>
      <c r="H2053" s="1" t="str">
        <f t="shared" si="7"/>
        <v>Yes</v>
      </c>
      <c r="I2053" s="1">
        <f>IF(OR(A2053="",COUNTIFS('Staff Review'!$A$8:$A$507,A2053)&lt;&gt;1),0,MATCH(A2053,'Staff Review'!$A$8:$A$507,0))</f>
        <v>114</v>
      </c>
      <c r="J2053" s="1" t="str">
        <f>IF(I2053=0,"No",IF(INDEX('Staff Review'!$C$8:$C$507,I2053)="Yes","Yes","No"))</f>
        <v>No</v>
      </c>
      <c r="K2053" s="1">
        <f ca="1">IF(AI2053="Yes",INDEX('Staff Review'!$D$8:$D$507,I2053),IF(AB2053=0,"",IF(COUNT(INDEX($C$1531:$C$2030,AB2053))=1,INDEX($C$1531:$C$2030,AB2053),"")))</f>
        <v>0.92711382178907253</v>
      </c>
      <c r="L2053" s="1">
        <f>IF(AJ2053="Yes",INDEX('Staff Review'!$F$8:$F$507,I2053),IF(AB2053=0,"",IF(COUNT(INDEX($G$1531:$G$2030,AB2053))=1,INDEX($G$1531:$G$2030,AB2053),"")))</f>
        <v>9</v>
      </c>
      <c r="M2053" s="1" t="str">
        <f t="shared" ca="1" si="8"/>
        <v>Listed</v>
      </c>
      <c r="N2053" s="1" t="str">
        <f t="shared" si="9"/>
        <v>Listed</v>
      </c>
      <c r="O2053" s="1">
        <f t="shared" si="10"/>
        <v>25</v>
      </c>
      <c r="P2053" s="1">
        <f t="shared" ca="1" si="11"/>
        <v>20</v>
      </c>
      <c r="Q2053" s="1">
        <f t="shared" si="12"/>
        <v>0</v>
      </c>
      <c r="R2053" s="1">
        <f t="shared" si="13"/>
        <v>4</v>
      </c>
      <c r="S2053" s="1">
        <f t="shared" ca="1" si="14"/>
        <v>49</v>
      </c>
      <c r="T2053" s="1">
        <f ca="1">IF(OR(COUNT(O2053:R2053)&lt;&gt;4,COUNT('Top 25'!$B$45:$E$45)&lt;&gt;4,MIN('Top 25'!$B$45:$E$45)&lt;0,SUM('Top 25'!$B$45:$E$45)&lt;=0),"",ROUND(85*(O2053/30*'Top 25'!$B$45+P2053/25*'Top 25'!$C$45+Q2053/25*'Top 25'!$D$45+R2053/5*'Top 25'!$E$45)/SUM('Top 25'!$B$45:$E$45),6))</f>
        <v>49</v>
      </c>
      <c r="U2053" s="1" t="str">
        <f t="shared" ca="1" si="15"/>
        <v>Listed</v>
      </c>
      <c r="V2053" s="1" t="str">
        <f ca="1">IF(A2053="","",IF(AK2053&lt;&gt;1,"Duplicate source ID",IF(COUNTIFS('Staff Review'!$A$8:$A$507,A2053)&gt;1,"Duplicate review ID",IF(H2053&lt;&gt;"Yes","Outside scope",IF(J2053="Yes","Already served",IF(NOT(ISNUMBER(T2053)),"Missing data","Candidate"))))))</f>
        <v>Candidate</v>
      </c>
      <c r="W2053" s="1">
        <f t="shared" ca="1" si="16"/>
        <v>50</v>
      </c>
      <c r="X2053" s="1">
        <f t="shared" ca="1" si="17"/>
        <v>46</v>
      </c>
      <c r="Y2053" s="1">
        <f ca="1">IF(AND(H2053="Yes",OR(LEN('School Search'!$B$5)=0,ISNUMBER(SEARCH('School Search'!$B$5,B2053&amp;" "&amp;E2053&amp;" "&amp;A2053))),OR('School Search'!$D$5="All",C2053='School Search'!$D$5),OR('School Search'!$G$5="All eligible",AND('School Search'!$G$5="Not marked served",J2053&lt;&gt;"Yes"),AND('School Search'!$G$5="Missing data",V2053="Missing data"),AND('School Search'!$G$5="Marked served",J2053="Yes"))),1,0)</f>
        <v>1</v>
      </c>
      <c r="Z2053" s="1">
        <f ca="1">IF(Y2053=0,"",COUNTIFS($Y$2051:$Y$2550,1,$AO$2051:$AO$2550,"&lt;"&amp;AO2053)+COUNTIFS($Y$2051:Y2053,1,$AO$2051:AO2053,AO2053))</f>
        <v>50</v>
      </c>
      <c r="AA2053" s="1" t="str">
        <f t="shared" ca="1" si="18"/>
        <v>84% economic need; 0.93 mi fresh access; 9 nearby resources</v>
      </c>
      <c r="AB2053" s="1">
        <f t="shared" si="19"/>
        <v>3</v>
      </c>
      <c r="AC2053" s="1" t="str">
        <f t="shared" si="20"/>
        <v>Aldi 43</v>
      </c>
      <c r="AD2053" s="1" t="str">
        <f t="shared" si="21"/>
        <v>3101 W Girard Ave, Philadelphia, PA, 19130</v>
      </c>
      <c r="AE2053" s="1" t="str">
        <f t="shared" si="22"/>
        <v>4021 PARKSIDE AVE</v>
      </c>
      <c r="AF2053" s="1">
        <f t="shared" si="23"/>
        <v>39.974657659999998</v>
      </c>
      <c r="AG2053" s="1">
        <f t="shared" si="24"/>
        <v>-75.204756599999996</v>
      </c>
      <c r="AH2053" s="1" t="str">
        <f>IF(I2053=0,"Not contacted",IF(INDEX('Staff Review'!$J$8:$J$507,I2053)="","Not contacted",INDEX('Staff Review'!$J$8:$J$507,I2053)))</f>
        <v>Not contacted</v>
      </c>
      <c r="AI2053" s="1" t="str">
        <f ca="1">IF(I2053=0,"No",IF(AND(COUNT(INDEX('Staff Review'!$D$8:$D$507,I2053))=1,INDEX('Staff Review'!$D$8:$D$507,I2053)&gt;=0,COUNT(INDEX('Staff Review'!$E$8:$E$507,I2053))=1,INDEX('Staff Review'!$E$8:$E$507,I2053)&gt;0,INDEX('Staff Review'!$E$8:$E$507,I2053)&lt;='Top 25'!$E$5,'Top 25'!$E$5-INDEX('Staff Review'!$E$8:$E$507,I2053)&lt;='Top 25'!$H$5,LEN(INDEX('Staff Review'!$H$8:$H$507,I2053))&gt;0),"Yes","No"))</f>
        <v>No</v>
      </c>
      <c r="AJ2053" s="1" t="str">
        <f>IF(I2053=0,"No",IF(COUNT(INDEX('Staff Review'!$F$8:$F$507,I2053))&lt;&gt;1,"No",IF(AND(INDEX('Staff Review'!$F$8:$F$507,I2053)&gt;=0,MOD(INDEX('Staff Review'!$F$8:$F$507,I2053),1)=0,COUNT(INDEX('Staff Review'!$G$8:$G$507,I2053))=1,INDEX('Staff Review'!$G$8:$G$507,I2053)&gt;0,INDEX('Staff Review'!$G$8:$G$507,I2053)&lt;='Top 25'!$E$5,'Top 25'!$E$5-INDEX('Staff Review'!$G$8:$G$507,I2053)&lt;='Top 25'!$H$5,LEN(INDEX('Staff Review'!$H$8:$H$507,I2053))&gt;0),"Yes","No")))</f>
        <v>No</v>
      </c>
      <c r="AK2053" s="1">
        <f t="shared" si="25"/>
        <v>1</v>
      </c>
      <c r="AL2053" s="1">
        <f t="shared" ca="1" si="26"/>
        <v>1</v>
      </c>
      <c r="AM2053" s="1">
        <f t="shared" si="27"/>
        <v>1030</v>
      </c>
      <c r="AN2053" s="1">
        <f t="shared" si="28"/>
        <v>3</v>
      </c>
      <c r="AO2053">
        <f t="shared" ca="1" si="29"/>
        <v>50</v>
      </c>
      <c r="AP2053" s="105">
        <f ca="1">IF(AND(AL2053=1,OR('Top 25'!$A$10="All",C2053='Top 25'!$A$10),OR('Top 25'!$D$10="All",D2053='Top 25'!$D$10)),1,0)</f>
        <v>0</v>
      </c>
      <c r="AQ2053" s="105" t="str">
        <f ca="1">IF(AP2053=0,"",CHOOSE(MATCH('Top 25'!$G$10,{"Priority score","Economic need","Enrollment","Fresh miles","Nearby resources"},0),T2053,G2053,F2053,K2053,L2053))</f>
        <v/>
      </c>
      <c r="AR2053" s="105" t="str">
        <f ca="1">IF(AP2053=0,"",1+COUNTIFS($AP$2051:$AP$2550,1,$AQ$2051:$AQ$2550,IF('Top 25'!$J$10="Ascending","&lt;","&gt;")&amp;AQ2053)+COUNTIFS($AP$2051:$AP$2550,1,$AQ$2051:$AQ$2550,AQ2053,$W$2051:$W$2550,"&lt;"&amp;W2053))</f>
        <v/>
      </c>
      <c r="AT2053" s="105">
        <f ca="1">IF(AND(AL2053=1,OR(Master_rankableSchools!$A$10="All",C2053=Master_rankableSchools!$A$10),OR(Master_rankableSchools!$D$10="All",D2053=Master_rankableSchools!$D$10)),1,0)</f>
        <v>1</v>
      </c>
      <c r="AU2053" s="105">
        <f ca="1">IF(AT2053=0,"",CHOOSE(MATCH(Master_rankableSchools!$G$10,{"Priority score","Economic need","Enrollment","Fresh miles","Nearby resources"},0),T2053,G2053,F2053,K2053,L2053))</f>
        <v>49</v>
      </c>
      <c r="AV2053" s="105">
        <f ca="1">IF(AT2053=0,"",1+COUNTIFS($AT$2051:$AT$2550,1,$AU$2051:$AU$2550,IF(Master_rankableSchools!$J$10="Ascending","&lt;","&gt;")&amp;AU2053)+COUNTIFS($AT$2051:$AT$2550,1,$AU$2051:$AU$2550,AU2053,$W$2051:$W$2550,"&lt;"&amp;W2053))</f>
        <v>50</v>
      </c>
    </row>
    <row r="2054" spans="1:48" ht="22" customHeight="1">
      <c r="A2054" s="1" t="str">
        <f t="shared" si="0"/>
        <v>1050</v>
      </c>
      <c r="B2054" s="1" t="str">
        <f t="shared" si="1"/>
        <v>Paul Robeson High School for Human Services</v>
      </c>
      <c r="C2054" s="1" t="str">
        <f t="shared" si="2"/>
        <v>District</v>
      </c>
      <c r="D2054" s="1" t="str">
        <f t="shared" si="3"/>
        <v>High</v>
      </c>
      <c r="E2054" s="1" t="str">
        <f t="shared" si="4"/>
        <v>19104</v>
      </c>
      <c r="F2054" s="1">
        <f t="shared" si="5"/>
        <v>300</v>
      </c>
      <c r="G2054" s="1">
        <f t="shared" si="6"/>
        <v>0.75329999999999997</v>
      </c>
      <c r="H2054" s="1" t="str">
        <f t="shared" si="7"/>
        <v>Yes</v>
      </c>
      <c r="I2054" s="1">
        <f>IF(OR(A2054="",COUNTIFS('Staff Review'!$A$8:$A$507,A2054)&lt;&gt;1),0,MATCH(A2054,'Staff Review'!$A$8:$A$507,0))</f>
        <v>226</v>
      </c>
      <c r="J2054" s="1" t="str">
        <f>IF(I2054=0,"No",IF(INDEX('Staff Review'!$C$8:$C$507,I2054)="Yes","Yes","No"))</f>
        <v>No</v>
      </c>
      <c r="K2054" s="1">
        <f ca="1">IF(AI2054="Yes",INDEX('Staff Review'!$D$8:$D$507,I2054),IF(AB2054=0,"",IF(COUNT(INDEX($C$1531:$C$2030,AB2054))=1,INDEX($C$1531:$C$2030,AB2054),"")))</f>
        <v>0.1812821079384152</v>
      </c>
      <c r="L2054" s="1">
        <f>IF(AJ2054="Yes",INDEX('Staff Review'!$F$8:$F$507,I2054),IF(AB2054=0,"",IF(COUNT(INDEX($G$1531:$G$2030,AB2054))=1,INDEX($G$1531:$G$2030,AB2054),"")))</f>
        <v>12</v>
      </c>
      <c r="M2054" s="1" t="str">
        <f t="shared" ca="1" si="8"/>
        <v>Listed</v>
      </c>
      <c r="N2054" s="1" t="str">
        <f t="shared" si="9"/>
        <v>Listed</v>
      </c>
      <c r="O2054" s="1">
        <f t="shared" si="10"/>
        <v>20</v>
      </c>
      <c r="P2054" s="1">
        <f t="shared" ca="1" si="11"/>
        <v>5</v>
      </c>
      <c r="Q2054" s="1">
        <f t="shared" si="12"/>
        <v>0</v>
      </c>
      <c r="R2054" s="1">
        <f t="shared" si="13"/>
        <v>2</v>
      </c>
      <c r="S2054" s="1">
        <f t="shared" ca="1" si="14"/>
        <v>27</v>
      </c>
      <c r="T2054" s="1">
        <f ca="1">IF(OR(COUNT(O2054:R2054)&lt;&gt;4,COUNT('Top 25'!$B$45:$E$45)&lt;&gt;4,MIN('Top 25'!$B$45:$E$45)&lt;0,SUM('Top 25'!$B$45:$E$45)&lt;=0),"",ROUND(85*(O2054/30*'Top 25'!$B$45+P2054/25*'Top 25'!$C$45+Q2054/25*'Top 25'!$D$45+R2054/5*'Top 25'!$E$45)/SUM('Top 25'!$B$45:$E$45),6))</f>
        <v>27</v>
      </c>
      <c r="U2054" s="1" t="str">
        <f t="shared" ca="1" si="15"/>
        <v>Listed</v>
      </c>
      <c r="V2054" s="1" t="str">
        <f ca="1">IF(A2054="","",IF(AK2054&lt;&gt;1,"Duplicate source ID",IF(COUNTIFS('Staff Review'!$A$8:$A$507,A2054)&gt;1,"Duplicate review ID",IF(H2054&lt;&gt;"Yes","Outside scope",IF(J2054="Yes","Already served",IF(NOT(ISNUMBER(T2054)),"Missing data","Candidate"))))))</f>
        <v>Candidate</v>
      </c>
      <c r="W2054" s="1">
        <f t="shared" ca="1" si="16"/>
        <v>266</v>
      </c>
      <c r="X2054" s="1">
        <f t="shared" ca="1" si="17"/>
        <v>266</v>
      </c>
      <c r="Y2054" s="1">
        <f ca="1">IF(AND(H2054="Yes",OR(LEN('School Search'!$B$5)=0,ISNUMBER(SEARCH('School Search'!$B$5,B2054&amp;" "&amp;E2054&amp;" "&amp;A2054))),OR('School Search'!$D$5="All",C2054='School Search'!$D$5),OR('School Search'!$G$5="All eligible",AND('School Search'!$G$5="Not marked served",J2054&lt;&gt;"Yes"),AND('School Search'!$G$5="Missing data",V2054="Missing data"),AND('School Search'!$G$5="Marked served",J2054="Yes"))),1,0)</f>
        <v>1</v>
      </c>
      <c r="Z2054" s="1">
        <f ca="1">IF(Y2054=0,"",COUNTIFS($Y$2051:$Y$2550,1,$AO$2051:$AO$2550,"&lt;"&amp;AO2054)+COUNTIFS($Y$2051:Y2054,1,$AO$2051:AO2054,AO2054))</f>
        <v>266</v>
      </c>
      <c r="AA2054" s="1" t="str">
        <f t="shared" ca="1" si="18"/>
        <v>75% economic need; 0.18 mi fresh access; 12 nearby resources</v>
      </c>
      <c r="AB2054" s="1">
        <f t="shared" si="19"/>
        <v>4</v>
      </c>
      <c r="AC2054" s="1" t="str">
        <f t="shared" si="20"/>
        <v>Acme 2397</v>
      </c>
      <c r="AD2054" s="1" t="str">
        <f t="shared" si="21"/>
        <v>4001 Walnut St, Philadelphia, PA, 19104</v>
      </c>
      <c r="AE2054" s="1" t="str">
        <f t="shared" si="22"/>
        <v>4125 LUDLOW ST</v>
      </c>
      <c r="AF2054" s="1">
        <f t="shared" si="23"/>
        <v>39.956795530000001</v>
      </c>
      <c r="AG2054" s="1">
        <f t="shared" si="24"/>
        <v>-75.204763110000002</v>
      </c>
      <c r="AH2054" s="1" t="str">
        <f>IF(I2054=0,"Not contacted",IF(INDEX('Staff Review'!$J$8:$J$507,I2054)="","Not contacted",INDEX('Staff Review'!$J$8:$J$507,I2054)))</f>
        <v>Not contacted</v>
      </c>
      <c r="AI2054" s="1" t="str">
        <f ca="1">IF(I2054=0,"No",IF(AND(COUNT(INDEX('Staff Review'!$D$8:$D$507,I2054))=1,INDEX('Staff Review'!$D$8:$D$507,I2054)&gt;=0,COUNT(INDEX('Staff Review'!$E$8:$E$507,I2054))=1,INDEX('Staff Review'!$E$8:$E$507,I2054)&gt;0,INDEX('Staff Review'!$E$8:$E$507,I2054)&lt;='Top 25'!$E$5,'Top 25'!$E$5-INDEX('Staff Review'!$E$8:$E$507,I2054)&lt;='Top 25'!$H$5,LEN(INDEX('Staff Review'!$H$8:$H$507,I2054))&gt;0),"Yes","No"))</f>
        <v>No</v>
      </c>
      <c r="AJ2054" s="1" t="str">
        <f>IF(I2054=0,"No",IF(COUNT(INDEX('Staff Review'!$F$8:$F$507,I2054))&lt;&gt;1,"No",IF(AND(INDEX('Staff Review'!$F$8:$F$507,I2054)&gt;=0,MOD(INDEX('Staff Review'!$F$8:$F$507,I2054),1)=0,COUNT(INDEX('Staff Review'!$G$8:$G$507,I2054))=1,INDEX('Staff Review'!$G$8:$G$507,I2054)&gt;0,INDEX('Staff Review'!$G$8:$G$507,I2054)&lt;='Top 25'!$E$5,'Top 25'!$E$5-INDEX('Staff Review'!$G$8:$G$507,I2054)&lt;='Top 25'!$H$5,LEN(INDEX('Staff Review'!$H$8:$H$507,I2054))&gt;0),"Yes","No")))</f>
        <v>No</v>
      </c>
      <c r="AK2054" s="1">
        <f t="shared" si="25"/>
        <v>1</v>
      </c>
      <c r="AL2054" s="1">
        <f t="shared" ca="1" si="26"/>
        <v>1</v>
      </c>
      <c r="AM2054" s="1">
        <f t="shared" si="27"/>
        <v>1050</v>
      </c>
      <c r="AN2054" s="1">
        <f t="shared" si="28"/>
        <v>4</v>
      </c>
      <c r="AO2054">
        <f t="shared" ca="1" si="29"/>
        <v>266</v>
      </c>
      <c r="AP2054" s="105">
        <f ca="1">IF(AND(AL2054=1,OR('Top 25'!$A$10="All",C2054='Top 25'!$A$10),OR('Top 25'!$D$10="All",D2054='Top 25'!$D$10)),1,0)</f>
        <v>0</v>
      </c>
      <c r="AQ2054" s="105" t="str">
        <f ca="1">IF(AP2054=0,"",CHOOSE(MATCH('Top 25'!$G$10,{"Priority score","Economic need","Enrollment","Fresh miles","Nearby resources"},0),T2054,G2054,F2054,K2054,L2054))</f>
        <v/>
      </c>
      <c r="AR2054" s="105" t="str">
        <f ca="1">IF(AP2054=0,"",1+COUNTIFS($AP$2051:$AP$2550,1,$AQ$2051:$AQ$2550,IF('Top 25'!$J$10="Ascending","&lt;","&gt;")&amp;AQ2054)+COUNTIFS($AP$2051:$AP$2550,1,$AQ$2051:$AQ$2550,AQ2054,$W$2051:$W$2550,"&lt;"&amp;W2054))</f>
        <v/>
      </c>
      <c r="AT2054" s="105">
        <f ca="1">IF(AND(AL2054=1,OR(Master_rankableSchools!$A$10="All",C2054=Master_rankableSchools!$A$10),OR(Master_rankableSchools!$D$10="All",D2054=Master_rankableSchools!$D$10)),1,0)</f>
        <v>1</v>
      </c>
      <c r="AU2054" s="105">
        <f ca="1">IF(AT2054=0,"",CHOOSE(MATCH(Master_rankableSchools!$G$10,{"Priority score","Economic need","Enrollment","Fresh miles","Nearby resources"},0),T2054,G2054,F2054,K2054,L2054))</f>
        <v>27</v>
      </c>
      <c r="AV2054" s="105">
        <f ca="1">IF(AT2054=0,"",1+COUNTIFS($AT$2051:$AT$2550,1,$AU$2051:$AU$2550,IF(Master_rankableSchools!$J$10="Ascending","&lt;","&gt;")&amp;AU2054)+COUNTIFS($AT$2051:$AT$2550,1,$AU$2051:$AU$2550,AU2054,$W$2051:$W$2550,"&lt;"&amp;W2054))</f>
        <v>266</v>
      </c>
    </row>
    <row r="2055" spans="1:48" ht="22" customHeight="1">
      <c r="A2055" s="1" t="str">
        <f t="shared" si="0"/>
        <v>1100</v>
      </c>
      <c r="B2055" s="1" t="str">
        <f t="shared" si="1"/>
        <v>William L. Sayre High School</v>
      </c>
      <c r="C2055" s="1" t="str">
        <f t="shared" si="2"/>
        <v>District</v>
      </c>
      <c r="D2055" s="1" t="str">
        <f t="shared" si="3"/>
        <v>High</v>
      </c>
      <c r="E2055" s="1" t="str">
        <f t="shared" si="4"/>
        <v>19139</v>
      </c>
      <c r="F2055" s="1">
        <f t="shared" si="5"/>
        <v>439</v>
      </c>
      <c r="G2055" s="1">
        <f t="shared" si="6"/>
        <v>0.80840000000000001</v>
      </c>
      <c r="H2055" s="1" t="str">
        <f t="shared" si="7"/>
        <v>Yes</v>
      </c>
      <c r="I2055" s="1">
        <f>IF(OR(A2055="",COUNTIFS('Staff Review'!$A$8:$A$507,A2055)&lt;&gt;1),0,MATCH(A2055,'Staff Review'!$A$8:$A$507,0))</f>
        <v>320</v>
      </c>
      <c r="J2055" s="1" t="str">
        <f>IF(I2055=0,"No",IF(INDEX('Staff Review'!$C$8:$C$507,I2055)="Yes","Yes","No"))</f>
        <v>No</v>
      </c>
      <c r="K2055" s="1">
        <f ca="1">IF(AI2055="Yes",INDEX('Staff Review'!$D$8:$D$507,I2055),IF(AB2055=0,"",IF(COUNT(INDEX($C$1531:$C$2030,AB2055))=1,INDEX($C$1531:$C$2030,AB2055),"")))</f>
        <v>0.29370303689259636</v>
      </c>
      <c r="L2055" s="1">
        <f>IF(AJ2055="Yes",INDEX('Staff Review'!$F$8:$F$507,I2055),IF(AB2055=0,"",IF(COUNT(INDEX($G$1531:$G$2030,AB2055))=1,INDEX($G$1531:$G$2030,AB2055),"")))</f>
        <v>13</v>
      </c>
      <c r="M2055" s="1" t="str">
        <f t="shared" ca="1" si="8"/>
        <v>Listed</v>
      </c>
      <c r="N2055" s="1" t="str">
        <f t="shared" si="9"/>
        <v>Listed</v>
      </c>
      <c r="O2055" s="1">
        <f t="shared" si="10"/>
        <v>25</v>
      </c>
      <c r="P2055" s="1">
        <f t="shared" ca="1" si="11"/>
        <v>10</v>
      </c>
      <c r="Q2055" s="1">
        <f t="shared" si="12"/>
        <v>0</v>
      </c>
      <c r="R2055" s="1">
        <f t="shared" si="13"/>
        <v>3</v>
      </c>
      <c r="S2055" s="1">
        <f t="shared" ca="1" si="14"/>
        <v>38</v>
      </c>
      <c r="T2055" s="1">
        <f ca="1">IF(OR(COUNT(O2055:R2055)&lt;&gt;4,COUNT('Top 25'!$B$45:$E$45)&lt;&gt;4,MIN('Top 25'!$B$45:$E$45)&lt;0,SUM('Top 25'!$B$45:$E$45)&lt;=0),"",ROUND(85*(O2055/30*'Top 25'!$B$45+P2055/25*'Top 25'!$C$45+Q2055/25*'Top 25'!$D$45+R2055/5*'Top 25'!$E$45)/SUM('Top 25'!$B$45:$E$45),6))</f>
        <v>38</v>
      </c>
      <c r="U2055" s="1" t="str">
        <f t="shared" ca="1" si="15"/>
        <v>Listed</v>
      </c>
      <c r="V2055" s="1" t="str">
        <f ca="1">IF(A2055="","",IF(AK2055&lt;&gt;1,"Duplicate source ID",IF(COUNTIFS('Staff Review'!$A$8:$A$507,A2055)&gt;1,"Duplicate review ID",IF(H2055&lt;&gt;"Yes","Outside scope",IF(J2055="Yes","Already served",IF(NOT(ISNUMBER(T2055)),"Missing data","Candidate"))))))</f>
        <v>Candidate</v>
      </c>
      <c r="W2055" s="1">
        <f t="shared" ca="1" si="16"/>
        <v>178</v>
      </c>
      <c r="X2055" s="1">
        <f t="shared" ca="1" si="17"/>
        <v>166</v>
      </c>
      <c r="Y2055" s="1">
        <f ca="1">IF(AND(H2055="Yes",OR(LEN('School Search'!$B$5)=0,ISNUMBER(SEARCH('School Search'!$B$5,B2055&amp;" "&amp;E2055&amp;" "&amp;A2055))),OR('School Search'!$D$5="All",C2055='School Search'!$D$5),OR('School Search'!$G$5="All eligible",AND('School Search'!$G$5="Not marked served",J2055&lt;&gt;"Yes"),AND('School Search'!$G$5="Missing data",V2055="Missing data"),AND('School Search'!$G$5="Marked served",J2055="Yes"))),1,0)</f>
        <v>1</v>
      </c>
      <c r="Z2055" s="1">
        <f ca="1">IF(Y2055=0,"",COUNTIFS($Y$2051:$Y$2550,1,$AO$2051:$AO$2550,"&lt;"&amp;AO2055)+COUNTIFS($Y$2051:Y2055,1,$AO$2051:AO2055,AO2055))</f>
        <v>178</v>
      </c>
      <c r="AA2055" s="1" t="str">
        <f t="shared" ca="1" si="18"/>
        <v>81% economic need; 0.29 mi fresh access; 13 nearby resources</v>
      </c>
      <c r="AB2055" s="1">
        <f t="shared" si="19"/>
        <v>5</v>
      </c>
      <c r="AC2055" s="1" t="str">
        <f t="shared" si="20"/>
        <v>FRESH GROCER</v>
      </c>
      <c r="AD2055" s="1" t="str">
        <f t="shared" si="21"/>
        <v>5601 Chestnut St, Philadelphia, PA, 19139</v>
      </c>
      <c r="AE2055" s="1" t="str">
        <f t="shared" si="22"/>
        <v>5800 WALNUT ST</v>
      </c>
      <c r="AF2055" s="1">
        <f t="shared" si="23"/>
        <v>39.957593539999998</v>
      </c>
      <c r="AG2055" s="1">
        <f t="shared" si="24"/>
        <v>-75.238594050000003</v>
      </c>
      <c r="AH2055" s="1" t="str">
        <f>IF(I2055=0,"Not contacted",IF(INDEX('Staff Review'!$J$8:$J$507,I2055)="","Not contacted",INDEX('Staff Review'!$J$8:$J$507,I2055)))</f>
        <v>Not contacted</v>
      </c>
      <c r="AI2055" s="1" t="str">
        <f ca="1">IF(I2055=0,"No",IF(AND(COUNT(INDEX('Staff Review'!$D$8:$D$507,I2055))=1,INDEX('Staff Review'!$D$8:$D$507,I2055)&gt;=0,COUNT(INDEX('Staff Review'!$E$8:$E$507,I2055))=1,INDEX('Staff Review'!$E$8:$E$507,I2055)&gt;0,INDEX('Staff Review'!$E$8:$E$507,I2055)&lt;='Top 25'!$E$5,'Top 25'!$E$5-INDEX('Staff Review'!$E$8:$E$507,I2055)&lt;='Top 25'!$H$5,LEN(INDEX('Staff Review'!$H$8:$H$507,I2055))&gt;0),"Yes","No"))</f>
        <v>No</v>
      </c>
      <c r="AJ2055" s="1" t="str">
        <f>IF(I2055=0,"No",IF(COUNT(INDEX('Staff Review'!$F$8:$F$507,I2055))&lt;&gt;1,"No",IF(AND(INDEX('Staff Review'!$F$8:$F$507,I2055)&gt;=0,MOD(INDEX('Staff Review'!$F$8:$F$507,I2055),1)=0,COUNT(INDEX('Staff Review'!$G$8:$G$507,I2055))=1,INDEX('Staff Review'!$G$8:$G$507,I2055)&gt;0,INDEX('Staff Review'!$G$8:$G$507,I2055)&lt;='Top 25'!$E$5,'Top 25'!$E$5-INDEX('Staff Review'!$G$8:$G$507,I2055)&lt;='Top 25'!$H$5,LEN(INDEX('Staff Review'!$H$8:$H$507,I2055))&gt;0),"Yes","No")))</f>
        <v>No</v>
      </c>
      <c r="AK2055" s="1">
        <f t="shared" si="25"/>
        <v>1</v>
      </c>
      <c r="AL2055" s="1">
        <f t="shared" ca="1" si="26"/>
        <v>1</v>
      </c>
      <c r="AM2055" s="1">
        <f t="shared" si="27"/>
        <v>1100</v>
      </c>
      <c r="AN2055" s="1">
        <f t="shared" si="28"/>
        <v>5</v>
      </c>
      <c r="AO2055">
        <f t="shared" ca="1" si="29"/>
        <v>178</v>
      </c>
      <c r="AP2055" s="105">
        <f ca="1">IF(AND(AL2055=1,OR('Top 25'!$A$10="All",C2055='Top 25'!$A$10),OR('Top 25'!$D$10="All",D2055='Top 25'!$D$10)),1,0)</f>
        <v>0</v>
      </c>
      <c r="AQ2055" s="105" t="str">
        <f ca="1">IF(AP2055=0,"",CHOOSE(MATCH('Top 25'!$G$10,{"Priority score","Economic need","Enrollment","Fresh miles","Nearby resources"},0),T2055,G2055,F2055,K2055,L2055))</f>
        <v/>
      </c>
      <c r="AR2055" s="105" t="str">
        <f ca="1">IF(AP2055=0,"",1+COUNTIFS($AP$2051:$AP$2550,1,$AQ$2051:$AQ$2550,IF('Top 25'!$J$10="Ascending","&lt;","&gt;")&amp;AQ2055)+COUNTIFS($AP$2051:$AP$2550,1,$AQ$2051:$AQ$2550,AQ2055,$W$2051:$W$2550,"&lt;"&amp;W2055))</f>
        <v/>
      </c>
      <c r="AT2055" s="105">
        <f ca="1">IF(AND(AL2055=1,OR(Master_rankableSchools!$A$10="All",C2055=Master_rankableSchools!$A$10),OR(Master_rankableSchools!$D$10="All",D2055=Master_rankableSchools!$D$10)),1,0)</f>
        <v>1</v>
      </c>
      <c r="AU2055" s="105">
        <f ca="1">IF(AT2055=0,"",CHOOSE(MATCH(Master_rankableSchools!$G$10,{"Priority score","Economic need","Enrollment","Fresh miles","Nearby resources"},0),T2055,G2055,F2055,K2055,L2055))</f>
        <v>38</v>
      </c>
      <c r="AV2055" s="105">
        <f ca="1">IF(AT2055=0,"",1+COUNTIFS($AT$2051:$AT$2550,1,$AU$2051:$AU$2550,IF(Master_rankableSchools!$J$10="Ascending","&lt;","&gt;")&amp;AU2055)+COUNTIFS($AT$2051:$AT$2550,1,$AU$2051:$AU$2550,AU2055,$W$2051:$W$2550,"&lt;"&amp;W2055))</f>
        <v>178</v>
      </c>
    </row>
    <row r="2056" spans="1:48" ht="22" customHeight="1">
      <c r="A2056" s="1" t="str">
        <f t="shared" si="0"/>
        <v>1130</v>
      </c>
      <c r="B2056" s="1" t="str">
        <f t="shared" si="1"/>
        <v>William T. Tilden Middle School</v>
      </c>
      <c r="C2056" s="1" t="str">
        <f t="shared" si="2"/>
        <v>District</v>
      </c>
      <c r="D2056" s="1" t="str">
        <f t="shared" si="3"/>
        <v>Middle</v>
      </c>
      <c r="E2056" s="1" t="str">
        <f t="shared" si="4"/>
        <v>19142</v>
      </c>
      <c r="F2056" s="1">
        <f t="shared" si="5"/>
        <v>230</v>
      </c>
      <c r="G2056" s="1">
        <f t="shared" si="6"/>
        <v>0.87870000000000004</v>
      </c>
      <c r="H2056" s="1" t="str">
        <f t="shared" si="7"/>
        <v>Yes</v>
      </c>
      <c r="I2056" s="1">
        <f>IF(OR(A2056="",COUNTIFS('Staff Review'!$A$8:$A$507,A2056)&lt;&gt;1),0,MATCH(A2056,'Staff Review'!$A$8:$A$507,0))</f>
        <v>324</v>
      </c>
      <c r="J2056" s="1" t="str">
        <f>IF(I2056=0,"No",IF(INDEX('Staff Review'!$C$8:$C$507,I2056)="Yes","Yes","No"))</f>
        <v>No</v>
      </c>
      <c r="K2056" s="1">
        <f ca="1">IF(AI2056="Yes",INDEX('Staff Review'!$D$8:$D$507,I2056),IF(AB2056=0,"",IF(COUNT(INDEX($C$1531:$C$2030,AB2056))=1,INDEX($C$1531:$C$2030,AB2056),"")))</f>
        <v>0.38532714461506801</v>
      </c>
      <c r="L2056" s="1">
        <f>IF(AJ2056="Yes",INDEX('Staff Review'!$F$8:$F$507,I2056),IF(AB2056=0,"",IF(COUNT(INDEX($G$1531:$G$2030,AB2056))=1,INDEX($G$1531:$G$2030,AB2056),"")))</f>
        <v>4</v>
      </c>
      <c r="M2056" s="1" t="str">
        <f t="shared" ca="1" si="8"/>
        <v>Listed</v>
      </c>
      <c r="N2056" s="1" t="str">
        <f t="shared" si="9"/>
        <v>Listed</v>
      </c>
      <c r="O2056" s="1">
        <f t="shared" si="10"/>
        <v>25</v>
      </c>
      <c r="P2056" s="1">
        <f t="shared" ca="1" si="11"/>
        <v>10</v>
      </c>
      <c r="Q2056" s="1">
        <f t="shared" si="12"/>
        <v>5</v>
      </c>
      <c r="R2056" s="1">
        <f t="shared" si="13"/>
        <v>2</v>
      </c>
      <c r="S2056" s="1">
        <f t="shared" ca="1" si="14"/>
        <v>42</v>
      </c>
      <c r="T2056" s="1">
        <f ca="1">IF(OR(COUNT(O2056:R2056)&lt;&gt;4,COUNT('Top 25'!$B$45:$E$45)&lt;&gt;4,MIN('Top 25'!$B$45:$E$45)&lt;0,SUM('Top 25'!$B$45:$E$45)&lt;=0),"",ROUND(85*(O2056/30*'Top 25'!$B$45+P2056/25*'Top 25'!$C$45+Q2056/25*'Top 25'!$D$45+R2056/5*'Top 25'!$E$45)/SUM('Top 25'!$B$45:$E$45),6))</f>
        <v>42</v>
      </c>
      <c r="U2056" s="1" t="str">
        <f t="shared" ca="1" si="15"/>
        <v>Listed</v>
      </c>
      <c r="V2056" s="1" t="str">
        <f ca="1">IF(A2056="","",IF(AK2056&lt;&gt;1,"Duplicate source ID",IF(COUNTIFS('Staff Review'!$A$8:$A$507,A2056)&gt;1,"Duplicate review ID",IF(H2056&lt;&gt;"Yes","Outside scope",IF(J2056="Yes","Already served",IF(NOT(ISNUMBER(T2056)),"Missing data","Candidate"))))))</f>
        <v>Candidate</v>
      </c>
      <c r="W2056" s="1">
        <f t="shared" ca="1" si="16"/>
        <v>114</v>
      </c>
      <c r="X2056" s="1">
        <f t="shared" ca="1" si="17"/>
        <v>101</v>
      </c>
      <c r="Y2056" s="1">
        <f ca="1">IF(AND(H2056="Yes",OR(LEN('School Search'!$B$5)=0,ISNUMBER(SEARCH('School Search'!$B$5,B2056&amp;" "&amp;E2056&amp;" "&amp;A2056))),OR('School Search'!$D$5="All",C2056='School Search'!$D$5),OR('School Search'!$G$5="All eligible",AND('School Search'!$G$5="Not marked served",J2056&lt;&gt;"Yes"),AND('School Search'!$G$5="Missing data",V2056="Missing data"),AND('School Search'!$G$5="Marked served",J2056="Yes"))),1,0)</f>
        <v>1</v>
      </c>
      <c r="Z2056" s="1">
        <f ca="1">IF(Y2056=0,"",COUNTIFS($Y$2051:$Y$2550,1,$AO$2051:$AO$2550,"&lt;"&amp;AO2056)+COUNTIFS($Y$2051:Y2056,1,$AO$2051:AO2056,AO2056))</f>
        <v>114</v>
      </c>
      <c r="AA2056" s="1" t="str">
        <f t="shared" ca="1" si="18"/>
        <v>88% economic need; 0.39 mi fresh access; 4 nearby resources</v>
      </c>
      <c r="AB2056" s="1">
        <f t="shared" si="19"/>
        <v>6</v>
      </c>
      <c r="AC2056" s="1" t="str">
        <f t="shared" si="20"/>
        <v>Cousin's Fresh Market Inc</v>
      </c>
      <c r="AD2056" s="1" t="str">
        <f t="shared" si="21"/>
        <v>6411 Woodland Ave, Philadelphia, PA, 19142</v>
      </c>
      <c r="AE2056" s="1" t="str">
        <f t="shared" si="22"/>
        <v>6601 ELMWOOD AVE</v>
      </c>
      <c r="AF2056" s="1">
        <f t="shared" si="23"/>
        <v>39.920936189999999</v>
      </c>
      <c r="AG2056" s="1">
        <f t="shared" si="24"/>
        <v>-75.232276319999997</v>
      </c>
      <c r="AH2056" s="1" t="str">
        <f>IF(I2056=0,"Not contacted",IF(INDEX('Staff Review'!$J$8:$J$507,I2056)="","Not contacted",INDEX('Staff Review'!$J$8:$J$507,I2056)))</f>
        <v>Not contacted</v>
      </c>
      <c r="AI2056" s="1" t="str">
        <f ca="1">IF(I2056=0,"No",IF(AND(COUNT(INDEX('Staff Review'!$D$8:$D$507,I2056))=1,INDEX('Staff Review'!$D$8:$D$507,I2056)&gt;=0,COUNT(INDEX('Staff Review'!$E$8:$E$507,I2056))=1,INDEX('Staff Review'!$E$8:$E$507,I2056)&gt;0,INDEX('Staff Review'!$E$8:$E$507,I2056)&lt;='Top 25'!$E$5,'Top 25'!$E$5-INDEX('Staff Review'!$E$8:$E$507,I2056)&lt;='Top 25'!$H$5,LEN(INDEX('Staff Review'!$H$8:$H$507,I2056))&gt;0),"Yes","No"))</f>
        <v>No</v>
      </c>
      <c r="AJ2056" s="1" t="str">
        <f>IF(I2056=0,"No",IF(COUNT(INDEX('Staff Review'!$F$8:$F$507,I2056))&lt;&gt;1,"No",IF(AND(INDEX('Staff Review'!$F$8:$F$507,I2056)&gt;=0,MOD(INDEX('Staff Review'!$F$8:$F$507,I2056),1)=0,COUNT(INDEX('Staff Review'!$G$8:$G$507,I2056))=1,INDEX('Staff Review'!$G$8:$G$507,I2056)&gt;0,INDEX('Staff Review'!$G$8:$G$507,I2056)&lt;='Top 25'!$E$5,'Top 25'!$E$5-INDEX('Staff Review'!$G$8:$G$507,I2056)&lt;='Top 25'!$H$5,LEN(INDEX('Staff Review'!$H$8:$H$507,I2056))&gt;0),"Yes","No")))</f>
        <v>No</v>
      </c>
      <c r="AK2056" s="1">
        <f t="shared" si="25"/>
        <v>1</v>
      </c>
      <c r="AL2056" s="1">
        <f t="shared" ca="1" si="26"/>
        <v>1</v>
      </c>
      <c r="AM2056" s="1">
        <f t="shared" si="27"/>
        <v>1130</v>
      </c>
      <c r="AN2056" s="1">
        <f t="shared" si="28"/>
        <v>6</v>
      </c>
      <c r="AO2056">
        <f t="shared" ca="1" si="29"/>
        <v>114</v>
      </c>
      <c r="AP2056" s="105">
        <f ca="1">IF(AND(AL2056=1,OR('Top 25'!$A$10="All",C2056='Top 25'!$A$10),OR('Top 25'!$D$10="All",D2056='Top 25'!$D$10)),1,0)</f>
        <v>0</v>
      </c>
      <c r="AQ2056" s="105" t="str">
        <f ca="1">IF(AP2056=0,"",CHOOSE(MATCH('Top 25'!$G$10,{"Priority score","Economic need","Enrollment","Fresh miles","Nearby resources"},0),T2056,G2056,F2056,K2056,L2056))</f>
        <v/>
      </c>
      <c r="AR2056" s="105" t="str">
        <f ca="1">IF(AP2056=0,"",1+COUNTIFS($AP$2051:$AP$2550,1,$AQ$2051:$AQ$2550,IF('Top 25'!$J$10="Ascending","&lt;","&gt;")&amp;AQ2056)+COUNTIFS($AP$2051:$AP$2550,1,$AQ$2051:$AQ$2550,AQ2056,$W$2051:$W$2550,"&lt;"&amp;W2056))</f>
        <v/>
      </c>
      <c r="AT2056" s="105">
        <f ca="1">IF(AND(AL2056=1,OR(Master_rankableSchools!$A$10="All",C2056=Master_rankableSchools!$A$10),OR(Master_rankableSchools!$D$10="All",D2056=Master_rankableSchools!$D$10)),1,0)</f>
        <v>1</v>
      </c>
      <c r="AU2056" s="105">
        <f ca="1">IF(AT2056=0,"",CHOOSE(MATCH(Master_rankableSchools!$G$10,{"Priority score","Economic need","Enrollment","Fresh miles","Nearby resources"},0),T2056,G2056,F2056,K2056,L2056))</f>
        <v>42</v>
      </c>
      <c r="AV2056" s="105">
        <f ca="1">IF(AT2056=0,"",1+COUNTIFS($AT$2051:$AT$2550,1,$AU$2051:$AU$2550,IF(Master_rankableSchools!$J$10="Ascending","&lt;","&gt;")&amp;AU2056)+COUNTIFS($AT$2051:$AT$2550,1,$AU$2051:$AU$2550,AU2056,$W$2051:$W$2550,"&lt;"&amp;W2056))</f>
        <v>114</v>
      </c>
    </row>
    <row r="2057" spans="1:48" ht="22" customHeight="1">
      <c r="A2057" s="1" t="str">
        <f t="shared" si="0"/>
        <v>1190</v>
      </c>
      <c r="B2057" s="1" t="str">
        <f t="shared" si="1"/>
        <v>Motivation High School</v>
      </c>
      <c r="C2057" s="1" t="str">
        <f t="shared" si="2"/>
        <v>District</v>
      </c>
      <c r="D2057" s="1" t="str">
        <f t="shared" si="3"/>
        <v>High</v>
      </c>
      <c r="E2057" s="1" t="str">
        <f t="shared" si="4"/>
        <v>19143</v>
      </c>
      <c r="F2057" s="1">
        <f t="shared" si="5"/>
        <v>151</v>
      </c>
      <c r="G2057" s="1">
        <f t="shared" si="6"/>
        <v>0.83440000000000003</v>
      </c>
      <c r="H2057" s="1" t="str">
        <f t="shared" si="7"/>
        <v>Yes</v>
      </c>
      <c r="I2057" s="1">
        <f>IF(OR(A2057="",COUNTIFS('Staff Review'!$A$8:$A$507,A2057)&lt;&gt;1),0,MATCH(A2057,'Staff Review'!$A$8:$A$507,0))</f>
        <v>201</v>
      </c>
      <c r="J2057" s="1" t="str">
        <f>IF(I2057=0,"No",IF(INDEX('Staff Review'!$C$8:$C$507,I2057)="Yes","Yes","No"))</f>
        <v>No</v>
      </c>
      <c r="K2057" s="1">
        <f ca="1">IF(AI2057="Yes",INDEX('Staff Review'!$D$8:$D$507,I2057),IF(AB2057=0,"",IF(COUNT(INDEX($C$1531:$C$2030,AB2057))=1,INDEX($C$1531:$C$2030,AB2057),"")))</f>
        <v>0.2506320247265274</v>
      </c>
      <c r="L2057" s="1">
        <f>IF(AJ2057="Yes",INDEX('Staff Review'!$F$8:$F$507,I2057),IF(AB2057=0,"",IF(COUNT(INDEX($G$1531:$G$2030,AB2057))=1,INDEX($G$1531:$G$2030,AB2057),"")))</f>
        <v>5</v>
      </c>
      <c r="M2057" s="1" t="str">
        <f t="shared" ca="1" si="8"/>
        <v>Listed</v>
      </c>
      <c r="N2057" s="1" t="str">
        <f t="shared" si="9"/>
        <v>Listed</v>
      </c>
      <c r="O2057" s="1">
        <f t="shared" si="10"/>
        <v>25</v>
      </c>
      <c r="P2057" s="1">
        <f t="shared" ca="1" si="11"/>
        <v>10</v>
      </c>
      <c r="Q2057" s="1">
        <f t="shared" si="12"/>
        <v>0</v>
      </c>
      <c r="R2057" s="1">
        <f t="shared" si="13"/>
        <v>1</v>
      </c>
      <c r="S2057" s="1">
        <f t="shared" ca="1" si="14"/>
        <v>36</v>
      </c>
      <c r="T2057" s="1">
        <f ca="1">IF(OR(COUNT(O2057:R2057)&lt;&gt;4,COUNT('Top 25'!$B$45:$E$45)&lt;&gt;4,MIN('Top 25'!$B$45:$E$45)&lt;0,SUM('Top 25'!$B$45:$E$45)&lt;=0),"",ROUND(85*(O2057/30*'Top 25'!$B$45+P2057/25*'Top 25'!$C$45+Q2057/25*'Top 25'!$D$45+R2057/5*'Top 25'!$E$45)/SUM('Top 25'!$B$45:$E$45),6))</f>
        <v>36</v>
      </c>
      <c r="U2057" s="1" t="str">
        <f t="shared" ca="1" si="15"/>
        <v>Listed</v>
      </c>
      <c r="V2057" s="1" t="str">
        <f ca="1">IF(A2057="","",IF(AK2057&lt;&gt;1,"Duplicate source ID",IF(COUNTIFS('Staff Review'!$A$8:$A$507,A2057)&gt;1,"Duplicate review ID",IF(H2057&lt;&gt;"Yes","Outside scope",IF(J2057="Yes","Already served",IF(NOT(ISNUMBER(T2057)),"Missing data","Candidate"))))))</f>
        <v>Candidate</v>
      </c>
      <c r="W2057" s="1">
        <f t="shared" ca="1" si="16"/>
        <v>207</v>
      </c>
      <c r="X2057" s="1">
        <f t="shared" ca="1" si="17"/>
        <v>205</v>
      </c>
      <c r="Y2057" s="1">
        <f ca="1">IF(AND(H2057="Yes",OR(LEN('School Search'!$B$5)=0,ISNUMBER(SEARCH('School Search'!$B$5,B2057&amp;" "&amp;E2057&amp;" "&amp;A2057))),OR('School Search'!$D$5="All",C2057='School Search'!$D$5),OR('School Search'!$G$5="All eligible",AND('School Search'!$G$5="Not marked served",J2057&lt;&gt;"Yes"),AND('School Search'!$G$5="Missing data",V2057="Missing data"),AND('School Search'!$G$5="Marked served",J2057="Yes"))),1,0)</f>
        <v>1</v>
      </c>
      <c r="Z2057" s="1">
        <f ca="1">IF(Y2057=0,"",COUNTIFS($Y$2051:$Y$2550,1,$AO$2051:$AO$2550,"&lt;"&amp;AO2057)+COUNTIFS($Y$2051:Y2057,1,$AO$2051:AO2057,AO2057))</f>
        <v>207</v>
      </c>
      <c r="AA2057" s="1" t="str">
        <f t="shared" ca="1" si="18"/>
        <v>83% economic need; 0.25 mi fresh access; 5 nearby resources</v>
      </c>
      <c r="AB2057" s="1">
        <f t="shared" si="19"/>
        <v>7</v>
      </c>
      <c r="AC2057" s="1" t="str">
        <f t="shared" si="20"/>
        <v>Cousin's Fresh Market 3 Llc</v>
      </c>
      <c r="AD2057" s="1" t="str">
        <f t="shared" si="21"/>
        <v>5704 Baltimore Ave, Philadelphia, PA, 19143</v>
      </c>
      <c r="AE2057" s="1" t="str">
        <f t="shared" si="22"/>
        <v>5900 BALTIMORE AVE</v>
      </c>
      <c r="AF2057" s="1">
        <f t="shared" si="23"/>
        <v>39.944531990000002</v>
      </c>
      <c r="AG2057" s="1">
        <f t="shared" si="24"/>
        <v>-75.241844220000004</v>
      </c>
      <c r="AH2057" s="1" t="str">
        <f>IF(I2057=0,"Not contacted",IF(INDEX('Staff Review'!$J$8:$J$507,I2057)="","Not contacted",INDEX('Staff Review'!$J$8:$J$507,I2057)))</f>
        <v>Not contacted</v>
      </c>
      <c r="AI2057" s="1" t="str">
        <f ca="1">IF(I2057=0,"No",IF(AND(COUNT(INDEX('Staff Review'!$D$8:$D$507,I2057))=1,INDEX('Staff Review'!$D$8:$D$507,I2057)&gt;=0,COUNT(INDEX('Staff Review'!$E$8:$E$507,I2057))=1,INDEX('Staff Review'!$E$8:$E$507,I2057)&gt;0,INDEX('Staff Review'!$E$8:$E$507,I2057)&lt;='Top 25'!$E$5,'Top 25'!$E$5-INDEX('Staff Review'!$E$8:$E$507,I2057)&lt;='Top 25'!$H$5,LEN(INDEX('Staff Review'!$H$8:$H$507,I2057))&gt;0),"Yes","No"))</f>
        <v>No</v>
      </c>
      <c r="AJ2057" s="1" t="str">
        <f>IF(I2057=0,"No",IF(COUNT(INDEX('Staff Review'!$F$8:$F$507,I2057))&lt;&gt;1,"No",IF(AND(INDEX('Staff Review'!$F$8:$F$507,I2057)&gt;=0,MOD(INDEX('Staff Review'!$F$8:$F$507,I2057),1)=0,COUNT(INDEX('Staff Review'!$G$8:$G$507,I2057))=1,INDEX('Staff Review'!$G$8:$G$507,I2057)&gt;0,INDEX('Staff Review'!$G$8:$G$507,I2057)&lt;='Top 25'!$E$5,'Top 25'!$E$5-INDEX('Staff Review'!$G$8:$G$507,I2057)&lt;='Top 25'!$H$5,LEN(INDEX('Staff Review'!$H$8:$H$507,I2057))&gt;0),"Yes","No")))</f>
        <v>No</v>
      </c>
      <c r="AK2057" s="1">
        <f t="shared" si="25"/>
        <v>1</v>
      </c>
      <c r="AL2057" s="1">
        <f t="shared" ca="1" si="26"/>
        <v>1</v>
      </c>
      <c r="AM2057" s="1">
        <f t="shared" si="27"/>
        <v>1190</v>
      </c>
      <c r="AN2057" s="1">
        <f t="shared" si="28"/>
        <v>7</v>
      </c>
      <c r="AO2057">
        <f t="shared" ca="1" si="29"/>
        <v>207</v>
      </c>
      <c r="AP2057" s="105">
        <f ca="1">IF(AND(AL2057=1,OR('Top 25'!$A$10="All",C2057='Top 25'!$A$10),OR('Top 25'!$D$10="All",D2057='Top 25'!$D$10)),1,0)</f>
        <v>0</v>
      </c>
      <c r="AQ2057" s="105" t="str">
        <f ca="1">IF(AP2057=0,"",CHOOSE(MATCH('Top 25'!$G$10,{"Priority score","Economic need","Enrollment","Fresh miles","Nearby resources"},0),T2057,G2057,F2057,K2057,L2057))</f>
        <v/>
      </c>
      <c r="AR2057" s="105" t="str">
        <f ca="1">IF(AP2057=0,"",1+COUNTIFS($AP$2051:$AP$2550,1,$AQ$2051:$AQ$2550,IF('Top 25'!$J$10="Ascending","&lt;","&gt;")&amp;AQ2057)+COUNTIFS($AP$2051:$AP$2550,1,$AQ$2051:$AQ$2550,AQ2057,$W$2051:$W$2550,"&lt;"&amp;W2057))</f>
        <v/>
      </c>
      <c r="AT2057" s="105">
        <f ca="1">IF(AND(AL2057=1,OR(Master_rankableSchools!$A$10="All",C2057=Master_rankableSchools!$A$10),OR(Master_rankableSchools!$D$10="All",D2057=Master_rankableSchools!$D$10)),1,0)</f>
        <v>1</v>
      </c>
      <c r="AU2057" s="105">
        <f ca="1">IF(AT2057=0,"",CHOOSE(MATCH(Master_rankableSchools!$G$10,{"Priority score","Economic need","Enrollment","Fresh miles","Nearby resources"},0),T2057,G2057,F2057,K2057,L2057))</f>
        <v>36</v>
      </c>
      <c r="AV2057" s="105">
        <f ca="1">IF(AT2057=0,"",1+COUNTIFS($AT$2051:$AT$2550,1,$AU$2051:$AU$2550,IF(Master_rankableSchools!$J$10="Ascending","&lt;","&gt;")&amp;AU2057)+COUNTIFS($AT$2051:$AT$2550,1,$AU$2051:$AU$2550,AU2057,$W$2051:$W$2550,"&lt;"&amp;W2057))</f>
        <v>207</v>
      </c>
    </row>
    <row r="2058" spans="1:48" ht="22" customHeight="1">
      <c r="A2058" s="1" t="str">
        <f t="shared" si="0"/>
        <v>1200</v>
      </c>
      <c r="B2058" s="1" t="str">
        <f t="shared" si="1"/>
        <v>John Barry School</v>
      </c>
      <c r="C2058" s="1" t="str">
        <f t="shared" si="2"/>
        <v>District</v>
      </c>
      <c r="D2058" s="1" t="str">
        <f t="shared" si="3"/>
        <v>Elementary-Middle</v>
      </c>
      <c r="E2058" s="1" t="str">
        <f t="shared" si="4"/>
        <v>19139</v>
      </c>
      <c r="F2058" s="1">
        <f t="shared" si="5"/>
        <v>442</v>
      </c>
      <c r="G2058" s="1">
        <f t="shared" si="6"/>
        <v>0.91180000000000005</v>
      </c>
      <c r="H2058" s="1" t="str">
        <f t="shared" si="7"/>
        <v>Yes</v>
      </c>
      <c r="I2058" s="1">
        <f>IF(OR(A2058="",COUNTIFS('Staff Review'!$A$8:$A$507,A2058)&lt;&gt;1),0,MATCH(A2058,'Staff Review'!$A$8:$A$507,0))</f>
        <v>135</v>
      </c>
      <c r="J2058" s="1" t="str">
        <f>IF(I2058=0,"No",IF(INDEX('Staff Review'!$C$8:$C$507,I2058)="Yes","Yes","No"))</f>
        <v>No</v>
      </c>
      <c r="K2058" s="1">
        <f ca="1">IF(AI2058="Yes",INDEX('Staff Review'!$D$8:$D$507,I2058),IF(AB2058=0,"",IF(COUNT(INDEX($C$1531:$C$2030,AB2058))=1,INDEX($C$1531:$C$2030,AB2058),"")))</f>
        <v>0.35473149935309223</v>
      </c>
      <c r="L2058" s="1">
        <f>IF(AJ2058="Yes",INDEX('Staff Review'!$F$8:$F$507,I2058),IF(AB2058=0,"",IF(COUNT(INDEX($G$1531:$G$2030,AB2058))=1,INDEX($G$1531:$G$2030,AB2058),"")))</f>
        <v>11</v>
      </c>
      <c r="M2058" s="1" t="str">
        <f t="shared" ca="1" si="8"/>
        <v>Listed</v>
      </c>
      <c r="N2058" s="1" t="str">
        <f t="shared" si="9"/>
        <v>Listed</v>
      </c>
      <c r="O2058" s="1">
        <f t="shared" si="10"/>
        <v>30</v>
      </c>
      <c r="P2058" s="1">
        <f t="shared" ca="1" si="11"/>
        <v>10</v>
      </c>
      <c r="Q2058" s="1">
        <f t="shared" si="12"/>
        <v>0</v>
      </c>
      <c r="R2058" s="1">
        <f t="shared" si="13"/>
        <v>3</v>
      </c>
      <c r="S2058" s="1">
        <f t="shared" ca="1" si="14"/>
        <v>43</v>
      </c>
      <c r="T2058" s="1">
        <f ca="1">IF(OR(COUNT(O2058:R2058)&lt;&gt;4,COUNT('Top 25'!$B$45:$E$45)&lt;&gt;4,MIN('Top 25'!$B$45:$E$45)&lt;0,SUM('Top 25'!$B$45:$E$45)&lt;=0),"",ROUND(85*(O2058/30*'Top 25'!$B$45+P2058/25*'Top 25'!$C$45+Q2058/25*'Top 25'!$D$45+R2058/5*'Top 25'!$E$45)/SUM('Top 25'!$B$45:$E$45),6))</f>
        <v>43</v>
      </c>
      <c r="U2058" s="1" t="str">
        <f t="shared" ca="1" si="15"/>
        <v>Listed</v>
      </c>
      <c r="V2058" s="1" t="str">
        <f ca="1">IF(A2058="","",IF(AK2058&lt;&gt;1,"Duplicate source ID",IF(COUNTIFS('Staff Review'!$A$8:$A$507,A2058)&gt;1,"Duplicate review ID",IF(H2058&lt;&gt;"Yes","Outside scope",IF(J2058="Yes","Already served",IF(NOT(ISNUMBER(T2058)),"Missing data","Candidate"))))))</f>
        <v>Candidate</v>
      </c>
      <c r="W2058" s="1">
        <f t="shared" ca="1" si="16"/>
        <v>92</v>
      </c>
      <c r="X2058" s="1">
        <f t="shared" ca="1" si="17"/>
        <v>90</v>
      </c>
      <c r="Y2058" s="1">
        <f ca="1">IF(AND(H2058="Yes",OR(LEN('School Search'!$B$5)=0,ISNUMBER(SEARCH('School Search'!$B$5,B2058&amp;" "&amp;E2058&amp;" "&amp;A2058))),OR('School Search'!$D$5="All",C2058='School Search'!$D$5),OR('School Search'!$G$5="All eligible",AND('School Search'!$G$5="Not marked served",J2058&lt;&gt;"Yes"),AND('School Search'!$G$5="Missing data",V2058="Missing data"),AND('School Search'!$G$5="Marked served",J2058="Yes"))),1,0)</f>
        <v>1</v>
      </c>
      <c r="Z2058" s="1">
        <f ca="1">IF(Y2058=0,"",COUNTIFS($Y$2051:$Y$2550,1,$AO$2051:$AO$2550,"&lt;"&amp;AO2058)+COUNTIFS($Y$2051:Y2058,1,$AO$2051:AO2058,AO2058))</f>
        <v>92</v>
      </c>
      <c r="AA2058" s="1" t="str">
        <f t="shared" ca="1" si="18"/>
        <v>91% economic need; 0.35 mi fresh access; 11 nearby resources</v>
      </c>
      <c r="AB2058" s="1">
        <f t="shared" si="19"/>
        <v>8</v>
      </c>
      <c r="AC2058" s="1" t="str">
        <f t="shared" si="20"/>
        <v>Save A Lot 24712</v>
      </c>
      <c r="AD2058" s="1" t="str">
        <f t="shared" si="21"/>
        <v>5601 Vine St, Philadelphia, PA, 19139</v>
      </c>
      <c r="AE2058" s="1" t="str">
        <f t="shared" si="22"/>
        <v>5900 RACE ST</v>
      </c>
      <c r="AF2058" s="1">
        <f t="shared" si="23"/>
        <v>39.964374939999999</v>
      </c>
      <c r="AG2058" s="1">
        <f t="shared" si="24"/>
        <v>-75.238603760000004</v>
      </c>
      <c r="AH2058" s="1" t="str">
        <f>IF(I2058=0,"Not contacted",IF(INDEX('Staff Review'!$J$8:$J$507,I2058)="","Not contacted",INDEX('Staff Review'!$J$8:$J$507,I2058)))</f>
        <v>Not contacted</v>
      </c>
      <c r="AI2058" s="1" t="str">
        <f ca="1">IF(I2058=0,"No",IF(AND(COUNT(INDEX('Staff Review'!$D$8:$D$507,I2058))=1,INDEX('Staff Review'!$D$8:$D$507,I2058)&gt;=0,COUNT(INDEX('Staff Review'!$E$8:$E$507,I2058))=1,INDEX('Staff Review'!$E$8:$E$507,I2058)&gt;0,INDEX('Staff Review'!$E$8:$E$507,I2058)&lt;='Top 25'!$E$5,'Top 25'!$E$5-INDEX('Staff Review'!$E$8:$E$507,I2058)&lt;='Top 25'!$H$5,LEN(INDEX('Staff Review'!$H$8:$H$507,I2058))&gt;0),"Yes","No"))</f>
        <v>No</v>
      </c>
      <c r="AJ2058" s="1" t="str">
        <f>IF(I2058=0,"No",IF(COUNT(INDEX('Staff Review'!$F$8:$F$507,I2058))&lt;&gt;1,"No",IF(AND(INDEX('Staff Review'!$F$8:$F$507,I2058)&gt;=0,MOD(INDEX('Staff Review'!$F$8:$F$507,I2058),1)=0,COUNT(INDEX('Staff Review'!$G$8:$G$507,I2058))=1,INDEX('Staff Review'!$G$8:$G$507,I2058)&gt;0,INDEX('Staff Review'!$G$8:$G$507,I2058)&lt;='Top 25'!$E$5,'Top 25'!$E$5-INDEX('Staff Review'!$G$8:$G$507,I2058)&lt;='Top 25'!$H$5,LEN(INDEX('Staff Review'!$H$8:$H$507,I2058))&gt;0),"Yes","No")))</f>
        <v>No</v>
      </c>
      <c r="AK2058" s="1">
        <f t="shared" si="25"/>
        <v>1</v>
      </c>
      <c r="AL2058" s="1">
        <f t="shared" ca="1" si="26"/>
        <v>1</v>
      </c>
      <c r="AM2058" s="1">
        <f t="shared" si="27"/>
        <v>1200</v>
      </c>
      <c r="AN2058" s="1">
        <f t="shared" si="28"/>
        <v>8</v>
      </c>
      <c r="AO2058">
        <f t="shared" ca="1" si="29"/>
        <v>92</v>
      </c>
      <c r="AP2058" s="105">
        <f ca="1">IF(AND(AL2058=1,OR('Top 25'!$A$10="All",C2058='Top 25'!$A$10),OR('Top 25'!$D$10="All",D2058='Top 25'!$D$10)),1,0)</f>
        <v>0</v>
      </c>
      <c r="AQ2058" s="105" t="str">
        <f ca="1">IF(AP2058=0,"",CHOOSE(MATCH('Top 25'!$G$10,{"Priority score","Economic need","Enrollment","Fresh miles","Nearby resources"},0),T2058,G2058,F2058,K2058,L2058))</f>
        <v/>
      </c>
      <c r="AR2058" s="105" t="str">
        <f ca="1">IF(AP2058=0,"",1+COUNTIFS($AP$2051:$AP$2550,1,$AQ$2051:$AQ$2550,IF('Top 25'!$J$10="Ascending","&lt;","&gt;")&amp;AQ2058)+COUNTIFS($AP$2051:$AP$2550,1,$AQ$2051:$AQ$2550,AQ2058,$W$2051:$W$2550,"&lt;"&amp;W2058))</f>
        <v/>
      </c>
      <c r="AT2058" s="105">
        <f ca="1">IF(AND(AL2058=1,OR(Master_rankableSchools!$A$10="All",C2058=Master_rankableSchools!$A$10),OR(Master_rankableSchools!$D$10="All",D2058=Master_rankableSchools!$D$10)),1,0)</f>
        <v>1</v>
      </c>
      <c r="AU2058" s="105">
        <f ca="1">IF(AT2058=0,"",CHOOSE(MATCH(Master_rankableSchools!$G$10,{"Priority score","Economic need","Enrollment","Fresh miles","Nearby resources"},0),T2058,G2058,F2058,K2058,L2058))</f>
        <v>43</v>
      </c>
      <c r="AV2058" s="105">
        <f ca="1">IF(AT2058=0,"",1+COUNTIFS($AT$2051:$AT$2550,1,$AU$2051:$AU$2550,IF(Master_rankableSchools!$J$10="Ascending","&lt;","&gt;")&amp;AU2058)+COUNTIFS($AT$2051:$AT$2550,1,$AU$2051:$AU$2550,AU2058,$W$2051:$W$2550,"&lt;"&amp;W2058))</f>
        <v>92</v>
      </c>
    </row>
    <row r="2059" spans="1:48" ht="22" customHeight="1">
      <c r="A2059" s="1" t="str">
        <f t="shared" si="0"/>
        <v>1230</v>
      </c>
      <c r="B2059" s="1" t="str">
        <f t="shared" si="1"/>
        <v>William C. Bryant School</v>
      </c>
      <c r="C2059" s="1" t="str">
        <f t="shared" si="2"/>
        <v>District</v>
      </c>
      <c r="D2059" s="1" t="str">
        <f t="shared" si="3"/>
        <v>Elementary-Middle</v>
      </c>
      <c r="E2059" s="1" t="str">
        <f t="shared" si="4"/>
        <v>19143</v>
      </c>
      <c r="F2059" s="1">
        <f t="shared" si="5"/>
        <v>332</v>
      </c>
      <c r="G2059" s="1">
        <f t="shared" si="6"/>
        <v>0.90229999999999999</v>
      </c>
      <c r="H2059" s="1" t="str">
        <f t="shared" si="7"/>
        <v>Yes</v>
      </c>
      <c r="I2059" s="1">
        <f>IF(OR(A2059="",COUNTIFS('Staff Review'!$A$8:$A$507,A2059)&lt;&gt;1),0,MATCH(A2059,'Staff Review'!$A$8:$A$507,0))</f>
        <v>312</v>
      </c>
      <c r="J2059" s="1" t="str">
        <f>IF(I2059=0,"No",IF(INDEX('Staff Review'!$C$8:$C$507,I2059)="Yes","Yes","No"))</f>
        <v>No</v>
      </c>
      <c r="K2059" s="1">
        <f ca="1">IF(AI2059="Yes",INDEX('Staff Review'!$D$8:$D$507,I2059),IF(AB2059=0,"",IF(COUNT(INDEX($C$1531:$C$2030,AB2059))=1,INDEX($C$1531:$C$2030,AB2059),"")))</f>
        <v>0.55923747283886038</v>
      </c>
      <c r="L2059" s="1">
        <f>IF(AJ2059="Yes",INDEX('Staff Review'!$F$8:$F$507,I2059),IF(AB2059=0,"",IF(COUNT(INDEX($G$1531:$G$2030,AB2059))=1,INDEX($G$1531:$G$2030,AB2059),"")))</f>
        <v>5</v>
      </c>
      <c r="M2059" s="1" t="str">
        <f t="shared" ca="1" si="8"/>
        <v>Listed</v>
      </c>
      <c r="N2059" s="1" t="str">
        <f t="shared" si="9"/>
        <v>Listed</v>
      </c>
      <c r="O2059" s="1">
        <f t="shared" si="10"/>
        <v>30</v>
      </c>
      <c r="P2059" s="1">
        <f t="shared" ca="1" si="11"/>
        <v>15</v>
      </c>
      <c r="Q2059" s="1">
        <f t="shared" si="12"/>
        <v>0</v>
      </c>
      <c r="R2059" s="1">
        <f t="shared" si="13"/>
        <v>2</v>
      </c>
      <c r="S2059" s="1">
        <f t="shared" ca="1" si="14"/>
        <v>47</v>
      </c>
      <c r="T2059" s="1">
        <f ca="1">IF(OR(COUNT(O2059:R2059)&lt;&gt;4,COUNT('Top 25'!$B$45:$E$45)&lt;&gt;4,MIN('Top 25'!$B$45:$E$45)&lt;0,SUM('Top 25'!$B$45:$E$45)&lt;=0),"",ROUND(85*(O2059/30*'Top 25'!$B$45+P2059/25*'Top 25'!$C$45+Q2059/25*'Top 25'!$D$45+R2059/5*'Top 25'!$E$45)/SUM('Top 25'!$B$45:$E$45),6))</f>
        <v>47</v>
      </c>
      <c r="U2059" s="1" t="str">
        <f t="shared" ca="1" si="15"/>
        <v>Listed</v>
      </c>
      <c r="V2059" s="1" t="str">
        <f ca="1">IF(A2059="","",IF(AK2059&lt;&gt;1,"Duplicate source ID",IF(COUNTIFS('Staff Review'!$A$8:$A$507,A2059)&gt;1,"Duplicate review ID",IF(H2059&lt;&gt;"Yes","Outside scope",IF(J2059="Yes","Already served",IF(NOT(ISNUMBER(T2059)),"Missing data","Candidate"))))))</f>
        <v>Candidate</v>
      </c>
      <c r="W2059" s="1">
        <f t="shared" ca="1" si="16"/>
        <v>67</v>
      </c>
      <c r="X2059" s="1">
        <f t="shared" ca="1" si="17"/>
        <v>64</v>
      </c>
      <c r="Y2059" s="1">
        <f ca="1">IF(AND(H2059="Yes",OR(LEN('School Search'!$B$5)=0,ISNUMBER(SEARCH('School Search'!$B$5,B2059&amp;" "&amp;E2059&amp;" "&amp;A2059))),OR('School Search'!$D$5="All",C2059='School Search'!$D$5),OR('School Search'!$G$5="All eligible",AND('School Search'!$G$5="Not marked served",J2059&lt;&gt;"Yes"),AND('School Search'!$G$5="Missing data",V2059="Missing data"),AND('School Search'!$G$5="Marked served",J2059="Yes"))),1,0)</f>
        <v>1</v>
      </c>
      <c r="Z2059" s="1">
        <f ca="1">IF(Y2059=0,"",COUNTIFS($Y$2051:$Y$2550,1,$AO$2051:$AO$2550,"&lt;"&amp;AO2059)+COUNTIFS($Y$2051:Y2059,1,$AO$2051:AO2059,AO2059))</f>
        <v>67</v>
      </c>
      <c r="AA2059" s="1" t="str">
        <f t="shared" ca="1" si="18"/>
        <v>90% economic need; 0.56 mi fresh access; 5 nearby resources</v>
      </c>
      <c r="AB2059" s="1">
        <f t="shared" si="19"/>
        <v>9</v>
      </c>
      <c r="AC2059" s="1" t="str">
        <f t="shared" si="20"/>
        <v>Cousin's Fresh Market 3 Llc</v>
      </c>
      <c r="AD2059" s="1" t="str">
        <f t="shared" si="21"/>
        <v>5704 Baltimore Ave, Philadelphia, PA, 19143</v>
      </c>
      <c r="AE2059" s="1" t="str">
        <f t="shared" si="22"/>
        <v>6001 CEDAR AVE</v>
      </c>
      <c r="AF2059" s="1">
        <f t="shared" si="23"/>
        <v>39.952686999999997</v>
      </c>
      <c r="AG2059" s="1">
        <f t="shared" si="24"/>
        <v>-75.243690999999998</v>
      </c>
      <c r="AH2059" s="1" t="str">
        <f>IF(I2059=0,"Not contacted",IF(INDEX('Staff Review'!$J$8:$J$507,I2059)="","Not contacted",INDEX('Staff Review'!$J$8:$J$507,I2059)))</f>
        <v>Not contacted</v>
      </c>
      <c r="AI2059" s="1" t="str">
        <f ca="1">IF(I2059=0,"No",IF(AND(COUNT(INDEX('Staff Review'!$D$8:$D$507,I2059))=1,INDEX('Staff Review'!$D$8:$D$507,I2059)&gt;=0,COUNT(INDEX('Staff Review'!$E$8:$E$507,I2059))=1,INDEX('Staff Review'!$E$8:$E$507,I2059)&gt;0,INDEX('Staff Review'!$E$8:$E$507,I2059)&lt;='Top 25'!$E$5,'Top 25'!$E$5-INDEX('Staff Review'!$E$8:$E$507,I2059)&lt;='Top 25'!$H$5,LEN(INDEX('Staff Review'!$H$8:$H$507,I2059))&gt;0),"Yes","No"))</f>
        <v>No</v>
      </c>
      <c r="AJ2059" s="1" t="str">
        <f>IF(I2059=0,"No",IF(COUNT(INDEX('Staff Review'!$F$8:$F$507,I2059))&lt;&gt;1,"No",IF(AND(INDEX('Staff Review'!$F$8:$F$507,I2059)&gt;=0,MOD(INDEX('Staff Review'!$F$8:$F$507,I2059),1)=0,COUNT(INDEX('Staff Review'!$G$8:$G$507,I2059))=1,INDEX('Staff Review'!$G$8:$G$507,I2059)&gt;0,INDEX('Staff Review'!$G$8:$G$507,I2059)&lt;='Top 25'!$E$5,'Top 25'!$E$5-INDEX('Staff Review'!$G$8:$G$507,I2059)&lt;='Top 25'!$H$5,LEN(INDEX('Staff Review'!$H$8:$H$507,I2059))&gt;0),"Yes","No")))</f>
        <v>No</v>
      </c>
      <c r="AK2059" s="1">
        <f t="shared" si="25"/>
        <v>1</v>
      </c>
      <c r="AL2059" s="1">
        <f t="shared" ca="1" si="26"/>
        <v>1</v>
      </c>
      <c r="AM2059" s="1">
        <f t="shared" si="27"/>
        <v>1230</v>
      </c>
      <c r="AN2059" s="1">
        <f t="shared" si="28"/>
        <v>9</v>
      </c>
      <c r="AO2059">
        <f t="shared" ca="1" si="29"/>
        <v>67</v>
      </c>
      <c r="AP2059" s="105">
        <f ca="1">IF(AND(AL2059=1,OR('Top 25'!$A$10="All",C2059='Top 25'!$A$10),OR('Top 25'!$D$10="All",D2059='Top 25'!$D$10)),1,0)</f>
        <v>0</v>
      </c>
      <c r="AQ2059" s="105" t="str">
        <f ca="1">IF(AP2059=0,"",CHOOSE(MATCH('Top 25'!$G$10,{"Priority score","Economic need","Enrollment","Fresh miles","Nearby resources"},0),T2059,G2059,F2059,K2059,L2059))</f>
        <v/>
      </c>
      <c r="AR2059" s="105" t="str">
        <f ca="1">IF(AP2059=0,"",1+COUNTIFS($AP$2051:$AP$2550,1,$AQ$2051:$AQ$2550,IF('Top 25'!$J$10="Ascending","&lt;","&gt;")&amp;AQ2059)+COUNTIFS($AP$2051:$AP$2550,1,$AQ$2051:$AQ$2550,AQ2059,$W$2051:$W$2550,"&lt;"&amp;W2059))</f>
        <v/>
      </c>
      <c r="AT2059" s="105">
        <f ca="1">IF(AND(AL2059=1,OR(Master_rankableSchools!$A$10="All",C2059=Master_rankableSchools!$A$10),OR(Master_rankableSchools!$D$10="All",D2059=Master_rankableSchools!$D$10)),1,0)</f>
        <v>1</v>
      </c>
      <c r="AU2059" s="105">
        <f ca="1">IF(AT2059=0,"",CHOOSE(MATCH(Master_rankableSchools!$G$10,{"Priority score","Economic need","Enrollment","Fresh miles","Nearby resources"},0),T2059,G2059,F2059,K2059,L2059))</f>
        <v>47</v>
      </c>
      <c r="AV2059" s="105">
        <f ca="1">IF(AT2059=0,"",1+COUNTIFS($AT$2051:$AT$2550,1,$AU$2051:$AU$2550,IF(Master_rankableSchools!$J$10="Ascending","&lt;","&gt;")&amp;AU2059)+COUNTIFS($AT$2051:$AT$2550,1,$AU$2051:$AU$2550,AU2059,$W$2051:$W$2550,"&lt;"&amp;W2059))</f>
        <v>67</v>
      </c>
    </row>
    <row r="2060" spans="1:48" ht="22" customHeight="1">
      <c r="A2060" s="1" t="str">
        <f t="shared" si="0"/>
        <v>1250</v>
      </c>
      <c r="B2060" s="1" t="str">
        <f t="shared" si="1"/>
        <v>Joseph W. Catharine School</v>
      </c>
      <c r="C2060" s="1" t="str">
        <f t="shared" si="2"/>
        <v>District</v>
      </c>
      <c r="D2060" s="1" t="str">
        <f t="shared" si="3"/>
        <v>Elementary</v>
      </c>
      <c r="E2060" s="1" t="str">
        <f t="shared" si="4"/>
        <v>19142</v>
      </c>
      <c r="F2060" s="1">
        <f t="shared" si="5"/>
        <v>377</v>
      </c>
      <c r="G2060" s="1">
        <f t="shared" si="6"/>
        <v>0.78200000000000003</v>
      </c>
      <c r="H2060" s="1" t="str">
        <f t="shared" si="7"/>
        <v>Yes</v>
      </c>
      <c r="I2060" s="1">
        <f>IF(OR(A2060="",COUNTIFS('Staff Review'!$A$8:$A$507,A2060)&lt;&gt;1),0,MATCH(A2060,'Staff Review'!$A$8:$A$507,0))</f>
        <v>149</v>
      </c>
      <c r="J2060" s="1" t="str">
        <f>IF(I2060=0,"No",IF(INDEX('Staff Review'!$C$8:$C$507,I2060)="Yes","Yes","No"))</f>
        <v>No</v>
      </c>
      <c r="K2060" s="1">
        <f ca="1">IF(AI2060="Yes",INDEX('Staff Review'!$D$8:$D$507,I2060),IF(AB2060=0,"",IF(COUNT(INDEX($C$1531:$C$2030,AB2060))=1,INDEX($C$1531:$C$2030,AB2060),"")))</f>
        <v>0.33729059636229231</v>
      </c>
      <c r="L2060" s="1">
        <f>IF(AJ2060="Yes",INDEX('Staff Review'!$F$8:$F$507,I2060),IF(AB2060=0,"",IF(COUNT(INDEX($G$1531:$G$2030,AB2060))=1,INDEX($G$1531:$G$2030,AB2060),"")))</f>
        <v>5</v>
      </c>
      <c r="M2060" s="1" t="str">
        <f t="shared" ca="1" si="8"/>
        <v>Listed</v>
      </c>
      <c r="N2060" s="1" t="str">
        <f t="shared" si="9"/>
        <v>Listed</v>
      </c>
      <c r="O2060" s="1">
        <f t="shared" si="10"/>
        <v>20</v>
      </c>
      <c r="P2060" s="1">
        <f t="shared" ca="1" si="11"/>
        <v>10</v>
      </c>
      <c r="Q2060" s="1">
        <f t="shared" si="12"/>
        <v>0</v>
      </c>
      <c r="R2060" s="1">
        <f t="shared" si="13"/>
        <v>3</v>
      </c>
      <c r="S2060" s="1">
        <f t="shared" ca="1" si="14"/>
        <v>33</v>
      </c>
      <c r="T2060" s="1">
        <f ca="1">IF(OR(COUNT(O2060:R2060)&lt;&gt;4,COUNT('Top 25'!$B$45:$E$45)&lt;&gt;4,MIN('Top 25'!$B$45:$E$45)&lt;0,SUM('Top 25'!$B$45:$E$45)&lt;=0),"",ROUND(85*(O2060/30*'Top 25'!$B$45+P2060/25*'Top 25'!$C$45+Q2060/25*'Top 25'!$D$45+R2060/5*'Top 25'!$E$45)/SUM('Top 25'!$B$45:$E$45),6))</f>
        <v>33</v>
      </c>
      <c r="U2060" s="1" t="str">
        <f t="shared" ca="1" si="15"/>
        <v>Listed</v>
      </c>
      <c r="V2060" s="1" t="str">
        <f ca="1">IF(A2060="","",IF(AK2060&lt;&gt;1,"Duplicate source ID",IF(COUNTIFS('Staff Review'!$A$8:$A$507,A2060)&gt;1,"Duplicate review ID",IF(H2060&lt;&gt;"Yes","Outside scope",IF(J2060="Yes","Already served",IF(NOT(ISNUMBER(T2060)),"Missing data","Candidate"))))))</f>
        <v>Candidate</v>
      </c>
      <c r="W2060" s="1">
        <f t="shared" ca="1" si="16"/>
        <v>238</v>
      </c>
      <c r="X2060" s="1">
        <f t="shared" ca="1" si="17"/>
        <v>233</v>
      </c>
      <c r="Y2060" s="1">
        <f ca="1">IF(AND(H2060="Yes",OR(LEN('School Search'!$B$5)=0,ISNUMBER(SEARCH('School Search'!$B$5,B2060&amp;" "&amp;E2060&amp;" "&amp;A2060))),OR('School Search'!$D$5="All",C2060='School Search'!$D$5),OR('School Search'!$G$5="All eligible",AND('School Search'!$G$5="Not marked served",J2060&lt;&gt;"Yes"),AND('School Search'!$G$5="Missing data",V2060="Missing data"),AND('School Search'!$G$5="Marked served",J2060="Yes"))),1,0)</f>
        <v>1</v>
      </c>
      <c r="Z2060" s="1">
        <f ca="1">IF(Y2060=0,"",COUNTIFS($Y$2051:$Y$2550,1,$AO$2051:$AO$2550,"&lt;"&amp;AO2060)+COUNTIFS($Y$2051:Y2060,1,$AO$2051:AO2060,AO2060))</f>
        <v>238</v>
      </c>
      <c r="AA2060" s="1" t="str">
        <f t="shared" ca="1" si="18"/>
        <v>78% economic need; 0.34 mi fresh access; 5 nearby resources</v>
      </c>
      <c r="AB2060" s="1">
        <f t="shared" si="19"/>
        <v>10</v>
      </c>
      <c r="AC2060" s="1" t="str">
        <f t="shared" si="20"/>
        <v>Cousin's Fresh Market Inc</v>
      </c>
      <c r="AD2060" s="1" t="str">
        <f t="shared" si="21"/>
        <v>6411 Woodland Ave, Philadelphia, PA, 19142</v>
      </c>
      <c r="AE2060" s="1" t="str">
        <f t="shared" si="22"/>
        <v>6600 CHESTER AVE</v>
      </c>
      <c r="AF2060" s="1">
        <f t="shared" si="23"/>
        <v>39.927435000000003</v>
      </c>
      <c r="AG2060" s="1">
        <f t="shared" si="24"/>
        <v>-75.239911000000006</v>
      </c>
      <c r="AH2060" s="1" t="str">
        <f>IF(I2060=0,"Not contacted",IF(INDEX('Staff Review'!$J$8:$J$507,I2060)="","Not contacted",INDEX('Staff Review'!$J$8:$J$507,I2060)))</f>
        <v>Not contacted</v>
      </c>
      <c r="AI2060" s="1" t="str">
        <f ca="1">IF(I2060=0,"No",IF(AND(COUNT(INDEX('Staff Review'!$D$8:$D$507,I2060))=1,INDEX('Staff Review'!$D$8:$D$507,I2060)&gt;=0,COUNT(INDEX('Staff Review'!$E$8:$E$507,I2060))=1,INDEX('Staff Review'!$E$8:$E$507,I2060)&gt;0,INDEX('Staff Review'!$E$8:$E$507,I2060)&lt;='Top 25'!$E$5,'Top 25'!$E$5-INDEX('Staff Review'!$E$8:$E$507,I2060)&lt;='Top 25'!$H$5,LEN(INDEX('Staff Review'!$H$8:$H$507,I2060))&gt;0),"Yes","No"))</f>
        <v>No</v>
      </c>
      <c r="AJ2060" s="1" t="str">
        <f>IF(I2060=0,"No",IF(COUNT(INDEX('Staff Review'!$F$8:$F$507,I2060))&lt;&gt;1,"No",IF(AND(INDEX('Staff Review'!$F$8:$F$507,I2060)&gt;=0,MOD(INDEX('Staff Review'!$F$8:$F$507,I2060),1)=0,COUNT(INDEX('Staff Review'!$G$8:$G$507,I2060))=1,INDEX('Staff Review'!$G$8:$G$507,I2060)&gt;0,INDEX('Staff Review'!$G$8:$G$507,I2060)&lt;='Top 25'!$E$5,'Top 25'!$E$5-INDEX('Staff Review'!$G$8:$G$507,I2060)&lt;='Top 25'!$H$5,LEN(INDEX('Staff Review'!$H$8:$H$507,I2060))&gt;0),"Yes","No")))</f>
        <v>No</v>
      </c>
      <c r="AK2060" s="1">
        <f t="shared" si="25"/>
        <v>1</v>
      </c>
      <c r="AL2060" s="1">
        <f t="shared" ca="1" si="26"/>
        <v>1</v>
      </c>
      <c r="AM2060" s="1">
        <f t="shared" si="27"/>
        <v>1250</v>
      </c>
      <c r="AN2060" s="1">
        <f t="shared" si="28"/>
        <v>10</v>
      </c>
      <c r="AO2060">
        <f t="shared" ca="1" si="29"/>
        <v>238</v>
      </c>
      <c r="AP2060" s="105">
        <f ca="1">IF(AND(AL2060=1,OR('Top 25'!$A$10="All",C2060='Top 25'!$A$10),OR('Top 25'!$D$10="All",D2060='Top 25'!$D$10)),1,0)</f>
        <v>1</v>
      </c>
      <c r="AQ2060" s="105">
        <f ca="1">IF(AP2060=0,"",CHOOSE(MATCH('Top 25'!$G$10,{"Priority score","Economic need","Enrollment","Fresh miles","Nearby resources"},0),T2060,G2060,F2060,K2060,L2060))</f>
        <v>33</v>
      </c>
      <c r="AR2060" s="105">
        <f ca="1">IF(AP2060=0,"",1+COUNTIFS($AP$2051:$AP$2550,1,$AQ$2051:$AQ$2550,IF('Top 25'!$J$10="Ascending","&lt;","&gt;")&amp;AQ2060)+COUNTIFS($AP$2051:$AP$2550,1,$AQ$2051:$AQ$2550,AQ2060,$W$2051:$W$2550,"&lt;"&amp;W2060))</f>
        <v>41</v>
      </c>
      <c r="AT2060" s="105">
        <f ca="1">IF(AND(AL2060=1,OR(Master_rankableSchools!$A$10="All",C2060=Master_rankableSchools!$A$10),OR(Master_rankableSchools!$D$10="All",D2060=Master_rankableSchools!$D$10)),1,0)</f>
        <v>1</v>
      </c>
      <c r="AU2060" s="105">
        <f ca="1">IF(AT2060=0,"",CHOOSE(MATCH(Master_rankableSchools!$G$10,{"Priority score","Economic need","Enrollment","Fresh miles","Nearby resources"},0),T2060,G2060,F2060,K2060,L2060))</f>
        <v>33</v>
      </c>
      <c r="AV2060" s="105">
        <f ca="1">IF(AT2060=0,"",1+COUNTIFS($AT$2051:$AT$2550,1,$AU$2051:$AU$2550,IF(Master_rankableSchools!$J$10="Ascending","&lt;","&gt;")&amp;AU2060)+COUNTIFS($AT$2051:$AT$2550,1,$AU$2051:$AU$2550,AU2060,$W$2051:$W$2550,"&lt;"&amp;W2060))</f>
        <v>238</v>
      </c>
    </row>
    <row r="2061" spans="1:48" ht="22" customHeight="1">
      <c r="A2061" s="1" t="str">
        <f t="shared" si="0"/>
        <v>1260</v>
      </c>
      <c r="B2061" s="1" t="str">
        <f t="shared" si="1"/>
        <v>Benjamin B. Comegys School</v>
      </c>
      <c r="C2061" s="1" t="str">
        <f t="shared" si="2"/>
        <v>District</v>
      </c>
      <c r="D2061" s="1" t="str">
        <f t="shared" si="3"/>
        <v>Elementary-Middle</v>
      </c>
      <c r="E2061" s="1" t="str">
        <f t="shared" si="4"/>
        <v>19143</v>
      </c>
      <c r="F2061" s="1">
        <f t="shared" si="5"/>
        <v>213</v>
      </c>
      <c r="G2061" s="1">
        <f t="shared" si="6"/>
        <v>0.90139999999999998</v>
      </c>
      <c r="H2061" s="1" t="str">
        <f t="shared" si="7"/>
        <v>Yes</v>
      </c>
      <c r="I2061" s="1">
        <f>IF(OR(A2061="",COUNTIFS('Staff Review'!$A$8:$A$507,A2061)&lt;&gt;1),0,MATCH(A2061,'Staff Review'!$A$8:$A$507,0))</f>
        <v>30</v>
      </c>
      <c r="J2061" s="1" t="str">
        <f>IF(I2061=0,"No",IF(INDEX('Staff Review'!$C$8:$C$507,I2061)="Yes","Yes","No"))</f>
        <v>No</v>
      </c>
      <c r="K2061" s="1">
        <f ca="1">IF(AI2061="Yes",INDEX('Staff Review'!$D$8:$D$507,I2061),IF(AB2061=0,"",IF(COUNT(INDEX($C$1531:$C$2030,AB2061))=1,INDEX($C$1531:$C$2030,AB2061),"")))</f>
        <v>0.56455783722068553</v>
      </c>
      <c r="L2061" s="1">
        <f>IF(AJ2061="Yes",INDEX('Staff Review'!$F$8:$F$507,I2061),IF(AB2061=0,"",IF(COUNT(INDEX($G$1531:$G$2030,AB2061))=1,INDEX($G$1531:$G$2030,AB2061),"")))</f>
        <v>7</v>
      </c>
      <c r="M2061" s="1" t="str">
        <f t="shared" ca="1" si="8"/>
        <v>Listed</v>
      </c>
      <c r="N2061" s="1" t="str">
        <f t="shared" si="9"/>
        <v>Listed</v>
      </c>
      <c r="O2061" s="1">
        <f t="shared" si="10"/>
        <v>30</v>
      </c>
      <c r="P2061" s="1">
        <f t="shared" ca="1" si="11"/>
        <v>15</v>
      </c>
      <c r="Q2061" s="1">
        <f t="shared" si="12"/>
        <v>0</v>
      </c>
      <c r="R2061" s="1">
        <f t="shared" si="13"/>
        <v>2</v>
      </c>
      <c r="S2061" s="1">
        <f t="shared" ca="1" si="14"/>
        <v>47</v>
      </c>
      <c r="T2061" s="1">
        <f ca="1">IF(OR(COUNT(O2061:R2061)&lt;&gt;4,COUNT('Top 25'!$B$45:$E$45)&lt;&gt;4,MIN('Top 25'!$B$45:$E$45)&lt;0,SUM('Top 25'!$B$45:$E$45)&lt;=0),"",ROUND(85*(O2061/30*'Top 25'!$B$45+P2061/25*'Top 25'!$C$45+Q2061/25*'Top 25'!$D$45+R2061/5*'Top 25'!$E$45)/SUM('Top 25'!$B$45:$E$45),6))</f>
        <v>47</v>
      </c>
      <c r="U2061" s="1" t="str">
        <f t="shared" ca="1" si="15"/>
        <v>Listed</v>
      </c>
      <c r="V2061" s="1" t="str">
        <f ca="1">IF(A2061="","",IF(AK2061&lt;&gt;1,"Duplicate source ID",IF(COUNTIFS('Staff Review'!$A$8:$A$507,A2061)&gt;1,"Duplicate review ID",IF(H2061&lt;&gt;"Yes","Outside scope",IF(J2061="Yes","Already served",IF(NOT(ISNUMBER(T2061)),"Missing data","Candidate"))))))</f>
        <v>Candidate</v>
      </c>
      <c r="W2061" s="1">
        <f t="shared" ca="1" si="16"/>
        <v>69</v>
      </c>
      <c r="X2061" s="1">
        <f t="shared" ca="1" si="17"/>
        <v>64</v>
      </c>
      <c r="Y2061" s="1">
        <f ca="1">IF(AND(H2061="Yes",OR(LEN('School Search'!$B$5)=0,ISNUMBER(SEARCH('School Search'!$B$5,B2061&amp;" "&amp;E2061&amp;" "&amp;A2061))),OR('School Search'!$D$5="All",C2061='School Search'!$D$5),OR('School Search'!$G$5="All eligible",AND('School Search'!$G$5="Not marked served",J2061&lt;&gt;"Yes"),AND('School Search'!$G$5="Missing data",V2061="Missing data"),AND('School Search'!$G$5="Marked served",J2061="Yes"))),1,0)</f>
        <v>1</v>
      </c>
      <c r="Z2061" s="1">
        <f ca="1">IF(Y2061=0,"",COUNTIFS($Y$2051:$Y$2550,1,$AO$2051:$AO$2550,"&lt;"&amp;AO2061)+COUNTIFS($Y$2051:Y2061,1,$AO$2051:AO2061,AO2061))</f>
        <v>69</v>
      </c>
      <c r="AA2061" s="1" t="str">
        <f t="shared" ca="1" si="18"/>
        <v>90% economic need; 0.56 mi fresh access; 7 nearby resources</v>
      </c>
      <c r="AB2061" s="1">
        <f t="shared" si="19"/>
        <v>11</v>
      </c>
      <c r="AC2061" s="1" t="str">
        <f t="shared" si="20"/>
        <v>Mariposa Food Coop</v>
      </c>
      <c r="AD2061" s="1" t="str">
        <f t="shared" si="21"/>
        <v>4824 Baltimore Ave, Philadelphia, PA, 19143</v>
      </c>
      <c r="AE2061" s="1" t="str">
        <f t="shared" si="22"/>
        <v>5100 GREENWAY AVE</v>
      </c>
      <c r="AF2061" s="1">
        <f t="shared" si="23"/>
        <v>39.940519999999999</v>
      </c>
      <c r="AG2061" s="1">
        <f t="shared" si="24"/>
        <v>-75.216289000000003</v>
      </c>
      <c r="AH2061" s="1" t="str">
        <f>IF(I2061=0,"Not contacted",IF(INDEX('Staff Review'!$J$8:$J$507,I2061)="","Not contacted",INDEX('Staff Review'!$J$8:$J$507,I2061)))</f>
        <v>Not contacted</v>
      </c>
      <c r="AI2061" s="1" t="str">
        <f ca="1">IF(I2061=0,"No",IF(AND(COUNT(INDEX('Staff Review'!$D$8:$D$507,I2061))=1,INDEX('Staff Review'!$D$8:$D$507,I2061)&gt;=0,COUNT(INDEX('Staff Review'!$E$8:$E$507,I2061))=1,INDEX('Staff Review'!$E$8:$E$507,I2061)&gt;0,INDEX('Staff Review'!$E$8:$E$507,I2061)&lt;='Top 25'!$E$5,'Top 25'!$E$5-INDEX('Staff Review'!$E$8:$E$507,I2061)&lt;='Top 25'!$H$5,LEN(INDEX('Staff Review'!$H$8:$H$507,I2061))&gt;0),"Yes","No"))</f>
        <v>No</v>
      </c>
      <c r="AJ2061" s="1" t="str">
        <f>IF(I2061=0,"No",IF(COUNT(INDEX('Staff Review'!$F$8:$F$507,I2061))&lt;&gt;1,"No",IF(AND(INDEX('Staff Review'!$F$8:$F$507,I2061)&gt;=0,MOD(INDEX('Staff Review'!$F$8:$F$507,I2061),1)=0,COUNT(INDEX('Staff Review'!$G$8:$G$507,I2061))=1,INDEX('Staff Review'!$G$8:$G$507,I2061)&gt;0,INDEX('Staff Review'!$G$8:$G$507,I2061)&lt;='Top 25'!$E$5,'Top 25'!$E$5-INDEX('Staff Review'!$G$8:$G$507,I2061)&lt;='Top 25'!$H$5,LEN(INDEX('Staff Review'!$H$8:$H$507,I2061))&gt;0),"Yes","No")))</f>
        <v>No</v>
      </c>
      <c r="AK2061" s="1">
        <f t="shared" si="25"/>
        <v>1</v>
      </c>
      <c r="AL2061" s="1">
        <f t="shared" ca="1" si="26"/>
        <v>1</v>
      </c>
      <c r="AM2061" s="1">
        <f t="shared" si="27"/>
        <v>1260</v>
      </c>
      <c r="AN2061" s="1">
        <f t="shared" si="28"/>
        <v>11</v>
      </c>
      <c r="AO2061">
        <f t="shared" ca="1" si="29"/>
        <v>69</v>
      </c>
      <c r="AP2061" s="105">
        <f ca="1">IF(AND(AL2061=1,OR('Top 25'!$A$10="All",C2061='Top 25'!$A$10),OR('Top 25'!$D$10="All",D2061='Top 25'!$D$10)),1,0)</f>
        <v>0</v>
      </c>
      <c r="AQ2061" s="105" t="str">
        <f ca="1">IF(AP2061=0,"",CHOOSE(MATCH('Top 25'!$G$10,{"Priority score","Economic need","Enrollment","Fresh miles","Nearby resources"},0),T2061,G2061,F2061,K2061,L2061))</f>
        <v/>
      </c>
      <c r="AR2061" s="105" t="str">
        <f ca="1">IF(AP2061=0,"",1+COUNTIFS($AP$2051:$AP$2550,1,$AQ$2051:$AQ$2550,IF('Top 25'!$J$10="Ascending","&lt;","&gt;")&amp;AQ2061)+COUNTIFS($AP$2051:$AP$2550,1,$AQ$2051:$AQ$2550,AQ2061,$W$2051:$W$2550,"&lt;"&amp;W2061))</f>
        <v/>
      </c>
      <c r="AT2061" s="105">
        <f ca="1">IF(AND(AL2061=1,OR(Master_rankableSchools!$A$10="All",C2061=Master_rankableSchools!$A$10),OR(Master_rankableSchools!$D$10="All",D2061=Master_rankableSchools!$D$10)),1,0)</f>
        <v>1</v>
      </c>
      <c r="AU2061" s="105">
        <f ca="1">IF(AT2061=0,"",CHOOSE(MATCH(Master_rankableSchools!$G$10,{"Priority score","Economic need","Enrollment","Fresh miles","Nearby resources"},0),T2061,G2061,F2061,K2061,L2061))</f>
        <v>47</v>
      </c>
      <c r="AV2061" s="105">
        <f ca="1">IF(AT2061=0,"",1+COUNTIFS($AT$2051:$AT$2550,1,$AU$2051:$AU$2550,IF(Master_rankableSchools!$J$10="Ascending","&lt;","&gt;")&amp;AU2061)+COUNTIFS($AT$2051:$AT$2550,1,$AU$2051:$AU$2550,AU2061,$W$2051:$W$2550,"&lt;"&amp;W2061))</f>
        <v>69</v>
      </c>
    </row>
    <row r="2062" spans="1:48" ht="22" customHeight="1">
      <c r="A2062" s="1" t="str">
        <f t="shared" si="0"/>
        <v>1280</v>
      </c>
      <c r="B2062" s="1" t="str">
        <f t="shared" si="1"/>
        <v>Sadie T.M. Alexander UPenn Partnership School</v>
      </c>
      <c r="C2062" s="1" t="str">
        <f t="shared" si="2"/>
        <v>District</v>
      </c>
      <c r="D2062" s="1" t="str">
        <f t="shared" si="3"/>
        <v>Elementary-Middle</v>
      </c>
      <c r="E2062" s="1" t="str">
        <f t="shared" si="4"/>
        <v>19104</v>
      </c>
      <c r="F2062" s="1">
        <f t="shared" si="5"/>
        <v>601</v>
      </c>
      <c r="G2062" s="1">
        <f t="shared" si="6"/>
        <v>0.2288</v>
      </c>
      <c r="H2062" s="1" t="str">
        <f t="shared" si="7"/>
        <v>Yes</v>
      </c>
      <c r="I2062" s="1">
        <f>IF(OR(A2062="",COUNTIFS('Staff Review'!$A$8:$A$507,A2062)&lt;&gt;1),0,MATCH(A2062,'Staff Review'!$A$8:$A$507,0))</f>
        <v>260</v>
      </c>
      <c r="J2062" s="1" t="str">
        <f>IF(I2062=0,"No",IF(INDEX('Staff Review'!$C$8:$C$507,I2062)="Yes","Yes","No"))</f>
        <v>No</v>
      </c>
      <c r="K2062" s="1">
        <f ca="1">IF(AI2062="Yes",INDEX('Staff Review'!$D$8:$D$507,I2062),IF(AB2062=0,"",IF(COUNT(INDEX($C$1531:$C$2030,AB2062))=1,INDEX($C$1531:$C$2030,AB2062),"")))</f>
        <v>0.13992622182183717</v>
      </c>
      <c r="L2062" s="1">
        <f>IF(AJ2062="Yes",INDEX('Staff Review'!$F$8:$F$507,I2062),IF(AB2062=0,"",IF(COUNT(INDEX($G$1531:$G$2030,AB2062))=1,INDEX($G$1531:$G$2030,AB2062),"")))</f>
        <v>10</v>
      </c>
      <c r="M2062" s="1" t="str">
        <f t="shared" ca="1" si="8"/>
        <v>Listed</v>
      </c>
      <c r="N2062" s="1" t="str">
        <f t="shared" si="9"/>
        <v>Listed</v>
      </c>
      <c r="O2062" s="1">
        <f t="shared" si="10"/>
        <v>0</v>
      </c>
      <c r="P2062" s="1">
        <f t="shared" ca="1" si="11"/>
        <v>5</v>
      </c>
      <c r="Q2062" s="1">
        <f t="shared" si="12"/>
        <v>0</v>
      </c>
      <c r="R2062" s="1">
        <f t="shared" si="13"/>
        <v>4</v>
      </c>
      <c r="S2062" s="1">
        <f t="shared" ca="1" si="14"/>
        <v>9</v>
      </c>
      <c r="T2062" s="1">
        <f ca="1">IF(OR(COUNT(O2062:R2062)&lt;&gt;4,COUNT('Top 25'!$B$45:$E$45)&lt;&gt;4,MIN('Top 25'!$B$45:$E$45)&lt;0,SUM('Top 25'!$B$45:$E$45)&lt;=0),"",ROUND(85*(O2062/30*'Top 25'!$B$45+P2062/25*'Top 25'!$C$45+Q2062/25*'Top 25'!$D$45+R2062/5*'Top 25'!$E$45)/SUM('Top 25'!$B$45:$E$45),6))</f>
        <v>9</v>
      </c>
      <c r="U2062" s="1" t="str">
        <f t="shared" ca="1" si="15"/>
        <v>Listed</v>
      </c>
      <c r="V2062" s="1" t="str">
        <f ca="1">IF(A2062="","",IF(AK2062&lt;&gt;1,"Duplicate source ID",IF(COUNTIFS('Staff Review'!$A$8:$A$507,A2062)&gt;1,"Duplicate review ID",IF(H2062&lt;&gt;"Yes","Outside scope",IF(J2062="Yes","Already served",IF(NOT(ISNUMBER(T2062)),"Missing data","Candidate"))))))</f>
        <v>Candidate</v>
      </c>
      <c r="W2062" s="1">
        <f t="shared" ca="1" si="16"/>
        <v>293</v>
      </c>
      <c r="X2062" s="1">
        <f t="shared" ca="1" si="17"/>
        <v>293</v>
      </c>
      <c r="Y2062" s="1">
        <f ca="1">IF(AND(H2062="Yes",OR(LEN('School Search'!$B$5)=0,ISNUMBER(SEARCH('School Search'!$B$5,B2062&amp;" "&amp;E2062&amp;" "&amp;A2062))),OR('School Search'!$D$5="All",C2062='School Search'!$D$5),OR('School Search'!$G$5="All eligible",AND('School Search'!$G$5="Not marked served",J2062&lt;&gt;"Yes"),AND('School Search'!$G$5="Missing data",V2062="Missing data"),AND('School Search'!$G$5="Marked served",J2062="Yes"))),1,0)</f>
        <v>1</v>
      </c>
      <c r="Z2062" s="1">
        <f ca="1">IF(Y2062=0,"",COUNTIFS($Y$2051:$Y$2550,1,$AO$2051:$AO$2550,"&lt;"&amp;AO2062)+COUNTIFS($Y$2051:Y2062,1,$AO$2051:AO2062,AO2062))</f>
        <v>293</v>
      </c>
      <c r="AA2062" s="1" t="str">
        <f t="shared" ca="1" si="18"/>
        <v>23% economic need; 0.14 mi fresh access; 10 nearby resources</v>
      </c>
      <c r="AB2062" s="1">
        <f t="shared" si="19"/>
        <v>12</v>
      </c>
      <c r="AC2062" s="1" t="str">
        <f t="shared" si="20"/>
        <v>WALNUT FOODS LLC</v>
      </c>
      <c r="AD2062" s="1" t="str">
        <f t="shared" si="21"/>
        <v>4301 Walnut St, Philadelphia, PA, 19104</v>
      </c>
      <c r="AE2062" s="1" t="str">
        <f t="shared" si="22"/>
        <v>4209 SPRUCE ST</v>
      </c>
      <c r="AF2062" s="1">
        <f t="shared" si="23"/>
        <v>39.953099000000002</v>
      </c>
      <c r="AG2062" s="1">
        <f t="shared" si="24"/>
        <v>-75.208186999999995</v>
      </c>
      <c r="AH2062" s="1" t="str">
        <f>IF(I2062=0,"Not contacted",IF(INDEX('Staff Review'!$J$8:$J$507,I2062)="","Not contacted",INDEX('Staff Review'!$J$8:$J$507,I2062)))</f>
        <v>Not contacted</v>
      </c>
      <c r="AI2062" s="1" t="str">
        <f ca="1">IF(I2062=0,"No",IF(AND(COUNT(INDEX('Staff Review'!$D$8:$D$507,I2062))=1,INDEX('Staff Review'!$D$8:$D$507,I2062)&gt;=0,COUNT(INDEX('Staff Review'!$E$8:$E$507,I2062))=1,INDEX('Staff Review'!$E$8:$E$507,I2062)&gt;0,INDEX('Staff Review'!$E$8:$E$507,I2062)&lt;='Top 25'!$E$5,'Top 25'!$E$5-INDEX('Staff Review'!$E$8:$E$507,I2062)&lt;='Top 25'!$H$5,LEN(INDEX('Staff Review'!$H$8:$H$507,I2062))&gt;0),"Yes","No"))</f>
        <v>No</v>
      </c>
      <c r="AJ2062" s="1" t="str">
        <f>IF(I2062=0,"No",IF(COUNT(INDEX('Staff Review'!$F$8:$F$507,I2062))&lt;&gt;1,"No",IF(AND(INDEX('Staff Review'!$F$8:$F$507,I2062)&gt;=0,MOD(INDEX('Staff Review'!$F$8:$F$507,I2062),1)=0,COUNT(INDEX('Staff Review'!$G$8:$G$507,I2062))=1,INDEX('Staff Review'!$G$8:$G$507,I2062)&gt;0,INDEX('Staff Review'!$G$8:$G$507,I2062)&lt;='Top 25'!$E$5,'Top 25'!$E$5-INDEX('Staff Review'!$G$8:$G$507,I2062)&lt;='Top 25'!$H$5,LEN(INDEX('Staff Review'!$H$8:$H$507,I2062))&gt;0),"Yes","No")))</f>
        <v>No</v>
      </c>
      <c r="AK2062" s="1">
        <f t="shared" si="25"/>
        <v>1</v>
      </c>
      <c r="AL2062" s="1">
        <f t="shared" ca="1" si="26"/>
        <v>1</v>
      </c>
      <c r="AM2062" s="1">
        <f t="shared" si="27"/>
        <v>1280</v>
      </c>
      <c r="AN2062" s="1">
        <f t="shared" si="28"/>
        <v>12</v>
      </c>
      <c r="AO2062">
        <f t="shared" ca="1" si="29"/>
        <v>293</v>
      </c>
      <c r="AP2062" s="105">
        <f ca="1">IF(AND(AL2062=1,OR('Top 25'!$A$10="All",C2062='Top 25'!$A$10),OR('Top 25'!$D$10="All",D2062='Top 25'!$D$10)),1,0)</f>
        <v>0</v>
      </c>
      <c r="AQ2062" s="105" t="str">
        <f ca="1">IF(AP2062=0,"",CHOOSE(MATCH('Top 25'!$G$10,{"Priority score","Economic need","Enrollment","Fresh miles","Nearby resources"},0),T2062,G2062,F2062,K2062,L2062))</f>
        <v/>
      </c>
      <c r="AR2062" s="105" t="str">
        <f ca="1">IF(AP2062=0,"",1+COUNTIFS($AP$2051:$AP$2550,1,$AQ$2051:$AQ$2550,IF('Top 25'!$J$10="Ascending","&lt;","&gt;")&amp;AQ2062)+COUNTIFS($AP$2051:$AP$2550,1,$AQ$2051:$AQ$2550,AQ2062,$W$2051:$W$2550,"&lt;"&amp;W2062))</f>
        <v/>
      </c>
      <c r="AT2062" s="105">
        <f ca="1">IF(AND(AL2062=1,OR(Master_rankableSchools!$A$10="All",C2062=Master_rankableSchools!$A$10),OR(Master_rankableSchools!$D$10="All",D2062=Master_rankableSchools!$D$10)),1,0)</f>
        <v>1</v>
      </c>
      <c r="AU2062" s="105">
        <f ca="1">IF(AT2062=0,"",CHOOSE(MATCH(Master_rankableSchools!$G$10,{"Priority score","Economic need","Enrollment","Fresh miles","Nearby resources"},0),T2062,G2062,F2062,K2062,L2062))</f>
        <v>9</v>
      </c>
      <c r="AV2062" s="105">
        <f ca="1">IF(AT2062=0,"",1+COUNTIFS($AT$2051:$AT$2550,1,$AU$2051:$AU$2550,IF(Master_rankableSchools!$J$10="Ascending","&lt;","&gt;")&amp;AU2062)+COUNTIFS($AT$2051:$AT$2550,1,$AU$2051:$AU$2550,AU2062,$W$2051:$W$2550,"&lt;"&amp;W2062))</f>
        <v>293</v>
      </c>
    </row>
    <row r="2063" spans="1:48" ht="22" customHeight="1">
      <c r="A2063" s="1" t="str">
        <f t="shared" si="0"/>
        <v>1290</v>
      </c>
      <c r="B2063" s="1" t="str">
        <f t="shared" si="1"/>
        <v>Andrew Hamilton School</v>
      </c>
      <c r="C2063" s="1" t="str">
        <f t="shared" si="2"/>
        <v>District</v>
      </c>
      <c r="D2063" s="1" t="str">
        <f t="shared" si="3"/>
        <v>Elementary-Middle</v>
      </c>
      <c r="E2063" s="1" t="str">
        <f t="shared" si="4"/>
        <v>19139</v>
      </c>
      <c r="F2063" s="1">
        <f t="shared" si="5"/>
        <v>366</v>
      </c>
      <c r="G2063" s="1">
        <f t="shared" si="6"/>
        <v>0.90129999999999999</v>
      </c>
      <c r="H2063" s="1" t="str">
        <f t="shared" si="7"/>
        <v>Yes</v>
      </c>
      <c r="I2063" s="1">
        <f>IF(OR(A2063="",COUNTIFS('Staff Review'!$A$8:$A$507,A2063)&lt;&gt;1),0,MATCH(A2063,'Staff Review'!$A$8:$A$507,0))</f>
        <v>18</v>
      </c>
      <c r="J2063" s="1" t="str">
        <f>IF(I2063=0,"No",IF(INDEX('Staff Review'!$C$8:$C$507,I2063)="Yes","Yes","No"))</f>
        <v>No</v>
      </c>
      <c r="K2063" s="1">
        <f ca="1">IF(AI2063="Yes",INDEX('Staff Review'!$D$8:$D$507,I2063),IF(AB2063=0,"",IF(COUNT(INDEX($C$1531:$C$2030,AB2063))=1,INDEX($C$1531:$C$2030,AB2063),"")))</f>
        <v>0.30289871613356184</v>
      </c>
      <c r="L2063" s="1">
        <f>IF(AJ2063="Yes",INDEX('Staff Review'!$F$8:$F$507,I2063),IF(AB2063=0,"",IF(COUNT(INDEX($G$1531:$G$2030,AB2063))=1,INDEX($G$1531:$G$2030,AB2063),"")))</f>
        <v>10</v>
      </c>
      <c r="M2063" s="1" t="str">
        <f t="shared" ca="1" si="8"/>
        <v>Listed</v>
      </c>
      <c r="N2063" s="1" t="str">
        <f t="shared" si="9"/>
        <v>Listed</v>
      </c>
      <c r="O2063" s="1">
        <f t="shared" si="10"/>
        <v>30</v>
      </c>
      <c r="P2063" s="1">
        <f t="shared" ca="1" si="11"/>
        <v>10</v>
      </c>
      <c r="Q2063" s="1">
        <f t="shared" si="12"/>
        <v>0</v>
      </c>
      <c r="R2063" s="1">
        <f t="shared" si="13"/>
        <v>3</v>
      </c>
      <c r="S2063" s="1">
        <f t="shared" ca="1" si="14"/>
        <v>43</v>
      </c>
      <c r="T2063" s="1">
        <f ca="1">IF(OR(COUNT(O2063:R2063)&lt;&gt;4,COUNT('Top 25'!$B$45:$E$45)&lt;&gt;4,MIN('Top 25'!$B$45:$E$45)&lt;0,SUM('Top 25'!$B$45:$E$45)&lt;=0),"",ROUND(85*(O2063/30*'Top 25'!$B$45+P2063/25*'Top 25'!$C$45+Q2063/25*'Top 25'!$D$45+R2063/5*'Top 25'!$E$45)/SUM('Top 25'!$B$45:$E$45),6))</f>
        <v>43</v>
      </c>
      <c r="U2063" s="1" t="str">
        <f t="shared" ca="1" si="15"/>
        <v>Listed</v>
      </c>
      <c r="V2063" s="1" t="str">
        <f ca="1">IF(A2063="","",IF(AK2063&lt;&gt;1,"Duplicate source ID",IF(COUNTIFS('Staff Review'!$A$8:$A$507,A2063)&gt;1,"Duplicate review ID",IF(H2063&lt;&gt;"Yes","Outside scope",IF(J2063="Yes","Already served",IF(NOT(ISNUMBER(T2063)),"Missing data","Candidate"))))))</f>
        <v>Candidate</v>
      </c>
      <c r="W2063" s="1">
        <f t="shared" ca="1" si="16"/>
        <v>95</v>
      </c>
      <c r="X2063" s="1">
        <f t="shared" ca="1" si="17"/>
        <v>90</v>
      </c>
      <c r="Y2063" s="1">
        <f ca="1">IF(AND(H2063="Yes",OR(LEN('School Search'!$B$5)=0,ISNUMBER(SEARCH('School Search'!$B$5,B2063&amp;" "&amp;E2063&amp;" "&amp;A2063))),OR('School Search'!$D$5="All",C2063='School Search'!$D$5),OR('School Search'!$G$5="All eligible",AND('School Search'!$G$5="Not marked served",J2063&lt;&gt;"Yes"),AND('School Search'!$G$5="Missing data",V2063="Missing data"),AND('School Search'!$G$5="Marked served",J2063="Yes"))),1,0)</f>
        <v>1</v>
      </c>
      <c r="Z2063" s="1">
        <f ca="1">IF(Y2063=0,"",COUNTIFS($Y$2051:$Y$2550,1,$AO$2051:$AO$2550,"&lt;"&amp;AO2063)+COUNTIFS($Y$2051:Y2063,1,$AO$2051:AO2063,AO2063))</f>
        <v>95</v>
      </c>
      <c r="AA2063" s="1" t="str">
        <f t="shared" ca="1" si="18"/>
        <v>90% economic need; 0.30 mi fresh access; 10 nearby resources</v>
      </c>
      <c r="AB2063" s="1">
        <f t="shared" si="19"/>
        <v>13</v>
      </c>
      <c r="AC2063" s="1" t="str">
        <f t="shared" si="20"/>
        <v>FRESH GROCER</v>
      </c>
      <c r="AD2063" s="1" t="str">
        <f t="shared" si="21"/>
        <v>5601 Chestnut St, Philadelphia, PA, 19139</v>
      </c>
      <c r="AE2063" s="1" t="str">
        <f t="shared" si="22"/>
        <v>5640 SPRUCE ST</v>
      </c>
      <c r="AF2063" s="1">
        <f t="shared" si="23"/>
        <v>39.955438000000001</v>
      </c>
      <c r="AG2063" s="1">
        <f t="shared" si="24"/>
        <v>-75.235543000000007</v>
      </c>
      <c r="AH2063" s="1" t="str">
        <f>IF(I2063=0,"Not contacted",IF(INDEX('Staff Review'!$J$8:$J$507,I2063)="","Not contacted",INDEX('Staff Review'!$J$8:$J$507,I2063)))</f>
        <v>Not contacted</v>
      </c>
      <c r="AI2063" s="1" t="str">
        <f ca="1">IF(I2063=0,"No",IF(AND(COUNT(INDEX('Staff Review'!$D$8:$D$507,I2063))=1,INDEX('Staff Review'!$D$8:$D$507,I2063)&gt;=0,COUNT(INDEX('Staff Review'!$E$8:$E$507,I2063))=1,INDEX('Staff Review'!$E$8:$E$507,I2063)&gt;0,INDEX('Staff Review'!$E$8:$E$507,I2063)&lt;='Top 25'!$E$5,'Top 25'!$E$5-INDEX('Staff Review'!$E$8:$E$507,I2063)&lt;='Top 25'!$H$5,LEN(INDEX('Staff Review'!$H$8:$H$507,I2063))&gt;0),"Yes","No"))</f>
        <v>No</v>
      </c>
      <c r="AJ2063" s="1" t="str">
        <f>IF(I2063=0,"No",IF(COUNT(INDEX('Staff Review'!$F$8:$F$507,I2063))&lt;&gt;1,"No",IF(AND(INDEX('Staff Review'!$F$8:$F$507,I2063)&gt;=0,MOD(INDEX('Staff Review'!$F$8:$F$507,I2063),1)=0,COUNT(INDEX('Staff Review'!$G$8:$G$507,I2063))=1,INDEX('Staff Review'!$G$8:$G$507,I2063)&gt;0,INDEX('Staff Review'!$G$8:$G$507,I2063)&lt;='Top 25'!$E$5,'Top 25'!$E$5-INDEX('Staff Review'!$G$8:$G$507,I2063)&lt;='Top 25'!$H$5,LEN(INDEX('Staff Review'!$H$8:$H$507,I2063))&gt;0),"Yes","No")))</f>
        <v>No</v>
      </c>
      <c r="AK2063" s="1">
        <f t="shared" si="25"/>
        <v>1</v>
      </c>
      <c r="AL2063" s="1">
        <f t="shared" ca="1" si="26"/>
        <v>1</v>
      </c>
      <c r="AM2063" s="1">
        <f t="shared" si="27"/>
        <v>1290</v>
      </c>
      <c r="AN2063" s="1">
        <f t="shared" si="28"/>
        <v>13</v>
      </c>
      <c r="AO2063">
        <f t="shared" ca="1" si="29"/>
        <v>95</v>
      </c>
      <c r="AP2063" s="105">
        <f ca="1">IF(AND(AL2063=1,OR('Top 25'!$A$10="All",C2063='Top 25'!$A$10),OR('Top 25'!$D$10="All",D2063='Top 25'!$D$10)),1,0)</f>
        <v>0</v>
      </c>
      <c r="AQ2063" s="105" t="str">
        <f ca="1">IF(AP2063=0,"",CHOOSE(MATCH('Top 25'!$G$10,{"Priority score","Economic need","Enrollment","Fresh miles","Nearby resources"},0),T2063,G2063,F2063,K2063,L2063))</f>
        <v/>
      </c>
      <c r="AR2063" s="105" t="str">
        <f ca="1">IF(AP2063=0,"",1+COUNTIFS($AP$2051:$AP$2550,1,$AQ$2051:$AQ$2550,IF('Top 25'!$J$10="Ascending","&lt;","&gt;")&amp;AQ2063)+COUNTIFS($AP$2051:$AP$2550,1,$AQ$2051:$AQ$2550,AQ2063,$W$2051:$W$2550,"&lt;"&amp;W2063))</f>
        <v/>
      </c>
      <c r="AT2063" s="105">
        <f ca="1">IF(AND(AL2063=1,OR(Master_rankableSchools!$A$10="All",C2063=Master_rankableSchools!$A$10),OR(Master_rankableSchools!$D$10="All",D2063=Master_rankableSchools!$D$10)),1,0)</f>
        <v>1</v>
      </c>
      <c r="AU2063" s="105">
        <f ca="1">IF(AT2063=0,"",CHOOSE(MATCH(Master_rankableSchools!$G$10,{"Priority score","Economic need","Enrollment","Fresh miles","Nearby resources"},0),T2063,G2063,F2063,K2063,L2063))</f>
        <v>43</v>
      </c>
      <c r="AV2063" s="105">
        <f ca="1">IF(AT2063=0,"",1+COUNTIFS($AT$2051:$AT$2550,1,$AU$2051:$AU$2550,IF(Master_rankableSchools!$J$10="Ascending","&lt;","&gt;")&amp;AU2063)+COUNTIFS($AT$2051:$AT$2550,1,$AU$2051:$AU$2550,AU2063,$W$2051:$W$2550,"&lt;"&amp;W2063))</f>
        <v>95</v>
      </c>
    </row>
    <row r="2064" spans="1:48" ht="22" customHeight="1">
      <c r="A2064" s="1" t="str">
        <f t="shared" si="0"/>
        <v>1300</v>
      </c>
      <c r="B2064" s="1" t="str">
        <f t="shared" si="1"/>
        <v>Avery D. Harrington School</v>
      </c>
      <c r="C2064" s="1" t="str">
        <f t="shared" si="2"/>
        <v>District</v>
      </c>
      <c r="D2064" s="1" t="str">
        <f t="shared" si="3"/>
        <v>Elementary-Middle</v>
      </c>
      <c r="E2064" s="1" t="str">
        <f t="shared" si="4"/>
        <v>19143</v>
      </c>
      <c r="F2064" s="1">
        <f t="shared" si="5"/>
        <v>259</v>
      </c>
      <c r="G2064" s="1">
        <f t="shared" si="6"/>
        <v>0.874</v>
      </c>
      <c r="H2064" s="1" t="str">
        <f t="shared" si="7"/>
        <v>Yes</v>
      </c>
      <c r="I2064" s="1">
        <f>IF(OR(A2064="",COUNTIFS('Staff Review'!$A$8:$A$507,A2064)&lt;&gt;1),0,MATCH(A2064,'Staff Review'!$A$8:$A$507,0))</f>
        <v>25</v>
      </c>
      <c r="J2064" s="1" t="str">
        <f>IF(I2064=0,"No",IF(INDEX('Staff Review'!$C$8:$C$507,I2064)="Yes","Yes","No"))</f>
        <v>No</v>
      </c>
      <c r="K2064" s="1">
        <f ca="1">IF(AI2064="Yes",INDEX('Staff Review'!$D$8:$D$507,I2064),IF(AB2064=0,"",IF(COUNT(INDEX($C$1531:$C$2030,AB2064))=1,INDEX($C$1531:$C$2030,AB2064),"")))</f>
        <v>0.37990796000976218</v>
      </c>
      <c r="L2064" s="1">
        <f>IF(AJ2064="Yes",INDEX('Staff Review'!$F$8:$F$507,I2064),IF(AB2064=0,"",IF(COUNT(INDEX($G$1531:$G$2030,AB2064))=1,INDEX($G$1531:$G$2030,AB2064),"")))</f>
        <v>11</v>
      </c>
      <c r="M2064" s="1" t="str">
        <f t="shared" ca="1" si="8"/>
        <v>Listed</v>
      </c>
      <c r="N2064" s="1" t="str">
        <f t="shared" si="9"/>
        <v>Listed</v>
      </c>
      <c r="O2064" s="1">
        <f t="shared" si="10"/>
        <v>25</v>
      </c>
      <c r="P2064" s="1">
        <f t="shared" ca="1" si="11"/>
        <v>10</v>
      </c>
      <c r="Q2064" s="1">
        <f t="shared" si="12"/>
        <v>0</v>
      </c>
      <c r="R2064" s="1">
        <f t="shared" si="13"/>
        <v>2</v>
      </c>
      <c r="S2064" s="1">
        <f t="shared" ca="1" si="14"/>
        <v>37</v>
      </c>
      <c r="T2064" s="1">
        <f ca="1">IF(OR(COUNT(O2064:R2064)&lt;&gt;4,COUNT('Top 25'!$B$45:$E$45)&lt;&gt;4,MIN('Top 25'!$B$45:$E$45)&lt;0,SUM('Top 25'!$B$45:$E$45)&lt;=0),"",ROUND(85*(O2064/30*'Top 25'!$B$45+P2064/25*'Top 25'!$C$45+Q2064/25*'Top 25'!$D$45+R2064/5*'Top 25'!$E$45)/SUM('Top 25'!$B$45:$E$45),6))</f>
        <v>37</v>
      </c>
      <c r="U2064" s="1" t="str">
        <f t="shared" ca="1" si="15"/>
        <v>Listed</v>
      </c>
      <c r="V2064" s="1" t="str">
        <f ca="1">IF(A2064="","",IF(AK2064&lt;&gt;1,"Duplicate source ID",IF(COUNTIFS('Staff Review'!$A$8:$A$507,A2064)&gt;1,"Duplicate review ID",IF(H2064&lt;&gt;"Yes","Outside scope",IF(J2064="Yes","Already served",IF(NOT(ISNUMBER(T2064)),"Missing data","Candidate"))))))</f>
        <v>Candidate</v>
      </c>
      <c r="W2064" s="1">
        <f t="shared" ca="1" si="16"/>
        <v>189</v>
      </c>
      <c r="X2064" s="1">
        <f t="shared" ca="1" si="17"/>
        <v>182</v>
      </c>
      <c r="Y2064" s="1">
        <f ca="1">IF(AND(H2064="Yes",OR(LEN('School Search'!$B$5)=0,ISNUMBER(SEARCH('School Search'!$B$5,B2064&amp;" "&amp;E2064&amp;" "&amp;A2064))),OR('School Search'!$D$5="All",C2064='School Search'!$D$5),OR('School Search'!$G$5="All eligible",AND('School Search'!$G$5="Not marked served",J2064&lt;&gt;"Yes"),AND('School Search'!$G$5="Missing data",V2064="Missing data"),AND('School Search'!$G$5="Marked served",J2064="Yes"))),1,0)</f>
        <v>1</v>
      </c>
      <c r="Z2064" s="1">
        <f ca="1">IF(Y2064=0,"",COUNTIFS($Y$2051:$Y$2550,1,$AO$2051:$AO$2550,"&lt;"&amp;AO2064)+COUNTIFS($Y$2051:Y2064,1,$AO$2051:AO2064,AO2064))</f>
        <v>189</v>
      </c>
      <c r="AA2064" s="1" t="str">
        <f t="shared" ca="1" si="18"/>
        <v>87% economic need; 0.38 mi fresh access; 11 nearby resources</v>
      </c>
      <c r="AB2064" s="1">
        <f t="shared" si="19"/>
        <v>14</v>
      </c>
      <c r="AC2064" s="1" t="str">
        <f t="shared" si="20"/>
        <v>Cousin's Fresh Market 3 Llc</v>
      </c>
      <c r="AD2064" s="1" t="str">
        <f t="shared" si="21"/>
        <v>5704 Baltimore Ave, Philadelphia, PA, 19143</v>
      </c>
      <c r="AE2064" s="1" t="str">
        <f t="shared" si="22"/>
        <v>5300 BALTIMORE AVE</v>
      </c>
      <c r="AF2064" s="1">
        <f t="shared" si="23"/>
        <v>39.947365169999998</v>
      </c>
      <c r="AG2064" s="1">
        <f t="shared" si="24"/>
        <v>-75.230595080000001</v>
      </c>
      <c r="AH2064" s="1" t="str">
        <f>IF(I2064=0,"Not contacted",IF(INDEX('Staff Review'!$J$8:$J$507,I2064)="","Not contacted",INDEX('Staff Review'!$J$8:$J$507,I2064)))</f>
        <v>Not contacted</v>
      </c>
      <c r="AI2064" s="1" t="str">
        <f ca="1">IF(I2064=0,"No",IF(AND(COUNT(INDEX('Staff Review'!$D$8:$D$507,I2064))=1,INDEX('Staff Review'!$D$8:$D$507,I2064)&gt;=0,COUNT(INDEX('Staff Review'!$E$8:$E$507,I2064))=1,INDEX('Staff Review'!$E$8:$E$507,I2064)&gt;0,INDEX('Staff Review'!$E$8:$E$507,I2064)&lt;='Top 25'!$E$5,'Top 25'!$E$5-INDEX('Staff Review'!$E$8:$E$507,I2064)&lt;='Top 25'!$H$5,LEN(INDEX('Staff Review'!$H$8:$H$507,I2064))&gt;0),"Yes","No"))</f>
        <v>No</v>
      </c>
      <c r="AJ2064" s="1" t="str">
        <f>IF(I2064=0,"No",IF(COUNT(INDEX('Staff Review'!$F$8:$F$507,I2064))&lt;&gt;1,"No",IF(AND(INDEX('Staff Review'!$F$8:$F$507,I2064)&gt;=0,MOD(INDEX('Staff Review'!$F$8:$F$507,I2064),1)=0,COUNT(INDEX('Staff Review'!$G$8:$G$507,I2064))=1,INDEX('Staff Review'!$G$8:$G$507,I2064)&gt;0,INDEX('Staff Review'!$G$8:$G$507,I2064)&lt;='Top 25'!$E$5,'Top 25'!$E$5-INDEX('Staff Review'!$G$8:$G$507,I2064)&lt;='Top 25'!$H$5,LEN(INDEX('Staff Review'!$H$8:$H$507,I2064))&gt;0),"Yes","No")))</f>
        <v>No</v>
      </c>
      <c r="AK2064" s="1">
        <f t="shared" si="25"/>
        <v>1</v>
      </c>
      <c r="AL2064" s="1">
        <f t="shared" ca="1" si="26"/>
        <v>1</v>
      </c>
      <c r="AM2064" s="1">
        <f t="shared" si="27"/>
        <v>1300</v>
      </c>
      <c r="AN2064" s="1">
        <f t="shared" si="28"/>
        <v>14</v>
      </c>
      <c r="AO2064">
        <f t="shared" ca="1" si="29"/>
        <v>189</v>
      </c>
      <c r="AP2064" s="105">
        <f ca="1">IF(AND(AL2064=1,OR('Top 25'!$A$10="All",C2064='Top 25'!$A$10),OR('Top 25'!$D$10="All",D2064='Top 25'!$D$10)),1,0)</f>
        <v>0</v>
      </c>
      <c r="AQ2064" s="105" t="str">
        <f ca="1">IF(AP2064=0,"",CHOOSE(MATCH('Top 25'!$G$10,{"Priority score","Economic need","Enrollment","Fresh miles","Nearby resources"},0),T2064,G2064,F2064,K2064,L2064))</f>
        <v/>
      </c>
      <c r="AR2064" s="105" t="str">
        <f ca="1">IF(AP2064=0,"",1+COUNTIFS($AP$2051:$AP$2550,1,$AQ$2051:$AQ$2550,IF('Top 25'!$J$10="Ascending","&lt;","&gt;")&amp;AQ2064)+COUNTIFS($AP$2051:$AP$2550,1,$AQ$2051:$AQ$2550,AQ2064,$W$2051:$W$2550,"&lt;"&amp;W2064))</f>
        <v/>
      </c>
      <c r="AT2064" s="105">
        <f ca="1">IF(AND(AL2064=1,OR(Master_rankableSchools!$A$10="All",C2064=Master_rankableSchools!$A$10),OR(Master_rankableSchools!$D$10="All",D2064=Master_rankableSchools!$D$10)),1,0)</f>
        <v>1</v>
      </c>
      <c r="AU2064" s="105">
        <f ca="1">IF(AT2064=0,"",CHOOSE(MATCH(Master_rankableSchools!$G$10,{"Priority score","Economic need","Enrollment","Fresh miles","Nearby resources"},0),T2064,G2064,F2064,K2064,L2064))</f>
        <v>37</v>
      </c>
      <c r="AV2064" s="105">
        <f ca="1">IF(AT2064=0,"",1+COUNTIFS($AT$2051:$AT$2550,1,$AU$2051:$AU$2550,IF(Master_rankableSchools!$J$10="Ascending","&lt;","&gt;")&amp;AU2064)+COUNTIFS($AT$2051:$AT$2550,1,$AU$2051:$AU$2550,AU2064,$W$2051:$W$2550,"&lt;"&amp;W2064))</f>
        <v>189</v>
      </c>
    </row>
    <row r="2065" spans="1:48" ht="22" customHeight="1">
      <c r="A2065" s="1" t="str">
        <f t="shared" si="0"/>
        <v>1340</v>
      </c>
      <c r="B2065" s="1" t="str">
        <f t="shared" si="1"/>
        <v>Henry C. Lea School</v>
      </c>
      <c r="C2065" s="1" t="str">
        <f t="shared" si="2"/>
        <v>District</v>
      </c>
      <c r="D2065" s="1" t="str">
        <f t="shared" si="3"/>
        <v>Elementary-Middle</v>
      </c>
      <c r="E2065" s="1" t="str">
        <f t="shared" si="4"/>
        <v>19139</v>
      </c>
      <c r="F2065" s="1">
        <f t="shared" si="5"/>
        <v>463</v>
      </c>
      <c r="G2065" s="1">
        <f t="shared" si="6"/>
        <v>0.70809999999999995</v>
      </c>
      <c r="H2065" s="1" t="str">
        <f t="shared" si="7"/>
        <v>Yes</v>
      </c>
      <c r="I2065" s="1">
        <f>IF(OR(A2065="",COUNTIFS('Staff Review'!$A$8:$A$507,A2065)&lt;&gt;1),0,MATCH(A2065,'Staff Review'!$A$8:$A$507,0))</f>
        <v>110</v>
      </c>
      <c r="J2065" s="1" t="str">
        <f>IF(I2065=0,"No",IF(INDEX('Staff Review'!$C$8:$C$507,I2065)="Yes","Yes","No"))</f>
        <v>No</v>
      </c>
      <c r="K2065" s="1">
        <f ca="1">IF(AI2065="Yes",INDEX('Staff Review'!$D$8:$D$507,I2065),IF(AB2065=0,"",IF(COUNT(INDEX($C$1531:$C$2030,AB2065))=1,INDEX($C$1531:$C$2030,AB2065),"")))</f>
        <v>0.37371428105719978</v>
      </c>
      <c r="L2065" s="1">
        <f>IF(AJ2065="Yes",INDEX('Staff Review'!$F$8:$F$507,I2065),IF(AB2065=0,"",IF(COUNT(INDEX($G$1531:$G$2030,AB2065))=1,INDEX($G$1531:$G$2030,AB2065),"")))</f>
        <v>12</v>
      </c>
      <c r="M2065" s="1" t="str">
        <f t="shared" ca="1" si="8"/>
        <v>Listed</v>
      </c>
      <c r="N2065" s="1" t="str">
        <f t="shared" si="9"/>
        <v>Listed</v>
      </c>
      <c r="O2065" s="1">
        <f t="shared" si="10"/>
        <v>20</v>
      </c>
      <c r="P2065" s="1">
        <f t="shared" ca="1" si="11"/>
        <v>10</v>
      </c>
      <c r="Q2065" s="1">
        <f t="shared" si="12"/>
        <v>0</v>
      </c>
      <c r="R2065" s="1">
        <f t="shared" si="13"/>
        <v>3</v>
      </c>
      <c r="S2065" s="1">
        <f t="shared" ca="1" si="14"/>
        <v>33</v>
      </c>
      <c r="T2065" s="1">
        <f ca="1">IF(OR(COUNT(O2065:R2065)&lt;&gt;4,COUNT('Top 25'!$B$45:$E$45)&lt;&gt;4,MIN('Top 25'!$B$45:$E$45)&lt;0,SUM('Top 25'!$B$45:$E$45)&lt;=0),"",ROUND(85*(O2065/30*'Top 25'!$B$45+P2065/25*'Top 25'!$C$45+Q2065/25*'Top 25'!$D$45+R2065/5*'Top 25'!$E$45)/SUM('Top 25'!$B$45:$E$45),6))</f>
        <v>33</v>
      </c>
      <c r="U2065" s="1" t="str">
        <f t="shared" ca="1" si="15"/>
        <v>Listed</v>
      </c>
      <c r="V2065" s="1" t="str">
        <f ca="1">IF(A2065="","",IF(AK2065&lt;&gt;1,"Duplicate source ID",IF(COUNTIFS('Staff Review'!$A$8:$A$507,A2065)&gt;1,"Duplicate review ID",IF(H2065&lt;&gt;"Yes","Outside scope",IF(J2065="Yes","Already served",IF(NOT(ISNUMBER(T2065)),"Missing data","Candidate"))))))</f>
        <v>Candidate</v>
      </c>
      <c r="W2065" s="1">
        <f t="shared" ca="1" si="16"/>
        <v>241</v>
      </c>
      <c r="X2065" s="1">
        <f t="shared" ca="1" si="17"/>
        <v>233</v>
      </c>
      <c r="Y2065" s="1">
        <f ca="1">IF(AND(H2065="Yes",OR(LEN('School Search'!$B$5)=0,ISNUMBER(SEARCH('School Search'!$B$5,B2065&amp;" "&amp;E2065&amp;" "&amp;A2065))),OR('School Search'!$D$5="All",C2065='School Search'!$D$5),OR('School Search'!$G$5="All eligible",AND('School Search'!$G$5="Not marked served",J2065&lt;&gt;"Yes"),AND('School Search'!$G$5="Missing data",V2065="Missing data"),AND('School Search'!$G$5="Marked served",J2065="Yes"))),1,0)</f>
        <v>1</v>
      </c>
      <c r="Z2065" s="1">
        <f ca="1">IF(Y2065=0,"",COUNTIFS($Y$2051:$Y$2550,1,$AO$2051:$AO$2550,"&lt;"&amp;AO2065)+COUNTIFS($Y$2051:Y2065,1,$AO$2051:AO2065,AO2065))</f>
        <v>241</v>
      </c>
      <c r="AA2065" s="1" t="str">
        <f t="shared" ca="1" si="18"/>
        <v>71% economic need; 0.37 mi fresh access; 12 nearby resources</v>
      </c>
      <c r="AB2065" s="1">
        <f t="shared" si="19"/>
        <v>15</v>
      </c>
      <c r="AC2065" s="1" t="str">
        <f t="shared" si="20"/>
        <v>ALDI 54</v>
      </c>
      <c r="AD2065" s="1" t="str">
        <f t="shared" si="21"/>
        <v>4421 Market St, Philadelphia, PA, 19104</v>
      </c>
      <c r="AE2065" s="1" t="str">
        <f t="shared" si="22"/>
        <v>4700 LOCUST ST</v>
      </c>
      <c r="AF2065" s="1">
        <f t="shared" si="23"/>
        <v>39.954515000000001</v>
      </c>
      <c r="AG2065" s="1">
        <f t="shared" si="24"/>
        <v>-75.216346999999999</v>
      </c>
      <c r="AH2065" s="1" t="str">
        <f>IF(I2065=0,"Not contacted",IF(INDEX('Staff Review'!$J$8:$J$507,I2065)="","Not contacted",INDEX('Staff Review'!$J$8:$J$507,I2065)))</f>
        <v>Not contacted</v>
      </c>
      <c r="AI2065" s="1" t="str">
        <f ca="1">IF(I2065=0,"No",IF(AND(COUNT(INDEX('Staff Review'!$D$8:$D$507,I2065))=1,INDEX('Staff Review'!$D$8:$D$507,I2065)&gt;=0,COUNT(INDEX('Staff Review'!$E$8:$E$507,I2065))=1,INDEX('Staff Review'!$E$8:$E$507,I2065)&gt;0,INDEX('Staff Review'!$E$8:$E$507,I2065)&lt;='Top 25'!$E$5,'Top 25'!$E$5-INDEX('Staff Review'!$E$8:$E$507,I2065)&lt;='Top 25'!$H$5,LEN(INDEX('Staff Review'!$H$8:$H$507,I2065))&gt;0),"Yes","No"))</f>
        <v>No</v>
      </c>
      <c r="AJ2065" s="1" t="str">
        <f>IF(I2065=0,"No",IF(COUNT(INDEX('Staff Review'!$F$8:$F$507,I2065))&lt;&gt;1,"No",IF(AND(INDEX('Staff Review'!$F$8:$F$507,I2065)&gt;=0,MOD(INDEX('Staff Review'!$F$8:$F$507,I2065),1)=0,COUNT(INDEX('Staff Review'!$G$8:$G$507,I2065))=1,INDEX('Staff Review'!$G$8:$G$507,I2065)&gt;0,INDEX('Staff Review'!$G$8:$G$507,I2065)&lt;='Top 25'!$E$5,'Top 25'!$E$5-INDEX('Staff Review'!$G$8:$G$507,I2065)&lt;='Top 25'!$H$5,LEN(INDEX('Staff Review'!$H$8:$H$507,I2065))&gt;0),"Yes","No")))</f>
        <v>No</v>
      </c>
      <c r="AK2065" s="1">
        <f t="shared" si="25"/>
        <v>1</v>
      </c>
      <c r="AL2065" s="1">
        <f t="shared" ca="1" si="26"/>
        <v>1</v>
      </c>
      <c r="AM2065" s="1">
        <f t="shared" si="27"/>
        <v>1340</v>
      </c>
      <c r="AN2065" s="1">
        <f t="shared" si="28"/>
        <v>15</v>
      </c>
      <c r="AO2065">
        <f t="shared" ca="1" si="29"/>
        <v>241</v>
      </c>
      <c r="AP2065" s="105">
        <f ca="1">IF(AND(AL2065=1,OR('Top 25'!$A$10="All",C2065='Top 25'!$A$10),OR('Top 25'!$D$10="All",D2065='Top 25'!$D$10)),1,0)</f>
        <v>0</v>
      </c>
      <c r="AQ2065" s="105" t="str">
        <f ca="1">IF(AP2065=0,"",CHOOSE(MATCH('Top 25'!$G$10,{"Priority score","Economic need","Enrollment","Fresh miles","Nearby resources"},0),T2065,G2065,F2065,K2065,L2065))</f>
        <v/>
      </c>
      <c r="AR2065" s="105" t="str">
        <f ca="1">IF(AP2065=0,"",1+COUNTIFS($AP$2051:$AP$2550,1,$AQ$2051:$AQ$2550,IF('Top 25'!$J$10="Ascending","&lt;","&gt;")&amp;AQ2065)+COUNTIFS($AP$2051:$AP$2550,1,$AQ$2051:$AQ$2550,AQ2065,$W$2051:$W$2550,"&lt;"&amp;W2065))</f>
        <v/>
      </c>
      <c r="AT2065" s="105">
        <f ca="1">IF(AND(AL2065=1,OR(Master_rankableSchools!$A$10="All",C2065=Master_rankableSchools!$A$10),OR(Master_rankableSchools!$D$10="All",D2065=Master_rankableSchools!$D$10)),1,0)</f>
        <v>1</v>
      </c>
      <c r="AU2065" s="105">
        <f ca="1">IF(AT2065=0,"",CHOOSE(MATCH(Master_rankableSchools!$G$10,{"Priority score","Economic need","Enrollment","Fresh miles","Nearby resources"},0),T2065,G2065,F2065,K2065,L2065))</f>
        <v>33</v>
      </c>
      <c r="AV2065" s="105">
        <f ca="1">IF(AT2065=0,"",1+COUNTIFS($AT$2051:$AT$2550,1,$AU$2051:$AU$2550,IF(Master_rankableSchools!$J$10="Ascending","&lt;","&gt;")&amp;AU2065)+COUNTIFS($AT$2051:$AT$2550,1,$AU$2051:$AU$2550,AU2065,$W$2051:$W$2550,"&lt;"&amp;W2065))</f>
        <v>241</v>
      </c>
    </row>
    <row r="2066" spans="1:48" ht="22" customHeight="1">
      <c r="A2066" s="1" t="str">
        <f t="shared" si="0"/>
        <v>1350</v>
      </c>
      <c r="B2066" s="1" t="str">
        <f t="shared" si="1"/>
        <v>William C. Longstreth School</v>
      </c>
      <c r="C2066" s="1" t="str">
        <f t="shared" si="2"/>
        <v>District</v>
      </c>
      <c r="D2066" s="1" t="str">
        <f t="shared" si="3"/>
        <v>Elementary-Middle</v>
      </c>
      <c r="E2066" s="1" t="str">
        <f t="shared" si="4"/>
        <v>19143</v>
      </c>
      <c r="F2066" s="1">
        <f t="shared" si="5"/>
        <v>259</v>
      </c>
      <c r="G2066" s="1">
        <f t="shared" si="6"/>
        <v>0.89580000000000004</v>
      </c>
      <c r="H2066" s="1" t="str">
        <f t="shared" si="7"/>
        <v>Yes</v>
      </c>
      <c r="I2066" s="1">
        <f>IF(OR(A2066="",COUNTIFS('Staff Review'!$A$8:$A$507,A2066)&lt;&gt;1),0,MATCH(A2066,'Staff Review'!$A$8:$A$507,0))</f>
        <v>313</v>
      </c>
      <c r="J2066" s="1" t="str">
        <f>IF(I2066=0,"No",IF(INDEX('Staff Review'!$C$8:$C$507,I2066)="Yes","Yes","No"))</f>
        <v>No</v>
      </c>
      <c r="K2066" s="1">
        <f ca="1">IF(AI2066="Yes",INDEX('Staff Review'!$D$8:$D$507,I2066),IF(AB2066=0,"",IF(COUNT(INDEX($C$1531:$C$2030,AB2066))=1,INDEX($C$1531:$C$2030,AB2066),"")))</f>
        <v>0.45174624081432102</v>
      </c>
      <c r="L2066" s="1">
        <f>IF(AJ2066="Yes",INDEX('Staff Review'!$F$8:$F$507,I2066),IF(AB2066=0,"",IF(COUNT(INDEX($G$1531:$G$2030,AB2066))=1,INDEX($G$1531:$G$2030,AB2066),"")))</f>
        <v>8</v>
      </c>
      <c r="M2066" s="1" t="str">
        <f t="shared" ca="1" si="8"/>
        <v>Listed</v>
      </c>
      <c r="N2066" s="1" t="str">
        <f t="shared" si="9"/>
        <v>Listed</v>
      </c>
      <c r="O2066" s="1">
        <f t="shared" si="10"/>
        <v>25</v>
      </c>
      <c r="P2066" s="1">
        <f t="shared" ca="1" si="11"/>
        <v>10</v>
      </c>
      <c r="Q2066" s="1">
        <f t="shared" si="12"/>
        <v>0</v>
      </c>
      <c r="R2066" s="1">
        <f t="shared" si="13"/>
        <v>2</v>
      </c>
      <c r="S2066" s="1">
        <f t="shared" ca="1" si="14"/>
        <v>37</v>
      </c>
      <c r="T2066" s="1">
        <f ca="1">IF(OR(COUNT(O2066:R2066)&lt;&gt;4,COUNT('Top 25'!$B$45:$E$45)&lt;&gt;4,MIN('Top 25'!$B$45:$E$45)&lt;0,SUM('Top 25'!$B$45:$E$45)&lt;=0),"",ROUND(85*(O2066/30*'Top 25'!$B$45+P2066/25*'Top 25'!$C$45+Q2066/25*'Top 25'!$D$45+R2066/5*'Top 25'!$E$45)/SUM('Top 25'!$B$45:$E$45),6))</f>
        <v>37</v>
      </c>
      <c r="U2066" s="1" t="str">
        <f t="shared" ca="1" si="15"/>
        <v>Listed</v>
      </c>
      <c r="V2066" s="1" t="str">
        <f ca="1">IF(A2066="","",IF(AK2066&lt;&gt;1,"Duplicate source ID",IF(COUNTIFS('Staff Review'!$A$8:$A$507,A2066)&gt;1,"Duplicate review ID",IF(H2066&lt;&gt;"Yes","Outside scope",IF(J2066="Yes","Already served",IF(NOT(ISNUMBER(T2066)),"Missing data","Candidate"))))))</f>
        <v>Candidate</v>
      </c>
      <c r="W2066" s="1">
        <f t="shared" ca="1" si="16"/>
        <v>185</v>
      </c>
      <c r="X2066" s="1">
        <f t="shared" ca="1" si="17"/>
        <v>182</v>
      </c>
      <c r="Y2066" s="1">
        <f ca="1">IF(AND(H2066="Yes",OR(LEN('School Search'!$B$5)=0,ISNUMBER(SEARCH('School Search'!$B$5,B2066&amp;" "&amp;E2066&amp;" "&amp;A2066))),OR('School Search'!$D$5="All",C2066='School Search'!$D$5),OR('School Search'!$G$5="All eligible",AND('School Search'!$G$5="Not marked served",J2066&lt;&gt;"Yes"),AND('School Search'!$G$5="Missing data",V2066="Missing data"),AND('School Search'!$G$5="Marked served",J2066="Yes"))),1,0)</f>
        <v>1</v>
      </c>
      <c r="Z2066" s="1">
        <f ca="1">IF(Y2066=0,"",COUNTIFS($Y$2051:$Y$2550,1,$AO$2051:$AO$2550,"&lt;"&amp;AO2066)+COUNTIFS($Y$2051:Y2066,1,$AO$2051:AO2066,AO2066))</f>
        <v>185</v>
      </c>
      <c r="AA2066" s="1" t="str">
        <f t="shared" ca="1" si="18"/>
        <v>90% economic need; 0.45 mi fresh access; 8 nearby resources</v>
      </c>
      <c r="AB2066" s="1">
        <f t="shared" si="19"/>
        <v>16</v>
      </c>
      <c r="AC2066" s="1" t="str">
        <f t="shared" si="20"/>
        <v>Cousin's Fresh Market 3 Llc</v>
      </c>
      <c r="AD2066" s="1" t="str">
        <f t="shared" si="21"/>
        <v>5704 Baltimore Ave, Philadelphia, PA, 19143</v>
      </c>
      <c r="AE2066" s="1" t="str">
        <f t="shared" si="22"/>
        <v>5700 WILLOWS AVE</v>
      </c>
      <c r="AF2066" s="1">
        <f t="shared" si="23"/>
        <v>39.940908229999998</v>
      </c>
      <c r="AG2066" s="1">
        <f t="shared" si="24"/>
        <v>-75.232373159999995</v>
      </c>
      <c r="AH2066" s="1" t="str">
        <f>IF(I2066=0,"Not contacted",IF(INDEX('Staff Review'!$J$8:$J$507,I2066)="","Not contacted",INDEX('Staff Review'!$J$8:$J$507,I2066)))</f>
        <v>Not contacted</v>
      </c>
      <c r="AI2066" s="1" t="str">
        <f ca="1">IF(I2066=0,"No",IF(AND(COUNT(INDEX('Staff Review'!$D$8:$D$507,I2066))=1,INDEX('Staff Review'!$D$8:$D$507,I2066)&gt;=0,COUNT(INDEX('Staff Review'!$E$8:$E$507,I2066))=1,INDEX('Staff Review'!$E$8:$E$507,I2066)&gt;0,INDEX('Staff Review'!$E$8:$E$507,I2066)&lt;='Top 25'!$E$5,'Top 25'!$E$5-INDEX('Staff Review'!$E$8:$E$507,I2066)&lt;='Top 25'!$H$5,LEN(INDEX('Staff Review'!$H$8:$H$507,I2066))&gt;0),"Yes","No"))</f>
        <v>No</v>
      </c>
      <c r="AJ2066" s="1" t="str">
        <f>IF(I2066=0,"No",IF(COUNT(INDEX('Staff Review'!$F$8:$F$507,I2066))&lt;&gt;1,"No",IF(AND(INDEX('Staff Review'!$F$8:$F$507,I2066)&gt;=0,MOD(INDEX('Staff Review'!$F$8:$F$507,I2066),1)=0,COUNT(INDEX('Staff Review'!$G$8:$G$507,I2066))=1,INDEX('Staff Review'!$G$8:$G$507,I2066)&gt;0,INDEX('Staff Review'!$G$8:$G$507,I2066)&lt;='Top 25'!$E$5,'Top 25'!$E$5-INDEX('Staff Review'!$G$8:$G$507,I2066)&lt;='Top 25'!$H$5,LEN(INDEX('Staff Review'!$H$8:$H$507,I2066))&gt;0),"Yes","No")))</f>
        <v>No</v>
      </c>
      <c r="AK2066" s="1">
        <f t="shared" si="25"/>
        <v>1</v>
      </c>
      <c r="AL2066" s="1">
        <f t="shared" ca="1" si="26"/>
        <v>1</v>
      </c>
      <c r="AM2066" s="1">
        <f t="shared" si="27"/>
        <v>1350</v>
      </c>
      <c r="AN2066" s="1">
        <f t="shared" si="28"/>
        <v>16</v>
      </c>
      <c r="AO2066">
        <f t="shared" ca="1" si="29"/>
        <v>185</v>
      </c>
      <c r="AP2066" s="105">
        <f ca="1">IF(AND(AL2066=1,OR('Top 25'!$A$10="All",C2066='Top 25'!$A$10),OR('Top 25'!$D$10="All",D2066='Top 25'!$D$10)),1,0)</f>
        <v>0</v>
      </c>
      <c r="AQ2066" s="105" t="str">
        <f ca="1">IF(AP2066=0,"",CHOOSE(MATCH('Top 25'!$G$10,{"Priority score","Economic need","Enrollment","Fresh miles","Nearby resources"},0),T2066,G2066,F2066,K2066,L2066))</f>
        <v/>
      </c>
      <c r="AR2066" s="105" t="str">
        <f ca="1">IF(AP2066=0,"",1+COUNTIFS($AP$2051:$AP$2550,1,$AQ$2051:$AQ$2550,IF('Top 25'!$J$10="Ascending","&lt;","&gt;")&amp;AQ2066)+COUNTIFS($AP$2051:$AP$2550,1,$AQ$2051:$AQ$2550,AQ2066,$W$2051:$W$2550,"&lt;"&amp;W2066))</f>
        <v/>
      </c>
      <c r="AT2066" s="105">
        <f ca="1">IF(AND(AL2066=1,OR(Master_rankableSchools!$A$10="All",C2066=Master_rankableSchools!$A$10),OR(Master_rankableSchools!$D$10="All",D2066=Master_rankableSchools!$D$10)),1,0)</f>
        <v>1</v>
      </c>
      <c r="AU2066" s="105">
        <f ca="1">IF(AT2066=0,"",CHOOSE(MATCH(Master_rankableSchools!$G$10,{"Priority score","Economic need","Enrollment","Fresh miles","Nearby resources"},0),T2066,G2066,F2066,K2066,L2066))</f>
        <v>37</v>
      </c>
      <c r="AV2066" s="105">
        <f ca="1">IF(AT2066=0,"",1+COUNTIFS($AT$2051:$AT$2550,1,$AU$2051:$AU$2550,IF(Master_rankableSchools!$J$10="Ascending","&lt;","&gt;")&amp;AU2066)+COUNTIFS($AT$2051:$AT$2550,1,$AU$2051:$AU$2550,AU2066,$W$2051:$W$2550,"&lt;"&amp;W2066))</f>
        <v>185</v>
      </c>
    </row>
    <row r="2067" spans="1:48" ht="22" customHeight="1">
      <c r="A2067" s="1" t="str">
        <f t="shared" si="0"/>
        <v>1360</v>
      </c>
      <c r="B2067" s="1" t="str">
        <f t="shared" si="1"/>
        <v>Morton McMichael School</v>
      </c>
      <c r="C2067" s="1" t="str">
        <f t="shared" si="2"/>
        <v>District</v>
      </c>
      <c r="D2067" s="1" t="str">
        <f t="shared" si="3"/>
        <v>Elementary-Middle</v>
      </c>
      <c r="E2067" s="1" t="str">
        <f t="shared" si="4"/>
        <v>19104</v>
      </c>
      <c r="F2067" s="1">
        <f t="shared" si="5"/>
        <v>286</v>
      </c>
      <c r="G2067" s="1">
        <f t="shared" si="6"/>
        <v>0.9264</v>
      </c>
      <c r="H2067" s="1" t="str">
        <f t="shared" si="7"/>
        <v>Yes</v>
      </c>
      <c r="I2067" s="1">
        <f>IF(OR(A2067="",COUNTIFS('Staff Review'!$A$8:$A$507,A2067)&lt;&gt;1),0,MATCH(A2067,'Staff Review'!$A$8:$A$507,0))</f>
        <v>200</v>
      </c>
      <c r="J2067" s="1" t="str">
        <f>IF(I2067=0,"No",IF(INDEX('Staff Review'!$C$8:$C$507,I2067)="Yes","Yes","No"))</f>
        <v>No</v>
      </c>
      <c r="K2067" s="1">
        <f ca="1">IF(AI2067="Yes",INDEX('Staff Review'!$D$8:$D$507,I2067),IF(AB2067=0,"",IF(COUNT(INDEX($C$1531:$C$2030,AB2067))=1,INDEX($C$1531:$C$2030,AB2067),"")))</f>
        <v>0.7139799402420749</v>
      </c>
      <c r="L2067" s="1">
        <f>IF(AJ2067="Yes",INDEX('Staff Review'!$F$8:$F$507,I2067),IF(AB2067=0,"",IF(COUNT(INDEX($G$1531:$G$2030,AB2067))=1,INDEX($G$1531:$G$2030,AB2067),"")))</f>
        <v>11</v>
      </c>
      <c r="M2067" s="1" t="str">
        <f t="shared" ca="1" si="8"/>
        <v>Listed</v>
      </c>
      <c r="N2067" s="1" t="str">
        <f t="shared" si="9"/>
        <v>Listed</v>
      </c>
      <c r="O2067" s="1">
        <f t="shared" si="10"/>
        <v>30</v>
      </c>
      <c r="P2067" s="1">
        <f t="shared" ca="1" si="11"/>
        <v>15</v>
      </c>
      <c r="Q2067" s="1">
        <f t="shared" si="12"/>
        <v>0</v>
      </c>
      <c r="R2067" s="1">
        <f t="shared" si="13"/>
        <v>2</v>
      </c>
      <c r="S2067" s="1">
        <f t="shared" ca="1" si="14"/>
        <v>47</v>
      </c>
      <c r="T2067" s="1">
        <f ca="1">IF(OR(COUNT(O2067:R2067)&lt;&gt;4,COUNT('Top 25'!$B$45:$E$45)&lt;&gt;4,MIN('Top 25'!$B$45:$E$45)&lt;0,SUM('Top 25'!$B$45:$E$45)&lt;=0),"",ROUND(85*(O2067/30*'Top 25'!$B$45+P2067/25*'Top 25'!$C$45+Q2067/25*'Top 25'!$D$45+R2067/5*'Top 25'!$E$45)/SUM('Top 25'!$B$45:$E$45),6))</f>
        <v>47</v>
      </c>
      <c r="U2067" s="1" t="str">
        <f t="shared" ca="1" si="15"/>
        <v>Listed</v>
      </c>
      <c r="V2067" s="1" t="str">
        <f ca="1">IF(A2067="","",IF(AK2067&lt;&gt;1,"Duplicate source ID",IF(COUNTIFS('Staff Review'!$A$8:$A$507,A2067)&gt;1,"Duplicate review ID",IF(H2067&lt;&gt;"Yes","Outside scope",IF(J2067="Yes","Already served",IF(NOT(ISNUMBER(T2067)),"Missing data","Candidate"))))))</f>
        <v>Candidate</v>
      </c>
      <c r="W2067" s="1">
        <f t="shared" ca="1" si="16"/>
        <v>64</v>
      </c>
      <c r="X2067" s="1">
        <f t="shared" ca="1" si="17"/>
        <v>64</v>
      </c>
      <c r="Y2067" s="1">
        <f ca="1">IF(AND(H2067="Yes",OR(LEN('School Search'!$B$5)=0,ISNUMBER(SEARCH('School Search'!$B$5,B2067&amp;" "&amp;E2067&amp;" "&amp;A2067))),OR('School Search'!$D$5="All",C2067='School Search'!$D$5),OR('School Search'!$G$5="All eligible",AND('School Search'!$G$5="Not marked served",J2067&lt;&gt;"Yes"),AND('School Search'!$G$5="Missing data",V2067="Missing data"),AND('School Search'!$G$5="Marked served",J2067="Yes"))),1,0)</f>
        <v>1</v>
      </c>
      <c r="Z2067" s="1">
        <f ca="1">IF(Y2067=0,"",COUNTIFS($Y$2051:$Y$2550,1,$AO$2051:$AO$2550,"&lt;"&amp;AO2067)+COUNTIFS($Y$2051:Y2067,1,$AO$2051:AO2067,AO2067))</f>
        <v>64</v>
      </c>
      <c r="AA2067" s="1" t="str">
        <f t="shared" ca="1" si="18"/>
        <v>93% economic need; 0.71 mi fresh access; 11 nearby resources</v>
      </c>
      <c r="AB2067" s="1">
        <f t="shared" si="19"/>
        <v>17</v>
      </c>
      <c r="AC2067" s="1" t="str">
        <f t="shared" si="20"/>
        <v>Aldi 43</v>
      </c>
      <c r="AD2067" s="1" t="str">
        <f t="shared" si="21"/>
        <v>3101 W Girard Ave, Philadelphia, PA, 19130</v>
      </c>
      <c r="AE2067" s="1" t="str">
        <f t="shared" si="22"/>
        <v>3543 FAIRMOUNT AVE</v>
      </c>
      <c r="AF2067" s="1">
        <f t="shared" si="23"/>
        <v>39.966197270000002</v>
      </c>
      <c r="AG2067" s="1">
        <f t="shared" si="24"/>
        <v>-75.194114870000007</v>
      </c>
      <c r="AH2067" s="1" t="str">
        <f>IF(I2067=0,"Not contacted",IF(INDEX('Staff Review'!$J$8:$J$507,I2067)="","Not contacted",INDEX('Staff Review'!$J$8:$J$507,I2067)))</f>
        <v>Not contacted</v>
      </c>
      <c r="AI2067" s="1" t="str">
        <f ca="1">IF(I2067=0,"No",IF(AND(COUNT(INDEX('Staff Review'!$D$8:$D$507,I2067))=1,INDEX('Staff Review'!$D$8:$D$507,I2067)&gt;=0,COUNT(INDEX('Staff Review'!$E$8:$E$507,I2067))=1,INDEX('Staff Review'!$E$8:$E$507,I2067)&gt;0,INDEX('Staff Review'!$E$8:$E$507,I2067)&lt;='Top 25'!$E$5,'Top 25'!$E$5-INDEX('Staff Review'!$E$8:$E$507,I2067)&lt;='Top 25'!$H$5,LEN(INDEX('Staff Review'!$H$8:$H$507,I2067))&gt;0),"Yes","No"))</f>
        <v>No</v>
      </c>
      <c r="AJ2067" s="1" t="str">
        <f>IF(I2067=0,"No",IF(COUNT(INDEX('Staff Review'!$F$8:$F$507,I2067))&lt;&gt;1,"No",IF(AND(INDEX('Staff Review'!$F$8:$F$507,I2067)&gt;=0,MOD(INDEX('Staff Review'!$F$8:$F$507,I2067),1)=0,COUNT(INDEX('Staff Review'!$G$8:$G$507,I2067))=1,INDEX('Staff Review'!$G$8:$G$507,I2067)&gt;0,INDEX('Staff Review'!$G$8:$G$507,I2067)&lt;='Top 25'!$E$5,'Top 25'!$E$5-INDEX('Staff Review'!$G$8:$G$507,I2067)&lt;='Top 25'!$H$5,LEN(INDEX('Staff Review'!$H$8:$H$507,I2067))&gt;0),"Yes","No")))</f>
        <v>No</v>
      </c>
      <c r="AK2067" s="1">
        <f t="shared" si="25"/>
        <v>1</v>
      </c>
      <c r="AL2067" s="1">
        <f t="shared" ca="1" si="26"/>
        <v>1</v>
      </c>
      <c r="AM2067" s="1">
        <f t="shared" si="27"/>
        <v>1360</v>
      </c>
      <c r="AN2067" s="1">
        <f t="shared" si="28"/>
        <v>17</v>
      </c>
      <c r="AO2067">
        <f t="shared" ca="1" si="29"/>
        <v>64</v>
      </c>
      <c r="AP2067" s="105">
        <f ca="1">IF(AND(AL2067=1,OR('Top 25'!$A$10="All",C2067='Top 25'!$A$10),OR('Top 25'!$D$10="All",D2067='Top 25'!$D$10)),1,0)</f>
        <v>0</v>
      </c>
      <c r="AQ2067" s="105" t="str">
        <f ca="1">IF(AP2067=0,"",CHOOSE(MATCH('Top 25'!$G$10,{"Priority score","Economic need","Enrollment","Fresh miles","Nearby resources"},0),T2067,G2067,F2067,K2067,L2067))</f>
        <v/>
      </c>
      <c r="AR2067" s="105" t="str">
        <f ca="1">IF(AP2067=0,"",1+COUNTIFS($AP$2051:$AP$2550,1,$AQ$2051:$AQ$2550,IF('Top 25'!$J$10="Ascending","&lt;","&gt;")&amp;AQ2067)+COUNTIFS($AP$2051:$AP$2550,1,$AQ$2051:$AQ$2550,AQ2067,$W$2051:$W$2550,"&lt;"&amp;W2067))</f>
        <v/>
      </c>
      <c r="AT2067" s="105">
        <f ca="1">IF(AND(AL2067=1,OR(Master_rankableSchools!$A$10="All",C2067=Master_rankableSchools!$A$10),OR(Master_rankableSchools!$D$10="All",D2067=Master_rankableSchools!$D$10)),1,0)</f>
        <v>1</v>
      </c>
      <c r="AU2067" s="105">
        <f ca="1">IF(AT2067=0,"",CHOOSE(MATCH(Master_rankableSchools!$G$10,{"Priority score","Economic need","Enrollment","Fresh miles","Nearby resources"},0),T2067,G2067,F2067,K2067,L2067))</f>
        <v>47</v>
      </c>
      <c r="AV2067" s="105">
        <f ca="1">IF(AT2067=0,"",1+COUNTIFS($AT$2051:$AT$2550,1,$AU$2051:$AU$2550,IF(Master_rankableSchools!$J$10="Ascending","&lt;","&gt;")&amp;AU2067)+COUNTIFS($AT$2051:$AT$2550,1,$AU$2051:$AU$2550,AU2067,$W$2051:$W$2550,"&lt;"&amp;W2067))</f>
        <v>64</v>
      </c>
    </row>
    <row r="2068" spans="1:48" ht="22" customHeight="1">
      <c r="A2068" s="1" t="str">
        <f t="shared" si="0"/>
        <v>1370</v>
      </c>
      <c r="B2068" s="1" t="str">
        <f t="shared" si="1"/>
        <v>S. Weir Mitchell School</v>
      </c>
      <c r="C2068" s="1" t="str">
        <f t="shared" si="2"/>
        <v>District</v>
      </c>
      <c r="D2068" s="1" t="str">
        <f t="shared" si="3"/>
        <v>Elementary-Middle</v>
      </c>
      <c r="E2068" s="1" t="str">
        <f t="shared" si="4"/>
        <v>19143</v>
      </c>
      <c r="F2068" s="1">
        <f t="shared" si="5"/>
        <v>271</v>
      </c>
      <c r="G2068" s="1">
        <f t="shared" si="6"/>
        <v>0.87260000000000004</v>
      </c>
      <c r="H2068" s="1" t="str">
        <f t="shared" si="7"/>
        <v>Yes</v>
      </c>
      <c r="I2068" s="1">
        <f>IF(OR(A2068="",COUNTIFS('Staff Review'!$A$8:$A$507,A2068)&lt;&gt;1),0,MATCH(A2068,'Staff Review'!$A$8:$A$507,0))</f>
        <v>259</v>
      </c>
      <c r="J2068" s="1" t="str">
        <f>IF(I2068=0,"No",IF(INDEX('Staff Review'!$C$8:$C$507,I2068)="Yes","Yes","No"))</f>
        <v>No</v>
      </c>
      <c r="K2068" s="1">
        <f ca="1">IF(AI2068="Yes",INDEX('Staff Review'!$D$8:$D$507,I2068),IF(AB2068=0,"",IF(COUNT(INDEX($C$1531:$C$2030,AB2068))=1,INDEX($C$1531:$C$2030,AB2068),"")))</f>
        <v>0.33494930534260714</v>
      </c>
      <c r="L2068" s="1">
        <f>IF(AJ2068="Yes",INDEX('Staff Review'!$F$8:$F$507,I2068),IF(AB2068=0,"",IF(COUNT(INDEX($G$1531:$G$2030,AB2068))=1,INDEX($G$1531:$G$2030,AB2068),"")))</f>
        <v>9</v>
      </c>
      <c r="M2068" s="1" t="str">
        <f t="shared" ca="1" si="8"/>
        <v>Listed</v>
      </c>
      <c r="N2068" s="1" t="str">
        <f t="shared" si="9"/>
        <v>Listed</v>
      </c>
      <c r="O2068" s="1">
        <f t="shared" si="10"/>
        <v>25</v>
      </c>
      <c r="P2068" s="1">
        <f t="shared" ca="1" si="11"/>
        <v>10</v>
      </c>
      <c r="Q2068" s="1">
        <f t="shared" si="12"/>
        <v>0</v>
      </c>
      <c r="R2068" s="1">
        <f t="shared" si="13"/>
        <v>2</v>
      </c>
      <c r="S2068" s="1">
        <f t="shared" ca="1" si="14"/>
        <v>37</v>
      </c>
      <c r="T2068" s="1">
        <f ca="1">IF(OR(COUNT(O2068:R2068)&lt;&gt;4,COUNT('Top 25'!$B$45:$E$45)&lt;&gt;4,MIN('Top 25'!$B$45:$E$45)&lt;0,SUM('Top 25'!$B$45:$E$45)&lt;=0),"",ROUND(85*(O2068/30*'Top 25'!$B$45+P2068/25*'Top 25'!$C$45+Q2068/25*'Top 25'!$D$45+R2068/5*'Top 25'!$E$45)/SUM('Top 25'!$B$45:$E$45),6))</f>
        <v>37</v>
      </c>
      <c r="U2068" s="1" t="str">
        <f t="shared" ca="1" si="15"/>
        <v>Listed</v>
      </c>
      <c r="V2068" s="1" t="str">
        <f ca="1">IF(A2068="","",IF(AK2068&lt;&gt;1,"Duplicate source ID",IF(COUNTIFS('Staff Review'!$A$8:$A$507,A2068)&gt;1,"Duplicate review ID",IF(H2068&lt;&gt;"Yes","Outside scope",IF(J2068="Yes","Already served",IF(NOT(ISNUMBER(T2068)),"Missing data","Candidate"))))))</f>
        <v>Candidate</v>
      </c>
      <c r="W2068" s="1">
        <f t="shared" ca="1" si="16"/>
        <v>192</v>
      </c>
      <c r="X2068" s="1">
        <f t="shared" ca="1" si="17"/>
        <v>182</v>
      </c>
      <c r="Y2068" s="1">
        <f ca="1">IF(AND(H2068="Yes",OR(LEN('School Search'!$B$5)=0,ISNUMBER(SEARCH('School Search'!$B$5,B2068&amp;" "&amp;E2068&amp;" "&amp;A2068))),OR('School Search'!$D$5="All",C2068='School Search'!$D$5),OR('School Search'!$G$5="All eligible",AND('School Search'!$G$5="Not marked served",J2068&lt;&gt;"Yes"),AND('School Search'!$G$5="Missing data",V2068="Missing data"),AND('School Search'!$G$5="Marked served",J2068="Yes"))),1,0)</f>
        <v>1</v>
      </c>
      <c r="Z2068" s="1">
        <f ca="1">IF(Y2068=0,"",COUNTIFS($Y$2051:$Y$2550,1,$AO$2051:$AO$2550,"&lt;"&amp;AO2068)+COUNTIFS($Y$2051:Y2068,1,$AO$2051:AO2068,AO2068))</f>
        <v>192</v>
      </c>
      <c r="AA2068" s="1" t="str">
        <f t="shared" ca="1" si="18"/>
        <v>87% economic need; 0.33 mi fresh access; 9 nearby resources</v>
      </c>
      <c r="AB2068" s="1">
        <f t="shared" si="19"/>
        <v>18</v>
      </c>
      <c r="AC2068" s="1" t="str">
        <f t="shared" si="20"/>
        <v>SAVE-A-LOT 60135</v>
      </c>
      <c r="AD2068" s="1" t="str">
        <f t="shared" si="21"/>
        <v>5800 Woodland Ave, Philadelphia, PA, 19143</v>
      </c>
      <c r="AE2068" s="1" t="str">
        <f t="shared" si="22"/>
        <v>5500 KINGSESSING AVE</v>
      </c>
      <c r="AF2068" s="1">
        <f t="shared" si="23"/>
        <v>39.936814269999999</v>
      </c>
      <c r="AG2068" s="1">
        <f t="shared" si="24"/>
        <v>-75.223291000000003</v>
      </c>
      <c r="AH2068" s="1" t="str">
        <f>IF(I2068=0,"Not contacted",IF(INDEX('Staff Review'!$J$8:$J$507,I2068)="","Not contacted",INDEX('Staff Review'!$J$8:$J$507,I2068)))</f>
        <v>Not contacted</v>
      </c>
      <c r="AI2068" s="1" t="str">
        <f ca="1">IF(I2068=0,"No",IF(AND(COUNT(INDEX('Staff Review'!$D$8:$D$507,I2068))=1,INDEX('Staff Review'!$D$8:$D$507,I2068)&gt;=0,COUNT(INDEX('Staff Review'!$E$8:$E$507,I2068))=1,INDEX('Staff Review'!$E$8:$E$507,I2068)&gt;0,INDEX('Staff Review'!$E$8:$E$507,I2068)&lt;='Top 25'!$E$5,'Top 25'!$E$5-INDEX('Staff Review'!$E$8:$E$507,I2068)&lt;='Top 25'!$H$5,LEN(INDEX('Staff Review'!$H$8:$H$507,I2068))&gt;0),"Yes","No"))</f>
        <v>No</v>
      </c>
      <c r="AJ2068" s="1" t="str">
        <f>IF(I2068=0,"No",IF(COUNT(INDEX('Staff Review'!$F$8:$F$507,I2068))&lt;&gt;1,"No",IF(AND(INDEX('Staff Review'!$F$8:$F$507,I2068)&gt;=0,MOD(INDEX('Staff Review'!$F$8:$F$507,I2068),1)=0,COUNT(INDEX('Staff Review'!$G$8:$G$507,I2068))=1,INDEX('Staff Review'!$G$8:$G$507,I2068)&gt;0,INDEX('Staff Review'!$G$8:$G$507,I2068)&lt;='Top 25'!$E$5,'Top 25'!$E$5-INDEX('Staff Review'!$G$8:$G$507,I2068)&lt;='Top 25'!$H$5,LEN(INDEX('Staff Review'!$H$8:$H$507,I2068))&gt;0),"Yes","No")))</f>
        <v>No</v>
      </c>
      <c r="AK2068" s="1">
        <f t="shared" si="25"/>
        <v>1</v>
      </c>
      <c r="AL2068" s="1">
        <f t="shared" ca="1" si="26"/>
        <v>1</v>
      </c>
      <c r="AM2068" s="1">
        <f t="shared" si="27"/>
        <v>1370</v>
      </c>
      <c r="AN2068" s="1">
        <f t="shared" si="28"/>
        <v>18</v>
      </c>
      <c r="AO2068">
        <f t="shared" ca="1" si="29"/>
        <v>192</v>
      </c>
      <c r="AP2068" s="105">
        <f ca="1">IF(AND(AL2068=1,OR('Top 25'!$A$10="All",C2068='Top 25'!$A$10),OR('Top 25'!$D$10="All",D2068='Top 25'!$D$10)),1,0)</f>
        <v>0</v>
      </c>
      <c r="AQ2068" s="105" t="str">
        <f ca="1">IF(AP2068=0,"",CHOOSE(MATCH('Top 25'!$G$10,{"Priority score","Economic need","Enrollment","Fresh miles","Nearby resources"},0),T2068,G2068,F2068,K2068,L2068))</f>
        <v/>
      </c>
      <c r="AR2068" s="105" t="str">
        <f ca="1">IF(AP2068=0,"",1+COUNTIFS($AP$2051:$AP$2550,1,$AQ$2051:$AQ$2550,IF('Top 25'!$J$10="Ascending","&lt;","&gt;")&amp;AQ2068)+COUNTIFS($AP$2051:$AP$2550,1,$AQ$2051:$AQ$2550,AQ2068,$W$2051:$W$2550,"&lt;"&amp;W2068))</f>
        <v/>
      </c>
      <c r="AT2068" s="105">
        <f ca="1">IF(AND(AL2068=1,OR(Master_rankableSchools!$A$10="All",C2068=Master_rankableSchools!$A$10),OR(Master_rankableSchools!$D$10="All",D2068=Master_rankableSchools!$D$10)),1,0)</f>
        <v>1</v>
      </c>
      <c r="AU2068" s="105">
        <f ca="1">IF(AT2068=0,"",CHOOSE(MATCH(Master_rankableSchools!$G$10,{"Priority score","Economic need","Enrollment","Fresh miles","Nearby resources"},0),T2068,G2068,F2068,K2068,L2068))</f>
        <v>37</v>
      </c>
      <c r="AV2068" s="105">
        <f ca="1">IF(AT2068=0,"",1+COUNTIFS($AT$2051:$AT$2550,1,$AU$2051:$AU$2550,IF(Master_rankableSchools!$J$10="Ascending","&lt;","&gt;")&amp;AU2068)+COUNTIFS($AT$2051:$AT$2550,1,$AU$2051:$AU$2550,AU2068,$W$2051:$W$2550,"&lt;"&amp;W2068))</f>
        <v>192</v>
      </c>
    </row>
    <row r="2069" spans="1:48" ht="22" customHeight="1">
      <c r="A2069" s="1" t="str">
        <f t="shared" si="0"/>
        <v>1380</v>
      </c>
      <c r="B2069" s="1" t="str">
        <f t="shared" si="1"/>
        <v>Thomas G. Morton School</v>
      </c>
      <c r="C2069" s="1" t="str">
        <f t="shared" si="2"/>
        <v>District</v>
      </c>
      <c r="D2069" s="1" t="str">
        <f t="shared" si="3"/>
        <v>Elementary</v>
      </c>
      <c r="E2069" s="1" t="str">
        <f t="shared" si="4"/>
        <v>19142</v>
      </c>
      <c r="F2069" s="1">
        <f t="shared" si="5"/>
        <v>363</v>
      </c>
      <c r="G2069" s="1">
        <f t="shared" si="6"/>
        <v>0.84570000000000001</v>
      </c>
      <c r="H2069" s="1" t="str">
        <f t="shared" si="7"/>
        <v>Yes</v>
      </c>
      <c r="I2069" s="1">
        <f>IF(OR(A2069="",COUNTIFS('Staff Review'!$A$8:$A$507,A2069)&lt;&gt;1),0,MATCH(A2069,'Staff Review'!$A$8:$A$507,0))</f>
        <v>293</v>
      </c>
      <c r="J2069" s="1" t="str">
        <f>IF(I2069=0,"No",IF(INDEX('Staff Review'!$C$8:$C$507,I2069)="Yes","Yes","No"))</f>
        <v>No</v>
      </c>
      <c r="K2069" s="1">
        <f ca="1">IF(AI2069="Yes",INDEX('Staff Review'!$D$8:$D$507,I2069),IF(AB2069=0,"",IF(COUNT(INDEX($C$1531:$C$2030,AB2069))=1,INDEX($C$1531:$C$2030,AB2069),"")))</f>
        <v>0.41302315419188179</v>
      </c>
      <c r="L2069" s="1">
        <f>IF(AJ2069="Yes",INDEX('Staff Review'!$F$8:$F$507,I2069),IF(AB2069=0,"",IF(COUNT(INDEX($G$1531:$G$2030,AB2069))=1,INDEX($G$1531:$G$2030,AB2069),"")))</f>
        <v>5</v>
      </c>
      <c r="M2069" s="1" t="str">
        <f t="shared" ca="1" si="8"/>
        <v>Listed</v>
      </c>
      <c r="N2069" s="1" t="str">
        <f t="shared" si="9"/>
        <v>Listed</v>
      </c>
      <c r="O2069" s="1">
        <f t="shared" si="10"/>
        <v>25</v>
      </c>
      <c r="P2069" s="1">
        <f t="shared" ca="1" si="11"/>
        <v>10</v>
      </c>
      <c r="Q2069" s="1">
        <f t="shared" si="12"/>
        <v>0</v>
      </c>
      <c r="R2069" s="1">
        <f t="shared" si="13"/>
        <v>3</v>
      </c>
      <c r="S2069" s="1">
        <f t="shared" ca="1" si="14"/>
        <v>38</v>
      </c>
      <c r="T2069" s="1">
        <f ca="1">IF(OR(COUNT(O2069:R2069)&lt;&gt;4,COUNT('Top 25'!$B$45:$E$45)&lt;&gt;4,MIN('Top 25'!$B$45:$E$45)&lt;0,SUM('Top 25'!$B$45:$E$45)&lt;=0),"",ROUND(85*(O2069/30*'Top 25'!$B$45+P2069/25*'Top 25'!$C$45+Q2069/25*'Top 25'!$D$45+R2069/5*'Top 25'!$E$45)/SUM('Top 25'!$B$45:$E$45),6))</f>
        <v>38</v>
      </c>
      <c r="U2069" s="1" t="str">
        <f t="shared" ca="1" si="15"/>
        <v>Listed</v>
      </c>
      <c r="V2069" s="1" t="str">
        <f ca="1">IF(A2069="","",IF(AK2069&lt;&gt;1,"Duplicate source ID",IF(COUNTIFS('Staff Review'!$A$8:$A$507,A2069)&gt;1,"Duplicate review ID",IF(H2069&lt;&gt;"Yes","Outside scope",IF(J2069="Yes","Already served",IF(NOT(ISNUMBER(T2069)),"Missing data","Candidate"))))))</f>
        <v>Candidate</v>
      </c>
      <c r="W2069" s="1">
        <f t="shared" ca="1" si="16"/>
        <v>175</v>
      </c>
      <c r="X2069" s="1">
        <f t="shared" ca="1" si="17"/>
        <v>166</v>
      </c>
      <c r="Y2069" s="1">
        <f ca="1">IF(AND(H2069="Yes",OR(LEN('School Search'!$B$5)=0,ISNUMBER(SEARCH('School Search'!$B$5,B2069&amp;" "&amp;E2069&amp;" "&amp;A2069))),OR('School Search'!$D$5="All",C2069='School Search'!$D$5),OR('School Search'!$G$5="All eligible",AND('School Search'!$G$5="Not marked served",J2069&lt;&gt;"Yes"),AND('School Search'!$G$5="Missing data",V2069="Missing data"),AND('School Search'!$G$5="Marked served",J2069="Yes"))),1,0)</f>
        <v>1</v>
      </c>
      <c r="Z2069" s="1">
        <f ca="1">IF(Y2069=0,"",COUNTIFS($Y$2051:$Y$2550,1,$AO$2051:$AO$2550,"&lt;"&amp;AO2069)+COUNTIFS($Y$2051:Y2069,1,$AO$2051:AO2069,AO2069))</f>
        <v>175</v>
      </c>
      <c r="AA2069" s="1" t="str">
        <f t="shared" ca="1" si="18"/>
        <v>85% economic need; 0.41 mi fresh access; 5 nearby resources</v>
      </c>
      <c r="AB2069" s="1">
        <f t="shared" si="19"/>
        <v>19</v>
      </c>
      <c r="AC2069" s="1" t="str">
        <f t="shared" si="20"/>
        <v>Cousin's Fresh Market Inc</v>
      </c>
      <c r="AD2069" s="1" t="str">
        <f t="shared" si="21"/>
        <v>6411 Woodland Ave, Philadelphia, PA, 19142</v>
      </c>
      <c r="AE2069" s="1" t="str">
        <f t="shared" si="22"/>
        <v>2501 S 63RD ST</v>
      </c>
      <c r="AF2069" s="1">
        <f t="shared" si="23"/>
        <v>39.92346826</v>
      </c>
      <c r="AG2069" s="1">
        <f t="shared" si="24"/>
        <v>-75.226900150000006</v>
      </c>
      <c r="AH2069" s="1" t="str">
        <f>IF(I2069=0,"Not contacted",IF(INDEX('Staff Review'!$J$8:$J$507,I2069)="","Not contacted",INDEX('Staff Review'!$J$8:$J$507,I2069)))</f>
        <v>Not contacted</v>
      </c>
      <c r="AI2069" s="1" t="str">
        <f ca="1">IF(I2069=0,"No",IF(AND(COUNT(INDEX('Staff Review'!$D$8:$D$507,I2069))=1,INDEX('Staff Review'!$D$8:$D$507,I2069)&gt;=0,COUNT(INDEX('Staff Review'!$E$8:$E$507,I2069))=1,INDEX('Staff Review'!$E$8:$E$507,I2069)&gt;0,INDEX('Staff Review'!$E$8:$E$507,I2069)&lt;='Top 25'!$E$5,'Top 25'!$E$5-INDEX('Staff Review'!$E$8:$E$507,I2069)&lt;='Top 25'!$H$5,LEN(INDEX('Staff Review'!$H$8:$H$507,I2069))&gt;0),"Yes","No"))</f>
        <v>No</v>
      </c>
      <c r="AJ2069" s="1" t="str">
        <f>IF(I2069=0,"No",IF(COUNT(INDEX('Staff Review'!$F$8:$F$507,I2069))&lt;&gt;1,"No",IF(AND(INDEX('Staff Review'!$F$8:$F$507,I2069)&gt;=0,MOD(INDEX('Staff Review'!$F$8:$F$507,I2069),1)=0,COUNT(INDEX('Staff Review'!$G$8:$G$507,I2069))=1,INDEX('Staff Review'!$G$8:$G$507,I2069)&gt;0,INDEX('Staff Review'!$G$8:$G$507,I2069)&lt;='Top 25'!$E$5,'Top 25'!$E$5-INDEX('Staff Review'!$G$8:$G$507,I2069)&lt;='Top 25'!$H$5,LEN(INDEX('Staff Review'!$H$8:$H$507,I2069))&gt;0),"Yes","No")))</f>
        <v>No</v>
      </c>
      <c r="AK2069" s="1">
        <f t="shared" si="25"/>
        <v>1</v>
      </c>
      <c r="AL2069" s="1">
        <f t="shared" ca="1" si="26"/>
        <v>1</v>
      </c>
      <c r="AM2069" s="1">
        <f t="shared" si="27"/>
        <v>1380</v>
      </c>
      <c r="AN2069" s="1">
        <f t="shared" si="28"/>
        <v>19</v>
      </c>
      <c r="AO2069">
        <f t="shared" ca="1" si="29"/>
        <v>175</v>
      </c>
      <c r="AP2069" s="105">
        <f ca="1">IF(AND(AL2069=1,OR('Top 25'!$A$10="All",C2069='Top 25'!$A$10),OR('Top 25'!$D$10="All",D2069='Top 25'!$D$10)),1,0)</f>
        <v>1</v>
      </c>
      <c r="AQ2069" s="105">
        <f ca="1">IF(AP2069=0,"",CHOOSE(MATCH('Top 25'!$G$10,{"Priority score","Economic need","Enrollment","Fresh miles","Nearby resources"},0),T2069,G2069,F2069,K2069,L2069))</f>
        <v>38</v>
      </c>
      <c r="AR2069" s="105">
        <f ca="1">IF(AP2069=0,"",1+COUNTIFS($AP$2051:$AP$2550,1,$AQ$2051:$AQ$2550,IF('Top 25'!$J$10="Ascending","&lt;","&gt;")&amp;AQ2069)+COUNTIFS($AP$2051:$AP$2550,1,$AQ$2051:$AQ$2550,AQ2069,$W$2051:$W$2550,"&lt;"&amp;W2069))</f>
        <v>28</v>
      </c>
      <c r="AT2069" s="105">
        <f ca="1">IF(AND(AL2069=1,OR(Master_rankableSchools!$A$10="All",C2069=Master_rankableSchools!$A$10),OR(Master_rankableSchools!$D$10="All",D2069=Master_rankableSchools!$D$10)),1,0)</f>
        <v>1</v>
      </c>
      <c r="AU2069" s="105">
        <f ca="1">IF(AT2069=0,"",CHOOSE(MATCH(Master_rankableSchools!$G$10,{"Priority score","Economic need","Enrollment","Fresh miles","Nearby resources"},0),T2069,G2069,F2069,K2069,L2069))</f>
        <v>38</v>
      </c>
      <c r="AV2069" s="105">
        <f ca="1">IF(AT2069=0,"",1+COUNTIFS($AT$2051:$AT$2550,1,$AU$2051:$AU$2550,IF(Master_rankableSchools!$J$10="Ascending","&lt;","&gt;")&amp;AU2069)+COUNTIFS($AT$2051:$AT$2550,1,$AU$2051:$AU$2550,AU2069,$W$2051:$W$2550,"&lt;"&amp;W2069))</f>
        <v>175</v>
      </c>
    </row>
    <row r="2070" spans="1:48" ht="22" customHeight="1">
      <c r="A2070" s="1" t="str">
        <f t="shared" si="0"/>
        <v>1390</v>
      </c>
      <c r="B2070" s="1" t="str">
        <f t="shared" si="1"/>
        <v>Samuel Powel School</v>
      </c>
      <c r="C2070" s="1" t="str">
        <f t="shared" si="2"/>
        <v>District</v>
      </c>
      <c r="D2070" s="1" t="str">
        <f t="shared" si="3"/>
        <v>Elementary</v>
      </c>
      <c r="E2070" s="1" t="str">
        <f t="shared" si="4"/>
        <v>19104</v>
      </c>
      <c r="F2070" s="1">
        <f t="shared" si="5"/>
        <v>342</v>
      </c>
      <c r="G2070" s="1">
        <f t="shared" si="6"/>
        <v>0.47360000000000002</v>
      </c>
      <c r="H2070" s="1" t="str">
        <f t="shared" si="7"/>
        <v>Yes</v>
      </c>
      <c r="I2070" s="1">
        <f>IF(OR(A2070="",COUNTIFS('Staff Review'!$A$8:$A$507,A2070)&lt;&gt;1),0,MATCH(A2070,'Staff Review'!$A$8:$A$507,0))</f>
        <v>264</v>
      </c>
      <c r="J2070" s="1" t="str">
        <f>IF(I2070=0,"No",IF(INDEX('Staff Review'!$C$8:$C$507,I2070)="Yes","Yes","No"))</f>
        <v>No</v>
      </c>
      <c r="K2070" s="1">
        <f ca="1">IF(AI2070="Yes",INDEX('Staff Review'!$D$8:$D$507,I2070),IF(AB2070=0,"",IF(COUNT(INDEX($C$1531:$C$2030,AB2070))=1,INDEX($C$1531:$C$2030,AB2070),"")))</f>
        <v>0.24657974806699834</v>
      </c>
      <c r="L2070" s="1">
        <f>IF(AJ2070="Yes",INDEX('Staff Review'!$F$8:$F$507,I2070),IF(AB2070=0,"",IF(COUNT(INDEX($G$1531:$G$2030,AB2070))=1,INDEX($G$1531:$G$2030,AB2070),"")))</f>
        <v>10</v>
      </c>
      <c r="M2070" s="1" t="str">
        <f t="shared" ca="1" si="8"/>
        <v>Listed</v>
      </c>
      <c r="N2070" s="1" t="str">
        <f t="shared" si="9"/>
        <v>Listed</v>
      </c>
      <c r="O2070" s="1">
        <f t="shared" si="10"/>
        <v>5</v>
      </c>
      <c r="P2070" s="1">
        <f t="shared" ca="1" si="11"/>
        <v>5</v>
      </c>
      <c r="Q2070" s="1">
        <f t="shared" si="12"/>
        <v>0</v>
      </c>
      <c r="R2070" s="1">
        <f t="shared" si="13"/>
        <v>2</v>
      </c>
      <c r="S2070" s="1">
        <f t="shared" ca="1" si="14"/>
        <v>12</v>
      </c>
      <c r="T2070" s="1">
        <f ca="1">IF(OR(COUNT(O2070:R2070)&lt;&gt;4,COUNT('Top 25'!$B$45:$E$45)&lt;&gt;4,MIN('Top 25'!$B$45:$E$45)&lt;0,SUM('Top 25'!$B$45:$E$45)&lt;=0),"",ROUND(85*(O2070/30*'Top 25'!$B$45+P2070/25*'Top 25'!$C$45+Q2070/25*'Top 25'!$D$45+R2070/5*'Top 25'!$E$45)/SUM('Top 25'!$B$45:$E$45),6))</f>
        <v>12</v>
      </c>
      <c r="U2070" s="1" t="str">
        <f t="shared" ca="1" si="15"/>
        <v>Listed</v>
      </c>
      <c r="V2070" s="1" t="str">
        <f ca="1">IF(A2070="","",IF(AK2070&lt;&gt;1,"Duplicate source ID",IF(COUNTIFS('Staff Review'!$A$8:$A$507,A2070)&gt;1,"Duplicate review ID",IF(H2070&lt;&gt;"Yes","Outside scope",IF(J2070="Yes","Already served",IF(NOT(ISNUMBER(T2070)),"Missing data","Candidate"))))))</f>
        <v>Candidate</v>
      </c>
      <c r="W2070" s="1">
        <f t="shared" ca="1" si="16"/>
        <v>288</v>
      </c>
      <c r="X2070" s="1">
        <f t="shared" ca="1" si="17"/>
        <v>288</v>
      </c>
      <c r="Y2070" s="1">
        <f ca="1">IF(AND(H2070="Yes",OR(LEN('School Search'!$B$5)=0,ISNUMBER(SEARCH('School Search'!$B$5,B2070&amp;" "&amp;E2070&amp;" "&amp;A2070))),OR('School Search'!$D$5="All",C2070='School Search'!$D$5),OR('School Search'!$G$5="All eligible",AND('School Search'!$G$5="Not marked served",J2070&lt;&gt;"Yes"),AND('School Search'!$G$5="Missing data",V2070="Missing data"),AND('School Search'!$G$5="Marked served",J2070="Yes"))),1,0)</f>
        <v>1</v>
      </c>
      <c r="Z2070" s="1">
        <f ca="1">IF(Y2070=0,"",COUNTIFS($Y$2051:$Y$2550,1,$AO$2051:$AO$2550,"&lt;"&amp;AO2070)+COUNTIFS($Y$2051:Y2070,1,$AO$2051:AO2070,AO2070))</f>
        <v>288</v>
      </c>
      <c r="AA2070" s="1" t="str">
        <f t="shared" ca="1" si="18"/>
        <v>47% economic need; 0.25 mi fresh access; 10 nearby resources</v>
      </c>
      <c r="AB2070" s="1">
        <f t="shared" si="19"/>
        <v>20</v>
      </c>
      <c r="AC2070" s="1" t="str">
        <f t="shared" si="20"/>
        <v>Giant Heirloom Market 6551</v>
      </c>
      <c r="AD2070" s="1" t="str">
        <f t="shared" si="21"/>
        <v>3401 Chestnut St, Philadelphia, PA, 19104</v>
      </c>
      <c r="AE2070" s="1" t="str">
        <f t="shared" si="22"/>
        <v>3610 WARREN ST</v>
      </c>
      <c r="AF2070" s="1">
        <f t="shared" si="23"/>
        <v>39.957962799999997</v>
      </c>
      <c r="AG2070" s="1">
        <f t="shared" si="24"/>
        <v>-75.1939177</v>
      </c>
      <c r="AH2070" s="1" t="str">
        <f>IF(I2070=0,"Not contacted",IF(INDEX('Staff Review'!$J$8:$J$507,I2070)="","Not contacted",INDEX('Staff Review'!$J$8:$J$507,I2070)))</f>
        <v>Not contacted</v>
      </c>
      <c r="AI2070" s="1" t="str">
        <f ca="1">IF(I2070=0,"No",IF(AND(COUNT(INDEX('Staff Review'!$D$8:$D$507,I2070))=1,INDEX('Staff Review'!$D$8:$D$507,I2070)&gt;=0,COUNT(INDEX('Staff Review'!$E$8:$E$507,I2070))=1,INDEX('Staff Review'!$E$8:$E$507,I2070)&gt;0,INDEX('Staff Review'!$E$8:$E$507,I2070)&lt;='Top 25'!$E$5,'Top 25'!$E$5-INDEX('Staff Review'!$E$8:$E$507,I2070)&lt;='Top 25'!$H$5,LEN(INDEX('Staff Review'!$H$8:$H$507,I2070))&gt;0),"Yes","No"))</f>
        <v>No</v>
      </c>
      <c r="AJ2070" s="1" t="str">
        <f>IF(I2070=0,"No",IF(COUNT(INDEX('Staff Review'!$F$8:$F$507,I2070))&lt;&gt;1,"No",IF(AND(INDEX('Staff Review'!$F$8:$F$507,I2070)&gt;=0,MOD(INDEX('Staff Review'!$F$8:$F$507,I2070),1)=0,COUNT(INDEX('Staff Review'!$G$8:$G$507,I2070))=1,INDEX('Staff Review'!$G$8:$G$507,I2070)&gt;0,INDEX('Staff Review'!$G$8:$G$507,I2070)&lt;='Top 25'!$E$5,'Top 25'!$E$5-INDEX('Staff Review'!$G$8:$G$507,I2070)&lt;='Top 25'!$H$5,LEN(INDEX('Staff Review'!$H$8:$H$507,I2070))&gt;0),"Yes","No")))</f>
        <v>No</v>
      </c>
      <c r="AK2070" s="1">
        <f t="shared" si="25"/>
        <v>1</v>
      </c>
      <c r="AL2070" s="1">
        <f t="shared" ca="1" si="26"/>
        <v>1</v>
      </c>
      <c r="AM2070" s="1">
        <f t="shared" si="27"/>
        <v>1390</v>
      </c>
      <c r="AN2070" s="1">
        <f t="shared" si="28"/>
        <v>20</v>
      </c>
      <c r="AO2070">
        <f t="shared" ca="1" si="29"/>
        <v>288</v>
      </c>
      <c r="AP2070" s="105">
        <f ca="1">IF(AND(AL2070=1,OR('Top 25'!$A$10="All",C2070='Top 25'!$A$10),OR('Top 25'!$D$10="All",D2070='Top 25'!$D$10)),1,0)</f>
        <v>1</v>
      </c>
      <c r="AQ2070" s="105">
        <f ca="1">IF(AP2070=0,"",CHOOSE(MATCH('Top 25'!$G$10,{"Priority score","Economic need","Enrollment","Fresh miles","Nearby resources"},0),T2070,G2070,F2070,K2070,L2070))</f>
        <v>12</v>
      </c>
      <c r="AR2070" s="105">
        <f ca="1">IF(AP2070=0,"",1+COUNTIFS($AP$2051:$AP$2550,1,$AQ$2051:$AQ$2550,IF('Top 25'!$J$10="Ascending","&lt;","&gt;")&amp;AQ2070)+COUNTIFS($AP$2051:$AP$2550,1,$AQ$2051:$AQ$2550,AQ2070,$W$2051:$W$2550,"&lt;"&amp;W2070))</f>
        <v>45</v>
      </c>
      <c r="AT2070" s="105">
        <f ca="1">IF(AND(AL2070=1,OR(Master_rankableSchools!$A$10="All",C2070=Master_rankableSchools!$A$10),OR(Master_rankableSchools!$D$10="All",D2070=Master_rankableSchools!$D$10)),1,0)</f>
        <v>1</v>
      </c>
      <c r="AU2070" s="105">
        <f ca="1">IF(AT2070=0,"",CHOOSE(MATCH(Master_rankableSchools!$G$10,{"Priority score","Economic need","Enrollment","Fresh miles","Nearby resources"},0),T2070,G2070,F2070,K2070,L2070))</f>
        <v>12</v>
      </c>
      <c r="AV2070" s="105">
        <f ca="1">IF(AT2070=0,"",1+COUNTIFS($AT$2051:$AT$2550,1,$AU$2051:$AU$2550,IF(Master_rankableSchools!$J$10="Ascending","&lt;","&gt;")&amp;AU2070)+COUNTIFS($AT$2051:$AT$2550,1,$AU$2051:$AU$2550,AU2070,$W$2051:$W$2550,"&lt;"&amp;W2070))</f>
        <v>288</v>
      </c>
    </row>
    <row r="2071" spans="1:48" ht="22" customHeight="1">
      <c r="A2071" s="1" t="str">
        <f t="shared" si="0"/>
        <v>1400</v>
      </c>
      <c r="B2071" s="1" t="str">
        <f t="shared" si="1"/>
        <v>John M. Patterson School</v>
      </c>
      <c r="C2071" s="1" t="str">
        <f t="shared" si="2"/>
        <v>District</v>
      </c>
      <c r="D2071" s="1" t="str">
        <f t="shared" si="3"/>
        <v>Elementary</v>
      </c>
      <c r="E2071" s="1" t="str">
        <f t="shared" si="4"/>
        <v>19142</v>
      </c>
      <c r="F2071" s="1">
        <f t="shared" si="5"/>
        <v>353</v>
      </c>
      <c r="G2071" s="1">
        <f t="shared" si="6"/>
        <v>0.84250000000000003</v>
      </c>
      <c r="H2071" s="1" t="str">
        <f t="shared" si="7"/>
        <v>Yes</v>
      </c>
      <c r="I2071" s="1">
        <f>IF(OR(A2071="",COUNTIFS('Staff Review'!$A$8:$A$507,A2071)&lt;&gt;1),0,MATCH(A2071,'Staff Review'!$A$8:$A$507,0))</f>
        <v>141</v>
      </c>
      <c r="J2071" s="1" t="str">
        <f>IF(I2071=0,"No",IF(INDEX('Staff Review'!$C$8:$C$507,I2071)="Yes","Yes","No"))</f>
        <v>No</v>
      </c>
      <c r="K2071" s="1">
        <f ca="1">IF(AI2071="Yes",INDEX('Staff Review'!$D$8:$D$507,I2071),IF(AB2071=0,"",IF(COUNT(INDEX($C$1531:$C$2030,AB2071))=1,INDEX($C$1531:$C$2030,AB2071),"")))</f>
        <v>0.73087419427995581</v>
      </c>
      <c r="L2071" s="1">
        <f>IF(AJ2071="Yes",INDEX('Staff Review'!$F$8:$F$507,I2071),IF(AB2071=0,"",IF(COUNT(INDEX($G$1531:$G$2030,AB2071))=1,INDEX($G$1531:$G$2030,AB2071),"")))</f>
        <v>3</v>
      </c>
      <c r="M2071" s="1" t="str">
        <f t="shared" ca="1" si="8"/>
        <v>Listed</v>
      </c>
      <c r="N2071" s="1" t="str">
        <f t="shared" si="9"/>
        <v>Listed</v>
      </c>
      <c r="O2071" s="1">
        <f t="shared" si="10"/>
        <v>25</v>
      </c>
      <c r="P2071" s="1">
        <f t="shared" ca="1" si="11"/>
        <v>15</v>
      </c>
      <c r="Q2071" s="1">
        <f t="shared" si="12"/>
        <v>10</v>
      </c>
      <c r="R2071" s="1">
        <f t="shared" si="13"/>
        <v>3</v>
      </c>
      <c r="S2071" s="1">
        <f t="shared" ca="1" si="14"/>
        <v>53</v>
      </c>
      <c r="T2071" s="1">
        <f ca="1">IF(OR(COUNT(O2071:R2071)&lt;&gt;4,COUNT('Top 25'!$B$45:$E$45)&lt;&gt;4,MIN('Top 25'!$B$45:$E$45)&lt;0,SUM('Top 25'!$B$45:$E$45)&lt;=0),"",ROUND(85*(O2071/30*'Top 25'!$B$45+P2071/25*'Top 25'!$C$45+Q2071/25*'Top 25'!$D$45+R2071/5*'Top 25'!$E$45)/SUM('Top 25'!$B$45:$E$45),6))</f>
        <v>53</v>
      </c>
      <c r="U2071" s="1" t="str">
        <f t="shared" ca="1" si="15"/>
        <v>Listed</v>
      </c>
      <c r="V2071" s="1" t="str">
        <f ca="1">IF(A2071="","",IF(AK2071&lt;&gt;1,"Duplicate source ID",IF(COUNTIFS('Staff Review'!$A$8:$A$507,A2071)&gt;1,"Duplicate review ID",IF(H2071&lt;&gt;"Yes","Outside scope",IF(J2071="Yes","Already served",IF(NOT(ISNUMBER(T2071)),"Missing data","Candidate"))))))</f>
        <v>Candidate</v>
      </c>
      <c r="W2071" s="1">
        <f t="shared" ca="1" si="16"/>
        <v>35</v>
      </c>
      <c r="X2071" s="1">
        <f t="shared" ca="1" si="17"/>
        <v>35</v>
      </c>
      <c r="Y2071" s="1">
        <f ca="1">IF(AND(H2071="Yes",OR(LEN('School Search'!$B$5)=0,ISNUMBER(SEARCH('School Search'!$B$5,B2071&amp;" "&amp;E2071&amp;" "&amp;A2071))),OR('School Search'!$D$5="All",C2071='School Search'!$D$5),OR('School Search'!$G$5="All eligible",AND('School Search'!$G$5="Not marked served",J2071&lt;&gt;"Yes"),AND('School Search'!$G$5="Missing data",V2071="Missing data"),AND('School Search'!$G$5="Marked served",J2071="Yes"))),1,0)</f>
        <v>1</v>
      </c>
      <c r="Z2071" s="1">
        <f ca="1">IF(Y2071=0,"",COUNTIFS($Y$2051:$Y$2550,1,$AO$2051:$AO$2550,"&lt;"&amp;AO2071)+COUNTIFS($Y$2051:Y2071,1,$AO$2051:AO2071,AO2071))</f>
        <v>35</v>
      </c>
      <c r="AA2071" s="1" t="str">
        <f t="shared" ca="1" si="18"/>
        <v>84% economic need; 0.73 mi fresh access; 3 nearby resources</v>
      </c>
      <c r="AB2071" s="1">
        <f t="shared" si="19"/>
        <v>21</v>
      </c>
      <c r="AC2071" s="1" t="str">
        <f t="shared" si="20"/>
        <v>Cousin's Fresh Market Inc</v>
      </c>
      <c r="AD2071" s="1" t="str">
        <f t="shared" si="21"/>
        <v>6411 Woodland Ave, Philadelphia, PA, 19142</v>
      </c>
      <c r="AE2071" s="1" t="str">
        <f t="shared" si="22"/>
        <v>7000 BUIST AVE</v>
      </c>
      <c r="AF2071" s="1">
        <f t="shared" si="23"/>
        <v>39.916094999999999</v>
      </c>
      <c r="AG2071" s="1">
        <f t="shared" si="24"/>
        <v>-75.236761999999999</v>
      </c>
      <c r="AH2071" s="1" t="str">
        <f>IF(I2071=0,"Not contacted",IF(INDEX('Staff Review'!$J$8:$J$507,I2071)="","Not contacted",INDEX('Staff Review'!$J$8:$J$507,I2071)))</f>
        <v>Not contacted</v>
      </c>
      <c r="AI2071" s="1" t="str">
        <f ca="1">IF(I2071=0,"No",IF(AND(COUNT(INDEX('Staff Review'!$D$8:$D$507,I2071))=1,INDEX('Staff Review'!$D$8:$D$507,I2071)&gt;=0,COUNT(INDEX('Staff Review'!$E$8:$E$507,I2071))=1,INDEX('Staff Review'!$E$8:$E$507,I2071)&gt;0,INDEX('Staff Review'!$E$8:$E$507,I2071)&lt;='Top 25'!$E$5,'Top 25'!$E$5-INDEX('Staff Review'!$E$8:$E$507,I2071)&lt;='Top 25'!$H$5,LEN(INDEX('Staff Review'!$H$8:$H$507,I2071))&gt;0),"Yes","No"))</f>
        <v>No</v>
      </c>
      <c r="AJ2071" s="1" t="str">
        <f>IF(I2071=0,"No",IF(COUNT(INDEX('Staff Review'!$F$8:$F$507,I2071))&lt;&gt;1,"No",IF(AND(INDEX('Staff Review'!$F$8:$F$507,I2071)&gt;=0,MOD(INDEX('Staff Review'!$F$8:$F$507,I2071),1)=0,COUNT(INDEX('Staff Review'!$G$8:$G$507,I2071))=1,INDEX('Staff Review'!$G$8:$G$507,I2071)&gt;0,INDEX('Staff Review'!$G$8:$G$507,I2071)&lt;='Top 25'!$E$5,'Top 25'!$E$5-INDEX('Staff Review'!$G$8:$G$507,I2071)&lt;='Top 25'!$H$5,LEN(INDEX('Staff Review'!$H$8:$H$507,I2071))&gt;0),"Yes","No")))</f>
        <v>No</v>
      </c>
      <c r="AK2071" s="1">
        <f t="shared" si="25"/>
        <v>1</v>
      </c>
      <c r="AL2071" s="1">
        <f t="shared" ca="1" si="26"/>
        <v>1</v>
      </c>
      <c r="AM2071" s="1">
        <f t="shared" si="27"/>
        <v>1400</v>
      </c>
      <c r="AN2071" s="1">
        <f t="shared" si="28"/>
        <v>21</v>
      </c>
      <c r="AO2071">
        <f t="shared" ca="1" si="29"/>
        <v>35</v>
      </c>
      <c r="AP2071" s="105">
        <f ca="1">IF(AND(AL2071=1,OR('Top 25'!$A$10="All",C2071='Top 25'!$A$10),OR('Top 25'!$D$10="All",D2071='Top 25'!$D$10)),1,0)</f>
        <v>1</v>
      </c>
      <c r="AQ2071" s="105">
        <f ca="1">IF(AP2071=0,"",CHOOSE(MATCH('Top 25'!$G$10,{"Priority score","Economic need","Enrollment","Fresh miles","Nearby resources"},0),T2071,G2071,F2071,K2071,L2071))</f>
        <v>53</v>
      </c>
      <c r="AR2071" s="105">
        <f ca="1">IF(AP2071=0,"",1+COUNTIFS($AP$2051:$AP$2550,1,$AQ$2051:$AQ$2550,IF('Top 25'!$J$10="Ascending","&lt;","&gt;")&amp;AQ2071)+COUNTIFS($AP$2051:$AP$2550,1,$AQ$2051:$AQ$2550,AQ2071,$W$2051:$W$2550,"&lt;"&amp;W2071))</f>
        <v>5</v>
      </c>
      <c r="AT2071" s="105">
        <f ca="1">IF(AND(AL2071=1,OR(Master_rankableSchools!$A$10="All",C2071=Master_rankableSchools!$A$10),OR(Master_rankableSchools!$D$10="All",D2071=Master_rankableSchools!$D$10)),1,0)</f>
        <v>1</v>
      </c>
      <c r="AU2071" s="105">
        <f ca="1">IF(AT2071=0,"",CHOOSE(MATCH(Master_rankableSchools!$G$10,{"Priority score","Economic need","Enrollment","Fresh miles","Nearby resources"},0),T2071,G2071,F2071,K2071,L2071))</f>
        <v>53</v>
      </c>
      <c r="AV2071" s="105">
        <f ca="1">IF(AT2071=0,"",1+COUNTIFS($AT$2051:$AT$2550,1,$AU$2051:$AU$2550,IF(Master_rankableSchools!$J$10="Ascending","&lt;","&gt;")&amp;AU2071)+COUNTIFS($AT$2051:$AT$2550,1,$AU$2051:$AU$2550,AU2071,$W$2051:$W$2550,"&lt;"&amp;W2071))</f>
        <v>35</v>
      </c>
    </row>
    <row r="2072" spans="1:48" ht="22" customHeight="1">
      <c r="A2072" s="1" t="str">
        <f t="shared" si="0"/>
        <v>1410</v>
      </c>
      <c r="B2072" s="1" t="str">
        <f t="shared" si="1"/>
        <v>James Rhoads School</v>
      </c>
      <c r="C2072" s="1" t="str">
        <f t="shared" si="2"/>
        <v>District</v>
      </c>
      <c r="D2072" s="1" t="str">
        <f t="shared" si="3"/>
        <v>Elementary-Middle</v>
      </c>
      <c r="E2072" s="1" t="str">
        <f t="shared" si="4"/>
        <v>19139</v>
      </c>
      <c r="F2072" s="1">
        <f t="shared" si="5"/>
        <v>415</v>
      </c>
      <c r="G2072" s="1">
        <f t="shared" si="6"/>
        <v>0.92700000000000005</v>
      </c>
      <c r="H2072" s="1" t="str">
        <f t="shared" si="7"/>
        <v>Yes</v>
      </c>
      <c r="I2072" s="1">
        <f>IF(OR(A2072="",COUNTIFS('Staff Review'!$A$8:$A$507,A2072)&lt;&gt;1),0,MATCH(A2072,'Staff Review'!$A$8:$A$507,0))</f>
        <v>131</v>
      </c>
      <c r="J2072" s="1" t="str">
        <f>IF(I2072=0,"No",IF(INDEX('Staff Review'!$C$8:$C$507,I2072)="Yes","Yes","No"))</f>
        <v>No</v>
      </c>
      <c r="K2072" s="1">
        <f ca="1">IF(AI2072="Yes",INDEX('Staff Review'!$D$8:$D$507,I2072),IF(AB2072=0,"",IF(COUNT(INDEX($C$1531:$C$2030,AB2072))=1,INDEX($C$1531:$C$2030,AB2072),"")))</f>
        <v>0.3555034706883109</v>
      </c>
      <c r="L2072" s="1">
        <f>IF(AJ2072="Yes",INDEX('Staff Review'!$F$8:$F$507,I2072),IF(AB2072=0,"",IF(COUNT(INDEX($G$1531:$G$2030,AB2072))=1,INDEX($G$1531:$G$2030,AB2072),"")))</f>
        <v>12</v>
      </c>
      <c r="M2072" s="1" t="str">
        <f t="shared" ca="1" si="8"/>
        <v>Listed</v>
      </c>
      <c r="N2072" s="1" t="str">
        <f t="shared" si="9"/>
        <v>Listed</v>
      </c>
      <c r="O2072" s="1">
        <f t="shared" si="10"/>
        <v>30</v>
      </c>
      <c r="P2072" s="1">
        <f t="shared" ca="1" si="11"/>
        <v>10</v>
      </c>
      <c r="Q2072" s="1">
        <f t="shared" si="12"/>
        <v>0</v>
      </c>
      <c r="R2072" s="1">
        <f t="shared" si="13"/>
        <v>3</v>
      </c>
      <c r="S2072" s="1">
        <f t="shared" ca="1" si="14"/>
        <v>43</v>
      </c>
      <c r="T2072" s="1">
        <f ca="1">IF(OR(COUNT(O2072:R2072)&lt;&gt;4,COUNT('Top 25'!$B$45:$E$45)&lt;&gt;4,MIN('Top 25'!$B$45:$E$45)&lt;0,SUM('Top 25'!$B$45:$E$45)&lt;=0),"",ROUND(85*(O2072/30*'Top 25'!$B$45+P2072/25*'Top 25'!$C$45+Q2072/25*'Top 25'!$D$45+R2072/5*'Top 25'!$E$45)/SUM('Top 25'!$B$45:$E$45),6))</f>
        <v>43</v>
      </c>
      <c r="U2072" s="1" t="str">
        <f t="shared" ca="1" si="15"/>
        <v>Listed</v>
      </c>
      <c r="V2072" s="1" t="str">
        <f ca="1">IF(A2072="","",IF(AK2072&lt;&gt;1,"Duplicate source ID",IF(COUNTIFS('Staff Review'!$A$8:$A$507,A2072)&gt;1,"Duplicate review ID",IF(H2072&lt;&gt;"Yes","Outside scope",IF(J2072="Yes","Already served",IF(NOT(ISNUMBER(T2072)),"Missing data","Candidate"))))))</f>
        <v>Candidate</v>
      </c>
      <c r="W2072" s="1">
        <f t="shared" ca="1" si="16"/>
        <v>91</v>
      </c>
      <c r="X2072" s="1">
        <f t="shared" ca="1" si="17"/>
        <v>90</v>
      </c>
      <c r="Y2072" s="1">
        <f ca="1">IF(AND(H2072="Yes",OR(LEN('School Search'!$B$5)=0,ISNUMBER(SEARCH('School Search'!$B$5,B2072&amp;" "&amp;E2072&amp;" "&amp;A2072))),OR('School Search'!$D$5="All",C2072='School Search'!$D$5),OR('School Search'!$G$5="All eligible",AND('School Search'!$G$5="Not marked served",J2072&lt;&gt;"Yes"),AND('School Search'!$G$5="Missing data",V2072="Missing data"),AND('School Search'!$G$5="Marked served",J2072="Yes"))),1,0)</f>
        <v>1</v>
      </c>
      <c r="Z2072" s="1">
        <f ca="1">IF(Y2072=0,"",COUNTIFS($Y$2051:$Y$2550,1,$AO$2051:$AO$2550,"&lt;"&amp;AO2072)+COUNTIFS($Y$2051:Y2072,1,$AO$2051:AO2072,AO2072))</f>
        <v>91</v>
      </c>
      <c r="AA2072" s="1" t="str">
        <f t="shared" ca="1" si="18"/>
        <v>93% economic need; 0.36 mi fresh access; 12 nearby resources</v>
      </c>
      <c r="AB2072" s="1">
        <f t="shared" si="19"/>
        <v>22</v>
      </c>
      <c r="AC2072" s="1" t="str">
        <f t="shared" si="20"/>
        <v>Cousin's Fresh Market 2 Inc</v>
      </c>
      <c r="AD2072" s="1" t="str">
        <f t="shared" si="21"/>
        <v>5429 W Girard Ave, Philadelphia, PA, 19131</v>
      </c>
      <c r="AE2072" s="1" t="str">
        <f t="shared" si="22"/>
        <v>4901 PARRISH ST</v>
      </c>
      <c r="AF2072" s="1">
        <f t="shared" si="23"/>
        <v>39.967339000000003</v>
      </c>
      <c r="AG2072" s="1">
        <f t="shared" si="24"/>
        <v>-75.220062999999996</v>
      </c>
      <c r="AH2072" s="1" t="str">
        <f>IF(I2072=0,"Not contacted",IF(INDEX('Staff Review'!$J$8:$J$507,I2072)="","Not contacted",INDEX('Staff Review'!$J$8:$J$507,I2072)))</f>
        <v>Not contacted</v>
      </c>
      <c r="AI2072" s="1" t="str">
        <f ca="1">IF(I2072=0,"No",IF(AND(COUNT(INDEX('Staff Review'!$D$8:$D$507,I2072))=1,INDEX('Staff Review'!$D$8:$D$507,I2072)&gt;=0,COUNT(INDEX('Staff Review'!$E$8:$E$507,I2072))=1,INDEX('Staff Review'!$E$8:$E$507,I2072)&gt;0,INDEX('Staff Review'!$E$8:$E$507,I2072)&lt;='Top 25'!$E$5,'Top 25'!$E$5-INDEX('Staff Review'!$E$8:$E$507,I2072)&lt;='Top 25'!$H$5,LEN(INDEX('Staff Review'!$H$8:$H$507,I2072))&gt;0),"Yes","No"))</f>
        <v>No</v>
      </c>
      <c r="AJ2072" s="1" t="str">
        <f>IF(I2072=0,"No",IF(COUNT(INDEX('Staff Review'!$F$8:$F$507,I2072))&lt;&gt;1,"No",IF(AND(INDEX('Staff Review'!$F$8:$F$507,I2072)&gt;=0,MOD(INDEX('Staff Review'!$F$8:$F$507,I2072),1)=0,COUNT(INDEX('Staff Review'!$G$8:$G$507,I2072))=1,INDEX('Staff Review'!$G$8:$G$507,I2072)&gt;0,INDEX('Staff Review'!$G$8:$G$507,I2072)&lt;='Top 25'!$E$5,'Top 25'!$E$5-INDEX('Staff Review'!$G$8:$G$507,I2072)&lt;='Top 25'!$H$5,LEN(INDEX('Staff Review'!$H$8:$H$507,I2072))&gt;0),"Yes","No")))</f>
        <v>No</v>
      </c>
      <c r="AK2072" s="1">
        <f t="shared" si="25"/>
        <v>1</v>
      </c>
      <c r="AL2072" s="1">
        <f t="shared" ca="1" si="26"/>
        <v>1</v>
      </c>
      <c r="AM2072" s="1">
        <f t="shared" si="27"/>
        <v>1410</v>
      </c>
      <c r="AN2072" s="1">
        <f t="shared" si="28"/>
        <v>22</v>
      </c>
      <c r="AO2072">
        <f t="shared" ca="1" si="29"/>
        <v>91</v>
      </c>
      <c r="AP2072" s="105">
        <f ca="1">IF(AND(AL2072=1,OR('Top 25'!$A$10="All",C2072='Top 25'!$A$10),OR('Top 25'!$D$10="All",D2072='Top 25'!$D$10)),1,0)</f>
        <v>0</v>
      </c>
      <c r="AQ2072" s="105" t="str">
        <f ca="1">IF(AP2072=0,"",CHOOSE(MATCH('Top 25'!$G$10,{"Priority score","Economic need","Enrollment","Fresh miles","Nearby resources"},0),T2072,G2072,F2072,K2072,L2072))</f>
        <v/>
      </c>
      <c r="AR2072" s="105" t="str">
        <f ca="1">IF(AP2072=0,"",1+COUNTIFS($AP$2051:$AP$2550,1,$AQ$2051:$AQ$2550,IF('Top 25'!$J$10="Ascending","&lt;","&gt;")&amp;AQ2072)+COUNTIFS($AP$2051:$AP$2550,1,$AQ$2051:$AQ$2550,AQ2072,$W$2051:$W$2550,"&lt;"&amp;W2072))</f>
        <v/>
      </c>
      <c r="AT2072" s="105">
        <f ca="1">IF(AND(AL2072=1,OR(Master_rankableSchools!$A$10="All",C2072=Master_rankableSchools!$A$10),OR(Master_rankableSchools!$D$10="All",D2072=Master_rankableSchools!$D$10)),1,0)</f>
        <v>1</v>
      </c>
      <c r="AU2072" s="105">
        <f ca="1">IF(AT2072=0,"",CHOOSE(MATCH(Master_rankableSchools!$G$10,{"Priority score","Economic need","Enrollment","Fresh miles","Nearby resources"},0),T2072,G2072,F2072,K2072,L2072))</f>
        <v>43</v>
      </c>
      <c r="AV2072" s="105">
        <f ca="1">IF(AT2072=0,"",1+COUNTIFS($AT$2051:$AT$2550,1,$AU$2051:$AU$2550,IF(Master_rankableSchools!$J$10="Ascending","&lt;","&gt;")&amp;AU2072)+COUNTIFS($AT$2051:$AT$2550,1,$AU$2051:$AU$2550,AU2072,$W$2051:$W$2550,"&lt;"&amp;W2072))</f>
        <v>91</v>
      </c>
    </row>
    <row r="2073" spans="1:48" ht="22" customHeight="1">
      <c r="A2073" s="1" t="str">
        <f t="shared" si="0"/>
        <v>1420</v>
      </c>
      <c r="B2073" s="1" t="str">
        <f t="shared" si="1"/>
        <v>Martha Washington School</v>
      </c>
      <c r="C2073" s="1" t="str">
        <f t="shared" si="2"/>
        <v>District</v>
      </c>
      <c r="D2073" s="1" t="str">
        <f t="shared" si="3"/>
        <v>Elementary-Middle</v>
      </c>
      <c r="E2073" s="1" t="str">
        <f t="shared" si="4"/>
        <v>19104</v>
      </c>
      <c r="F2073" s="1">
        <f t="shared" si="5"/>
        <v>213</v>
      </c>
      <c r="G2073" s="1">
        <f t="shared" si="6"/>
        <v>0.92449999999999999</v>
      </c>
      <c r="H2073" s="1" t="str">
        <f t="shared" si="7"/>
        <v>Yes</v>
      </c>
      <c r="I2073" s="1">
        <f>IF(OR(A2073="",COUNTIFS('Staff Review'!$A$8:$A$507,A2073)&lt;&gt;1),0,MATCH(A2073,'Staff Review'!$A$8:$A$507,0))</f>
        <v>176</v>
      </c>
      <c r="J2073" s="1" t="str">
        <f>IF(I2073=0,"No",IF(INDEX('Staff Review'!$C$8:$C$507,I2073)="Yes","Yes","No"))</f>
        <v>No</v>
      </c>
      <c r="K2073" s="1">
        <f ca="1">IF(AI2073="Yes",INDEX('Staff Review'!$D$8:$D$507,I2073),IF(AB2073=0,"",IF(COUNT(INDEX($C$1531:$C$2030,AB2073))=1,INDEX($C$1531:$C$2030,AB2073),"")))</f>
        <v>0.48816221862959508</v>
      </c>
      <c r="L2073" s="1">
        <f>IF(AJ2073="Yes",INDEX('Staff Review'!$F$8:$F$507,I2073),IF(AB2073=0,"",IF(COUNT(INDEX($G$1531:$G$2030,AB2073))=1,INDEX($G$1531:$G$2030,AB2073),"")))</f>
        <v>14</v>
      </c>
      <c r="M2073" s="1" t="str">
        <f t="shared" ca="1" si="8"/>
        <v>Listed</v>
      </c>
      <c r="N2073" s="1" t="str">
        <f t="shared" si="9"/>
        <v>Listed</v>
      </c>
      <c r="O2073" s="1">
        <f t="shared" si="10"/>
        <v>30</v>
      </c>
      <c r="P2073" s="1">
        <f t="shared" ca="1" si="11"/>
        <v>10</v>
      </c>
      <c r="Q2073" s="1">
        <f t="shared" si="12"/>
        <v>0</v>
      </c>
      <c r="R2073" s="1">
        <f t="shared" si="13"/>
        <v>2</v>
      </c>
      <c r="S2073" s="1">
        <f t="shared" ca="1" si="14"/>
        <v>42</v>
      </c>
      <c r="T2073" s="1">
        <f ca="1">IF(OR(COUNT(O2073:R2073)&lt;&gt;4,COUNT('Top 25'!$B$45:$E$45)&lt;&gt;4,MIN('Top 25'!$B$45:$E$45)&lt;0,SUM('Top 25'!$B$45:$E$45)&lt;=0),"",ROUND(85*(O2073/30*'Top 25'!$B$45+P2073/25*'Top 25'!$C$45+Q2073/25*'Top 25'!$D$45+R2073/5*'Top 25'!$E$45)/SUM('Top 25'!$B$45:$E$45),6))</f>
        <v>42</v>
      </c>
      <c r="U2073" s="1" t="str">
        <f t="shared" ca="1" si="15"/>
        <v>Listed</v>
      </c>
      <c r="V2073" s="1" t="str">
        <f ca="1">IF(A2073="","",IF(AK2073&lt;&gt;1,"Duplicate source ID",IF(COUNTIFS('Staff Review'!$A$8:$A$507,A2073)&gt;1,"Duplicate review ID",IF(H2073&lt;&gt;"Yes","Outside scope",IF(J2073="Yes","Already served",IF(NOT(ISNUMBER(T2073)),"Missing data","Candidate"))))))</f>
        <v>Candidate</v>
      </c>
      <c r="W2073" s="1">
        <f t="shared" ca="1" si="16"/>
        <v>105</v>
      </c>
      <c r="X2073" s="1">
        <f t="shared" ca="1" si="17"/>
        <v>101</v>
      </c>
      <c r="Y2073" s="1">
        <f ca="1">IF(AND(H2073="Yes",OR(LEN('School Search'!$B$5)=0,ISNUMBER(SEARCH('School Search'!$B$5,B2073&amp;" "&amp;E2073&amp;" "&amp;A2073))),OR('School Search'!$D$5="All",C2073='School Search'!$D$5),OR('School Search'!$G$5="All eligible",AND('School Search'!$G$5="Not marked served",J2073&lt;&gt;"Yes"),AND('School Search'!$G$5="Missing data",V2073="Missing data"),AND('School Search'!$G$5="Marked served",J2073="Yes"))),1,0)</f>
        <v>1</v>
      </c>
      <c r="Z2073" s="1">
        <f ca="1">IF(Y2073=0,"",COUNTIFS($Y$2051:$Y$2550,1,$AO$2051:$AO$2550,"&lt;"&amp;AO2073)+COUNTIFS($Y$2051:Y2073,1,$AO$2051:AO2073,AO2073))</f>
        <v>105</v>
      </c>
      <c r="AA2073" s="1" t="str">
        <f t="shared" ca="1" si="18"/>
        <v>92% economic need; 0.49 mi fresh access; 14 nearby resources</v>
      </c>
      <c r="AB2073" s="1">
        <f t="shared" si="19"/>
        <v>23</v>
      </c>
      <c r="AC2073" s="1" t="str">
        <f t="shared" si="20"/>
        <v>ALDI 54</v>
      </c>
      <c r="AD2073" s="1" t="str">
        <f t="shared" si="21"/>
        <v>4421 Market St, Philadelphia, PA, 19104</v>
      </c>
      <c r="AE2073" s="1" t="str">
        <f t="shared" si="22"/>
        <v>766 N 44TH ST</v>
      </c>
      <c r="AF2073" s="1">
        <f t="shared" si="23"/>
        <v>39.966206</v>
      </c>
      <c r="AG2073" s="1">
        <f t="shared" si="24"/>
        <v>-75.211179000000001</v>
      </c>
      <c r="AH2073" s="1" t="str">
        <f>IF(I2073=0,"Not contacted",IF(INDEX('Staff Review'!$J$8:$J$507,I2073)="","Not contacted",INDEX('Staff Review'!$J$8:$J$507,I2073)))</f>
        <v>Not contacted</v>
      </c>
      <c r="AI2073" s="1" t="str">
        <f ca="1">IF(I2073=0,"No",IF(AND(COUNT(INDEX('Staff Review'!$D$8:$D$507,I2073))=1,INDEX('Staff Review'!$D$8:$D$507,I2073)&gt;=0,COUNT(INDEX('Staff Review'!$E$8:$E$507,I2073))=1,INDEX('Staff Review'!$E$8:$E$507,I2073)&gt;0,INDEX('Staff Review'!$E$8:$E$507,I2073)&lt;='Top 25'!$E$5,'Top 25'!$E$5-INDEX('Staff Review'!$E$8:$E$507,I2073)&lt;='Top 25'!$H$5,LEN(INDEX('Staff Review'!$H$8:$H$507,I2073))&gt;0),"Yes","No"))</f>
        <v>No</v>
      </c>
      <c r="AJ2073" s="1" t="str">
        <f>IF(I2073=0,"No",IF(COUNT(INDEX('Staff Review'!$F$8:$F$507,I2073))&lt;&gt;1,"No",IF(AND(INDEX('Staff Review'!$F$8:$F$507,I2073)&gt;=0,MOD(INDEX('Staff Review'!$F$8:$F$507,I2073),1)=0,COUNT(INDEX('Staff Review'!$G$8:$G$507,I2073))=1,INDEX('Staff Review'!$G$8:$G$507,I2073)&gt;0,INDEX('Staff Review'!$G$8:$G$507,I2073)&lt;='Top 25'!$E$5,'Top 25'!$E$5-INDEX('Staff Review'!$G$8:$G$507,I2073)&lt;='Top 25'!$H$5,LEN(INDEX('Staff Review'!$H$8:$H$507,I2073))&gt;0),"Yes","No")))</f>
        <v>No</v>
      </c>
      <c r="AK2073" s="1">
        <f t="shared" si="25"/>
        <v>1</v>
      </c>
      <c r="AL2073" s="1">
        <f t="shared" ca="1" si="26"/>
        <v>1</v>
      </c>
      <c r="AM2073" s="1">
        <f t="shared" si="27"/>
        <v>1420</v>
      </c>
      <c r="AN2073" s="1">
        <f t="shared" si="28"/>
        <v>23</v>
      </c>
      <c r="AO2073">
        <f t="shared" ca="1" si="29"/>
        <v>105</v>
      </c>
      <c r="AP2073" s="105">
        <f ca="1">IF(AND(AL2073=1,OR('Top 25'!$A$10="All",C2073='Top 25'!$A$10),OR('Top 25'!$D$10="All",D2073='Top 25'!$D$10)),1,0)</f>
        <v>0</v>
      </c>
      <c r="AQ2073" s="105" t="str">
        <f ca="1">IF(AP2073=0,"",CHOOSE(MATCH('Top 25'!$G$10,{"Priority score","Economic need","Enrollment","Fresh miles","Nearby resources"},0),T2073,G2073,F2073,K2073,L2073))</f>
        <v/>
      </c>
      <c r="AR2073" s="105" t="str">
        <f ca="1">IF(AP2073=0,"",1+COUNTIFS($AP$2051:$AP$2550,1,$AQ$2051:$AQ$2550,IF('Top 25'!$J$10="Ascending","&lt;","&gt;")&amp;AQ2073)+COUNTIFS($AP$2051:$AP$2550,1,$AQ$2051:$AQ$2550,AQ2073,$W$2051:$W$2550,"&lt;"&amp;W2073))</f>
        <v/>
      </c>
      <c r="AT2073" s="105">
        <f ca="1">IF(AND(AL2073=1,OR(Master_rankableSchools!$A$10="All",C2073=Master_rankableSchools!$A$10),OR(Master_rankableSchools!$D$10="All",D2073=Master_rankableSchools!$D$10)),1,0)</f>
        <v>1</v>
      </c>
      <c r="AU2073" s="105">
        <f ca="1">IF(AT2073=0,"",CHOOSE(MATCH(Master_rankableSchools!$G$10,{"Priority score","Economic need","Enrollment","Fresh miles","Nearby resources"},0),T2073,G2073,F2073,K2073,L2073))</f>
        <v>42</v>
      </c>
      <c r="AV2073" s="105">
        <f ca="1">IF(AT2073=0,"",1+COUNTIFS($AT$2051:$AT$2550,1,$AU$2051:$AU$2550,IF(Master_rankableSchools!$J$10="Ascending","&lt;","&gt;")&amp;AU2073)+COUNTIFS($AT$2051:$AT$2550,1,$AU$2051:$AU$2550,AU2073,$W$2051:$W$2550,"&lt;"&amp;W2073))</f>
        <v>105</v>
      </c>
    </row>
    <row r="2074" spans="1:48" ht="22" customHeight="1">
      <c r="A2074" s="1" t="str">
        <f t="shared" si="0"/>
        <v>1440</v>
      </c>
      <c r="B2074" s="1" t="str">
        <f t="shared" si="1"/>
        <v>Penrose School</v>
      </c>
      <c r="C2074" s="1" t="str">
        <f t="shared" si="2"/>
        <v>District</v>
      </c>
      <c r="D2074" s="1" t="str">
        <f t="shared" si="3"/>
        <v>Elementary-Middle</v>
      </c>
      <c r="E2074" s="1" t="str">
        <f t="shared" si="4"/>
        <v>19153</v>
      </c>
      <c r="F2074" s="1">
        <f t="shared" si="5"/>
        <v>429</v>
      </c>
      <c r="G2074" s="1">
        <f t="shared" si="6"/>
        <v>0.83720000000000006</v>
      </c>
      <c r="H2074" s="1" t="str">
        <f t="shared" si="7"/>
        <v>Yes</v>
      </c>
      <c r="I2074" s="1">
        <f>IF(OR(A2074="",COUNTIFS('Staff Review'!$A$8:$A$507,A2074)&lt;&gt;1),0,MATCH(A2074,'Staff Review'!$A$8:$A$507,0))</f>
        <v>229</v>
      </c>
      <c r="J2074" s="1" t="str">
        <f>IF(I2074=0,"No",IF(INDEX('Staff Review'!$C$8:$C$507,I2074)="Yes","Yes","No"))</f>
        <v>No</v>
      </c>
      <c r="K2074" s="1">
        <f ca="1">IF(AI2074="Yes",INDEX('Staff Review'!$D$8:$D$507,I2074),IF(AB2074=0,"",IF(COUNT(INDEX($C$1531:$C$2030,AB2074))=1,INDEX($C$1531:$C$2030,AB2074),"")))</f>
        <v>0.50154308981642015</v>
      </c>
      <c r="L2074" s="1">
        <f>IF(AJ2074="Yes",INDEX('Staff Review'!$F$8:$F$507,I2074),IF(AB2074=0,"",IF(COUNT(INDEX($G$1531:$G$2030,AB2074))=1,INDEX($G$1531:$G$2030,AB2074),"")))</f>
        <v>1</v>
      </c>
      <c r="M2074" s="1" t="str">
        <f t="shared" ca="1" si="8"/>
        <v>Listed</v>
      </c>
      <c r="N2074" s="1" t="str">
        <f t="shared" si="9"/>
        <v>Listed</v>
      </c>
      <c r="O2074" s="1">
        <f t="shared" si="10"/>
        <v>25</v>
      </c>
      <c r="P2074" s="1">
        <f t="shared" ca="1" si="11"/>
        <v>15</v>
      </c>
      <c r="Q2074" s="1">
        <f t="shared" si="12"/>
        <v>20</v>
      </c>
      <c r="R2074" s="1">
        <f t="shared" si="13"/>
        <v>3</v>
      </c>
      <c r="S2074" s="1">
        <f t="shared" ca="1" si="14"/>
        <v>63</v>
      </c>
      <c r="T2074" s="1">
        <f ca="1">IF(OR(COUNT(O2074:R2074)&lt;&gt;4,COUNT('Top 25'!$B$45:$E$45)&lt;&gt;4,MIN('Top 25'!$B$45:$E$45)&lt;0,SUM('Top 25'!$B$45:$E$45)&lt;=0),"",ROUND(85*(O2074/30*'Top 25'!$B$45+P2074/25*'Top 25'!$C$45+Q2074/25*'Top 25'!$D$45+R2074/5*'Top 25'!$E$45)/SUM('Top 25'!$B$45:$E$45),6))</f>
        <v>63</v>
      </c>
      <c r="U2074" s="1" t="str">
        <f t="shared" ca="1" si="15"/>
        <v>Listed</v>
      </c>
      <c r="V2074" s="1" t="str">
        <f ca="1">IF(A2074="","",IF(AK2074&lt;&gt;1,"Duplicate source ID",IF(COUNTIFS('Staff Review'!$A$8:$A$507,A2074)&gt;1,"Duplicate review ID",IF(H2074&lt;&gt;"Yes","Outside scope",IF(J2074="Yes","Already served",IF(NOT(ISNUMBER(T2074)),"Missing data","Candidate"))))))</f>
        <v>Candidate</v>
      </c>
      <c r="W2074" s="1">
        <f t="shared" ca="1" si="16"/>
        <v>7</v>
      </c>
      <c r="X2074" s="1">
        <f t="shared" ca="1" si="17"/>
        <v>7</v>
      </c>
      <c r="Y2074" s="1">
        <f ca="1">IF(AND(H2074="Yes",OR(LEN('School Search'!$B$5)=0,ISNUMBER(SEARCH('School Search'!$B$5,B2074&amp;" "&amp;E2074&amp;" "&amp;A2074))),OR('School Search'!$D$5="All",C2074='School Search'!$D$5),OR('School Search'!$G$5="All eligible",AND('School Search'!$G$5="Not marked served",J2074&lt;&gt;"Yes"),AND('School Search'!$G$5="Missing data",V2074="Missing data"),AND('School Search'!$G$5="Marked served",J2074="Yes"))),1,0)</f>
        <v>1</v>
      </c>
      <c r="Z2074" s="1">
        <f ca="1">IF(Y2074=0,"",COUNTIFS($Y$2051:$Y$2550,1,$AO$2051:$AO$2550,"&lt;"&amp;AO2074)+COUNTIFS($Y$2051:Y2074,1,$AO$2051:AO2074,AO2074))</f>
        <v>7</v>
      </c>
      <c r="AA2074" s="1" t="str">
        <f t="shared" ca="1" si="18"/>
        <v>84% economic need; 0.50 mi fresh access; 1 nearby resources</v>
      </c>
      <c r="AB2074" s="1">
        <f t="shared" si="19"/>
        <v>24</v>
      </c>
      <c r="AC2074" s="1" t="str">
        <f t="shared" si="20"/>
        <v>Shoprite of Island Ave 423</v>
      </c>
      <c r="AD2074" s="1" t="str">
        <f t="shared" si="21"/>
        <v>2946 Island Ave, Philadelphia, PA, 19153</v>
      </c>
      <c r="AE2074" s="1" t="str">
        <f t="shared" si="22"/>
        <v>2515 S 78TH ST</v>
      </c>
      <c r="AF2074" s="1">
        <f t="shared" si="23"/>
        <v>39.906923579999997</v>
      </c>
      <c r="AG2074" s="1">
        <f t="shared" si="24"/>
        <v>-75.248658329999998</v>
      </c>
      <c r="AH2074" s="1" t="str">
        <f>IF(I2074=0,"Not contacted",IF(INDEX('Staff Review'!$J$8:$J$507,I2074)="","Not contacted",INDEX('Staff Review'!$J$8:$J$507,I2074)))</f>
        <v>Not contacted</v>
      </c>
      <c r="AI2074" s="1" t="str">
        <f ca="1">IF(I2074=0,"No",IF(AND(COUNT(INDEX('Staff Review'!$D$8:$D$507,I2074))=1,INDEX('Staff Review'!$D$8:$D$507,I2074)&gt;=0,COUNT(INDEX('Staff Review'!$E$8:$E$507,I2074))=1,INDEX('Staff Review'!$E$8:$E$507,I2074)&gt;0,INDEX('Staff Review'!$E$8:$E$507,I2074)&lt;='Top 25'!$E$5,'Top 25'!$E$5-INDEX('Staff Review'!$E$8:$E$507,I2074)&lt;='Top 25'!$H$5,LEN(INDEX('Staff Review'!$H$8:$H$507,I2074))&gt;0),"Yes","No"))</f>
        <v>No</v>
      </c>
      <c r="AJ2074" s="1" t="str">
        <f>IF(I2074=0,"No",IF(COUNT(INDEX('Staff Review'!$F$8:$F$507,I2074))&lt;&gt;1,"No",IF(AND(INDEX('Staff Review'!$F$8:$F$507,I2074)&gt;=0,MOD(INDEX('Staff Review'!$F$8:$F$507,I2074),1)=0,COUNT(INDEX('Staff Review'!$G$8:$G$507,I2074))=1,INDEX('Staff Review'!$G$8:$G$507,I2074)&gt;0,INDEX('Staff Review'!$G$8:$G$507,I2074)&lt;='Top 25'!$E$5,'Top 25'!$E$5-INDEX('Staff Review'!$G$8:$G$507,I2074)&lt;='Top 25'!$H$5,LEN(INDEX('Staff Review'!$H$8:$H$507,I2074))&gt;0),"Yes","No")))</f>
        <v>No</v>
      </c>
      <c r="AK2074" s="1">
        <f t="shared" si="25"/>
        <v>1</v>
      </c>
      <c r="AL2074" s="1">
        <f t="shared" ca="1" si="26"/>
        <v>1</v>
      </c>
      <c r="AM2074" s="1">
        <f t="shared" si="27"/>
        <v>1440</v>
      </c>
      <c r="AN2074" s="1">
        <f t="shared" si="28"/>
        <v>24</v>
      </c>
      <c r="AO2074">
        <f t="shared" ca="1" si="29"/>
        <v>7</v>
      </c>
      <c r="AP2074" s="105">
        <f ca="1">IF(AND(AL2074=1,OR('Top 25'!$A$10="All",C2074='Top 25'!$A$10),OR('Top 25'!$D$10="All",D2074='Top 25'!$D$10)),1,0)</f>
        <v>0</v>
      </c>
      <c r="AQ2074" s="105" t="str">
        <f ca="1">IF(AP2074=0,"",CHOOSE(MATCH('Top 25'!$G$10,{"Priority score","Economic need","Enrollment","Fresh miles","Nearby resources"},0),T2074,G2074,F2074,K2074,L2074))</f>
        <v/>
      </c>
      <c r="AR2074" s="105" t="str">
        <f ca="1">IF(AP2074=0,"",1+COUNTIFS($AP$2051:$AP$2550,1,$AQ$2051:$AQ$2550,IF('Top 25'!$J$10="Ascending","&lt;","&gt;")&amp;AQ2074)+COUNTIFS($AP$2051:$AP$2550,1,$AQ$2051:$AQ$2550,AQ2074,$W$2051:$W$2550,"&lt;"&amp;W2074))</f>
        <v/>
      </c>
      <c r="AT2074" s="105">
        <f ca="1">IF(AND(AL2074=1,OR(Master_rankableSchools!$A$10="All",C2074=Master_rankableSchools!$A$10),OR(Master_rankableSchools!$D$10="All",D2074=Master_rankableSchools!$D$10)),1,0)</f>
        <v>1</v>
      </c>
      <c r="AU2074" s="105">
        <f ca="1">IF(AT2074=0,"",CHOOSE(MATCH(Master_rankableSchools!$G$10,{"Priority score","Economic need","Enrollment","Fresh miles","Nearby resources"},0),T2074,G2074,F2074,K2074,L2074))</f>
        <v>63</v>
      </c>
      <c r="AV2074" s="105">
        <f ca="1">IF(AT2074=0,"",1+COUNTIFS($AT$2051:$AT$2550,1,$AU$2051:$AU$2550,IF(Master_rankableSchools!$J$10="Ascending","&lt;","&gt;")&amp;AU2074)+COUNTIFS($AT$2051:$AT$2550,1,$AU$2051:$AU$2550,AU2074,$W$2051:$W$2550,"&lt;"&amp;W2074))</f>
        <v>7</v>
      </c>
    </row>
    <row r="2075" spans="1:48" ht="22" customHeight="1">
      <c r="A2075" s="1" t="str">
        <f t="shared" si="0"/>
        <v>1460</v>
      </c>
      <c r="B2075" s="1" t="str">
        <f t="shared" si="1"/>
        <v>Add B. Anderson School</v>
      </c>
      <c r="C2075" s="1" t="str">
        <f t="shared" si="2"/>
        <v>District</v>
      </c>
      <c r="D2075" s="1" t="str">
        <f t="shared" si="3"/>
        <v>Elementary-Middle</v>
      </c>
      <c r="E2075" s="1" t="str">
        <f t="shared" si="4"/>
        <v>19143</v>
      </c>
      <c r="F2075" s="1">
        <f t="shared" si="5"/>
        <v>318</v>
      </c>
      <c r="G2075" s="1">
        <f t="shared" si="6"/>
        <v>0.86460000000000004</v>
      </c>
      <c r="H2075" s="1" t="str">
        <f t="shared" si="7"/>
        <v>Yes</v>
      </c>
      <c r="I2075" s="1">
        <f>IF(OR(A2075="",COUNTIFS('Staff Review'!$A$8:$A$507,A2075)&lt;&gt;1),0,MATCH(A2075,'Staff Review'!$A$8:$A$507,0))</f>
        <v>9</v>
      </c>
      <c r="J2075" s="1" t="str">
        <f>IF(I2075=0,"No",IF(INDEX('Staff Review'!$C$8:$C$507,I2075)="Yes","Yes","No"))</f>
        <v>No</v>
      </c>
      <c r="K2075" s="1">
        <f ca="1">IF(AI2075="Yes",INDEX('Staff Review'!$D$8:$D$507,I2075),IF(AB2075=0,"",IF(COUNT(INDEX($C$1531:$C$2030,AB2075))=1,INDEX($C$1531:$C$2030,AB2075),"")))</f>
        <v>0.43366695454428678</v>
      </c>
      <c r="L2075" s="1">
        <f>IF(AJ2075="Yes",INDEX('Staff Review'!$F$8:$F$507,I2075),IF(AB2075=0,"",IF(COUNT(INDEX($G$1531:$G$2030,AB2075))=1,INDEX($G$1531:$G$2030,AB2075),"")))</f>
        <v>6</v>
      </c>
      <c r="M2075" s="1" t="str">
        <f t="shared" ca="1" si="8"/>
        <v>Listed</v>
      </c>
      <c r="N2075" s="1" t="str">
        <f t="shared" si="9"/>
        <v>Listed</v>
      </c>
      <c r="O2075" s="1">
        <f t="shared" si="10"/>
        <v>25</v>
      </c>
      <c r="P2075" s="1">
        <f t="shared" ca="1" si="11"/>
        <v>10</v>
      </c>
      <c r="Q2075" s="1">
        <f t="shared" si="12"/>
        <v>0</v>
      </c>
      <c r="R2075" s="1">
        <f t="shared" si="13"/>
        <v>2</v>
      </c>
      <c r="S2075" s="1">
        <f t="shared" ca="1" si="14"/>
        <v>37</v>
      </c>
      <c r="T2075" s="1">
        <f ca="1">IF(OR(COUNT(O2075:R2075)&lt;&gt;4,COUNT('Top 25'!$B$45:$E$45)&lt;&gt;4,MIN('Top 25'!$B$45:$E$45)&lt;0,SUM('Top 25'!$B$45:$E$45)&lt;=0),"",ROUND(85*(O2075/30*'Top 25'!$B$45+P2075/25*'Top 25'!$C$45+Q2075/25*'Top 25'!$D$45+R2075/5*'Top 25'!$E$45)/SUM('Top 25'!$B$45:$E$45),6))</f>
        <v>37</v>
      </c>
      <c r="U2075" s="1" t="str">
        <f t="shared" ca="1" si="15"/>
        <v>Listed</v>
      </c>
      <c r="V2075" s="1" t="str">
        <f ca="1">IF(A2075="","",IF(AK2075&lt;&gt;1,"Duplicate source ID",IF(COUNTIFS('Staff Review'!$A$8:$A$507,A2075)&gt;1,"Duplicate review ID",IF(H2075&lt;&gt;"Yes","Outside scope",IF(J2075="Yes","Already served",IF(NOT(ISNUMBER(T2075)),"Missing data","Candidate"))))))</f>
        <v>Candidate</v>
      </c>
      <c r="W2075" s="1">
        <f t="shared" ca="1" si="16"/>
        <v>195</v>
      </c>
      <c r="X2075" s="1">
        <f t="shared" ca="1" si="17"/>
        <v>182</v>
      </c>
      <c r="Y2075" s="1">
        <f ca="1">IF(AND(H2075="Yes",OR(LEN('School Search'!$B$5)=0,ISNUMBER(SEARCH('School Search'!$B$5,B2075&amp;" "&amp;E2075&amp;" "&amp;A2075))),OR('School Search'!$D$5="All",C2075='School Search'!$D$5),OR('School Search'!$G$5="All eligible",AND('School Search'!$G$5="Not marked served",J2075&lt;&gt;"Yes"),AND('School Search'!$G$5="Missing data",V2075="Missing data"),AND('School Search'!$G$5="Marked served",J2075="Yes"))),1,0)</f>
        <v>1</v>
      </c>
      <c r="Z2075" s="1">
        <f ca="1">IF(Y2075=0,"",COUNTIFS($Y$2051:$Y$2550,1,$AO$2051:$AO$2550,"&lt;"&amp;AO2075)+COUNTIFS($Y$2051:Y2075,1,$AO$2051:AO2075,AO2075))</f>
        <v>195</v>
      </c>
      <c r="AA2075" s="1" t="str">
        <f t="shared" ca="1" si="18"/>
        <v>86% economic need; 0.43 mi fresh access; 6 nearby resources</v>
      </c>
      <c r="AB2075" s="1">
        <f t="shared" si="19"/>
        <v>25</v>
      </c>
      <c r="AC2075" s="1" t="str">
        <f t="shared" si="20"/>
        <v>Cousin's Fresh Market 3 Llc</v>
      </c>
      <c r="AD2075" s="1" t="str">
        <f t="shared" si="21"/>
        <v>5704 Baltimore Ave, Philadelphia, PA, 19143</v>
      </c>
      <c r="AE2075" s="1" t="str">
        <f t="shared" si="22"/>
        <v>1034 S 60TH ST</v>
      </c>
      <c r="AF2075" s="1">
        <f t="shared" si="23"/>
        <v>39.946725999999998</v>
      </c>
      <c r="AG2075" s="1">
        <f t="shared" si="24"/>
        <v>-75.245716999999999</v>
      </c>
      <c r="AH2075" s="1" t="str">
        <f>IF(I2075=0,"Not contacted",IF(INDEX('Staff Review'!$J$8:$J$507,I2075)="","Not contacted",INDEX('Staff Review'!$J$8:$J$507,I2075)))</f>
        <v>Not contacted</v>
      </c>
      <c r="AI2075" s="1" t="str">
        <f ca="1">IF(I2075=0,"No",IF(AND(COUNT(INDEX('Staff Review'!$D$8:$D$507,I2075))=1,INDEX('Staff Review'!$D$8:$D$507,I2075)&gt;=0,COUNT(INDEX('Staff Review'!$E$8:$E$507,I2075))=1,INDEX('Staff Review'!$E$8:$E$507,I2075)&gt;0,INDEX('Staff Review'!$E$8:$E$507,I2075)&lt;='Top 25'!$E$5,'Top 25'!$E$5-INDEX('Staff Review'!$E$8:$E$507,I2075)&lt;='Top 25'!$H$5,LEN(INDEX('Staff Review'!$H$8:$H$507,I2075))&gt;0),"Yes","No"))</f>
        <v>No</v>
      </c>
      <c r="AJ2075" s="1" t="str">
        <f>IF(I2075=0,"No",IF(COUNT(INDEX('Staff Review'!$F$8:$F$507,I2075))&lt;&gt;1,"No",IF(AND(INDEX('Staff Review'!$F$8:$F$507,I2075)&gt;=0,MOD(INDEX('Staff Review'!$F$8:$F$507,I2075),1)=0,COUNT(INDEX('Staff Review'!$G$8:$G$507,I2075))=1,INDEX('Staff Review'!$G$8:$G$507,I2075)&gt;0,INDEX('Staff Review'!$G$8:$G$507,I2075)&lt;='Top 25'!$E$5,'Top 25'!$E$5-INDEX('Staff Review'!$G$8:$G$507,I2075)&lt;='Top 25'!$H$5,LEN(INDEX('Staff Review'!$H$8:$H$507,I2075))&gt;0),"Yes","No")))</f>
        <v>No</v>
      </c>
      <c r="AK2075" s="1">
        <f t="shared" si="25"/>
        <v>1</v>
      </c>
      <c r="AL2075" s="1">
        <f t="shared" ca="1" si="26"/>
        <v>1</v>
      </c>
      <c r="AM2075" s="1">
        <f t="shared" si="27"/>
        <v>1460</v>
      </c>
      <c r="AN2075" s="1">
        <f t="shared" si="28"/>
        <v>25</v>
      </c>
      <c r="AO2075">
        <f t="shared" ca="1" si="29"/>
        <v>195</v>
      </c>
      <c r="AP2075" s="105">
        <f ca="1">IF(AND(AL2075=1,OR('Top 25'!$A$10="All",C2075='Top 25'!$A$10),OR('Top 25'!$D$10="All",D2075='Top 25'!$D$10)),1,0)</f>
        <v>0</v>
      </c>
      <c r="AQ2075" s="105" t="str">
        <f ca="1">IF(AP2075=0,"",CHOOSE(MATCH('Top 25'!$G$10,{"Priority score","Economic need","Enrollment","Fresh miles","Nearby resources"},0),T2075,G2075,F2075,K2075,L2075))</f>
        <v/>
      </c>
      <c r="AR2075" s="105" t="str">
        <f ca="1">IF(AP2075=0,"",1+COUNTIFS($AP$2051:$AP$2550,1,$AQ$2051:$AQ$2550,IF('Top 25'!$J$10="Ascending","&lt;","&gt;")&amp;AQ2075)+COUNTIFS($AP$2051:$AP$2550,1,$AQ$2051:$AQ$2550,AQ2075,$W$2051:$W$2550,"&lt;"&amp;W2075))</f>
        <v/>
      </c>
      <c r="AT2075" s="105">
        <f ca="1">IF(AND(AL2075=1,OR(Master_rankableSchools!$A$10="All",C2075=Master_rankableSchools!$A$10),OR(Master_rankableSchools!$D$10="All",D2075=Master_rankableSchools!$D$10)),1,0)</f>
        <v>1</v>
      </c>
      <c r="AU2075" s="105">
        <f ca="1">IF(AT2075=0,"",CHOOSE(MATCH(Master_rankableSchools!$G$10,{"Priority score","Economic need","Enrollment","Fresh miles","Nearby resources"},0),T2075,G2075,F2075,K2075,L2075))</f>
        <v>37</v>
      </c>
      <c r="AV2075" s="105">
        <f ca="1">IF(AT2075=0,"",1+COUNTIFS($AT$2051:$AT$2550,1,$AU$2051:$AU$2550,IF(Master_rankableSchools!$J$10="Ascending","&lt;","&gt;")&amp;AU2075)+COUNTIFS($AT$2051:$AT$2550,1,$AU$2051:$AU$2550,AU2075,$W$2051:$W$2550,"&lt;"&amp;W2075))</f>
        <v>195</v>
      </c>
    </row>
    <row r="2076" spans="1:48" ht="22" customHeight="1">
      <c r="A2076" s="1" t="str">
        <f t="shared" si="0"/>
        <v>1470</v>
      </c>
      <c r="B2076" s="1" t="str">
        <f t="shared" si="1"/>
        <v>Alain Locke School</v>
      </c>
      <c r="C2076" s="1" t="str">
        <f t="shared" si="2"/>
        <v>District</v>
      </c>
      <c r="D2076" s="1" t="str">
        <f t="shared" si="3"/>
        <v>Elementary-Middle</v>
      </c>
      <c r="E2076" s="1" t="str">
        <f t="shared" si="4"/>
        <v>19139</v>
      </c>
      <c r="F2076" s="1">
        <f t="shared" si="5"/>
        <v>276</v>
      </c>
      <c r="G2076" s="1">
        <f t="shared" si="6"/>
        <v>0.82899999999999996</v>
      </c>
      <c r="H2076" s="1" t="str">
        <f t="shared" si="7"/>
        <v>Yes</v>
      </c>
      <c r="I2076" s="1">
        <f>IF(OR(A2076="",COUNTIFS('Staff Review'!$A$8:$A$507,A2076)&lt;&gt;1),0,MATCH(A2076,'Staff Review'!$A$8:$A$507,0))</f>
        <v>10</v>
      </c>
      <c r="J2076" s="1" t="str">
        <f>IF(I2076=0,"No",IF(INDEX('Staff Review'!$C$8:$C$507,I2076)="Yes","Yes","No"))</f>
        <v>No</v>
      </c>
      <c r="K2076" s="1">
        <f ca="1">IF(AI2076="Yes",INDEX('Staff Review'!$D$8:$D$507,I2076),IF(AB2076=0,"",IF(COUNT(INDEX($C$1531:$C$2030,AB2076))=1,INDEX($C$1531:$C$2030,AB2076),"")))</f>
        <v>0.23280418789792304</v>
      </c>
      <c r="L2076" s="1">
        <f>IF(AJ2076="Yes",INDEX('Staff Review'!$F$8:$F$507,I2076),IF(AB2076=0,"",IF(COUNT(INDEX($G$1531:$G$2030,AB2076))=1,INDEX($G$1531:$G$2030,AB2076),"")))</f>
        <v>15</v>
      </c>
      <c r="M2076" s="1" t="str">
        <f t="shared" ca="1" si="8"/>
        <v>Listed</v>
      </c>
      <c r="N2076" s="1" t="str">
        <f t="shared" si="9"/>
        <v>Listed</v>
      </c>
      <c r="O2076" s="1">
        <f t="shared" si="10"/>
        <v>25</v>
      </c>
      <c r="P2076" s="1">
        <f t="shared" ca="1" si="11"/>
        <v>5</v>
      </c>
      <c r="Q2076" s="1">
        <f t="shared" si="12"/>
        <v>0</v>
      </c>
      <c r="R2076" s="1">
        <f t="shared" si="13"/>
        <v>2</v>
      </c>
      <c r="S2076" s="1">
        <f t="shared" ca="1" si="14"/>
        <v>32</v>
      </c>
      <c r="T2076" s="1">
        <f ca="1">IF(OR(COUNT(O2076:R2076)&lt;&gt;4,COUNT('Top 25'!$B$45:$E$45)&lt;&gt;4,MIN('Top 25'!$B$45:$E$45)&lt;0,SUM('Top 25'!$B$45:$E$45)&lt;=0),"",ROUND(85*(O2076/30*'Top 25'!$B$45+P2076/25*'Top 25'!$C$45+Q2076/25*'Top 25'!$D$45+R2076/5*'Top 25'!$E$45)/SUM('Top 25'!$B$45:$E$45),6))</f>
        <v>32</v>
      </c>
      <c r="U2076" s="1" t="str">
        <f t="shared" ca="1" si="15"/>
        <v>Listed</v>
      </c>
      <c r="V2076" s="1" t="str">
        <f ca="1">IF(A2076="","",IF(AK2076&lt;&gt;1,"Duplicate source ID",IF(COUNTIFS('Staff Review'!$A$8:$A$507,A2076)&gt;1,"Duplicate review ID",IF(H2076&lt;&gt;"Yes","Outside scope",IF(J2076="Yes","Already served",IF(NOT(ISNUMBER(T2076)),"Missing data","Candidate"))))))</f>
        <v>Candidate</v>
      </c>
      <c r="W2076" s="1">
        <f t="shared" ca="1" si="16"/>
        <v>247</v>
      </c>
      <c r="X2076" s="1">
        <f t="shared" ca="1" si="17"/>
        <v>243</v>
      </c>
      <c r="Y2076" s="1">
        <f ca="1">IF(AND(H2076="Yes",OR(LEN('School Search'!$B$5)=0,ISNUMBER(SEARCH('School Search'!$B$5,B2076&amp;" "&amp;E2076&amp;" "&amp;A2076))),OR('School Search'!$D$5="All",C2076='School Search'!$D$5),OR('School Search'!$G$5="All eligible",AND('School Search'!$G$5="Not marked served",J2076&lt;&gt;"Yes"),AND('School Search'!$G$5="Missing data",V2076="Missing data"),AND('School Search'!$G$5="Marked served",J2076="Yes"))),1,0)</f>
        <v>1</v>
      </c>
      <c r="Z2076" s="1">
        <f ca="1">IF(Y2076=0,"",COUNTIFS($Y$2051:$Y$2550,1,$AO$2051:$AO$2550,"&lt;"&amp;AO2076)+COUNTIFS($Y$2051:Y2076,1,$AO$2051:AO2076,AO2076))</f>
        <v>247</v>
      </c>
      <c r="AA2076" s="1" t="str">
        <f t="shared" ca="1" si="18"/>
        <v>83% economic need; 0.23 mi fresh access; 15 nearby resources</v>
      </c>
      <c r="AB2076" s="1">
        <f t="shared" si="19"/>
        <v>26</v>
      </c>
      <c r="AC2076" s="1" t="str">
        <f t="shared" si="20"/>
        <v>ALDI 54</v>
      </c>
      <c r="AD2076" s="1" t="str">
        <f t="shared" si="21"/>
        <v>4421 Market St, Philadelphia, PA, 19104</v>
      </c>
      <c r="AE2076" s="1" t="str">
        <f t="shared" si="22"/>
        <v>4550 HAVERFORD AVE</v>
      </c>
      <c r="AF2076" s="1">
        <f t="shared" si="23"/>
        <v>39.96262376</v>
      </c>
      <c r="AG2076" s="1">
        <f t="shared" si="24"/>
        <v>-75.212450970000006</v>
      </c>
      <c r="AH2076" s="1" t="str">
        <f>IF(I2076=0,"Not contacted",IF(INDEX('Staff Review'!$J$8:$J$507,I2076)="","Not contacted",INDEX('Staff Review'!$J$8:$J$507,I2076)))</f>
        <v>Not contacted</v>
      </c>
      <c r="AI2076" s="1" t="str">
        <f ca="1">IF(I2076=0,"No",IF(AND(COUNT(INDEX('Staff Review'!$D$8:$D$507,I2076))=1,INDEX('Staff Review'!$D$8:$D$507,I2076)&gt;=0,COUNT(INDEX('Staff Review'!$E$8:$E$507,I2076))=1,INDEX('Staff Review'!$E$8:$E$507,I2076)&gt;0,INDEX('Staff Review'!$E$8:$E$507,I2076)&lt;='Top 25'!$E$5,'Top 25'!$E$5-INDEX('Staff Review'!$E$8:$E$507,I2076)&lt;='Top 25'!$H$5,LEN(INDEX('Staff Review'!$H$8:$H$507,I2076))&gt;0),"Yes","No"))</f>
        <v>No</v>
      </c>
      <c r="AJ2076" s="1" t="str">
        <f>IF(I2076=0,"No",IF(COUNT(INDEX('Staff Review'!$F$8:$F$507,I2076))&lt;&gt;1,"No",IF(AND(INDEX('Staff Review'!$F$8:$F$507,I2076)&gt;=0,MOD(INDEX('Staff Review'!$F$8:$F$507,I2076),1)=0,COUNT(INDEX('Staff Review'!$G$8:$G$507,I2076))=1,INDEX('Staff Review'!$G$8:$G$507,I2076)&gt;0,INDEX('Staff Review'!$G$8:$G$507,I2076)&lt;='Top 25'!$E$5,'Top 25'!$E$5-INDEX('Staff Review'!$G$8:$G$507,I2076)&lt;='Top 25'!$H$5,LEN(INDEX('Staff Review'!$H$8:$H$507,I2076))&gt;0),"Yes","No")))</f>
        <v>No</v>
      </c>
      <c r="AK2076" s="1">
        <f t="shared" si="25"/>
        <v>1</v>
      </c>
      <c r="AL2076" s="1">
        <f t="shared" ca="1" si="26"/>
        <v>1</v>
      </c>
      <c r="AM2076" s="1">
        <f t="shared" si="27"/>
        <v>1470</v>
      </c>
      <c r="AN2076" s="1">
        <f t="shared" si="28"/>
        <v>26</v>
      </c>
      <c r="AO2076">
        <f t="shared" ca="1" si="29"/>
        <v>247</v>
      </c>
      <c r="AP2076" s="105">
        <f ca="1">IF(AND(AL2076=1,OR('Top 25'!$A$10="All",C2076='Top 25'!$A$10),OR('Top 25'!$D$10="All",D2076='Top 25'!$D$10)),1,0)</f>
        <v>0</v>
      </c>
      <c r="AQ2076" s="105" t="str">
        <f ca="1">IF(AP2076=0,"",CHOOSE(MATCH('Top 25'!$G$10,{"Priority score","Economic need","Enrollment","Fresh miles","Nearby resources"},0),T2076,G2076,F2076,K2076,L2076))</f>
        <v/>
      </c>
      <c r="AR2076" s="105" t="str">
        <f ca="1">IF(AP2076=0,"",1+COUNTIFS($AP$2051:$AP$2550,1,$AQ$2051:$AQ$2550,IF('Top 25'!$J$10="Ascending","&lt;","&gt;")&amp;AQ2076)+COUNTIFS($AP$2051:$AP$2550,1,$AQ$2051:$AQ$2550,AQ2076,$W$2051:$W$2550,"&lt;"&amp;W2076))</f>
        <v/>
      </c>
      <c r="AT2076" s="105">
        <f ca="1">IF(AND(AL2076=1,OR(Master_rankableSchools!$A$10="All",C2076=Master_rankableSchools!$A$10),OR(Master_rankableSchools!$D$10="All",D2076=Master_rankableSchools!$D$10)),1,0)</f>
        <v>1</v>
      </c>
      <c r="AU2076" s="105">
        <f ca="1">IF(AT2076=0,"",CHOOSE(MATCH(Master_rankableSchools!$G$10,{"Priority score","Economic need","Enrollment","Fresh miles","Nearby resources"},0),T2076,G2076,F2076,K2076,L2076))</f>
        <v>32</v>
      </c>
      <c r="AV2076" s="105">
        <f ca="1">IF(AT2076=0,"",1+COUNTIFS($AT$2051:$AT$2550,1,$AU$2051:$AU$2550,IF(Master_rankableSchools!$J$10="Ascending","&lt;","&gt;")&amp;AU2076)+COUNTIFS($AT$2051:$AT$2550,1,$AU$2051:$AU$2550,AU2076,$W$2051:$W$2550,"&lt;"&amp;W2076))</f>
        <v>247</v>
      </c>
    </row>
    <row r="2077" spans="1:48" ht="22" customHeight="1">
      <c r="A2077" s="1" t="str">
        <f t="shared" si="0"/>
        <v>1490</v>
      </c>
      <c r="B2077" s="1" t="str">
        <f t="shared" si="1"/>
        <v>Rudolph Blankenburg School</v>
      </c>
      <c r="C2077" s="1" t="str">
        <f t="shared" si="2"/>
        <v>District</v>
      </c>
      <c r="D2077" s="1" t="str">
        <f t="shared" si="3"/>
        <v>Elementary-Middle</v>
      </c>
      <c r="E2077" s="1" t="str">
        <f t="shared" si="4"/>
        <v>19131</v>
      </c>
      <c r="F2077" s="1">
        <f t="shared" si="5"/>
        <v>228</v>
      </c>
      <c r="G2077" s="1">
        <f t="shared" si="6"/>
        <v>0.89790000000000003</v>
      </c>
      <c r="H2077" s="1" t="str">
        <f t="shared" si="7"/>
        <v>Yes</v>
      </c>
      <c r="I2077" s="1">
        <f>IF(OR(A2077="",COUNTIFS('Staff Review'!$A$8:$A$507,A2077)&lt;&gt;1),0,MATCH(A2077,'Staff Review'!$A$8:$A$507,0))</f>
        <v>256</v>
      </c>
      <c r="J2077" s="1" t="str">
        <f>IF(I2077=0,"No",IF(INDEX('Staff Review'!$C$8:$C$507,I2077)="Yes","Yes","No"))</f>
        <v>No</v>
      </c>
      <c r="K2077" s="1">
        <f ca="1">IF(AI2077="Yes",INDEX('Staff Review'!$D$8:$D$507,I2077),IF(AB2077=0,"",IF(COUNT(INDEX($C$1531:$C$2030,AB2077))=1,INDEX($C$1531:$C$2030,AB2077),"")))</f>
        <v>0.44216629364402876</v>
      </c>
      <c r="L2077" s="1">
        <f>IF(AJ2077="Yes",INDEX('Staff Review'!$F$8:$F$507,I2077),IF(AB2077=0,"",IF(COUNT(INDEX($G$1531:$G$2030,AB2077))=1,INDEX($G$1531:$G$2030,AB2077),"")))</f>
        <v>9</v>
      </c>
      <c r="M2077" s="1" t="str">
        <f t="shared" ca="1" si="8"/>
        <v>Listed</v>
      </c>
      <c r="N2077" s="1" t="str">
        <f t="shared" si="9"/>
        <v>Listed</v>
      </c>
      <c r="O2077" s="1">
        <f t="shared" si="10"/>
        <v>25</v>
      </c>
      <c r="P2077" s="1">
        <f t="shared" ca="1" si="11"/>
        <v>10</v>
      </c>
      <c r="Q2077" s="1">
        <f t="shared" si="12"/>
        <v>0</v>
      </c>
      <c r="R2077" s="1">
        <f t="shared" si="13"/>
        <v>2</v>
      </c>
      <c r="S2077" s="1">
        <f t="shared" ca="1" si="14"/>
        <v>37</v>
      </c>
      <c r="T2077" s="1">
        <f ca="1">IF(OR(COUNT(O2077:R2077)&lt;&gt;4,COUNT('Top 25'!$B$45:$E$45)&lt;&gt;4,MIN('Top 25'!$B$45:$E$45)&lt;0,SUM('Top 25'!$B$45:$E$45)&lt;=0),"",ROUND(85*(O2077/30*'Top 25'!$B$45+P2077/25*'Top 25'!$C$45+Q2077/25*'Top 25'!$D$45+R2077/5*'Top 25'!$E$45)/SUM('Top 25'!$B$45:$E$45),6))</f>
        <v>37</v>
      </c>
      <c r="U2077" s="1" t="str">
        <f t="shared" ca="1" si="15"/>
        <v>Listed</v>
      </c>
      <c r="V2077" s="1" t="str">
        <f ca="1">IF(A2077="","",IF(AK2077&lt;&gt;1,"Duplicate source ID",IF(COUNTIFS('Staff Review'!$A$8:$A$507,A2077)&gt;1,"Duplicate review ID",IF(H2077&lt;&gt;"Yes","Outside scope",IF(J2077="Yes","Already served",IF(NOT(ISNUMBER(T2077)),"Missing data","Candidate"))))))</f>
        <v>Candidate</v>
      </c>
      <c r="W2077" s="1">
        <f t="shared" ca="1" si="16"/>
        <v>183</v>
      </c>
      <c r="X2077" s="1">
        <f t="shared" ca="1" si="17"/>
        <v>182</v>
      </c>
      <c r="Y2077" s="1">
        <f ca="1">IF(AND(H2077="Yes",OR(LEN('School Search'!$B$5)=0,ISNUMBER(SEARCH('School Search'!$B$5,B2077&amp;" "&amp;E2077&amp;" "&amp;A2077))),OR('School Search'!$D$5="All",C2077='School Search'!$D$5),OR('School Search'!$G$5="All eligible",AND('School Search'!$G$5="Not marked served",J2077&lt;&gt;"Yes"),AND('School Search'!$G$5="Missing data",V2077="Missing data"),AND('School Search'!$G$5="Marked served",J2077="Yes"))),1,0)</f>
        <v>1</v>
      </c>
      <c r="Z2077" s="1">
        <f ca="1">IF(Y2077=0,"",COUNTIFS($Y$2051:$Y$2550,1,$AO$2051:$AO$2550,"&lt;"&amp;AO2077)+COUNTIFS($Y$2051:Y2077,1,$AO$2051:AO2077,AO2077))</f>
        <v>183</v>
      </c>
      <c r="AA2077" s="1" t="str">
        <f t="shared" ca="1" si="18"/>
        <v>90% economic need; 0.44 mi fresh access; 9 nearby resources</v>
      </c>
      <c r="AB2077" s="1">
        <f t="shared" si="19"/>
        <v>27</v>
      </c>
      <c r="AC2077" s="1" t="str">
        <f t="shared" si="20"/>
        <v>Cousin's Fresh Market 2 Inc</v>
      </c>
      <c r="AD2077" s="1" t="str">
        <f t="shared" si="21"/>
        <v>5429 W Girard Ave, Philadelphia, PA, 19131</v>
      </c>
      <c r="AE2077" s="1" t="str">
        <f t="shared" si="22"/>
        <v>4600 W GIRARD AVE</v>
      </c>
      <c r="AF2077" s="1">
        <f t="shared" si="23"/>
        <v>39.972963120000003</v>
      </c>
      <c r="AG2077" s="1">
        <f t="shared" si="24"/>
        <v>-75.213888679999997</v>
      </c>
      <c r="AH2077" s="1" t="str">
        <f>IF(I2077=0,"Not contacted",IF(INDEX('Staff Review'!$J$8:$J$507,I2077)="","Not contacted",INDEX('Staff Review'!$J$8:$J$507,I2077)))</f>
        <v>Not contacted</v>
      </c>
      <c r="AI2077" s="1" t="str">
        <f ca="1">IF(I2077=0,"No",IF(AND(COUNT(INDEX('Staff Review'!$D$8:$D$507,I2077))=1,INDEX('Staff Review'!$D$8:$D$507,I2077)&gt;=0,COUNT(INDEX('Staff Review'!$E$8:$E$507,I2077))=1,INDEX('Staff Review'!$E$8:$E$507,I2077)&gt;0,INDEX('Staff Review'!$E$8:$E$507,I2077)&lt;='Top 25'!$E$5,'Top 25'!$E$5-INDEX('Staff Review'!$E$8:$E$507,I2077)&lt;='Top 25'!$H$5,LEN(INDEX('Staff Review'!$H$8:$H$507,I2077))&gt;0),"Yes","No"))</f>
        <v>No</v>
      </c>
      <c r="AJ2077" s="1" t="str">
        <f>IF(I2077=0,"No",IF(COUNT(INDEX('Staff Review'!$F$8:$F$507,I2077))&lt;&gt;1,"No",IF(AND(INDEX('Staff Review'!$F$8:$F$507,I2077)&gt;=0,MOD(INDEX('Staff Review'!$F$8:$F$507,I2077),1)=0,COUNT(INDEX('Staff Review'!$G$8:$G$507,I2077))=1,INDEX('Staff Review'!$G$8:$G$507,I2077)&gt;0,INDEX('Staff Review'!$G$8:$G$507,I2077)&lt;='Top 25'!$E$5,'Top 25'!$E$5-INDEX('Staff Review'!$G$8:$G$507,I2077)&lt;='Top 25'!$H$5,LEN(INDEX('Staff Review'!$H$8:$H$507,I2077))&gt;0),"Yes","No")))</f>
        <v>No</v>
      </c>
      <c r="AK2077" s="1">
        <f t="shared" si="25"/>
        <v>1</v>
      </c>
      <c r="AL2077" s="1">
        <f t="shared" ca="1" si="26"/>
        <v>1</v>
      </c>
      <c r="AM2077" s="1">
        <f t="shared" si="27"/>
        <v>1490</v>
      </c>
      <c r="AN2077" s="1">
        <f t="shared" si="28"/>
        <v>27</v>
      </c>
      <c r="AO2077">
        <f t="shared" ca="1" si="29"/>
        <v>183</v>
      </c>
      <c r="AP2077" s="105">
        <f ca="1">IF(AND(AL2077=1,OR('Top 25'!$A$10="All",C2077='Top 25'!$A$10),OR('Top 25'!$D$10="All",D2077='Top 25'!$D$10)),1,0)</f>
        <v>0</v>
      </c>
      <c r="AQ2077" s="105" t="str">
        <f ca="1">IF(AP2077=0,"",CHOOSE(MATCH('Top 25'!$G$10,{"Priority score","Economic need","Enrollment","Fresh miles","Nearby resources"},0),T2077,G2077,F2077,K2077,L2077))</f>
        <v/>
      </c>
      <c r="AR2077" s="105" t="str">
        <f ca="1">IF(AP2077=0,"",1+COUNTIFS($AP$2051:$AP$2550,1,$AQ$2051:$AQ$2550,IF('Top 25'!$J$10="Ascending","&lt;","&gt;")&amp;AQ2077)+COUNTIFS($AP$2051:$AP$2550,1,$AQ$2051:$AQ$2550,AQ2077,$W$2051:$W$2550,"&lt;"&amp;W2077))</f>
        <v/>
      </c>
      <c r="AT2077" s="105">
        <f ca="1">IF(AND(AL2077=1,OR(Master_rankableSchools!$A$10="All",C2077=Master_rankableSchools!$A$10),OR(Master_rankableSchools!$D$10="All",D2077=Master_rankableSchools!$D$10)),1,0)</f>
        <v>1</v>
      </c>
      <c r="AU2077" s="105">
        <f ca="1">IF(AT2077=0,"",CHOOSE(MATCH(Master_rankableSchools!$G$10,{"Priority score","Economic need","Enrollment","Fresh miles","Nearby resources"},0),T2077,G2077,F2077,K2077,L2077))</f>
        <v>37</v>
      </c>
      <c r="AV2077" s="105">
        <f ca="1">IF(AT2077=0,"",1+COUNTIFS($AT$2051:$AT$2550,1,$AU$2051:$AU$2550,IF(Master_rankableSchools!$J$10="Ascending","&lt;","&gt;")&amp;AU2077)+COUNTIFS($AT$2051:$AT$2550,1,$AU$2051:$AU$2550,AU2077,$W$2051:$W$2550,"&lt;"&amp;W2077))</f>
        <v>183</v>
      </c>
    </row>
    <row r="2078" spans="1:48" ht="22" customHeight="1">
      <c r="A2078" s="1" t="str">
        <f t="shared" si="0"/>
        <v>1580</v>
      </c>
      <c r="B2078" s="1" t="str">
        <f t="shared" si="1"/>
        <v>Middle Years Alternative School</v>
      </c>
      <c r="C2078" s="1" t="str">
        <f t="shared" si="2"/>
        <v>District</v>
      </c>
      <c r="D2078" s="1" t="str">
        <f t="shared" si="3"/>
        <v>Middle</v>
      </c>
      <c r="E2078" s="1" t="str">
        <f t="shared" si="4"/>
        <v>19139</v>
      </c>
      <c r="F2078" s="1">
        <f t="shared" si="5"/>
        <v>122</v>
      </c>
      <c r="G2078" s="1">
        <f t="shared" si="6"/>
        <v>0.8</v>
      </c>
      <c r="H2078" s="1" t="str">
        <f t="shared" si="7"/>
        <v>Yes</v>
      </c>
      <c r="I2078" s="1">
        <f>IF(OR(A2078="",COUNTIFS('Staff Review'!$A$8:$A$507,A2078)&lt;&gt;1),0,MATCH(A2078,'Staff Review'!$A$8:$A$507,0))</f>
        <v>199</v>
      </c>
      <c r="J2078" s="1" t="str">
        <f>IF(I2078=0,"No",IF(INDEX('Staff Review'!$C$8:$C$507,I2078)="Yes","Yes","No"))</f>
        <v>No</v>
      </c>
      <c r="K2078" s="1">
        <f ca="1">IF(AI2078="Yes",INDEX('Staff Review'!$D$8:$D$507,I2078),IF(AB2078=0,"",IF(COUNT(INDEX($C$1531:$C$2030,AB2078))=1,INDEX($C$1531:$C$2030,AB2078),"")))</f>
        <v>0.36728004506671763</v>
      </c>
      <c r="L2078" s="1">
        <f>IF(AJ2078="Yes",INDEX('Staff Review'!$F$8:$F$507,I2078),IF(AB2078=0,"",IF(COUNT(INDEX($G$1531:$G$2030,AB2078))=1,INDEX($G$1531:$G$2030,AB2078),"")))</f>
        <v>14</v>
      </c>
      <c r="M2078" s="1" t="str">
        <f t="shared" ca="1" si="8"/>
        <v>Listed</v>
      </c>
      <c r="N2078" s="1" t="str">
        <f t="shared" si="9"/>
        <v>Listed</v>
      </c>
      <c r="O2078" s="1">
        <f t="shared" si="10"/>
        <v>25</v>
      </c>
      <c r="P2078" s="1">
        <f t="shared" ca="1" si="11"/>
        <v>10</v>
      </c>
      <c r="Q2078" s="1">
        <f t="shared" si="12"/>
        <v>0</v>
      </c>
      <c r="R2078" s="1">
        <f t="shared" si="13"/>
        <v>1</v>
      </c>
      <c r="S2078" s="1">
        <f t="shared" ca="1" si="14"/>
        <v>36</v>
      </c>
      <c r="T2078" s="1">
        <f ca="1">IF(OR(COUNT(O2078:R2078)&lt;&gt;4,COUNT('Top 25'!$B$45:$E$45)&lt;&gt;4,MIN('Top 25'!$B$45:$E$45)&lt;0,SUM('Top 25'!$B$45:$E$45)&lt;=0),"",ROUND(85*(O2078/30*'Top 25'!$B$45+P2078/25*'Top 25'!$C$45+Q2078/25*'Top 25'!$D$45+R2078/5*'Top 25'!$E$45)/SUM('Top 25'!$B$45:$E$45),6))</f>
        <v>36</v>
      </c>
      <c r="U2078" s="1" t="str">
        <f t="shared" ca="1" si="15"/>
        <v>Listed</v>
      </c>
      <c r="V2078" s="1" t="str">
        <f ca="1">IF(A2078="","",IF(AK2078&lt;&gt;1,"Duplicate source ID",IF(COUNTIFS('Staff Review'!$A$8:$A$507,A2078)&gt;1,"Duplicate review ID",IF(H2078&lt;&gt;"Yes","Outside scope",IF(J2078="Yes","Already served",IF(NOT(ISNUMBER(T2078)),"Missing data","Candidate"))))))</f>
        <v>Candidate</v>
      </c>
      <c r="W2078" s="1">
        <f t="shared" ca="1" si="16"/>
        <v>208</v>
      </c>
      <c r="X2078" s="1">
        <f t="shared" ca="1" si="17"/>
        <v>205</v>
      </c>
      <c r="Y2078" s="1">
        <f ca="1">IF(AND(H2078="Yes",OR(LEN('School Search'!$B$5)=0,ISNUMBER(SEARCH('School Search'!$B$5,B2078&amp;" "&amp;E2078&amp;" "&amp;A2078))),OR('School Search'!$D$5="All",C2078='School Search'!$D$5),OR('School Search'!$G$5="All eligible",AND('School Search'!$G$5="Not marked served",J2078&lt;&gt;"Yes"),AND('School Search'!$G$5="Missing data",V2078="Missing data"),AND('School Search'!$G$5="Marked served",J2078="Yes"))),1,0)</f>
        <v>1</v>
      </c>
      <c r="Z2078" s="1">
        <f ca="1">IF(Y2078=0,"",COUNTIFS($Y$2051:$Y$2550,1,$AO$2051:$AO$2550,"&lt;"&amp;AO2078)+COUNTIFS($Y$2051:Y2078,1,$AO$2051:AO2078,AO2078))</f>
        <v>208</v>
      </c>
      <c r="AA2078" s="1" t="str">
        <f t="shared" ca="1" si="18"/>
        <v>80% economic need; 0.37 mi fresh access; 14 nearby resources</v>
      </c>
      <c r="AB2078" s="1">
        <f t="shared" si="19"/>
        <v>28</v>
      </c>
      <c r="AC2078" s="1" t="str">
        <f t="shared" si="20"/>
        <v>ALDI 54</v>
      </c>
      <c r="AD2078" s="1" t="str">
        <f t="shared" si="21"/>
        <v>4421 Market St, Philadelphia, PA, 19104</v>
      </c>
      <c r="AE2078" s="1" t="str">
        <f t="shared" si="22"/>
        <v>4725 FAIRMOUNT AVE</v>
      </c>
      <c r="AF2078" s="1">
        <f t="shared" si="23"/>
        <v>39.964253790000001</v>
      </c>
      <c r="AG2078" s="1">
        <f t="shared" si="24"/>
        <v>-75.215467039999993</v>
      </c>
      <c r="AH2078" s="1" t="str">
        <f>IF(I2078=0,"Not contacted",IF(INDEX('Staff Review'!$J$8:$J$507,I2078)="","Not contacted",INDEX('Staff Review'!$J$8:$J$507,I2078)))</f>
        <v>Not contacted</v>
      </c>
      <c r="AI2078" s="1" t="str">
        <f ca="1">IF(I2078=0,"No",IF(AND(COUNT(INDEX('Staff Review'!$D$8:$D$507,I2078))=1,INDEX('Staff Review'!$D$8:$D$507,I2078)&gt;=0,COUNT(INDEX('Staff Review'!$E$8:$E$507,I2078))=1,INDEX('Staff Review'!$E$8:$E$507,I2078)&gt;0,INDEX('Staff Review'!$E$8:$E$507,I2078)&lt;='Top 25'!$E$5,'Top 25'!$E$5-INDEX('Staff Review'!$E$8:$E$507,I2078)&lt;='Top 25'!$H$5,LEN(INDEX('Staff Review'!$H$8:$H$507,I2078))&gt;0),"Yes","No"))</f>
        <v>No</v>
      </c>
      <c r="AJ2078" s="1" t="str">
        <f>IF(I2078=0,"No",IF(COUNT(INDEX('Staff Review'!$F$8:$F$507,I2078))&lt;&gt;1,"No",IF(AND(INDEX('Staff Review'!$F$8:$F$507,I2078)&gt;=0,MOD(INDEX('Staff Review'!$F$8:$F$507,I2078),1)=0,COUNT(INDEX('Staff Review'!$G$8:$G$507,I2078))=1,INDEX('Staff Review'!$G$8:$G$507,I2078)&gt;0,INDEX('Staff Review'!$G$8:$G$507,I2078)&lt;='Top 25'!$E$5,'Top 25'!$E$5-INDEX('Staff Review'!$G$8:$G$507,I2078)&lt;='Top 25'!$H$5,LEN(INDEX('Staff Review'!$H$8:$H$507,I2078))&gt;0),"Yes","No")))</f>
        <v>No</v>
      </c>
      <c r="AK2078" s="1">
        <f t="shared" si="25"/>
        <v>1</v>
      </c>
      <c r="AL2078" s="1">
        <f t="shared" ca="1" si="26"/>
        <v>1</v>
      </c>
      <c r="AM2078" s="1">
        <f t="shared" si="27"/>
        <v>1580</v>
      </c>
      <c r="AN2078" s="1">
        <f t="shared" si="28"/>
        <v>28</v>
      </c>
      <c r="AO2078">
        <f t="shared" ca="1" si="29"/>
        <v>208</v>
      </c>
      <c r="AP2078" s="105">
        <f ca="1">IF(AND(AL2078=1,OR('Top 25'!$A$10="All",C2078='Top 25'!$A$10),OR('Top 25'!$D$10="All",D2078='Top 25'!$D$10)),1,0)</f>
        <v>0</v>
      </c>
      <c r="AQ2078" s="105" t="str">
        <f ca="1">IF(AP2078=0,"",CHOOSE(MATCH('Top 25'!$G$10,{"Priority score","Economic need","Enrollment","Fresh miles","Nearby resources"},0),T2078,G2078,F2078,K2078,L2078))</f>
        <v/>
      </c>
      <c r="AR2078" s="105" t="str">
        <f ca="1">IF(AP2078=0,"",1+COUNTIFS($AP$2051:$AP$2550,1,$AQ$2051:$AQ$2550,IF('Top 25'!$J$10="Ascending","&lt;","&gt;")&amp;AQ2078)+COUNTIFS($AP$2051:$AP$2550,1,$AQ$2051:$AQ$2550,AQ2078,$W$2051:$W$2550,"&lt;"&amp;W2078))</f>
        <v/>
      </c>
      <c r="AT2078" s="105">
        <f ca="1">IF(AND(AL2078=1,OR(Master_rankableSchools!$A$10="All",C2078=Master_rankableSchools!$A$10),OR(Master_rankableSchools!$D$10="All",D2078=Master_rankableSchools!$D$10)),1,0)</f>
        <v>1</v>
      </c>
      <c r="AU2078" s="105">
        <f ca="1">IF(AT2078=0,"",CHOOSE(MATCH(Master_rankableSchools!$G$10,{"Priority score","Economic need","Enrollment","Fresh miles","Nearby resources"},0),T2078,G2078,F2078,K2078,L2078))</f>
        <v>36</v>
      </c>
      <c r="AV2078" s="105">
        <f ca="1">IF(AT2078=0,"",1+COUNTIFS($AT$2051:$AT$2550,1,$AU$2051:$AU$2550,IF(Master_rankableSchools!$J$10="Ascending","&lt;","&gt;")&amp;AU2078)+COUNTIFS($AT$2051:$AT$2550,1,$AU$2051:$AU$2550,AU2078,$W$2051:$W$2550,"&lt;"&amp;W2078))</f>
        <v>208</v>
      </c>
    </row>
    <row r="2079" spans="1:48" ht="22" customHeight="1">
      <c r="A2079" s="1" t="str">
        <f t="shared" si="0"/>
        <v>2000</v>
      </c>
      <c r="B2079" s="1" t="str">
        <f t="shared" si="1"/>
        <v>South Philadelphia High School</v>
      </c>
      <c r="C2079" s="1" t="str">
        <f t="shared" si="2"/>
        <v>District</v>
      </c>
      <c r="D2079" s="1" t="str">
        <f t="shared" si="3"/>
        <v>High</v>
      </c>
      <c r="E2079" s="1" t="str">
        <f t="shared" si="4"/>
        <v>19148</v>
      </c>
      <c r="F2079" s="1">
        <f t="shared" si="5"/>
        <v>647</v>
      </c>
      <c r="G2079" s="1">
        <f t="shared" si="6"/>
        <v>0.78029999999999999</v>
      </c>
      <c r="H2079" s="1" t="str">
        <f t="shared" si="7"/>
        <v>Yes</v>
      </c>
      <c r="I2079" s="1">
        <f>IF(OR(A2079="",COUNTIFS('Staff Review'!$A$8:$A$507,A2079)&lt;&gt;1),0,MATCH(A2079,'Staff Review'!$A$8:$A$507,0))</f>
        <v>270</v>
      </c>
      <c r="J2079" s="1" t="str">
        <f>IF(I2079=0,"No",IF(INDEX('Staff Review'!$C$8:$C$507,I2079)="Yes","Yes","No"))</f>
        <v>No</v>
      </c>
      <c r="K2079" s="1">
        <f ca="1">IF(AI2079="Yes",INDEX('Staff Review'!$D$8:$D$507,I2079),IF(AB2079=0,"",IF(COUNT(INDEX($C$1531:$C$2030,AB2079))=1,INDEX($C$1531:$C$2030,AB2079),"")))</f>
        <v>6.7715010080251201E-2</v>
      </c>
      <c r="L2079" s="1">
        <f>IF(AJ2079="Yes",INDEX('Staff Review'!$F$8:$F$507,I2079),IF(AB2079=0,"",IF(COUNT(INDEX($G$1531:$G$2030,AB2079))=1,INDEX($G$1531:$G$2030,AB2079),"")))</f>
        <v>10</v>
      </c>
      <c r="M2079" s="1" t="str">
        <f t="shared" ca="1" si="8"/>
        <v>Listed</v>
      </c>
      <c r="N2079" s="1" t="str">
        <f t="shared" si="9"/>
        <v>Listed</v>
      </c>
      <c r="O2079" s="1">
        <f t="shared" si="10"/>
        <v>20</v>
      </c>
      <c r="P2079" s="1">
        <f t="shared" ca="1" si="11"/>
        <v>5</v>
      </c>
      <c r="Q2079" s="1">
        <f t="shared" si="12"/>
        <v>0</v>
      </c>
      <c r="R2079" s="1">
        <f t="shared" si="13"/>
        <v>4</v>
      </c>
      <c r="S2079" s="1">
        <f t="shared" ca="1" si="14"/>
        <v>29</v>
      </c>
      <c r="T2079" s="1">
        <f ca="1">IF(OR(COUNT(O2079:R2079)&lt;&gt;4,COUNT('Top 25'!$B$45:$E$45)&lt;&gt;4,MIN('Top 25'!$B$45:$E$45)&lt;0,SUM('Top 25'!$B$45:$E$45)&lt;=0),"",ROUND(85*(O2079/30*'Top 25'!$B$45+P2079/25*'Top 25'!$C$45+Q2079/25*'Top 25'!$D$45+R2079/5*'Top 25'!$E$45)/SUM('Top 25'!$B$45:$E$45),6))</f>
        <v>29</v>
      </c>
      <c r="U2079" s="1" t="str">
        <f t="shared" ca="1" si="15"/>
        <v>Listed</v>
      </c>
      <c r="V2079" s="1" t="str">
        <f ca="1">IF(A2079="","",IF(AK2079&lt;&gt;1,"Duplicate source ID",IF(COUNTIFS('Staff Review'!$A$8:$A$507,A2079)&gt;1,"Duplicate review ID",IF(H2079&lt;&gt;"Yes","Outside scope",IF(J2079="Yes","Already served",IF(NOT(ISNUMBER(T2079)),"Missing data","Candidate"))))))</f>
        <v>Candidate</v>
      </c>
      <c r="W2079" s="1">
        <f t="shared" ca="1" si="16"/>
        <v>263</v>
      </c>
      <c r="X2079" s="1">
        <f t="shared" ca="1" si="17"/>
        <v>263</v>
      </c>
      <c r="Y2079" s="1">
        <f ca="1">IF(AND(H2079="Yes",OR(LEN('School Search'!$B$5)=0,ISNUMBER(SEARCH('School Search'!$B$5,B2079&amp;" "&amp;E2079&amp;" "&amp;A2079))),OR('School Search'!$D$5="All",C2079='School Search'!$D$5),OR('School Search'!$G$5="All eligible",AND('School Search'!$G$5="Not marked served",J2079&lt;&gt;"Yes"),AND('School Search'!$G$5="Missing data",V2079="Missing data"),AND('School Search'!$G$5="Marked served",J2079="Yes"))),1,0)</f>
        <v>1</v>
      </c>
      <c r="Z2079" s="1">
        <f ca="1">IF(Y2079=0,"",COUNTIFS($Y$2051:$Y$2550,1,$AO$2051:$AO$2550,"&lt;"&amp;AO2079)+COUNTIFS($Y$2051:Y2079,1,$AO$2051:AO2079,AO2079))</f>
        <v>263</v>
      </c>
      <c r="AA2079" s="1" t="str">
        <f t="shared" ca="1" si="18"/>
        <v>78% economic need; 0.07 mi fresh access; 10 nearby resources</v>
      </c>
      <c r="AB2079" s="1">
        <f t="shared" si="19"/>
        <v>29</v>
      </c>
      <c r="AC2079" s="1" t="str">
        <f t="shared" si="20"/>
        <v>South Philly Food Co-op</v>
      </c>
      <c r="AD2079" s="1" t="str">
        <f t="shared" si="21"/>
        <v>2031 S Juniper St, Philadelphia, PA, 19148</v>
      </c>
      <c r="AE2079" s="1" t="str">
        <f t="shared" si="22"/>
        <v>2101 S BROAD ST</v>
      </c>
      <c r="AF2079" s="1">
        <f t="shared" si="23"/>
        <v>39.923898700000002</v>
      </c>
      <c r="AG2079" s="1">
        <f t="shared" si="24"/>
        <v>-75.169106499999998</v>
      </c>
      <c r="AH2079" s="1" t="str">
        <f>IF(I2079=0,"Not contacted",IF(INDEX('Staff Review'!$J$8:$J$507,I2079)="","Not contacted",INDEX('Staff Review'!$J$8:$J$507,I2079)))</f>
        <v>Not contacted</v>
      </c>
      <c r="AI2079" s="1" t="str">
        <f ca="1">IF(I2079=0,"No",IF(AND(COUNT(INDEX('Staff Review'!$D$8:$D$507,I2079))=1,INDEX('Staff Review'!$D$8:$D$507,I2079)&gt;=0,COUNT(INDEX('Staff Review'!$E$8:$E$507,I2079))=1,INDEX('Staff Review'!$E$8:$E$507,I2079)&gt;0,INDEX('Staff Review'!$E$8:$E$507,I2079)&lt;='Top 25'!$E$5,'Top 25'!$E$5-INDEX('Staff Review'!$E$8:$E$507,I2079)&lt;='Top 25'!$H$5,LEN(INDEX('Staff Review'!$H$8:$H$507,I2079))&gt;0),"Yes","No"))</f>
        <v>No</v>
      </c>
      <c r="AJ2079" s="1" t="str">
        <f>IF(I2079=0,"No",IF(COUNT(INDEX('Staff Review'!$F$8:$F$507,I2079))&lt;&gt;1,"No",IF(AND(INDEX('Staff Review'!$F$8:$F$507,I2079)&gt;=0,MOD(INDEX('Staff Review'!$F$8:$F$507,I2079),1)=0,COUNT(INDEX('Staff Review'!$G$8:$G$507,I2079))=1,INDEX('Staff Review'!$G$8:$G$507,I2079)&gt;0,INDEX('Staff Review'!$G$8:$G$507,I2079)&lt;='Top 25'!$E$5,'Top 25'!$E$5-INDEX('Staff Review'!$G$8:$G$507,I2079)&lt;='Top 25'!$H$5,LEN(INDEX('Staff Review'!$H$8:$H$507,I2079))&gt;0),"Yes","No")))</f>
        <v>No</v>
      </c>
      <c r="AK2079" s="1">
        <f t="shared" si="25"/>
        <v>1</v>
      </c>
      <c r="AL2079" s="1">
        <f t="shared" ca="1" si="26"/>
        <v>1</v>
      </c>
      <c r="AM2079" s="1">
        <f t="shared" si="27"/>
        <v>2000</v>
      </c>
      <c r="AN2079" s="1">
        <f t="shared" si="28"/>
        <v>29</v>
      </c>
      <c r="AO2079">
        <f t="shared" ca="1" si="29"/>
        <v>263</v>
      </c>
      <c r="AP2079" s="105">
        <f ca="1">IF(AND(AL2079=1,OR('Top 25'!$A$10="All",C2079='Top 25'!$A$10),OR('Top 25'!$D$10="All",D2079='Top 25'!$D$10)),1,0)</f>
        <v>0</v>
      </c>
      <c r="AQ2079" s="105" t="str">
        <f ca="1">IF(AP2079=0,"",CHOOSE(MATCH('Top 25'!$G$10,{"Priority score","Economic need","Enrollment","Fresh miles","Nearby resources"},0),T2079,G2079,F2079,K2079,L2079))</f>
        <v/>
      </c>
      <c r="AR2079" s="105" t="str">
        <f ca="1">IF(AP2079=0,"",1+COUNTIFS($AP$2051:$AP$2550,1,$AQ$2051:$AQ$2550,IF('Top 25'!$J$10="Ascending","&lt;","&gt;")&amp;AQ2079)+COUNTIFS($AP$2051:$AP$2550,1,$AQ$2051:$AQ$2550,AQ2079,$W$2051:$W$2550,"&lt;"&amp;W2079))</f>
        <v/>
      </c>
      <c r="AT2079" s="105">
        <f ca="1">IF(AND(AL2079=1,OR(Master_rankableSchools!$A$10="All",C2079=Master_rankableSchools!$A$10),OR(Master_rankableSchools!$D$10="All",D2079=Master_rankableSchools!$D$10)),1,0)</f>
        <v>1</v>
      </c>
      <c r="AU2079" s="105">
        <f ca="1">IF(AT2079=0,"",CHOOSE(MATCH(Master_rankableSchools!$G$10,{"Priority score","Economic need","Enrollment","Fresh miles","Nearby resources"},0),T2079,G2079,F2079,K2079,L2079))</f>
        <v>29</v>
      </c>
      <c r="AV2079" s="105">
        <f ca="1">IF(AT2079=0,"",1+COUNTIFS($AT$2051:$AT$2550,1,$AU$2051:$AU$2550,IF(Master_rankableSchools!$J$10="Ascending","&lt;","&gt;")&amp;AU2079)+COUNTIFS($AT$2051:$AT$2550,1,$AU$2051:$AU$2550,AU2079,$W$2051:$W$2550,"&lt;"&amp;W2079))</f>
        <v>263</v>
      </c>
    </row>
    <row r="2080" spans="1:48" ht="22" customHeight="1">
      <c r="A2080" s="1" t="str">
        <f t="shared" si="0"/>
        <v>2010</v>
      </c>
      <c r="B2080" s="1" t="str">
        <f t="shared" si="1"/>
        <v>Benjamin Franklin High School</v>
      </c>
      <c r="C2080" s="1" t="str">
        <f t="shared" si="2"/>
        <v>District</v>
      </c>
      <c r="D2080" s="1" t="str">
        <f t="shared" si="3"/>
        <v>High</v>
      </c>
      <c r="E2080" s="1" t="str">
        <f t="shared" si="4"/>
        <v>19130</v>
      </c>
      <c r="F2080" s="1">
        <f t="shared" si="5"/>
        <v>530</v>
      </c>
      <c r="G2080" s="1">
        <f t="shared" si="6"/>
        <v>0.83099999999999996</v>
      </c>
      <c r="H2080" s="1" t="str">
        <f t="shared" si="7"/>
        <v>Yes</v>
      </c>
      <c r="I2080" s="1">
        <f>IF(OR(A2080="",COUNTIFS('Staff Review'!$A$8:$A$507,A2080)&lt;&gt;1),0,MATCH(A2080,'Staff Review'!$A$8:$A$507,0))</f>
        <v>32</v>
      </c>
      <c r="J2080" s="1" t="str">
        <f>IF(I2080=0,"No",IF(INDEX('Staff Review'!$C$8:$C$507,I2080)="Yes","Yes","No"))</f>
        <v>No</v>
      </c>
      <c r="K2080" s="1">
        <f ca="1">IF(AI2080="Yes",INDEX('Staff Review'!$D$8:$D$507,I2080),IF(AB2080=0,"",IF(COUNT(INDEX($C$1531:$C$2030,AB2080))=1,INDEX($C$1531:$C$2030,AB2080),"")))</f>
        <v>4.9479585756971922E-2</v>
      </c>
      <c r="L2080" s="1">
        <f>IF(AJ2080="Yes",INDEX('Staff Review'!$F$8:$F$507,I2080),IF(AB2080=0,"",IF(COUNT(INDEX($G$1531:$G$2030,AB2080))=1,INDEX($G$1531:$G$2030,AB2080),"")))</f>
        <v>10</v>
      </c>
      <c r="M2080" s="1" t="str">
        <f t="shared" ca="1" si="8"/>
        <v>Listed</v>
      </c>
      <c r="N2080" s="1" t="str">
        <f t="shared" si="9"/>
        <v>Listed</v>
      </c>
      <c r="O2080" s="1">
        <f t="shared" si="10"/>
        <v>25</v>
      </c>
      <c r="P2080" s="1">
        <f t="shared" ca="1" si="11"/>
        <v>5</v>
      </c>
      <c r="Q2080" s="1">
        <f t="shared" si="12"/>
        <v>0</v>
      </c>
      <c r="R2080" s="1">
        <f t="shared" si="13"/>
        <v>4</v>
      </c>
      <c r="S2080" s="1">
        <f t="shared" ca="1" si="14"/>
        <v>34</v>
      </c>
      <c r="T2080" s="1">
        <f ca="1">IF(OR(COUNT(O2080:R2080)&lt;&gt;4,COUNT('Top 25'!$B$45:$E$45)&lt;&gt;4,MIN('Top 25'!$B$45:$E$45)&lt;0,SUM('Top 25'!$B$45:$E$45)&lt;=0),"",ROUND(85*(O2080/30*'Top 25'!$B$45+P2080/25*'Top 25'!$C$45+Q2080/25*'Top 25'!$D$45+R2080/5*'Top 25'!$E$45)/SUM('Top 25'!$B$45:$E$45),6))</f>
        <v>34</v>
      </c>
      <c r="U2080" s="1" t="str">
        <f t="shared" ca="1" si="15"/>
        <v>Listed</v>
      </c>
      <c r="V2080" s="1" t="str">
        <f ca="1">IF(A2080="","",IF(AK2080&lt;&gt;1,"Duplicate source ID",IF(COUNTIFS('Staff Review'!$A$8:$A$507,A2080)&gt;1,"Duplicate review ID",IF(H2080&lt;&gt;"Yes","Outside scope",IF(J2080="Yes","Already served",IF(NOT(ISNUMBER(T2080)),"Missing data","Candidate"))))))</f>
        <v>Candidate</v>
      </c>
      <c r="W2080" s="1">
        <f t="shared" ca="1" si="16"/>
        <v>224</v>
      </c>
      <c r="X2080" s="1">
        <f t="shared" ca="1" si="17"/>
        <v>221</v>
      </c>
      <c r="Y2080" s="1">
        <f ca="1">IF(AND(H2080="Yes",OR(LEN('School Search'!$B$5)=0,ISNUMBER(SEARCH('School Search'!$B$5,B2080&amp;" "&amp;E2080&amp;" "&amp;A2080))),OR('School Search'!$D$5="All",C2080='School Search'!$D$5),OR('School Search'!$G$5="All eligible",AND('School Search'!$G$5="Not marked served",J2080&lt;&gt;"Yes"),AND('School Search'!$G$5="Missing data",V2080="Missing data"),AND('School Search'!$G$5="Marked served",J2080="Yes"))),1,0)</f>
        <v>1</v>
      </c>
      <c r="Z2080" s="1">
        <f ca="1">IF(Y2080=0,"",COUNTIFS($Y$2051:$Y$2550,1,$AO$2051:$AO$2550,"&lt;"&amp;AO2080)+COUNTIFS($Y$2051:Y2080,1,$AO$2051:AO2080,AO2080))</f>
        <v>224</v>
      </c>
      <c r="AA2080" s="1" t="str">
        <f t="shared" ca="1" si="18"/>
        <v>83% economic need; 0.05 mi fresh access; 10 nearby resources</v>
      </c>
      <c r="AB2080" s="1">
        <f t="shared" si="19"/>
        <v>30</v>
      </c>
      <c r="AC2080" s="1" t="str">
        <f t="shared" si="20"/>
        <v>Giant Food Store 6573</v>
      </c>
      <c r="AD2080" s="1" t="str">
        <f t="shared" si="21"/>
        <v>510 N Broad St, Philadelphia, PA, 19130</v>
      </c>
      <c r="AE2080" s="1" t="str">
        <f t="shared" si="22"/>
        <v>550 N BROAD ST</v>
      </c>
      <c r="AF2080" s="1">
        <f t="shared" si="23"/>
        <v>39.963529999999999</v>
      </c>
      <c r="AG2080" s="1">
        <f t="shared" si="24"/>
        <v>-75.161640000000006</v>
      </c>
      <c r="AH2080" s="1" t="str">
        <f>IF(I2080=0,"Not contacted",IF(INDEX('Staff Review'!$J$8:$J$507,I2080)="","Not contacted",INDEX('Staff Review'!$J$8:$J$507,I2080)))</f>
        <v>Not contacted</v>
      </c>
      <c r="AI2080" s="1" t="str">
        <f ca="1">IF(I2080=0,"No",IF(AND(COUNT(INDEX('Staff Review'!$D$8:$D$507,I2080))=1,INDEX('Staff Review'!$D$8:$D$507,I2080)&gt;=0,COUNT(INDEX('Staff Review'!$E$8:$E$507,I2080))=1,INDEX('Staff Review'!$E$8:$E$507,I2080)&gt;0,INDEX('Staff Review'!$E$8:$E$507,I2080)&lt;='Top 25'!$E$5,'Top 25'!$E$5-INDEX('Staff Review'!$E$8:$E$507,I2080)&lt;='Top 25'!$H$5,LEN(INDEX('Staff Review'!$H$8:$H$507,I2080))&gt;0),"Yes","No"))</f>
        <v>No</v>
      </c>
      <c r="AJ2080" s="1" t="str">
        <f>IF(I2080=0,"No",IF(COUNT(INDEX('Staff Review'!$F$8:$F$507,I2080))&lt;&gt;1,"No",IF(AND(INDEX('Staff Review'!$F$8:$F$507,I2080)&gt;=0,MOD(INDEX('Staff Review'!$F$8:$F$507,I2080),1)=0,COUNT(INDEX('Staff Review'!$G$8:$G$507,I2080))=1,INDEX('Staff Review'!$G$8:$G$507,I2080)&gt;0,INDEX('Staff Review'!$G$8:$G$507,I2080)&lt;='Top 25'!$E$5,'Top 25'!$E$5-INDEX('Staff Review'!$G$8:$G$507,I2080)&lt;='Top 25'!$H$5,LEN(INDEX('Staff Review'!$H$8:$H$507,I2080))&gt;0),"Yes","No")))</f>
        <v>No</v>
      </c>
      <c r="AK2080" s="1">
        <f t="shared" si="25"/>
        <v>1</v>
      </c>
      <c r="AL2080" s="1">
        <f t="shared" ca="1" si="26"/>
        <v>1</v>
      </c>
      <c r="AM2080" s="1">
        <f t="shared" si="27"/>
        <v>2010</v>
      </c>
      <c r="AN2080" s="1">
        <f t="shared" si="28"/>
        <v>30</v>
      </c>
      <c r="AO2080">
        <f t="shared" ca="1" si="29"/>
        <v>224</v>
      </c>
      <c r="AP2080" s="105">
        <f ca="1">IF(AND(AL2080=1,OR('Top 25'!$A$10="All",C2080='Top 25'!$A$10),OR('Top 25'!$D$10="All",D2080='Top 25'!$D$10)),1,0)</f>
        <v>0</v>
      </c>
      <c r="AQ2080" s="105" t="str">
        <f ca="1">IF(AP2080=0,"",CHOOSE(MATCH('Top 25'!$G$10,{"Priority score","Economic need","Enrollment","Fresh miles","Nearby resources"},0),T2080,G2080,F2080,K2080,L2080))</f>
        <v/>
      </c>
      <c r="AR2080" s="105" t="str">
        <f ca="1">IF(AP2080=0,"",1+COUNTIFS($AP$2051:$AP$2550,1,$AQ$2051:$AQ$2550,IF('Top 25'!$J$10="Ascending","&lt;","&gt;")&amp;AQ2080)+COUNTIFS($AP$2051:$AP$2550,1,$AQ$2051:$AQ$2550,AQ2080,$W$2051:$W$2550,"&lt;"&amp;W2080))</f>
        <v/>
      </c>
      <c r="AT2080" s="105">
        <f ca="1">IF(AND(AL2080=1,OR(Master_rankableSchools!$A$10="All",C2080=Master_rankableSchools!$A$10),OR(Master_rankableSchools!$D$10="All",D2080=Master_rankableSchools!$D$10)),1,0)</f>
        <v>1</v>
      </c>
      <c r="AU2080" s="105">
        <f ca="1">IF(AT2080=0,"",CHOOSE(MATCH(Master_rankableSchools!$G$10,{"Priority score","Economic need","Enrollment","Fresh miles","Nearby resources"},0),T2080,G2080,F2080,K2080,L2080))</f>
        <v>34</v>
      </c>
      <c r="AV2080" s="105">
        <f ca="1">IF(AT2080=0,"",1+COUNTIFS($AT$2051:$AT$2550,1,$AU$2051:$AU$2550,IF(Master_rankableSchools!$J$10="Ascending","&lt;","&gt;")&amp;AU2080)+COUNTIFS($AT$2051:$AT$2550,1,$AU$2051:$AU$2550,AU2080,$W$2051:$W$2550,"&lt;"&amp;W2080))</f>
        <v>224</v>
      </c>
    </row>
    <row r="2081" spans="1:48" ht="22" customHeight="1">
      <c r="A2081" s="1" t="str">
        <f t="shared" si="0"/>
        <v>2020</v>
      </c>
      <c r="B2081" s="1" t="str">
        <f t="shared" si="1"/>
        <v>High School for Creative and Performing Arts</v>
      </c>
      <c r="C2081" s="1" t="str">
        <f t="shared" si="2"/>
        <v>District</v>
      </c>
      <c r="D2081" s="1" t="str">
        <f t="shared" si="3"/>
        <v>High</v>
      </c>
      <c r="E2081" s="1" t="str">
        <f t="shared" si="4"/>
        <v>19147</v>
      </c>
      <c r="F2081" s="1">
        <f t="shared" si="5"/>
        <v>597</v>
      </c>
      <c r="G2081" s="1">
        <f t="shared" si="6"/>
        <v>0.48149999999999998</v>
      </c>
      <c r="H2081" s="1" t="str">
        <f t="shared" si="7"/>
        <v>Yes</v>
      </c>
      <c r="I2081" s="1">
        <f>IF(OR(A2081="",COUNTIFS('Staff Review'!$A$8:$A$507,A2081)&lt;&gt;1),0,MATCH(A2081,'Staff Review'!$A$8:$A$507,0))</f>
        <v>113</v>
      </c>
      <c r="J2081" s="1" t="str">
        <f>IF(I2081=0,"No",IF(INDEX('Staff Review'!$C$8:$C$507,I2081)="Yes","Yes","No"))</f>
        <v>No</v>
      </c>
      <c r="K2081" s="1">
        <f ca="1">IF(AI2081="Yes",INDEX('Staff Review'!$D$8:$D$507,I2081),IF(AB2081=0,"",IF(COUNT(INDEX($C$1531:$C$2030,AB2081))=1,INDEX($C$1531:$C$2030,AB2081),"")))</f>
        <v>7.5008438570214067E-2</v>
      </c>
      <c r="L2081" s="1">
        <f>IF(AJ2081="Yes",INDEX('Staff Review'!$F$8:$F$507,I2081),IF(AB2081=0,"",IF(COUNT(INDEX($G$1531:$G$2030,AB2081))=1,INDEX($G$1531:$G$2030,AB2081),"")))</f>
        <v>13</v>
      </c>
      <c r="M2081" s="1" t="str">
        <f t="shared" ca="1" si="8"/>
        <v>Listed</v>
      </c>
      <c r="N2081" s="1" t="str">
        <f t="shared" si="9"/>
        <v>Listed</v>
      </c>
      <c r="O2081" s="1">
        <f t="shared" si="10"/>
        <v>5</v>
      </c>
      <c r="P2081" s="1">
        <f t="shared" ca="1" si="11"/>
        <v>5</v>
      </c>
      <c r="Q2081" s="1">
        <f t="shared" si="12"/>
        <v>0</v>
      </c>
      <c r="R2081" s="1">
        <f t="shared" si="13"/>
        <v>4</v>
      </c>
      <c r="S2081" s="1">
        <f t="shared" ca="1" si="14"/>
        <v>14</v>
      </c>
      <c r="T2081" s="1">
        <f ca="1">IF(OR(COUNT(O2081:R2081)&lt;&gt;4,COUNT('Top 25'!$B$45:$E$45)&lt;&gt;4,MIN('Top 25'!$B$45:$E$45)&lt;0,SUM('Top 25'!$B$45:$E$45)&lt;=0),"",ROUND(85*(O2081/30*'Top 25'!$B$45+P2081/25*'Top 25'!$C$45+Q2081/25*'Top 25'!$D$45+R2081/5*'Top 25'!$E$45)/SUM('Top 25'!$B$45:$E$45),6))</f>
        <v>14</v>
      </c>
      <c r="U2081" s="1" t="str">
        <f t="shared" ca="1" si="15"/>
        <v>Listed</v>
      </c>
      <c r="V2081" s="1" t="str">
        <f ca="1">IF(A2081="","",IF(AK2081&lt;&gt;1,"Duplicate source ID",IF(COUNTIFS('Staff Review'!$A$8:$A$507,A2081)&gt;1,"Duplicate review ID",IF(H2081&lt;&gt;"Yes","Outside scope",IF(J2081="Yes","Already served",IF(NOT(ISNUMBER(T2081)),"Missing data","Candidate"))))))</f>
        <v>Candidate</v>
      </c>
      <c r="W2081" s="1">
        <f t="shared" ca="1" si="16"/>
        <v>283</v>
      </c>
      <c r="X2081" s="1">
        <f t="shared" ca="1" si="17"/>
        <v>283</v>
      </c>
      <c r="Y2081" s="1">
        <f ca="1">IF(AND(H2081="Yes",OR(LEN('School Search'!$B$5)=0,ISNUMBER(SEARCH('School Search'!$B$5,B2081&amp;" "&amp;E2081&amp;" "&amp;A2081))),OR('School Search'!$D$5="All",C2081='School Search'!$D$5),OR('School Search'!$G$5="All eligible",AND('School Search'!$G$5="Not marked served",J2081&lt;&gt;"Yes"),AND('School Search'!$G$5="Missing data",V2081="Missing data"),AND('School Search'!$G$5="Marked served",J2081="Yes"))),1,0)</f>
        <v>1</v>
      </c>
      <c r="Z2081" s="1">
        <f ca="1">IF(Y2081=0,"",COUNTIFS($Y$2051:$Y$2550,1,$AO$2051:$AO$2550,"&lt;"&amp;AO2081)+COUNTIFS($Y$2051:Y2081,1,$AO$2051:AO2081,AO2081))</f>
        <v>283</v>
      </c>
      <c r="AA2081" s="1" t="str">
        <f t="shared" ca="1" si="18"/>
        <v>48% economic need; 0.08 mi fresh access; 13 nearby resources</v>
      </c>
      <c r="AB2081" s="1">
        <f t="shared" si="19"/>
        <v>31</v>
      </c>
      <c r="AC2081" s="1" t="str">
        <f t="shared" si="20"/>
        <v>Sprouts Farmers Market 850</v>
      </c>
      <c r="AD2081" s="1" t="str">
        <f t="shared" si="21"/>
        <v>1000 S Broad St, Philadelphia, PA, 19146</v>
      </c>
      <c r="AE2081" s="1" t="str">
        <f t="shared" si="22"/>
        <v>901 S BROAD ST</v>
      </c>
      <c r="AF2081" s="1">
        <f t="shared" si="23"/>
        <v>39.939419919999999</v>
      </c>
      <c r="AG2081" s="1">
        <f t="shared" si="24"/>
        <v>-75.165483750000007</v>
      </c>
      <c r="AH2081" s="1" t="str">
        <f>IF(I2081=0,"Not contacted",IF(INDEX('Staff Review'!$J$8:$J$507,I2081)="","Not contacted",INDEX('Staff Review'!$J$8:$J$507,I2081)))</f>
        <v>Not contacted</v>
      </c>
      <c r="AI2081" s="1" t="str">
        <f ca="1">IF(I2081=0,"No",IF(AND(COUNT(INDEX('Staff Review'!$D$8:$D$507,I2081))=1,INDEX('Staff Review'!$D$8:$D$507,I2081)&gt;=0,COUNT(INDEX('Staff Review'!$E$8:$E$507,I2081))=1,INDEX('Staff Review'!$E$8:$E$507,I2081)&gt;0,INDEX('Staff Review'!$E$8:$E$507,I2081)&lt;='Top 25'!$E$5,'Top 25'!$E$5-INDEX('Staff Review'!$E$8:$E$507,I2081)&lt;='Top 25'!$H$5,LEN(INDEX('Staff Review'!$H$8:$H$507,I2081))&gt;0),"Yes","No"))</f>
        <v>No</v>
      </c>
      <c r="AJ2081" s="1" t="str">
        <f>IF(I2081=0,"No",IF(COUNT(INDEX('Staff Review'!$F$8:$F$507,I2081))&lt;&gt;1,"No",IF(AND(INDEX('Staff Review'!$F$8:$F$507,I2081)&gt;=0,MOD(INDEX('Staff Review'!$F$8:$F$507,I2081),1)=0,COUNT(INDEX('Staff Review'!$G$8:$G$507,I2081))=1,INDEX('Staff Review'!$G$8:$G$507,I2081)&gt;0,INDEX('Staff Review'!$G$8:$G$507,I2081)&lt;='Top 25'!$E$5,'Top 25'!$E$5-INDEX('Staff Review'!$G$8:$G$507,I2081)&lt;='Top 25'!$H$5,LEN(INDEX('Staff Review'!$H$8:$H$507,I2081))&gt;0),"Yes","No")))</f>
        <v>No</v>
      </c>
      <c r="AK2081" s="1">
        <f t="shared" si="25"/>
        <v>1</v>
      </c>
      <c r="AL2081" s="1">
        <f t="shared" ca="1" si="26"/>
        <v>1</v>
      </c>
      <c r="AM2081" s="1">
        <f t="shared" si="27"/>
        <v>2020</v>
      </c>
      <c r="AN2081" s="1">
        <f t="shared" si="28"/>
        <v>31</v>
      </c>
      <c r="AO2081">
        <f t="shared" ca="1" si="29"/>
        <v>283</v>
      </c>
      <c r="AP2081" s="105">
        <f ca="1">IF(AND(AL2081=1,OR('Top 25'!$A$10="All",C2081='Top 25'!$A$10),OR('Top 25'!$D$10="All",D2081='Top 25'!$D$10)),1,0)</f>
        <v>0</v>
      </c>
      <c r="AQ2081" s="105" t="str">
        <f ca="1">IF(AP2081=0,"",CHOOSE(MATCH('Top 25'!$G$10,{"Priority score","Economic need","Enrollment","Fresh miles","Nearby resources"},0),T2081,G2081,F2081,K2081,L2081))</f>
        <v/>
      </c>
      <c r="AR2081" s="105" t="str">
        <f ca="1">IF(AP2081=0,"",1+COUNTIFS($AP$2051:$AP$2550,1,$AQ$2051:$AQ$2550,IF('Top 25'!$J$10="Ascending","&lt;","&gt;")&amp;AQ2081)+COUNTIFS($AP$2051:$AP$2550,1,$AQ$2051:$AQ$2550,AQ2081,$W$2051:$W$2550,"&lt;"&amp;W2081))</f>
        <v/>
      </c>
      <c r="AT2081" s="105">
        <f ca="1">IF(AND(AL2081=1,OR(Master_rankableSchools!$A$10="All",C2081=Master_rankableSchools!$A$10),OR(Master_rankableSchools!$D$10="All",D2081=Master_rankableSchools!$D$10)),1,0)</f>
        <v>1</v>
      </c>
      <c r="AU2081" s="105">
        <f ca="1">IF(AT2081=0,"",CHOOSE(MATCH(Master_rankableSchools!$G$10,{"Priority score","Economic need","Enrollment","Fresh miles","Nearby resources"},0),T2081,G2081,F2081,K2081,L2081))</f>
        <v>14</v>
      </c>
      <c r="AV2081" s="105">
        <f ca="1">IF(AT2081=0,"",1+COUNTIFS($AT$2051:$AT$2550,1,$AU$2051:$AU$2550,IF(Master_rankableSchools!$J$10="Ascending","&lt;","&gt;")&amp;AU2081)+COUNTIFS($AT$2051:$AT$2550,1,$AU$2051:$AU$2550,AU2081,$W$2051:$W$2550,"&lt;"&amp;W2081))</f>
        <v>283</v>
      </c>
    </row>
    <row r="2082" spans="1:48" ht="22" customHeight="1">
      <c r="A2082" s="1" t="str">
        <f t="shared" si="0"/>
        <v>2050</v>
      </c>
      <c r="B2082" s="1" t="str">
        <f t="shared" si="1"/>
        <v>Science Leadership Academy Middle School</v>
      </c>
      <c r="C2082" s="1" t="str">
        <f t="shared" si="2"/>
        <v>District</v>
      </c>
      <c r="D2082" s="1" t="str">
        <f t="shared" si="3"/>
        <v>Middle</v>
      </c>
      <c r="E2082" s="1" t="str">
        <f t="shared" si="4"/>
        <v>19104</v>
      </c>
      <c r="F2082" s="1">
        <f t="shared" si="5"/>
        <v>351</v>
      </c>
      <c r="G2082" s="1">
        <f t="shared" si="6"/>
        <v>0.51</v>
      </c>
      <c r="H2082" s="1" t="str">
        <f t="shared" si="7"/>
        <v>Yes</v>
      </c>
      <c r="I2082" s="1">
        <f>IF(OR(A2082="",COUNTIFS('Staff Review'!$A$8:$A$507,A2082)&lt;&gt;1),0,MATCH(A2082,'Staff Review'!$A$8:$A$507,0))</f>
        <v>267</v>
      </c>
      <c r="J2082" s="1" t="str">
        <f>IF(I2082=0,"No",IF(INDEX('Staff Review'!$C$8:$C$507,I2082)="Yes","Yes","No"))</f>
        <v>No</v>
      </c>
      <c r="K2082" s="1">
        <f ca="1">IF(AI2082="Yes",INDEX('Staff Review'!$D$8:$D$507,I2082),IF(AB2082=0,"",IF(COUNT(INDEX($C$1531:$C$2030,AB2082))=1,INDEX($C$1531:$C$2030,AB2082),"")))</f>
        <v>0.24657974806699834</v>
      </c>
      <c r="L2082" s="1">
        <f>IF(AJ2082="Yes",INDEX('Staff Review'!$F$8:$F$507,I2082),IF(AB2082=0,"",IF(COUNT(INDEX($G$1531:$G$2030,AB2082))=1,INDEX($G$1531:$G$2030,AB2082),"")))</f>
        <v>10</v>
      </c>
      <c r="M2082" s="1" t="str">
        <f t="shared" ca="1" si="8"/>
        <v>Listed</v>
      </c>
      <c r="N2082" s="1" t="str">
        <f t="shared" si="9"/>
        <v>Listed</v>
      </c>
      <c r="O2082" s="1">
        <f t="shared" si="10"/>
        <v>10</v>
      </c>
      <c r="P2082" s="1">
        <f t="shared" ca="1" si="11"/>
        <v>5</v>
      </c>
      <c r="Q2082" s="1">
        <f t="shared" si="12"/>
        <v>0</v>
      </c>
      <c r="R2082" s="1">
        <f t="shared" si="13"/>
        <v>3</v>
      </c>
      <c r="S2082" s="1">
        <f t="shared" ca="1" si="14"/>
        <v>18</v>
      </c>
      <c r="T2082" s="1">
        <f ca="1">IF(OR(COUNT(O2082:R2082)&lt;&gt;4,COUNT('Top 25'!$B$45:$E$45)&lt;&gt;4,MIN('Top 25'!$B$45:$E$45)&lt;0,SUM('Top 25'!$B$45:$E$45)&lt;=0),"",ROUND(85*(O2082/30*'Top 25'!$B$45+P2082/25*'Top 25'!$C$45+Q2082/25*'Top 25'!$D$45+R2082/5*'Top 25'!$E$45)/SUM('Top 25'!$B$45:$E$45),6))</f>
        <v>18</v>
      </c>
      <c r="U2082" s="1" t="str">
        <f t="shared" ca="1" si="15"/>
        <v>Listed</v>
      </c>
      <c r="V2082" s="1" t="str">
        <f ca="1">IF(A2082="","",IF(AK2082&lt;&gt;1,"Duplicate source ID",IF(COUNTIFS('Staff Review'!$A$8:$A$507,A2082)&gt;1,"Duplicate review ID",IF(H2082&lt;&gt;"Yes","Outside scope",IF(J2082="Yes","Already served",IF(NOT(ISNUMBER(T2082)),"Missing data","Candidate"))))))</f>
        <v>Candidate</v>
      </c>
      <c r="W2082" s="1">
        <f t="shared" ca="1" si="16"/>
        <v>281</v>
      </c>
      <c r="X2082" s="1">
        <f t="shared" ca="1" si="17"/>
        <v>281</v>
      </c>
      <c r="Y2082" s="1">
        <f ca="1">IF(AND(H2082="Yes",OR(LEN('School Search'!$B$5)=0,ISNUMBER(SEARCH('School Search'!$B$5,B2082&amp;" "&amp;E2082&amp;" "&amp;A2082))),OR('School Search'!$D$5="All",C2082='School Search'!$D$5),OR('School Search'!$G$5="All eligible",AND('School Search'!$G$5="Not marked served",J2082&lt;&gt;"Yes"),AND('School Search'!$G$5="Missing data",V2082="Missing data"),AND('School Search'!$G$5="Marked served",J2082="Yes"))),1,0)</f>
        <v>1</v>
      </c>
      <c r="Z2082" s="1">
        <f ca="1">IF(Y2082=0,"",COUNTIFS($Y$2051:$Y$2550,1,$AO$2051:$AO$2550,"&lt;"&amp;AO2082)+COUNTIFS($Y$2051:Y2082,1,$AO$2051:AO2082,AO2082))</f>
        <v>281</v>
      </c>
      <c r="AA2082" s="1" t="str">
        <f t="shared" ca="1" si="18"/>
        <v>51% economic need; 0.25 mi fresh access; 10 nearby resources</v>
      </c>
      <c r="AB2082" s="1">
        <f t="shared" si="19"/>
        <v>32</v>
      </c>
      <c r="AC2082" s="1" t="str">
        <f t="shared" si="20"/>
        <v>Giant Heirloom Market 6551</v>
      </c>
      <c r="AD2082" s="1" t="str">
        <f t="shared" si="21"/>
        <v>3401 Chestnut St, Philadelphia, PA, 19104</v>
      </c>
      <c r="AE2082" s="1" t="str">
        <f t="shared" si="22"/>
        <v>3610 WARREN ST</v>
      </c>
      <c r="AF2082" s="1">
        <f t="shared" si="23"/>
        <v>39.957962799999997</v>
      </c>
      <c r="AG2082" s="1">
        <f t="shared" si="24"/>
        <v>-75.1939177</v>
      </c>
      <c r="AH2082" s="1" t="str">
        <f>IF(I2082=0,"Not contacted",IF(INDEX('Staff Review'!$J$8:$J$507,I2082)="","Not contacted",INDEX('Staff Review'!$J$8:$J$507,I2082)))</f>
        <v>Not contacted</v>
      </c>
      <c r="AI2082" s="1" t="str">
        <f ca="1">IF(I2082=0,"No",IF(AND(COUNT(INDEX('Staff Review'!$D$8:$D$507,I2082))=1,INDEX('Staff Review'!$D$8:$D$507,I2082)&gt;=0,COUNT(INDEX('Staff Review'!$E$8:$E$507,I2082))=1,INDEX('Staff Review'!$E$8:$E$507,I2082)&gt;0,INDEX('Staff Review'!$E$8:$E$507,I2082)&lt;='Top 25'!$E$5,'Top 25'!$E$5-INDEX('Staff Review'!$E$8:$E$507,I2082)&lt;='Top 25'!$H$5,LEN(INDEX('Staff Review'!$H$8:$H$507,I2082))&gt;0),"Yes","No"))</f>
        <v>No</v>
      </c>
      <c r="AJ2082" s="1" t="str">
        <f>IF(I2082=0,"No",IF(COUNT(INDEX('Staff Review'!$F$8:$F$507,I2082))&lt;&gt;1,"No",IF(AND(INDEX('Staff Review'!$F$8:$F$507,I2082)&gt;=0,MOD(INDEX('Staff Review'!$F$8:$F$507,I2082),1)=0,COUNT(INDEX('Staff Review'!$G$8:$G$507,I2082))=1,INDEX('Staff Review'!$G$8:$G$507,I2082)&gt;0,INDEX('Staff Review'!$G$8:$G$507,I2082)&lt;='Top 25'!$E$5,'Top 25'!$E$5-INDEX('Staff Review'!$G$8:$G$507,I2082)&lt;='Top 25'!$H$5,LEN(INDEX('Staff Review'!$H$8:$H$507,I2082))&gt;0),"Yes","No")))</f>
        <v>No</v>
      </c>
      <c r="AK2082" s="1">
        <f t="shared" si="25"/>
        <v>1</v>
      </c>
      <c r="AL2082" s="1">
        <f t="shared" ca="1" si="26"/>
        <v>1</v>
      </c>
      <c r="AM2082" s="1">
        <f t="shared" si="27"/>
        <v>2050</v>
      </c>
      <c r="AN2082" s="1">
        <f t="shared" si="28"/>
        <v>32</v>
      </c>
      <c r="AO2082">
        <f t="shared" ca="1" si="29"/>
        <v>281</v>
      </c>
      <c r="AP2082" s="105">
        <f ca="1">IF(AND(AL2082=1,OR('Top 25'!$A$10="All",C2082='Top 25'!$A$10),OR('Top 25'!$D$10="All",D2082='Top 25'!$D$10)),1,0)</f>
        <v>0</v>
      </c>
      <c r="AQ2082" s="105" t="str">
        <f ca="1">IF(AP2082=0,"",CHOOSE(MATCH('Top 25'!$G$10,{"Priority score","Economic need","Enrollment","Fresh miles","Nearby resources"},0),T2082,G2082,F2082,K2082,L2082))</f>
        <v/>
      </c>
      <c r="AR2082" s="105" t="str">
        <f ca="1">IF(AP2082=0,"",1+COUNTIFS($AP$2051:$AP$2550,1,$AQ$2051:$AQ$2550,IF('Top 25'!$J$10="Ascending","&lt;","&gt;")&amp;AQ2082)+COUNTIFS($AP$2051:$AP$2550,1,$AQ$2051:$AQ$2550,AQ2082,$W$2051:$W$2550,"&lt;"&amp;W2082))</f>
        <v/>
      </c>
      <c r="AT2082" s="105">
        <f ca="1">IF(AND(AL2082=1,OR(Master_rankableSchools!$A$10="All",C2082=Master_rankableSchools!$A$10),OR(Master_rankableSchools!$D$10="All",D2082=Master_rankableSchools!$D$10)),1,0)</f>
        <v>1</v>
      </c>
      <c r="AU2082" s="105">
        <f ca="1">IF(AT2082=0,"",CHOOSE(MATCH(Master_rankableSchools!$G$10,{"Priority score","Economic need","Enrollment","Fresh miles","Nearby resources"},0),T2082,G2082,F2082,K2082,L2082))</f>
        <v>18</v>
      </c>
      <c r="AV2082" s="105">
        <f ca="1">IF(AT2082=0,"",1+COUNTIFS($AT$2051:$AT$2550,1,$AU$2051:$AU$2550,IF(Master_rankableSchools!$J$10="Ascending","&lt;","&gt;")&amp;AU2082)+COUNTIFS($AT$2051:$AT$2550,1,$AU$2051:$AU$2550,AU2082,$W$2051:$W$2550,"&lt;"&amp;W2082))</f>
        <v>281</v>
      </c>
    </row>
    <row r="2083" spans="1:48" ht="22" customHeight="1">
      <c r="A2083" s="1" t="str">
        <f t="shared" si="0"/>
        <v>2140</v>
      </c>
      <c r="B2083" s="1" t="str">
        <f t="shared" si="1"/>
        <v>Julia R. Masterman High School</v>
      </c>
      <c r="C2083" s="1" t="str">
        <f t="shared" si="2"/>
        <v>District</v>
      </c>
      <c r="D2083" s="1" t="str">
        <f t="shared" si="3"/>
        <v>Middle-High</v>
      </c>
      <c r="E2083" s="1" t="str">
        <f t="shared" si="4"/>
        <v>19130</v>
      </c>
      <c r="F2083" s="1">
        <f t="shared" si="5"/>
        <v>1221</v>
      </c>
      <c r="G2083" s="1">
        <f t="shared" si="6"/>
        <v>0.37780000000000002</v>
      </c>
      <c r="H2083" s="1" t="str">
        <f t="shared" si="7"/>
        <v>Yes</v>
      </c>
      <c r="I2083" s="1">
        <f>IF(OR(A2083="",COUNTIFS('Staff Review'!$A$8:$A$507,A2083)&lt;&gt;1),0,MATCH(A2083,'Staff Review'!$A$8:$A$507,0))</f>
        <v>152</v>
      </c>
      <c r="J2083" s="1" t="str">
        <f>IF(I2083=0,"No",IF(INDEX('Staff Review'!$C$8:$C$507,I2083)="Yes","Yes","No"))</f>
        <v>No</v>
      </c>
      <c r="K2083" s="1">
        <f ca="1">IF(AI2083="Yes",INDEX('Staff Review'!$D$8:$D$507,I2083),IF(AB2083=0,"",IF(COUNT(INDEX($C$1531:$C$2030,AB2083))=1,INDEX($C$1531:$C$2030,AB2083),"")))</f>
        <v>0.2115534996326848</v>
      </c>
      <c r="L2083" s="1">
        <f>IF(AJ2083="Yes",INDEX('Staff Review'!$F$8:$F$507,I2083),IF(AB2083=0,"",IF(COUNT(INDEX($G$1531:$G$2030,AB2083))=1,INDEX($G$1531:$G$2030,AB2083),"")))</f>
        <v>8</v>
      </c>
      <c r="M2083" s="1" t="str">
        <f t="shared" ca="1" si="8"/>
        <v>Listed</v>
      </c>
      <c r="N2083" s="1" t="str">
        <f t="shared" si="9"/>
        <v>Listed</v>
      </c>
      <c r="O2083" s="1">
        <f t="shared" si="10"/>
        <v>0</v>
      </c>
      <c r="P2083" s="1">
        <f t="shared" ca="1" si="11"/>
        <v>5</v>
      </c>
      <c r="Q2083" s="1">
        <f t="shared" si="12"/>
        <v>0</v>
      </c>
      <c r="R2083" s="1">
        <f t="shared" si="13"/>
        <v>5</v>
      </c>
      <c r="S2083" s="1">
        <f t="shared" ca="1" si="14"/>
        <v>10</v>
      </c>
      <c r="T2083" s="1">
        <f ca="1">IF(OR(COUNT(O2083:R2083)&lt;&gt;4,COUNT('Top 25'!$B$45:$E$45)&lt;&gt;4,MIN('Top 25'!$B$45:$E$45)&lt;0,SUM('Top 25'!$B$45:$E$45)&lt;=0),"",ROUND(85*(O2083/30*'Top 25'!$B$45+P2083/25*'Top 25'!$C$45+Q2083/25*'Top 25'!$D$45+R2083/5*'Top 25'!$E$45)/SUM('Top 25'!$B$45:$E$45),6))</f>
        <v>10</v>
      </c>
      <c r="U2083" s="1" t="str">
        <f t="shared" ca="1" si="15"/>
        <v>Listed</v>
      </c>
      <c r="V2083" s="1" t="str">
        <f ca="1">IF(A2083="","",IF(AK2083&lt;&gt;1,"Duplicate source ID",IF(COUNTIFS('Staff Review'!$A$8:$A$507,A2083)&gt;1,"Duplicate review ID",IF(H2083&lt;&gt;"Yes","Outside scope",IF(J2083="Yes","Already served",IF(NOT(ISNUMBER(T2083)),"Missing data","Candidate"))))))</f>
        <v>Candidate</v>
      </c>
      <c r="W2083" s="1">
        <f t="shared" ca="1" si="16"/>
        <v>290</v>
      </c>
      <c r="X2083" s="1">
        <f t="shared" ca="1" si="17"/>
        <v>290</v>
      </c>
      <c r="Y2083" s="1">
        <f ca="1">IF(AND(H2083="Yes",OR(LEN('School Search'!$B$5)=0,ISNUMBER(SEARCH('School Search'!$B$5,B2083&amp;" "&amp;E2083&amp;" "&amp;A2083))),OR('School Search'!$D$5="All",C2083='School Search'!$D$5),OR('School Search'!$G$5="All eligible",AND('School Search'!$G$5="Not marked served",J2083&lt;&gt;"Yes"),AND('School Search'!$G$5="Missing data",V2083="Missing data"),AND('School Search'!$G$5="Marked served",J2083="Yes"))),1,0)</f>
        <v>1</v>
      </c>
      <c r="Z2083" s="1">
        <f ca="1">IF(Y2083=0,"",COUNTIFS($Y$2051:$Y$2550,1,$AO$2051:$AO$2550,"&lt;"&amp;AO2083)+COUNTIFS($Y$2051:Y2083,1,$AO$2051:AO2083,AO2083))</f>
        <v>290</v>
      </c>
      <c r="AA2083" s="1" t="str">
        <f t="shared" ca="1" si="18"/>
        <v>38% economic need; 0.21 mi fresh access; 8 nearby resources</v>
      </c>
      <c r="AB2083" s="1">
        <f t="shared" si="19"/>
        <v>33</v>
      </c>
      <c r="AC2083" s="1" t="str">
        <f t="shared" si="20"/>
        <v>Giant Food Store 6573</v>
      </c>
      <c r="AD2083" s="1" t="str">
        <f t="shared" si="21"/>
        <v>510 N Broad St, Philadelphia, PA, 19130</v>
      </c>
      <c r="AE2083" s="1" t="str">
        <f t="shared" si="22"/>
        <v>1699 SPRING GARDEN ST</v>
      </c>
      <c r="AF2083" s="1">
        <f t="shared" si="23"/>
        <v>39.963200309999998</v>
      </c>
      <c r="AG2083" s="1">
        <f t="shared" si="24"/>
        <v>-75.166207580000005</v>
      </c>
      <c r="AH2083" s="1" t="str">
        <f>IF(I2083=0,"Not contacted",IF(INDEX('Staff Review'!$J$8:$J$507,I2083)="","Not contacted",INDEX('Staff Review'!$J$8:$J$507,I2083)))</f>
        <v>Not contacted</v>
      </c>
      <c r="AI2083" s="1" t="str">
        <f ca="1">IF(I2083=0,"No",IF(AND(COUNT(INDEX('Staff Review'!$D$8:$D$507,I2083))=1,INDEX('Staff Review'!$D$8:$D$507,I2083)&gt;=0,COUNT(INDEX('Staff Review'!$E$8:$E$507,I2083))=1,INDEX('Staff Review'!$E$8:$E$507,I2083)&gt;0,INDEX('Staff Review'!$E$8:$E$507,I2083)&lt;='Top 25'!$E$5,'Top 25'!$E$5-INDEX('Staff Review'!$E$8:$E$507,I2083)&lt;='Top 25'!$H$5,LEN(INDEX('Staff Review'!$H$8:$H$507,I2083))&gt;0),"Yes","No"))</f>
        <v>No</v>
      </c>
      <c r="AJ2083" s="1" t="str">
        <f>IF(I2083=0,"No",IF(COUNT(INDEX('Staff Review'!$F$8:$F$507,I2083))&lt;&gt;1,"No",IF(AND(INDEX('Staff Review'!$F$8:$F$507,I2083)&gt;=0,MOD(INDEX('Staff Review'!$F$8:$F$507,I2083),1)=0,COUNT(INDEX('Staff Review'!$G$8:$G$507,I2083))=1,INDEX('Staff Review'!$G$8:$G$507,I2083)&gt;0,INDEX('Staff Review'!$G$8:$G$507,I2083)&lt;='Top 25'!$E$5,'Top 25'!$E$5-INDEX('Staff Review'!$G$8:$G$507,I2083)&lt;='Top 25'!$H$5,LEN(INDEX('Staff Review'!$H$8:$H$507,I2083))&gt;0),"Yes","No")))</f>
        <v>No</v>
      </c>
      <c r="AK2083" s="1">
        <f t="shared" si="25"/>
        <v>1</v>
      </c>
      <c r="AL2083" s="1">
        <f t="shared" ca="1" si="26"/>
        <v>1</v>
      </c>
      <c r="AM2083" s="1">
        <f t="shared" si="27"/>
        <v>2140</v>
      </c>
      <c r="AN2083" s="1">
        <f t="shared" si="28"/>
        <v>33</v>
      </c>
      <c r="AO2083">
        <f t="shared" ca="1" si="29"/>
        <v>290</v>
      </c>
      <c r="AP2083" s="105">
        <f ca="1">IF(AND(AL2083=1,OR('Top 25'!$A$10="All",C2083='Top 25'!$A$10),OR('Top 25'!$D$10="All",D2083='Top 25'!$D$10)),1,0)</f>
        <v>0</v>
      </c>
      <c r="AQ2083" s="105" t="str">
        <f ca="1">IF(AP2083=0,"",CHOOSE(MATCH('Top 25'!$G$10,{"Priority score","Economic need","Enrollment","Fresh miles","Nearby resources"},0),T2083,G2083,F2083,K2083,L2083))</f>
        <v/>
      </c>
      <c r="AR2083" s="105" t="str">
        <f ca="1">IF(AP2083=0,"",1+COUNTIFS($AP$2051:$AP$2550,1,$AQ$2051:$AQ$2550,IF('Top 25'!$J$10="Ascending","&lt;","&gt;")&amp;AQ2083)+COUNTIFS($AP$2051:$AP$2550,1,$AQ$2051:$AQ$2550,AQ2083,$W$2051:$W$2550,"&lt;"&amp;W2083))</f>
        <v/>
      </c>
      <c r="AT2083" s="105">
        <f ca="1">IF(AND(AL2083=1,OR(Master_rankableSchools!$A$10="All",C2083=Master_rankableSchools!$A$10),OR(Master_rankableSchools!$D$10="All",D2083=Master_rankableSchools!$D$10)),1,0)</f>
        <v>1</v>
      </c>
      <c r="AU2083" s="105">
        <f ca="1">IF(AT2083=0,"",CHOOSE(MATCH(Master_rankableSchools!$G$10,{"Priority score","Economic need","Enrollment","Fresh miles","Nearby resources"},0),T2083,G2083,F2083,K2083,L2083))</f>
        <v>10</v>
      </c>
      <c r="AV2083" s="105">
        <f ca="1">IF(AT2083=0,"",1+COUNTIFS($AT$2051:$AT$2550,1,$AU$2051:$AU$2550,IF(Master_rankableSchools!$J$10="Ascending","&lt;","&gt;")&amp;AU2083)+COUNTIFS($AT$2051:$AT$2550,1,$AU$2051:$AU$2550,AU2083,$W$2051:$W$2550,"&lt;"&amp;W2083))</f>
        <v>290</v>
      </c>
    </row>
    <row r="2084" spans="1:48" ht="22" customHeight="1">
      <c r="A2084" s="1" t="str">
        <f t="shared" si="0"/>
        <v>2160</v>
      </c>
      <c r="B2084" s="1" t="str">
        <f t="shared" si="1"/>
        <v>Horace Furness High School</v>
      </c>
      <c r="C2084" s="1" t="str">
        <f t="shared" si="2"/>
        <v>District</v>
      </c>
      <c r="D2084" s="1" t="str">
        <f t="shared" si="3"/>
        <v>High</v>
      </c>
      <c r="E2084" s="1" t="str">
        <f t="shared" si="4"/>
        <v>19148</v>
      </c>
      <c r="F2084" s="1">
        <f t="shared" si="5"/>
        <v>836</v>
      </c>
      <c r="G2084" s="1">
        <f t="shared" si="6"/>
        <v>0.68889999999999996</v>
      </c>
      <c r="H2084" s="1" t="str">
        <f t="shared" si="7"/>
        <v>Yes</v>
      </c>
      <c r="I2084" s="1">
        <f>IF(OR(A2084="",COUNTIFS('Staff Review'!$A$8:$A$507,A2084)&lt;&gt;1),0,MATCH(A2084,'Staff Review'!$A$8:$A$507,0))</f>
        <v>117</v>
      </c>
      <c r="J2084" s="1" t="str">
        <f>IF(I2084=0,"No",IF(INDEX('Staff Review'!$C$8:$C$507,I2084)="Yes","Yes","No"))</f>
        <v>No</v>
      </c>
      <c r="K2084" s="1">
        <f ca="1">IF(AI2084="Yes",INDEX('Staff Review'!$D$8:$D$507,I2084),IF(AB2084=0,"",IF(COUNT(INDEX($C$1531:$C$2030,AB2084))=1,INDEX($C$1531:$C$2030,AB2084),"")))</f>
        <v>0.19535268348524887</v>
      </c>
      <c r="L2084" s="1">
        <f>IF(AJ2084="Yes",INDEX('Staff Review'!$F$8:$F$507,I2084),IF(AB2084=0,"",IF(COUNT(INDEX($G$1531:$G$2030,AB2084))=1,INDEX($G$1531:$G$2030,AB2084),"")))</f>
        <v>6</v>
      </c>
      <c r="M2084" s="1" t="str">
        <f t="shared" ca="1" si="8"/>
        <v>Listed</v>
      </c>
      <c r="N2084" s="1" t="str">
        <f t="shared" si="9"/>
        <v>Listed</v>
      </c>
      <c r="O2084" s="1">
        <f t="shared" si="10"/>
        <v>15</v>
      </c>
      <c r="P2084" s="1">
        <f t="shared" ca="1" si="11"/>
        <v>5</v>
      </c>
      <c r="Q2084" s="1">
        <f t="shared" si="12"/>
        <v>0</v>
      </c>
      <c r="R2084" s="1">
        <f t="shared" si="13"/>
        <v>5</v>
      </c>
      <c r="S2084" s="1">
        <f t="shared" ca="1" si="14"/>
        <v>25</v>
      </c>
      <c r="T2084" s="1">
        <f ca="1">IF(OR(COUNT(O2084:R2084)&lt;&gt;4,COUNT('Top 25'!$B$45:$E$45)&lt;&gt;4,MIN('Top 25'!$B$45:$E$45)&lt;0,SUM('Top 25'!$B$45:$E$45)&lt;=0),"",ROUND(85*(O2084/30*'Top 25'!$B$45+P2084/25*'Top 25'!$C$45+Q2084/25*'Top 25'!$D$45+R2084/5*'Top 25'!$E$45)/SUM('Top 25'!$B$45:$E$45),6))</f>
        <v>25</v>
      </c>
      <c r="U2084" s="1" t="str">
        <f t="shared" ca="1" si="15"/>
        <v>Listed</v>
      </c>
      <c r="V2084" s="1" t="str">
        <f ca="1">IF(A2084="","",IF(AK2084&lt;&gt;1,"Duplicate source ID",IF(COUNTIFS('Staff Review'!$A$8:$A$507,A2084)&gt;1,"Duplicate review ID",IF(H2084&lt;&gt;"Yes","Outside scope",IF(J2084="Yes","Already served",IF(NOT(ISNUMBER(T2084)),"Missing data","Candidate"))))))</f>
        <v>Candidate</v>
      </c>
      <c r="W2084" s="1">
        <f t="shared" ca="1" si="16"/>
        <v>269</v>
      </c>
      <c r="X2084" s="1">
        <f t="shared" ca="1" si="17"/>
        <v>269</v>
      </c>
      <c r="Y2084" s="1">
        <f ca="1">IF(AND(H2084="Yes",OR(LEN('School Search'!$B$5)=0,ISNUMBER(SEARCH('School Search'!$B$5,B2084&amp;" "&amp;E2084&amp;" "&amp;A2084))),OR('School Search'!$D$5="All",C2084='School Search'!$D$5),OR('School Search'!$G$5="All eligible",AND('School Search'!$G$5="Not marked served",J2084&lt;&gt;"Yes"),AND('School Search'!$G$5="Missing data",V2084="Missing data"),AND('School Search'!$G$5="Marked served",J2084="Yes"))),1,0)</f>
        <v>1</v>
      </c>
      <c r="Z2084" s="1">
        <f ca="1">IF(Y2084=0,"",COUNTIFS($Y$2051:$Y$2550,1,$AO$2051:$AO$2550,"&lt;"&amp;AO2084)+COUNTIFS($Y$2051:Y2084,1,$AO$2051:AO2084,AO2084))</f>
        <v>269</v>
      </c>
      <c r="AA2084" s="1" t="str">
        <f t="shared" ca="1" si="18"/>
        <v>69% economic need; 0.20 mi fresh access; 6 nearby resources</v>
      </c>
      <c r="AB2084" s="1">
        <f t="shared" si="19"/>
        <v>34</v>
      </c>
      <c r="AC2084" s="1" t="str">
        <f t="shared" si="20"/>
        <v>Target Store 1443</v>
      </c>
      <c r="AD2084" s="1" t="str">
        <f t="shared" si="21"/>
        <v>1 Mifflin St, Philadelphia, PA, 19148</v>
      </c>
      <c r="AE2084" s="1" t="str">
        <f t="shared" si="22"/>
        <v>1900 S 3RD ST</v>
      </c>
      <c r="AF2084" s="1">
        <f t="shared" si="23"/>
        <v>39.923762000000004</v>
      </c>
      <c r="AG2084" s="1">
        <f t="shared" si="24"/>
        <v>-75.150585000000007</v>
      </c>
      <c r="AH2084" s="1" t="str">
        <f>IF(I2084=0,"Not contacted",IF(INDEX('Staff Review'!$J$8:$J$507,I2084)="","Not contacted",INDEX('Staff Review'!$J$8:$J$507,I2084)))</f>
        <v>Not contacted</v>
      </c>
      <c r="AI2084" s="1" t="str">
        <f ca="1">IF(I2084=0,"No",IF(AND(COUNT(INDEX('Staff Review'!$D$8:$D$507,I2084))=1,INDEX('Staff Review'!$D$8:$D$507,I2084)&gt;=0,COUNT(INDEX('Staff Review'!$E$8:$E$507,I2084))=1,INDEX('Staff Review'!$E$8:$E$507,I2084)&gt;0,INDEX('Staff Review'!$E$8:$E$507,I2084)&lt;='Top 25'!$E$5,'Top 25'!$E$5-INDEX('Staff Review'!$E$8:$E$507,I2084)&lt;='Top 25'!$H$5,LEN(INDEX('Staff Review'!$H$8:$H$507,I2084))&gt;0),"Yes","No"))</f>
        <v>No</v>
      </c>
      <c r="AJ2084" s="1" t="str">
        <f>IF(I2084=0,"No",IF(COUNT(INDEX('Staff Review'!$F$8:$F$507,I2084))&lt;&gt;1,"No",IF(AND(INDEX('Staff Review'!$F$8:$F$507,I2084)&gt;=0,MOD(INDEX('Staff Review'!$F$8:$F$507,I2084),1)=0,COUNT(INDEX('Staff Review'!$G$8:$G$507,I2084))=1,INDEX('Staff Review'!$G$8:$G$507,I2084)&gt;0,INDEX('Staff Review'!$G$8:$G$507,I2084)&lt;='Top 25'!$E$5,'Top 25'!$E$5-INDEX('Staff Review'!$G$8:$G$507,I2084)&lt;='Top 25'!$H$5,LEN(INDEX('Staff Review'!$H$8:$H$507,I2084))&gt;0),"Yes","No")))</f>
        <v>No</v>
      </c>
      <c r="AK2084" s="1">
        <f t="shared" si="25"/>
        <v>1</v>
      </c>
      <c r="AL2084" s="1">
        <f t="shared" ca="1" si="26"/>
        <v>1</v>
      </c>
      <c r="AM2084" s="1">
        <f t="shared" si="27"/>
        <v>2160</v>
      </c>
      <c r="AN2084" s="1">
        <f t="shared" si="28"/>
        <v>34</v>
      </c>
      <c r="AO2084">
        <f t="shared" ca="1" si="29"/>
        <v>269</v>
      </c>
      <c r="AP2084" s="105">
        <f ca="1">IF(AND(AL2084=1,OR('Top 25'!$A$10="All",C2084='Top 25'!$A$10),OR('Top 25'!$D$10="All",D2084='Top 25'!$D$10)),1,0)</f>
        <v>0</v>
      </c>
      <c r="AQ2084" s="105" t="str">
        <f ca="1">IF(AP2084=0,"",CHOOSE(MATCH('Top 25'!$G$10,{"Priority score","Economic need","Enrollment","Fresh miles","Nearby resources"},0),T2084,G2084,F2084,K2084,L2084))</f>
        <v/>
      </c>
      <c r="AR2084" s="105" t="str">
        <f ca="1">IF(AP2084=0,"",1+COUNTIFS($AP$2051:$AP$2550,1,$AQ$2051:$AQ$2550,IF('Top 25'!$J$10="Ascending","&lt;","&gt;")&amp;AQ2084)+COUNTIFS($AP$2051:$AP$2550,1,$AQ$2051:$AQ$2550,AQ2084,$W$2051:$W$2550,"&lt;"&amp;W2084))</f>
        <v/>
      </c>
      <c r="AT2084" s="105">
        <f ca="1">IF(AND(AL2084=1,OR(Master_rankableSchools!$A$10="All",C2084=Master_rankableSchools!$A$10),OR(Master_rankableSchools!$D$10="All",D2084=Master_rankableSchools!$D$10)),1,0)</f>
        <v>1</v>
      </c>
      <c r="AU2084" s="105">
        <f ca="1">IF(AT2084=0,"",CHOOSE(MATCH(Master_rankableSchools!$G$10,{"Priority score","Economic need","Enrollment","Fresh miles","Nearby resources"},0),T2084,G2084,F2084,K2084,L2084))</f>
        <v>25</v>
      </c>
      <c r="AV2084" s="105">
        <f ca="1">IF(AT2084=0,"",1+COUNTIFS($AT$2051:$AT$2550,1,$AU$2051:$AU$2550,IF(Master_rankableSchools!$J$10="Ascending","&lt;","&gt;")&amp;AU2084)+COUNTIFS($AT$2051:$AT$2550,1,$AU$2051:$AU$2550,AU2084,$W$2051:$W$2550,"&lt;"&amp;W2084))</f>
        <v>269</v>
      </c>
    </row>
    <row r="2085" spans="1:48" ht="22" customHeight="1">
      <c r="A2085" s="1" t="str">
        <f t="shared" si="0"/>
        <v>2190</v>
      </c>
      <c r="B2085" s="1" t="str">
        <f t="shared" si="1"/>
        <v>D. Newlin Fell School</v>
      </c>
      <c r="C2085" s="1" t="str">
        <f t="shared" si="2"/>
        <v>District</v>
      </c>
      <c r="D2085" s="1" t="str">
        <f t="shared" si="3"/>
        <v>Elementary-Middle</v>
      </c>
      <c r="E2085" s="1" t="str">
        <f t="shared" si="4"/>
        <v>19148</v>
      </c>
      <c r="F2085" s="1">
        <f t="shared" si="5"/>
        <v>519</v>
      </c>
      <c r="G2085" s="1">
        <f t="shared" si="6"/>
        <v>0.75519999999999998</v>
      </c>
      <c r="H2085" s="1" t="str">
        <f t="shared" si="7"/>
        <v>Yes</v>
      </c>
      <c r="I2085" s="1">
        <f>IF(OR(A2085="",COUNTIFS('Staff Review'!$A$8:$A$507,A2085)&lt;&gt;1),0,MATCH(A2085,'Staff Review'!$A$8:$A$507,0))</f>
        <v>49</v>
      </c>
      <c r="J2085" s="1" t="str">
        <f>IF(I2085=0,"No",IF(INDEX('Staff Review'!$C$8:$C$507,I2085)="Yes","Yes","No"))</f>
        <v>No</v>
      </c>
      <c r="K2085" s="1">
        <f ca="1">IF(AI2085="Yes",INDEX('Staff Review'!$D$8:$D$507,I2085),IF(AB2085=0,"",IF(COUNT(INDEX($C$1531:$C$2030,AB2085))=1,INDEX($C$1531:$C$2030,AB2085),"")))</f>
        <v>0.42834861587610301</v>
      </c>
      <c r="L2085" s="1">
        <f>IF(AJ2085="Yes",INDEX('Staff Review'!$F$8:$F$507,I2085),IF(AB2085=0,"",IF(COUNT(INDEX($G$1531:$G$2030,AB2085))=1,INDEX($G$1531:$G$2030,AB2085),"")))</f>
        <v>5</v>
      </c>
      <c r="M2085" s="1" t="str">
        <f t="shared" ca="1" si="8"/>
        <v>Listed</v>
      </c>
      <c r="N2085" s="1" t="str">
        <f t="shared" si="9"/>
        <v>Listed</v>
      </c>
      <c r="O2085" s="1">
        <f t="shared" si="10"/>
        <v>20</v>
      </c>
      <c r="P2085" s="1">
        <f t="shared" ca="1" si="11"/>
        <v>10</v>
      </c>
      <c r="Q2085" s="1">
        <f t="shared" si="12"/>
        <v>0</v>
      </c>
      <c r="R2085" s="1">
        <f t="shared" si="13"/>
        <v>4</v>
      </c>
      <c r="S2085" s="1">
        <f t="shared" ca="1" si="14"/>
        <v>34</v>
      </c>
      <c r="T2085" s="1">
        <f ca="1">IF(OR(COUNT(O2085:R2085)&lt;&gt;4,COUNT('Top 25'!$B$45:$E$45)&lt;&gt;4,MIN('Top 25'!$B$45:$E$45)&lt;0,SUM('Top 25'!$B$45:$E$45)&lt;=0),"",ROUND(85*(O2085/30*'Top 25'!$B$45+P2085/25*'Top 25'!$C$45+Q2085/25*'Top 25'!$D$45+R2085/5*'Top 25'!$E$45)/SUM('Top 25'!$B$45:$E$45),6))</f>
        <v>34</v>
      </c>
      <c r="U2085" s="1" t="str">
        <f t="shared" ca="1" si="15"/>
        <v>Listed</v>
      </c>
      <c r="V2085" s="1" t="str">
        <f ca="1">IF(A2085="","",IF(AK2085&lt;&gt;1,"Duplicate source ID",IF(COUNTIFS('Staff Review'!$A$8:$A$507,A2085)&gt;1,"Duplicate review ID",IF(H2085&lt;&gt;"Yes","Outside scope",IF(J2085="Yes","Already served",IF(NOT(ISNUMBER(T2085)),"Missing data","Candidate"))))))</f>
        <v>Candidate</v>
      </c>
      <c r="W2085" s="1">
        <f t="shared" ca="1" si="16"/>
        <v>229</v>
      </c>
      <c r="X2085" s="1">
        <f t="shared" ca="1" si="17"/>
        <v>221</v>
      </c>
      <c r="Y2085" s="1">
        <f ca="1">IF(AND(H2085="Yes",OR(LEN('School Search'!$B$5)=0,ISNUMBER(SEARCH('School Search'!$B$5,B2085&amp;" "&amp;E2085&amp;" "&amp;A2085))),OR('School Search'!$D$5="All",C2085='School Search'!$D$5),OR('School Search'!$G$5="All eligible",AND('School Search'!$G$5="Not marked served",J2085&lt;&gt;"Yes"),AND('School Search'!$G$5="Missing data",V2085="Missing data"),AND('School Search'!$G$5="Marked served",J2085="Yes"))),1,0)</f>
        <v>1</v>
      </c>
      <c r="Z2085" s="1">
        <f ca="1">IF(Y2085=0,"",COUNTIFS($Y$2051:$Y$2550,1,$AO$2051:$AO$2550,"&lt;"&amp;AO2085)+COUNTIFS($Y$2051:Y2085,1,$AO$2051:AO2085,AO2085))</f>
        <v>229</v>
      </c>
      <c r="AA2085" s="1" t="str">
        <f t="shared" ca="1" si="18"/>
        <v>76% economic need; 0.43 mi fresh access; 5 nearby resources</v>
      </c>
      <c r="AB2085" s="1">
        <f t="shared" si="19"/>
        <v>35</v>
      </c>
      <c r="AC2085" s="1" t="str">
        <f t="shared" si="20"/>
        <v>ShopRite of Whitman Plaza 411</v>
      </c>
      <c r="AD2085" s="1" t="str">
        <f t="shared" si="21"/>
        <v>330 W Oregon Ave, Philadelphia, PA, 19148</v>
      </c>
      <c r="AE2085" s="1" t="str">
        <f t="shared" si="22"/>
        <v>900 W OREGON AVE</v>
      </c>
      <c r="AF2085" s="1">
        <f t="shared" si="23"/>
        <v>39.915586380000001</v>
      </c>
      <c r="AG2085" s="1">
        <f t="shared" si="24"/>
        <v>-75.163008579999996</v>
      </c>
      <c r="AH2085" s="1" t="str">
        <f>IF(I2085=0,"Not contacted",IF(INDEX('Staff Review'!$J$8:$J$507,I2085)="","Not contacted",INDEX('Staff Review'!$J$8:$J$507,I2085)))</f>
        <v>Not contacted</v>
      </c>
      <c r="AI2085" s="1" t="str">
        <f ca="1">IF(I2085=0,"No",IF(AND(COUNT(INDEX('Staff Review'!$D$8:$D$507,I2085))=1,INDEX('Staff Review'!$D$8:$D$507,I2085)&gt;=0,COUNT(INDEX('Staff Review'!$E$8:$E$507,I2085))=1,INDEX('Staff Review'!$E$8:$E$507,I2085)&gt;0,INDEX('Staff Review'!$E$8:$E$507,I2085)&lt;='Top 25'!$E$5,'Top 25'!$E$5-INDEX('Staff Review'!$E$8:$E$507,I2085)&lt;='Top 25'!$H$5,LEN(INDEX('Staff Review'!$H$8:$H$507,I2085))&gt;0),"Yes","No"))</f>
        <v>No</v>
      </c>
      <c r="AJ2085" s="1" t="str">
        <f>IF(I2085=0,"No",IF(COUNT(INDEX('Staff Review'!$F$8:$F$507,I2085))&lt;&gt;1,"No",IF(AND(INDEX('Staff Review'!$F$8:$F$507,I2085)&gt;=0,MOD(INDEX('Staff Review'!$F$8:$F$507,I2085),1)=0,COUNT(INDEX('Staff Review'!$G$8:$G$507,I2085))=1,INDEX('Staff Review'!$G$8:$G$507,I2085)&gt;0,INDEX('Staff Review'!$G$8:$G$507,I2085)&lt;='Top 25'!$E$5,'Top 25'!$E$5-INDEX('Staff Review'!$G$8:$G$507,I2085)&lt;='Top 25'!$H$5,LEN(INDEX('Staff Review'!$H$8:$H$507,I2085))&gt;0),"Yes","No")))</f>
        <v>No</v>
      </c>
      <c r="AK2085" s="1">
        <f t="shared" si="25"/>
        <v>1</v>
      </c>
      <c r="AL2085" s="1">
        <f t="shared" ca="1" si="26"/>
        <v>1</v>
      </c>
      <c r="AM2085" s="1">
        <f t="shared" si="27"/>
        <v>2190</v>
      </c>
      <c r="AN2085" s="1">
        <f t="shared" si="28"/>
        <v>35</v>
      </c>
      <c r="AO2085">
        <f t="shared" ca="1" si="29"/>
        <v>229</v>
      </c>
      <c r="AP2085" s="105">
        <f ca="1">IF(AND(AL2085=1,OR('Top 25'!$A$10="All",C2085='Top 25'!$A$10),OR('Top 25'!$D$10="All",D2085='Top 25'!$D$10)),1,0)</f>
        <v>0</v>
      </c>
      <c r="AQ2085" s="105" t="str">
        <f ca="1">IF(AP2085=0,"",CHOOSE(MATCH('Top 25'!$G$10,{"Priority score","Economic need","Enrollment","Fresh miles","Nearby resources"},0),T2085,G2085,F2085,K2085,L2085))</f>
        <v/>
      </c>
      <c r="AR2085" s="105" t="str">
        <f ca="1">IF(AP2085=0,"",1+COUNTIFS($AP$2051:$AP$2550,1,$AQ$2051:$AQ$2550,IF('Top 25'!$J$10="Ascending","&lt;","&gt;")&amp;AQ2085)+COUNTIFS($AP$2051:$AP$2550,1,$AQ$2051:$AQ$2550,AQ2085,$W$2051:$W$2550,"&lt;"&amp;W2085))</f>
        <v/>
      </c>
      <c r="AT2085" s="105">
        <f ca="1">IF(AND(AL2085=1,OR(Master_rankableSchools!$A$10="All",C2085=Master_rankableSchools!$A$10),OR(Master_rankableSchools!$D$10="All",D2085=Master_rankableSchools!$D$10)),1,0)</f>
        <v>1</v>
      </c>
      <c r="AU2085" s="105">
        <f ca="1">IF(AT2085=0,"",CHOOSE(MATCH(Master_rankableSchools!$G$10,{"Priority score","Economic need","Enrollment","Fresh miles","Nearby resources"},0),T2085,G2085,F2085,K2085,L2085))</f>
        <v>34</v>
      </c>
      <c r="AV2085" s="105">
        <f ca="1">IF(AT2085=0,"",1+COUNTIFS($AT$2051:$AT$2550,1,$AU$2051:$AU$2550,IF(Master_rankableSchools!$J$10="Ascending","&lt;","&gt;")&amp;AU2085)+COUNTIFS($AT$2051:$AT$2550,1,$AU$2051:$AU$2550,AU2085,$W$2051:$W$2550,"&lt;"&amp;W2085))</f>
        <v>229</v>
      </c>
    </row>
    <row r="2086" spans="1:48" ht="22" customHeight="1">
      <c r="A2086" s="1" t="str">
        <f t="shared" si="0"/>
        <v>2210</v>
      </c>
      <c r="B2086" s="1" t="str">
        <f t="shared" si="1"/>
        <v>Bache-Martin School</v>
      </c>
      <c r="C2086" s="1" t="str">
        <f t="shared" si="2"/>
        <v>District</v>
      </c>
      <c r="D2086" s="1" t="str">
        <f t="shared" si="3"/>
        <v>Elementary-Middle</v>
      </c>
      <c r="E2086" s="1" t="str">
        <f t="shared" si="4"/>
        <v>19130</v>
      </c>
      <c r="F2086" s="1">
        <f t="shared" si="5"/>
        <v>622</v>
      </c>
      <c r="G2086" s="1">
        <f t="shared" si="6"/>
        <v>0.53339999999999999</v>
      </c>
      <c r="H2086" s="1" t="str">
        <f t="shared" si="7"/>
        <v>Yes</v>
      </c>
      <c r="I2086" s="1">
        <f>IF(OR(A2086="",COUNTIFS('Staff Review'!$A$8:$A$507,A2086)&lt;&gt;1),0,MATCH(A2086,'Staff Review'!$A$8:$A$507,0))</f>
        <v>26</v>
      </c>
      <c r="J2086" s="1" t="str">
        <f>IF(I2086=0,"No",IF(INDEX('Staff Review'!$C$8:$C$507,I2086)="Yes","Yes","No"))</f>
        <v>No</v>
      </c>
      <c r="K2086" s="1">
        <f ca="1">IF(AI2086="Yes",INDEX('Staff Review'!$D$8:$D$507,I2086),IF(AB2086=0,"",IF(COUNT(INDEX($C$1531:$C$2030,AB2086))=1,INDEX($C$1531:$C$2030,AB2086),"")))</f>
        <v>0.29713947061757184</v>
      </c>
      <c r="L2086" s="1">
        <f>IF(AJ2086="Yes",INDEX('Staff Review'!$F$8:$F$507,I2086),IF(AB2086=0,"",IF(COUNT(INDEX($G$1531:$G$2030,AB2086))=1,INDEX($G$1531:$G$2030,AB2086),"")))</f>
        <v>7</v>
      </c>
      <c r="M2086" s="1" t="str">
        <f t="shared" ca="1" si="8"/>
        <v>Listed</v>
      </c>
      <c r="N2086" s="1" t="str">
        <f t="shared" si="9"/>
        <v>Listed</v>
      </c>
      <c r="O2086" s="1">
        <f t="shared" si="10"/>
        <v>10</v>
      </c>
      <c r="P2086" s="1">
        <f t="shared" ca="1" si="11"/>
        <v>10</v>
      </c>
      <c r="Q2086" s="1">
        <f t="shared" si="12"/>
        <v>0</v>
      </c>
      <c r="R2086" s="1">
        <f t="shared" si="13"/>
        <v>4</v>
      </c>
      <c r="S2086" s="1">
        <f t="shared" ca="1" si="14"/>
        <v>24</v>
      </c>
      <c r="T2086" s="1">
        <f ca="1">IF(OR(COUNT(O2086:R2086)&lt;&gt;4,COUNT('Top 25'!$B$45:$E$45)&lt;&gt;4,MIN('Top 25'!$B$45:$E$45)&lt;0,SUM('Top 25'!$B$45:$E$45)&lt;=0),"",ROUND(85*(O2086/30*'Top 25'!$B$45+P2086/25*'Top 25'!$C$45+Q2086/25*'Top 25'!$D$45+R2086/5*'Top 25'!$E$45)/SUM('Top 25'!$B$45:$E$45),6))</f>
        <v>24</v>
      </c>
      <c r="U2086" s="1" t="str">
        <f t="shared" ca="1" si="15"/>
        <v>Listed</v>
      </c>
      <c r="V2086" s="1" t="str">
        <f ca="1">IF(A2086="","",IF(AK2086&lt;&gt;1,"Duplicate source ID",IF(COUNTIFS('Staff Review'!$A$8:$A$507,A2086)&gt;1,"Duplicate review ID",IF(H2086&lt;&gt;"Yes","Outside scope",IF(J2086="Yes","Already served",IF(NOT(ISNUMBER(T2086)),"Missing data","Candidate"))))))</f>
        <v>Candidate</v>
      </c>
      <c r="W2086" s="1">
        <f t="shared" ca="1" si="16"/>
        <v>273</v>
      </c>
      <c r="X2086" s="1">
        <f t="shared" ca="1" si="17"/>
        <v>272</v>
      </c>
      <c r="Y2086" s="1">
        <f ca="1">IF(AND(H2086="Yes",OR(LEN('School Search'!$B$5)=0,ISNUMBER(SEARCH('School Search'!$B$5,B2086&amp;" "&amp;E2086&amp;" "&amp;A2086))),OR('School Search'!$D$5="All",C2086='School Search'!$D$5),OR('School Search'!$G$5="All eligible",AND('School Search'!$G$5="Not marked served",J2086&lt;&gt;"Yes"),AND('School Search'!$G$5="Missing data",V2086="Missing data"),AND('School Search'!$G$5="Marked served",J2086="Yes"))),1,0)</f>
        <v>1</v>
      </c>
      <c r="Z2086" s="1">
        <f ca="1">IF(Y2086=0,"",COUNTIFS($Y$2051:$Y$2550,1,$AO$2051:$AO$2550,"&lt;"&amp;AO2086)+COUNTIFS($Y$2051:Y2086,1,$AO$2051:AO2086,AO2086))</f>
        <v>273</v>
      </c>
      <c r="AA2086" s="1" t="str">
        <f t="shared" ca="1" si="18"/>
        <v>53% economic need; 0.30 mi fresh access; 7 nearby resources</v>
      </c>
      <c r="AB2086" s="1">
        <f t="shared" si="19"/>
        <v>36</v>
      </c>
      <c r="AC2086" s="1" t="str">
        <f t="shared" si="20"/>
        <v>Kleins Supermarket</v>
      </c>
      <c r="AD2086" s="1" t="str">
        <f t="shared" si="21"/>
        <v>2401 Pennsylvania Ave, Philadelphia, PA, 19130</v>
      </c>
      <c r="AE2086" s="1" t="str">
        <f t="shared" si="22"/>
        <v>2201 BROWN ST</v>
      </c>
      <c r="AF2086" s="1">
        <f t="shared" si="23"/>
        <v>39.969677820000001</v>
      </c>
      <c r="AG2086" s="1">
        <f t="shared" si="24"/>
        <v>-75.173846920000003</v>
      </c>
      <c r="AH2086" s="1" t="str">
        <f>IF(I2086=0,"Not contacted",IF(INDEX('Staff Review'!$J$8:$J$507,I2086)="","Not contacted",INDEX('Staff Review'!$J$8:$J$507,I2086)))</f>
        <v>Not contacted</v>
      </c>
      <c r="AI2086" s="1" t="str">
        <f ca="1">IF(I2086=0,"No",IF(AND(COUNT(INDEX('Staff Review'!$D$8:$D$507,I2086))=1,INDEX('Staff Review'!$D$8:$D$507,I2086)&gt;=0,COUNT(INDEX('Staff Review'!$E$8:$E$507,I2086))=1,INDEX('Staff Review'!$E$8:$E$507,I2086)&gt;0,INDEX('Staff Review'!$E$8:$E$507,I2086)&lt;='Top 25'!$E$5,'Top 25'!$E$5-INDEX('Staff Review'!$E$8:$E$507,I2086)&lt;='Top 25'!$H$5,LEN(INDEX('Staff Review'!$H$8:$H$507,I2086))&gt;0),"Yes","No"))</f>
        <v>No</v>
      </c>
      <c r="AJ2086" s="1" t="str">
        <f>IF(I2086=0,"No",IF(COUNT(INDEX('Staff Review'!$F$8:$F$507,I2086))&lt;&gt;1,"No",IF(AND(INDEX('Staff Review'!$F$8:$F$507,I2086)&gt;=0,MOD(INDEX('Staff Review'!$F$8:$F$507,I2086),1)=0,COUNT(INDEX('Staff Review'!$G$8:$G$507,I2086))=1,INDEX('Staff Review'!$G$8:$G$507,I2086)&gt;0,INDEX('Staff Review'!$G$8:$G$507,I2086)&lt;='Top 25'!$E$5,'Top 25'!$E$5-INDEX('Staff Review'!$G$8:$G$507,I2086)&lt;='Top 25'!$H$5,LEN(INDEX('Staff Review'!$H$8:$H$507,I2086))&gt;0),"Yes","No")))</f>
        <v>No</v>
      </c>
      <c r="AK2086" s="1">
        <f t="shared" si="25"/>
        <v>1</v>
      </c>
      <c r="AL2086" s="1">
        <f t="shared" ca="1" si="26"/>
        <v>1</v>
      </c>
      <c r="AM2086" s="1">
        <f t="shared" si="27"/>
        <v>2210</v>
      </c>
      <c r="AN2086" s="1">
        <f t="shared" si="28"/>
        <v>36</v>
      </c>
      <c r="AO2086">
        <f t="shared" ca="1" si="29"/>
        <v>273</v>
      </c>
      <c r="AP2086" s="105">
        <f ca="1">IF(AND(AL2086=1,OR('Top 25'!$A$10="All",C2086='Top 25'!$A$10),OR('Top 25'!$D$10="All",D2086='Top 25'!$D$10)),1,0)</f>
        <v>0</v>
      </c>
      <c r="AQ2086" s="105" t="str">
        <f ca="1">IF(AP2086=0,"",CHOOSE(MATCH('Top 25'!$G$10,{"Priority score","Economic need","Enrollment","Fresh miles","Nearby resources"},0),T2086,G2086,F2086,K2086,L2086))</f>
        <v/>
      </c>
      <c r="AR2086" s="105" t="str">
        <f ca="1">IF(AP2086=0,"",1+COUNTIFS($AP$2051:$AP$2550,1,$AQ$2051:$AQ$2550,IF('Top 25'!$J$10="Ascending","&lt;","&gt;")&amp;AQ2086)+COUNTIFS($AP$2051:$AP$2550,1,$AQ$2051:$AQ$2550,AQ2086,$W$2051:$W$2550,"&lt;"&amp;W2086))</f>
        <v/>
      </c>
      <c r="AT2086" s="105">
        <f ca="1">IF(AND(AL2086=1,OR(Master_rankableSchools!$A$10="All",C2086=Master_rankableSchools!$A$10),OR(Master_rankableSchools!$D$10="All",D2086=Master_rankableSchools!$D$10)),1,0)</f>
        <v>1</v>
      </c>
      <c r="AU2086" s="105">
        <f ca="1">IF(AT2086=0,"",CHOOSE(MATCH(Master_rankableSchools!$G$10,{"Priority score","Economic need","Enrollment","Fresh miles","Nearby resources"},0),T2086,G2086,F2086,K2086,L2086))</f>
        <v>24</v>
      </c>
      <c r="AV2086" s="105">
        <f ca="1">IF(AT2086=0,"",1+COUNTIFS($AT$2051:$AT$2550,1,$AU$2051:$AU$2550,IF(Master_rankableSchools!$J$10="Ascending","&lt;","&gt;")&amp;AU2086)+COUNTIFS($AT$2051:$AT$2550,1,$AU$2051:$AU$2550,AU2086,$W$2051:$W$2550,"&lt;"&amp;W2086))</f>
        <v>273</v>
      </c>
    </row>
    <row r="2087" spans="1:48" ht="22" customHeight="1">
      <c r="A2087" s="1" t="str">
        <f t="shared" si="0"/>
        <v>2240</v>
      </c>
      <c r="B2087" s="1" t="str">
        <f t="shared" si="1"/>
        <v>F. Amedee Bregy School</v>
      </c>
      <c r="C2087" s="1" t="str">
        <f t="shared" si="2"/>
        <v>District</v>
      </c>
      <c r="D2087" s="1" t="str">
        <f t="shared" si="3"/>
        <v>Elementary-Middle</v>
      </c>
      <c r="E2087" s="1" t="str">
        <f t="shared" si="4"/>
        <v>19145</v>
      </c>
      <c r="F2087" s="1">
        <f t="shared" si="5"/>
        <v>244</v>
      </c>
      <c r="G2087" s="1">
        <f t="shared" si="6"/>
        <v>0.81910000000000005</v>
      </c>
      <c r="H2087" s="1" t="str">
        <f t="shared" si="7"/>
        <v>Yes</v>
      </c>
      <c r="I2087" s="1">
        <f>IF(OR(A2087="",COUNTIFS('Staff Review'!$A$8:$A$507,A2087)&lt;&gt;1),0,MATCH(A2087,'Staff Review'!$A$8:$A$507,0))</f>
        <v>71</v>
      </c>
      <c r="J2087" s="1" t="str">
        <f>IF(I2087=0,"No",IF(INDEX('Staff Review'!$C$8:$C$507,I2087)="Yes","Yes","No"))</f>
        <v>No</v>
      </c>
      <c r="K2087" s="1">
        <f ca="1">IF(AI2087="Yes",INDEX('Staff Review'!$D$8:$D$507,I2087),IF(AB2087=0,"",IF(COUNT(INDEX($C$1531:$C$2030,AB2087))=1,INDEX($C$1531:$C$2030,AB2087),"")))</f>
        <v>0.2488858573081863</v>
      </c>
      <c r="L2087" s="1">
        <f>IF(AJ2087="Yes",INDEX('Staff Review'!$F$8:$F$507,I2087),IF(AB2087=0,"",IF(COUNT(INDEX($G$1531:$G$2030,AB2087))=1,INDEX($G$1531:$G$2030,AB2087),"")))</f>
        <v>1</v>
      </c>
      <c r="M2087" s="1" t="str">
        <f t="shared" ca="1" si="8"/>
        <v>Listed</v>
      </c>
      <c r="N2087" s="1" t="str">
        <f t="shared" si="9"/>
        <v>Listed</v>
      </c>
      <c r="O2087" s="1">
        <f t="shared" si="10"/>
        <v>25</v>
      </c>
      <c r="P2087" s="1">
        <f t="shared" ca="1" si="11"/>
        <v>5</v>
      </c>
      <c r="Q2087" s="1">
        <f t="shared" si="12"/>
        <v>20</v>
      </c>
      <c r="R2087" s="1">
        <f t="shared" si="13"/>
        <v>2</v>
      </c>
      <c r="S2087" s="1">
        <f t="shared" ca="1" si="14"/>
        <v>52</v>
      </c>
      <c r="T2087" s="1">
        <f ca="1">IF(OR(COUNT(O2087:R2087)&lt;&gt;4,COUNT('Top 25'!$B$45:$E$45)&lt;&gt;4,MIN('Top 25'!$B$45:$E$45)&lt;0,SUM('Top 25'!$B$45:$E$45)&lt;=0),"",ROUND(85*(O2087/30*'Top 25'!$B$45+P2087/25*'Top 25'!$C$45+Q2087/25*'Top 25'!$D$45+R2087/5*'Top 25'!$E$45)/SUM('Top 25'!$B$45:$E$45),6))</f>
        <v>52</v>
      </c>
      <c r="U2087" s="1" t="str">
        <f t="shared" ca="1" si="15"/>
        <v>Listed</v>
      </c>
      <c r="V2087" s="1" t="str">
        <f ca="1">IF(A2087="","",IF(AK2087&lt;&gt;1,"Duplicate source ID",IF(COUNTIFS('Staff Review'!$A$8:$A$507,A2087)&gt;1,"Duplicate review ID",IF(H2087&lt;&gt;"Yes","Outside scope",IF(J2087="Yes","Already served",IF(NOT(ISNUMBER(T2087)),"Missing data","Candidate"))))))</f>
        <v>Candidate</v>
      </c>
      <c r="W2087" s="1">
        <f t="shared" ca="1" si="16"/>
        <v>38</v>
      </c>
      <c r="X2087" s="1">
        <f t="shared" ca="1" si="17"/>
        <v>36</v>
      </c>
      <c r="Y2087" s="1">
        <f ca="1">IF(AND(H2087="Yes",OR(LEN('School Search'!$B$5)=0,ISNUMBER(SEARCH('School Search'!$B$5,B2087&amp;" "&amp;E2087&amp;" "&amp;A2087))),OR('School Search'!$D$5="All",C2087='School Search'!$D$5),OR('School Search'!$G$5="All eligible",AND('School Search'!$G$5="Not marked served",J2087&lt;&gt;"Yes"),AND('School Search'!$G$5="Missing data",V2087="Missing data"),AND('School Search'!$G$5="Marked served",J2087="Yes"))),1,0)</f>
        <v>1</v>
      </c>
      <c r="Z2087" s="1">
        <f ca="1">IF(Y2087=0,"",COUNTIFS($Y$2051:$Y$2550,1,$AO$2051:$AO$2550,"&lt;"&amp;AO2087)+COUNTIFS($Y$2051:Y2087,1,$AO$2051:AO2087,AO2087))</f>
        <v>38</v>
      </c>
      <c r="AA2087" s="1" t="str">
        <f t="shared" ca="1" si="18"/>
        <v>82% economic need; 0.25 mi fresh access; 1 nearby resources</v>
      </c>
      <c r="AB2087" s="1">
        <f t="shared" si="19"/>
        <v>37</v>
      </c>
      <c r="AC2087" s="1" t="str">
        <f t="shared" si="20"/>
        <v>ACME 4715</v>
      </c>
      <c r="AD2087" s="1" t="str">
        <f t="shared" si="21"/>
        <v>1901 Johnston St, Philadelphia, PA, 19145</v>
      </c>
      <c r="AE2087" s="1" t="str">
        <f t="shared" si="22"/>
        <v>1700 BIGLER ST</v>
      </c>
      <c r="AF2087" s="1">
        <f t="shared" si="23"/>
        <v>39.914698999999999</v>
      </c>
      <c r="AG2087" s="1">
        <f t="shared" si="24"/>
        <v>-75.176674000000006</v>
      </c>
      <c r="AH2087" s="1" t="str">
        <f>IF(I2087=0,"Not contacted",IF(INDEX('Staff Review'!$J$8:$J$507,I2087)="","Not contacted",INDEX('Staff Review'!$J$8:$J$507,I2087)))</f>
        <v>Not contacted</v>
      </c>
      <c r="AI2087" s="1" t="str">
        <f ca="1">IF(I2087=0,"No",IF(AND(COUNT(INDEX('Staff Review'!$D$8:$D$507,I2087))=1,INDEX('Staff Review'!$D$8:$D$507,I2087)&gt;=0,COUNT(INDEX('Staff Review'!$E$8:$E$507,I2087))=1,INDEX('Staff Review'!$E$8:$E$507,I2087)&gt;0,INDEX('Staff Review'!$E$8:$E$507,I2087)&lt;='Top 25'!$E$5,'Top 25'!$E$5-INDEX('Staff Review'!$E$8:$E$507,I2087)&lt;='Top 25'!$H$5,LEN(INDEX('Staff Review'!$H$8:$H$507,I2087))&gt;0),"Yes","No"))</f>
        <v>No</v>
      </c>
      <c r="AJ2087" s="1" t="str">
        <f>IF(I2087=0,"No",IF(COUNT(INDEX('Staff Review'!$F$8:$F$507,I2087))&lt;&gt;1,"No",IF(AND(INDEX('Staff Review'!$F$8:$F$507,I2087)&gt;=0,MOD(INDEX('Staff Review'!$F$8:$F$507,I2087),1)=0,COUNT(INDEX('Staff Review'!$G$8:$G$507,I2087))=1,INDEX('Staff Review'!$G$8:$G$507,I2087)&gt;0,INDEX('Staff Review'!$G$8:$G$507,I2087)&lt;='Top 25'!$E$5,'Top 25'!$E$5-INDEX('Staff Review'!$G$8:$G$507,I2087)&lt;='Top 25'!$H$5,LEN(INDEX('Staff Review'!$H$8:$H$507,I2087))&gt;0),"Yes","No")))</f>
        <v>No</v>
      </c>
      <c r="AK2087" s="1">
        <f t="shared" si="25"/>
        <v>1</v>
      </c>
      <c r="AL2087" s="1">
        <f t="shared" ca="1" si="26"/>
        <v>1</v>
      </c>
      <c r="AM2087" s="1">
        <f t="shared" si="27"/>
        <v>2240</v>
      </c>
      <c r="AN2087" s="1">
        <f t="shared" si="28"/>
        <v>37</v>
      </c>
      <c r="AO2087">
        <f t="shared" ca="1" si="29"/>
        <v>38</v>
      </c>
      <c r="AP2087" s="105">
        <f ca="1">IF(AND(AL2087=1,OR('Top 25'!$A$10="All",C2087='Top 25'!$A$10),OR('Top 25'!$D$10="All",D2087='Top 25'!$D$10)),1,0)</f>
        <v>0</v>
      </c>
      <c r="AQ2087" s="105" t="str">
        <f ca="1">IF(AP2087=0,"",CHOOSE(MATCH('Top 25'!$G$10,{"Priority score","Economic need","Enrollment","Fresh miles","Nearby resources"},0),T2087,G2087,F2087,K2087,L2087))</f>
        <v/>
      </c>
      <c r="AR2087" s="105" t="str">
        <f ca="1">IF(AP2087=0,"",1+COUNTIFS($AP$2051:$AP$2550,1,$AQ$2051:$AQ$2550,IF('Top 25'!$J$10="Ascending","&lt;","&gt;")&amp;AQ2087)+COUNTIFS($AP$2051:$AP$2550,1,$AQ$2051:$AQ$2550,AQ2087,$W$2051:$W$2550,"&lt;"&amp;W2087))</f>
        <v/>
      </c>
      <c r="AT2087" s="105">
        <f ca="1">IF(AND(AL2087=1,OR(Master_rankableSchools!$A$10="All",C2087=Master_rankableSchools!$A$10),OR(Master_rankableSchools!$D$10="All",D2087=Master_rankableSchools!$D$10)),1,0)</f>
        <v>1</v>
      </c>
      <c r="AU2087" s="105">
        <f ca="1">IF(AT2087=0,"",CHOOSE(MATCH(Master_rankableSchools!$G$10,{"Priority score","Economic need","Enrollment","Fresh miles","Nearby resources"},0),T2087,G2087,F2087,K2087,L2087))</f>
        <v>52</v>
      </c>
      <c r="AV2087" s="105">
        <f ca="1">IF(AT2087=0,"",1+COUNTIFS($AT$2051:$AT$2550,1,$AU$2051:$AU$2550,IF(Master_rankableSchools!$J$10="Ascending","&lt;","&gt;")&amp;AU2087)+COUNTIFS($AT$2051:$AT$2550,1,$AU$2051:$AU$2550,AU2087,$W$2051:$W$2550,"&lt;"&amp;W2087))</f>
        <v>38</v>
      </c>
    </row>
    <row r="2088" spans="1:48" ht="22" customHeight="1">
      <c r="A2088" s="1" t="str">
        <f t="shared" si="0"/>
        <v>2260</v>
      </c>
      <c r="B2088" s="1" t="str">
        <f t="shared" si="1"/>
        <v>George W. Childs School</v>
      </c>
      <c r="C2088" s="1" t="str">
        <f t="shared" si="2"/>
        <v>District</v>
      </c>
      <c r="D2088" s="1" t="str">
        <f t="shared" si="3"/>
        <v>Elementary-Middle</v>
      </c>
      <c r="E2088" s="1" t="str">
        <f t="shared" si="4"/>
        <v>19146</v>
      </c>
      <c r="F2088" s="1">
        <f t="shared" si="5"/>
        <v>443</v>
      </c>
      <c r="G2088" s="1">
        <f t="shared" si="6"/>
        <v>0.76259999999999994</v>
      </c>
      <c r="H2088" s="1" t="str">
        <f t="shared" si="7"/>
        <v>Yes</v>
      </c>
      <c r="I2088" s="1">
        <f>IF(OR(A2088="",COUNTIFS('Staff Review'!$A$8:$A$507,A2088)&lt;&gt;1),0,MATCH(A2088,'Staff Review'!$A$8:$A$507,0))</f>
        <v>94</v>
      </c>
      <c r="J2088" s="1" t="str">
        <f>IF(I2088=0,"No",IF(INDEX('Staff Review'!$C$8:$C$507,I2088)="Yes","Yes","No"))</f>
        <v>No</v>
      </c>
      <c r="K2088" s="1">
        <f ca="1">IF(AI2088="Yes",INDEX('Staff Review'!$D$8:$D$507,I2088),IF(AB2088=0,"",IF(COUNT(INDEX($C$1531:$C$2030,AB2088))=1,INDEX($C$1531:$C$2030,AB2088),"")))</f>
        <v>0.3433018637346939</v>
      </c>
      <c r="L2088" s="1">
        <f>IF(AJ2088="Yes",INDEX('Staff Review'!$F$8:$F$507,I2088),IF(AB2088=0,"",IF(COUNT(INDEX($G$1531:$G$2030,AB2088))=1,INDEX($G$1531:$G$2030,AB2088),"")))</f>
        <v>16</v>
      </c>
      <c r="M2088" s="1" t="str">
        <f t="shared" ca="1" si="8"/>
        <v>Listed</v>
      </c>
      <c r="N2088" s="1" t="str">
        <f t="shared" si="9"/>
        <v>Listed</v>
      </c>
      <c r="O2088" s="1">
        <f t="shared" si="10"/>
        <v>20</v>
      </c>
      <c r="P2088" s="1">
        <f t="shared" ca="1" si="11"/>
        <v>10</v>
      </c>
      <c r="Q2088" s="1">
        <f t="shared" si="12"/>
        <v>0</v>
      </c>
      <c r="R2088" s="1">
        <f t="shared" si="13"/>
        <v>3</v>
      </c>
      <c r="S2088" s="1">
        <f t="shared" ca="1" si="14"/>
        <v>33</v>
      </c>
      <c r="T2088" s="1">
        <f ca="1">IF(OR(COUNT(O2088:R2088)&lt;&gt;4,COUNT('Top 25'!$B$45:$E$45)&lt;&gt;4,MIN('Top 25'!$B$45:$E$45)&lt;0,SUM('Top 25'!$B$45:$E$45)&lt;=0),"",ROUND(85*(O2088/30*'Top 25'!$B$45+P2088/25*'Top 25'!$C$45+Q2088/25*'Top 25'!$D$45+R2088/5*'Top 25'!$E$45)/SUM('Top 25'!$B$45:$E$45),6))</f>
        <v>33</v>
      </c>
      <c r="U2088" s="1" t="str">
        <f t="shared" ca="1" si="15"/>
        <v>Listed</v>
      </c>
      <c r="V2088" s="1" t="str">
        <f ca="1">IF(A2088="","",IF(AK2088&lt;&gt;1,"Duplicate source ID",IF(COUNTIFS('Staff Review'!$A$8:$A$507,A2088)&gt;1,"Duplicate review ID",IF(H2088&lt;&gt;"Yes","Outside scope",IF(J2088="Yes","Already served",IF(NOT(ISNUMBER(T2088)),"Missing data","Candidate"))))))</f>
        <v>Candidate</v>
      </c>
      <c r="W2088" s="1">
        <f t="shared" ca="1" si="16"/>
        <v>240</v>
      </c>
      <c r="X2088" s="1">
        <f t="shared" ca="1" si="17"/>
        <v>233</v>
      </c>
      <c r="Y2088" s="1">
        <f ca="1">IF(AND(H2088="Yes",OR(LEN('School Search'!$B$5)=0,ISNUMBER(SEARCH('School Search'!$B$5,B2088&amp;" "&amp;E2088&amp;" "&amp;A2088))),OR('School Search'!$D$5="All",C2088='School Search'!$D$5),OR('School Search'!$G$5="All eligible",AND('School Search'!$G$5="Not marked served",J2088&lt;&gt;"Yes"),AND('School Search'!$G$5="Missing data",V2088="Missing data"),AND('School Search'!$G$5="Marked served",J2088="Yes"))),1,0)</f>
        <v>1</v>
      </c>
      <c r="Z2088" s="1">
        <f ca="1">IF(Y2088=0,"",COUNTIFS($Y$2051:$Y$2550,1,$AO$2051:$AO$2550,"&lt;"&amp;AO2088)+COUNTIFS($Y$2051:Y2088,1,$AO$2051:AO2088,AO2088))</f>
        <v>240</v>
      </c>
      <c r="AA2088" s="1" t="str">
        <f t="shared" ca="1" si="18"/>
        <v>76% economic need; 0.34 mi fresh access; 16 nearby resources</v>
      </c>
      <c r="AB2088" s="1">
        <f t="shared" si="19"/>
        <v>38</v>
      </c>
      <c r="AC2088" s="1" t="str">
        <f t="shared" si="20"/>
        <v>Target T3263</v>
      </c>
      <c r="AD2088" s="1" t="str">
        <f t="shared" si="21"/>
        <v>1020 S Broad St, Philadelphia, PA, 19146</v>
      </c>
      <c r="AE2088" s="1" t="str">
        <f t="shared" si="22"/>
        <v>1599 WHARTON ST</v>
      </c>
      <c r="AF2088" s="1">
        <f t="shared" si="23"/>
        <v>39.934637000000002</v>
      </c>
      <c r="AG2088" s="1">
        <f t="shared" si="24"/>
        <v>-75.170492999999993</v>
      </c>
      <c r="AH2088" s="1" t="str">
        <f>IF(I2088=0,"Not contacted",IF(INDEX('Staff Review'!$J$8:$J$507,I2088)="","Not contacted",INDEX('Staff Review'!$J$8:$J$507,I2088)))</f>
        <v>Not contacted</v>
      </c>
      <c r="AI2088" s="1" t="str">
        <f ca="1">IF(I2088=0,"No",IF(AND(COUNT(INDEX('Staff Review'!$D$8:$D$507,I2088))=1,INDEX('Staff Review'!$D$8:$D$507,I2088)&gt;=0,COUNT(INDEX('Staff Review'!$E$8:$E$507,I2088))=1,INDEX('Staff Review'!$E$8:$E$507,I2088)&gt;0,INDEX('Staff Review'!$E$8:$E$507,I2088)&lt;='Top 25'!$E$5,'Top 25'!$E$5-INDEX('Staff Review'!$E$8:$E$507,I2088)&lt;='Top 25'!$H$5,LEN(INDEX('Staff Review'!$H$8:$H$507,I2088))&gt;0),"Yes","No"))</f>
        <v>No</v>
      </c>
      <c r="AJ2088" s="1" t="str">
        <f>IF(I2088=0,"No",IF(COUNT(INDEX('Staff Review'!$F$8:$F$507,I2088))&lt;&gt;1,"No",IF(AND(INDEX('Staff Review'!$F$8:$F$507,I2088)&gt;=0,MOD(INDEX('Staff Review'!$F$8:$F$507,I2088),1)=0,COUNT(INDEX('Staff Review'!$G$8:$G$507,I2088))=1,INDEX('Staff Review'!$G$8:$G$507,I2088)&gt;0,INDEX('Staff Review'!$G$8:$G$507,I2088)&lt;='Top 25'!$E$5,'Top 25'!$E$5-INDEX('Staff Review'!$G$8:$G$507,I2088)&lt;='Top 25'!$H$5,LEN(INDEX('Staff Review'!$H$8:$H$507,I2088))&gt;0),"Yes","No")))</f>
        <v>No</v>
      </c>
      <c r="AK2088" s="1">
        <f t="shared" si="25"/>
        <v>1</v>
      </c>
      <c r="AL2088" s="1">
        <f t="shared" ca="1" si="26"/>
        <v>1</v>
      </c>
      <c r="AM2088" s="1">
        <f t="shared" si="27"/>
        <v>2260</v>
      </c>
      <c r="AN2088" s="1">
        <f t="shared" si="28"/>
        <v>38</v>
      </c>
      <c r="AO2088">
        <f t="shared" ca="1" si="29"/>
        <v>240</v>
      </c>
      <c r="AP2088" s="105">
        <f ca="1">IF(AND(AL2088=1,OR('Top 25'!$A$10="All",C2088='Top 25'!$A$10),OR('Top 25'!$D$10="All",D2088='Top 25'!$D$10)),1,0)</f>
        <v>0</v>
      </c>
      <c r="AQ2088" s="105" t="str">
        <f ca="1">IF(AP2088=0,"",CHOOSE(MATCH('Top 25'!$G$10,{"Priority score","Economic need","Enrollment","Fresh miles","Nearby resources"},0),T2088,G2088,F2088,K2088,L2088))</f>
        <v/>
      </c>
      <c r="AR2088" s="105" t="str">
        <f ca="1">IF(AP2088=0,"",1+COUNTIFS($AP$2051:$AP$2550,1,$AQ$2051:$AQ$2550,IF('Top 25'!$J$10="Ascending","&lt;","&gt;")&amp;AQ2088)+COUNTIFS($AP$2051:$AP$2550,1,$AQ$2051:$AQ$2550,AQ2088,$W$2051:$W$2550,"&lt;"&amp;W2088))</f>
        <v/>
      </c>
      <c r="AT2088" s="105">
        <f ca="1">IF(AND(AL2088=1,OR(Master_rankableSchools!$A$10="All",C2088=Master_rankableSchools!$A$10),OR(Master_rankableSchools!$D$10="All",D2088=Master_rankableSchools!$D$10)),1,0)</f>
        <v>1</v>
      </c>
      <c r="AU2088" s="105">
        <f ca="1">IF(AT2088=0,"",CHOOSE(MATCH(Master_rankableSchools!$G$10,{"Priority score","Economic need","Enrollment","Fresh miles","Nearby resources"},0),T2088,G2088,F2088,K2088,L2088))</f>
        <v>33</v>
      </c>
      <c r="AV2088" s="105">
        <f ca="1">IF(AT2088=0,"",1+COUNTIFS($AT$2051:$AT$2550,1,$AU$2051:$AU$2550,IF(Master_rankableSchools!$J$10="Ascending","&lt;","&gt;")&amp;AU2088)+COUNTIFS($AT$2051:$AT$2550,1,$AU$2051:$AU$2550,AU2088,$W$2051:$W$2550,"&lt;"&amp;W2088))</f>
        <v>240</v>
      </c>
    </row>
    <row r="2089" spans="1:48" ht="22" customHeight="1">
      <c r="A2089" s="1" t="str">
        <f t="shared" si="0"/>
        <v>2290</v>
      </c>
      <c r="B2089" s="1" t="str">
        <f t="shared" si="1"/>
        <v>Franklin Learning Center</v>
      </c>
      <c r="C2089" s="1" t="str">
        <f t="shared" si="2"/>
        <v>District</v>
      </c>
      <c r="D2089" s="1" t="str">
        <f t="shared" si="3"/>
        <v>High</v>
      </c>
      <c r="E2089" s="1" t="str">
        <f t="shared" si="4"/>
        <v>19130</v>
      </c>
      <c r="F2089" s="1">
        <f t="shared" si="5"/>
        <v>975</v>
      </c>
      <c r="G2089" s="1">
        <f t="shared" si="6"/>
        <v>0.76029999999999998</v>
      </c>
      <c r="H2089" s="1" t="str">
        <f t="shared" si="7"/>
        <v>Yes</v>
      </c>
      <c r="I2089" s="1">
        <f>IF(OR(A2089="",COUNTIFS('Staff Review'!$A$8:$A$507,A2089)&lt;&gt;1),0,MATCH(A2089,'Staff Review'!$A$8:$A$507,0))</f>
        <v>83</v>
      </c>
      <c r="J2089" s="1" t="str">
        <f>IF(I2089=0,"No",IF(INDEX('Staff Review'!$C$8:$C$507,I2089)="Yes","Yes","No"))</f>
        <v>No</v>
      </c>
      <c r="K2089" s="1">
        <f ca="1">IF(AI2089="Yes",INDEX('Staff Review'!$D$8:$D$507,I2089),IF(AB2089=0,"",IF(COUNT(INDEX($C$1531:$C$2030,AB2089))=1,INDEX($C$1531:$C$2030,AB2089),"")))</f>
        <v>0.14628358627531837</v>
      </c>
      <c r="L2089" s="1">
        <f>IF(AJ2089="Yes",INDEX('Staff Review'!$F$8:$F$507,I2089),IF(AB2089=0,"",IF(COUNT(INDEX($G$1531:$G$2030,AB2089))=1,INDEX($G$1531:$G$2030,AB2089),"")))</f>
        <v>10</v>
      </c>
      <c r="M2089" s="1" t="str">
        <f t="shared" ca="1" si="8"/>
        <v>Listed</v>
      </c>
      <c r="N2089" s="1" t="str">
        <f t="shared" si="9"/>
        <v>Listed</v>
      </c>
      <c r="O2089" s="1">
        <f t="shared" si="10"/>
        <v>20</v>
      </c>
      <c r="P2089" s="1">
        <f t="shared" ca="1" si="11"/>
        <v>5</v>
      </c>
      <c r="Q2089" s="1">
        <f t="shared" si="12"/>
        <v>0</v>
      </c>
      <c r="R2089" s="1">
        <f t="shared" si="13"/>
        <v>5</v>
      </c>
      <c r="S2089" s="1">
        <f t="shared" ca="1" si="14"/>
        <v>30</v>
      </c>
      <c r="T2089" s="1">
        <f ca="1">IF(OR(COUNT(O2089:R2089)&lt;&gt;4,COUNT('Top 25'!$B$45:$E$45)&lt;&gt;4,MIN('Top 25'!$B$45:$E$45)&lt;0,SUM('Top 25'!$B$45:$E$45)&lt;=0),"",ROUND(85*(O2089/30*'Top 25'!$B$45+P2089/25*'Top 25'!$C$45+Q2089/25*'Top 25'!$D$45+R2089/5*'Top 25'!$E$45)/SUM('Top 25'!$B$45:$E$45),6))</f>
        <v>30</v>
      </c>
      <c r="U2089" s="1" t="str">
        <f t="shared" ca="1" si="15"/>
        <v>Listed</v>
      </c>
      <c r="V2089" s="1" t="str">
        <f ca="1">IF(A2089="","",IF(AK2089&lt;&gt;1,"Duplicate source ID",IF(COUNTIFS('Staff Review'!$A$8:$A$507,A2089)&gt;1,"Duplicate review ID",IF(H2089&lt;&gt;"Yes","Outside scope",IF(J2089="Yes","Already served",IF(NOT(ISNUMBER(T2089)),"Missing data","Candidate"))))))</f>
        <v>Candidate</v>
      </c>
      <c r="W2089" s="1">
        <f t="shared" ca="1" si="16"/>
        <v>254</v>
      </c>
      <c r="X2089" s="1">
        <f t="shared" ca="1" si="17"/>
        <v>253</v>
      </c>
      <c r="Y2089" s="1">
        <f ca="1">IF(AND(H2089="Yes",OR(LEN('School Search'!$B$5)=0,ISNUMBER(SEARCH('School Search'!$B$5,B2089&amp;" "&amp;E2089&amp;" "&amp;A2089))),OR('School Search'!$D$5="All",C2089='School Search'!$D$5),OR('School Search'!$G$5="All eligible",AND('School Search'!$G$5="Not marked served",J2089&lt;&gt;"Yes"),AND('School Search'!$G$5="Missing data",V2089="Missing data"),AND('School Search'!$G$5="Marked served",J2089="Yes"))),1,0)</f>
        <v>1</v>
      </c>
      <c r="Z2089" s="1">
        <f ca="1">IF(Y2089=0,"",COUNTIFS($Y$2051:$Y$2550,1,$AO$2051:$AO$2550,"&lt;"&amp;AO2089)+COUNTIFS($Y$2051:Y2089,1,$AO$2051:AO2089,AO2089))</f>
        <v>254</v>
      </c>
      <c r="AA2089" s="1" t="str">
        <f t="shared" ca="1" si="18"/>
        <v>76% economic need; 0.15 mi fresh access; 10 nearby resources</v>
      </c>
      <c r="AB2089" s="1">
        <f t="shared" si="19"/>
        <v>39</v>
      </c>
      <c r="AC2089" s="1" t="str">
        <f t="shared" si="20"/>
        <v>Giant Food Store 6573</v>
      </c>
      <c r="AD2089" s="1" t="str">
        <f t="shared" si="21"/>
        <v>510 N Broad St, Philadelphia, PA, 19130</v>
      </c>
      <c r="AE2089" s="1" t="str">
        <f t="shared" si="22"/>
        <v>616 N 15TH ST</v>
      </c>
      <c r="AF2089" s="1">
        <f t="shared" si="23"/>
        <v>39.965049</v>
      </c>
      <c r="AG2089" s="1">
        <f t="shared" si="24"/>
        <v>-75.162752999999995</v>
      </c>
      <c r="AH2089" s="1" t="str">
        <f>IF(I2089=0,"Not contacted",IF(INDEX('Staff Review'!$J$8:$J$507,I2089)="","Not contacted",INDEX('Staff Review'!$J$8:$J$507,I2089)))</f>
        <v>Not contacted</v>
      </c>
      <c r="AI2089" s="1" t="str">
        <f ca="1">IF(I2089=0,"No",IF(AND(COUNT(INDEX('Staff Review'!$D$8:$D$507,I2089))=1,INDEX('Staff Review'!$D$8:$D$507,I2089)&gt;=0,COUNT(INDEX('Staff Review'!$E$8:$E$507,I2089))=1,INDEX('Staff Review'!$E$8:$E$507,I2089)&gt;0,INDEX('Staff Review'!$E$8:$E$507,I2089)&lt;='Top 25'!$E$5,'Top 25'!$E$5-INDEX('Staff Review'!$E$8:$E$507,I2089)&lt;='Top 25'!$H$5,LEN(INDEX('Staff Review'!$H$8:$H$507,I2089))&gt;0),"Yes","No"))</f>
        <v>No</v>
      </c>
      <c r="AJ2089" s="1" t="str">
        <f>IF(I2089=0,"No",IF(COUNT(INDEX('Staff Review'!$F$8:$F$507,I2089))&lt;&gt;1,"No",IF(AND(INDEX('Staff Review'!$F$8:$F$507,I2089)&gt;=0,MOD(INDEX('Staff Review'!$F$8:$F$507,I2089),1)=0,COUNT(INDEX('Staff Review'!$G$8:$G$507,I2089))=1,INDEX('Staff Review'!$G$8:$G$507,I2089)&gt;0,INDEX('Staff Review'!$G$8:$G$507,I2089)&lt;='Top 25'!$E$5,'Top 25'!$E$5-INDEX('Staff Review'!$G$8:$G$507,I2089)&lt;='Top 25'!$H$5,LEN(INDEX('Staff Review'!$H$8:$H$507,I2089))&gt;0),"Yes","No")))</f>
        <v>No</v>
      </c>
      <c r="AK2089" s="1">
        <f t="shared" si="25"/>
        <v>1</v>
      </c>
      <c r="AL2089" s="1">
        <f t="shared" ca="1" si="26"/>
        <v>1</v>
      </c>
      <c r="AM2089" s="1">
        <f t="shared" si="27"/>
        <v>2290</v>
      </c>
      <c r="AN2089" s="1">
        <f t="shared" si="28"/>
        <v>39</v>
      </c>
      <c r="AO2089">
        <f t="shared" ca="1" si="29"/>
        <v>254</v>
      </c>
      <c r="AP2089" s="105">
        <f ca="1">IF(AND(AL2089=1,OR('Top 25'!$A$10="All",C2089='Top 25'!$A$10),OR('Top 25'!$D$10="All",D2089='Top 25'!$D$10)),1,0)</f>
        <v>0</v>
      </c>
      <c r="AQ2089" s="105" t="str">
        <f ca="1">IF(AP2089=0,"",CHOOSE(MATCH('Top 25'!$G$10,{"Priority score","Economic need","Enrollment","Fresh miles","Nearby resources"},0),T2089,G2089,F2089,K2089,L2089))</f>
        <v/>
      </c>
      <c r="AR2089" s="105" t="str">
        <f ca="1">IF(AP2089=0,"",1+COUNTIFS($AP$2051:$AP$2550,1,$AQ$2051:$AQ$2550,IF('Top 25'!$J$10="Ascending","&lt;","&gt;")&amp;AQ2089)+COUNTIFS($AP$2051:$AP$2550,1,$AQ$2051:$AQ$2550,AQ2089,$W$2051:$W$2550,"&lt;"&amp;W2089))</f>
        <v/>
      </c>
      <c r="AT2089" s="105">
        <f ca="1">IF(AND(AL2089=1,OR(Master_rankableSchools!$A$10="All",C2089=Master_rankableSchools!$A$10),OR(Master_rankableSchools!$D$10="All",D2089=Master_rankableSchools!$D$10)),1,0)</f>
        <v>1</v>
      </c>
      <c r="AU2089" s="105">
        <f ca="1">IF(AT2089=0,"",CHOOSE(MATCH(Master_rankableSchools!$G$10,{"Priority score","Economic need","Enrollment","Fresh miles","Nearby resources"},0),T2089,G2089,F2089,K2089,L2089))</f>
        <v>30</v>
      </c>
      <c r="AV2089" s="105">
        <f ca="1">IF(AT2089=0,"",1+COUNTIFS($AT$2051:$AT$2550,1,$AU$2051:$AU$2550,IF(Master_rankableSchools!$J$10="Ascending","&lt;","&gt;")&amp;AU2089)+COUNTIFS($AT$2051:$AT$2550,1,$AU$2051:$AU$2550,AU2089,$W$2051:$W$2550,"&lt;"&amp;W2089))</f>
        <v>254</v>
      </c>
    </row>
    <row r="2090" spans="1:48" ht="22" customHeight="1">
      <c r="A2090" s="1" t="str">
        <f t="shared" si="0"/>
        <v>2310</v>
      </c>
      <c r="B2090" s="1" t="str">
        <f t="shared" si="1"/>
        <v>Achieve Academy of Philadelphia</v>
      </c>
      <c r="C2090" s="1" t="str">
        <f t="shared" si="2"/>
        <v>Contracted</v>
      </c>
      <c r="D2090" s="1" t="str">
        <f t="shared" si="3"/>
        <v>Transition/Overage School</v>
      </c>
      <c r="E2090" s="1" t="str">
        <f t="shared" si="4"/>
        <v>19121</v>
      </c>
      <c r="F2090" s="1">
        <f t="shared" si="5"/>
        <v>49</v>
      </c>
      <c r="G2090" s="1" t="str">
        <f t="shared" si="6"/>
        <v/>
      </c>
      <c r="H2090" s="1" t="str">
        <f t="shared" si="7"/>
        <v>No</v>
      </c>
      <c r="I2090" s="1">
        <f>IF(OR(A2090="",COUNTIFS('Staff Review'!$A$8:$A$507,A2090)&lt;&gt;1),0,MATCH(A2090,'Staff Review'!$A$8:$A$507,0))</f>
        <v>6</v>
      </c>
      <c r="J2090" s="1" t="str">
        <f>IF(I2090=0,"No",IF(INDEX('Staff Review'!$C$8:$C$507,I2090)="Yes","Yes","No"))</f>
        <v>No</v>
      </c>
      <c r="K2090" s="1">
        <f ca="1">IF(AI2090="Yes",INDEX('Staff Review'!$D$8:$D$507,I2090),IF(AB2090=0,"",IF(COUNT(INDEX($C$1531:$C$2030,AB2090))=1,INDEX($C$1531:$C$2030,AB2090),"")))</f>
        <v>0.42951750596672367</v>
      </c>
      <c r="L2090" s="1">
        <f>IF(AJ2090="Yes",INDEX('Staff Review'!$F$8:$F$507,I2090),IF(AB2090=0,"",IF(COUNT(INDEX($G$1531:$G$2030,AB2090))=1,INDEX($G$1531:$G$2030,AB2090),"")))</f>
        <v>12</v>
      </c>
      <c r="M2090" s="1" t="str">
        <f t="shared" ca="1" si="8"/>
        <v>Listed</v>
      </c>
      <c r="N2090" s="1" t="str">
        <f t="shared" si="9"/>
        <v>Listed</v>
      </c>
      <c r="O2090" s="1" t="str">
        <f t="shared" si="10"/>
        <v/>
      </c>
      <c r="P2090" s="1">
        <f t="shared" ca="1" si="11"/>
        <v>10</v>
      </c>
      <c r="Q2090" s="1">
        <f t="shared" si="12"/>
        <v>0</v>
      </c>
      <c r="R2090" s="1">
        <f t="shared" si="13"/>
        <v>1</v>
      </c>
      <c r="S2090" s="1" t="str">
        <f t="shared" ca="1" si="14"/>
        <v/>
      </c>
      <c r="T2090" s="1" t="str">
        <f ca="1">IF(OR(COUNT(O2090:R2090)&lt;&gt;4,COUNT('Top 25'!$B$45:$E$45)&lt;&gt;4,MIN('Top 25'!$B$45:$E$45)&lt;0,SUM('Top 25'!$B$45:$E$45)&lt;=0),"",ROUND(85*(O2090/30*'Top 25'!$B$45+P2090/25*'Top 25'!$C$45+Q2090/25*'Top 25'!$D$45+R2090/5*'Top 25'!$E$45)/SUM('Top 25'!$B$45:$E$45),6))</f>
        <v/>
      </c>
      <c r="U2090" s="1" t="str">
        <f t="shared" ca="1" si="15"/>
        <v>Listed</v>
      </c>
      <c r="V2090" s="1" t="str">
        <f>IF(A2090="","",IF(AK2090&lt;&gt;1,"Duplicate source ID",IF(COUNTIFS('Staff Review'!$A$8:$A$507,A2090)&gt;1,"Duplicate review ID",IF(H2090&lt;&gt;"Yes","Outside scope",IF(J2090="Yes","Already served",IF(NOT(ISNUMBER(T2090)),"Missing data","Candidate"))))))</f>
        <v>Outside scope</v>
      </c>
      <c r="W2090" s="1" t="str">
        <f t="shared" si="16"/>
        <v/>
      </c>
      <c r="X2090" s="1" t="str">
        <f t="shared" si="17"/>
        <v/>
      </c>
      <c r="Y2090" s="1">
        <f>IF(AND(H2090="Yes",OR(LEN('School Search'!$B$5)=0,ISNUMBER(SEARCH('School Search'!$B$5,B2090&amp;" "&amp;E2090&amp;" "&amp;A2090))),OR('School Search'!$D$5="All",C2090='School Search'!$D$5),OR('School Search'!$G$5="All eligible",AND('School Search'!$G$5="Not marked served",J2090&lt;&gt;"Yes"),AND('School Search'!$G$5="Missing data",V2090="Missing data"),AND('School Search'!$G$5="Marked served",J2090="Yes"))),1,0)</f>
        <v>0</v>
      </c>
      <c r="Z2090" s="1" t="str">
        <f>IF(Y2090=0,"",COUNTIFS($Y$2051:$Y$2550,1,$AO$2051:$AO$2550,"&lt;"&amp;AO2090)+COUNTIFS($Y$2051:Y2090,1,$AO$2051:AO2090,AO2090))</f>
        <v/>
      </c>
      <c r="AA2090" s="1" t="str">
        <f t="shared" ca="1" si="18"/>
        <v>Missing demographic or access input</v>
      </c>
      <c r="AB2090" s="1">
        <f t="shared" si="19"/>
        <v>40</v>
      </c>
      <c r="AC2090" s="1" t="str">
        <f t="shared" si="20"/>
        <v>Sharswood Grocery Outlet 731</v>
      </c>
      <c r="AD2090" s="1" t="str">
        <f t="shared" si="21"/>
        <v>2077 Ridge Ave, Philadelphia, PA, 19121</v>
      </c>
      <c r="AE2090" s="1" t="str">
        <f t="shared" si="22"/>
        <v>1435 N 26TH ST</v>
      </c>
      <c r="AF2090" s="1">
        <f t="shared" si="23"/>
        <v>39.978133999999997</v>
      </c>
      <c r="AG2090" s="1">
        <f t="shared" si="24"/>
        <v>-75.177657999999994</v>
      </c>
      <c r="AH2090" s="1" t="str">
        <f>IF(I2090=0,"Not contacted",IF(INDEX('Staff Review'!$J$8:$J$507,I2090)="","Not contacted",INDEX('Staff Review'!$J$8:$J$507,I2090)))</f>
        <v>Not contacted</v>
      </c>
      <c r="AI2090" s="1" t="str">
        <f ca="1">IF(I2090=0,"No",IF(AND(COUNT(INDEX('Staff Review'!$D$8:$D$507,I2090))=1,INDEX('Staff Review'!$D$8:$D$507,I2090)&gt;=0,COUNT(INDEX('Staff Review'!$E$8:$E$507,I2090))=1,INDEX('Staff Review'!$E$8:$E$507,I2090)&gt;0,INDEX('Staff Review'!$E$8:$E$507,I2090)&lt;='Top 25'!$E$5,'Top 25'!$E$5-INDEX('Staff Review'!$E$8:$E$507,I2090)&lt;='Top 25'!$H$5,LEN(INDEX('Staff Review'!$H$8:$H$507,I2090))&gt;0),"Yes","No"))</f>
        <v>No</v>
      </c>
      <c r="AJ2090" s="1" t="str">
        <f>IF(I2090=0,"No",IF(COUNT(INDEX('Staff Review'!$F$8:$F$507,I2090))&lt;&gt;1,"No",IF(AND(INDEX('Staff Review'!$F$8:$F$507,I2090)&gt;=0,MOD(INDEX('Staff Review'!$F$8:$F$507,I2090),1)=0,COUNT(INDEX('Staff Review'!$G$8:$G$507,I2090))=1,INDEX('Staff Review'!$G$8:$G$507,I2090)&gt;0,INDEX('Staff Review'!$G$8:$G$507,I2090)&lt;='Top 25'!$E$5,'Top 25'!$E$5-INDEX('Staff Review'!$G$8:$G$507,I2090)&lt;='Top 25'!$H$5,LEN(INDEX('Staff Review'!$H$8:$H$507,I2090))&gt;0),"Yes","No")))</f>
        <v>No</v>
      </c>
      <c r="AK2090" s="1">
        <f t="shared" si="25"/>
        <v>1</v>
      </c>
      <c r="AL2090" s="1">
        <f t="shared" si="26"/>
        <v>0</v>
      </c>
      <c r="AM2090" s="1">
        <f t="shared" si="27"/>
        <v>2310</v>
      </c>
      <c r="AN2090" s="1">
        <f t="shared" si="28"/>
        <v>40</v>
      </c>
      <c r="AO2090">
        <f t="shared" si="29"/>
        <v>12310</v>
      </c>
      <c r="AP2090" s="105">
        <f>IF(AND(AL2090=1,OR('Top 25'!$A$10="All",C2090='Top 25'!$A$10),OR('Top 25'!$D$10="All",D2090='Top 25'!$D$10)),1,0)</f>
        <v>0</v>
      </c>
      <c r="AQ2090" s="105" t="str">
        <f>IF(AP2090=0,"",CHOOSE(MATCH('Top 25'!$G$10,{"Priority score","Economic need","Enrollment","Fresh miles","Nearby resources"},0),T2090,G2090,F2090,K2090,L2090))</f>
        <v/>
      </c>
      <c r="AR2090" s="105" t="str">
        <f>IF(AP2090=0,"",1+COUNTIFS($AP$2051:$AP$2550,1,$AQ$2051:$AQ$2550,IF('Top 25'!$J$10="Ascending","&lt;","&gt;")&amp;AQ2090)+COUNTIFS($AP$2051:$AP$2550,1,$AQ$2051:$AQ$2550,AQ2090,$W$2051:$W$2550,"&lt;"&amp;W2090))</f>
        <v/>
      </c>
      <c r="AT2090" s="105">
        <f>IF(AND(AL2090=1,OR(Master_rankableSchools!$A$10="All",C2090=Master_rankableSchools!$A$10),OR(Master_rankableSchools!$D$10="All",D2090=Master_rankableSchools!$D$10)),1,0)</f>
        <v>0</v>
      </c>
      <c r="AU2090" s="105" t="str">
        <f>IF(AT2090=0,"",CHOOSE(MATCH(Master_rankableSchools!$G$10,{"Priority score","Economic need","Enrollment","Fresh miles","Nearby resources"},0),T2090,G2090,F2090,K2090,L2090))</f>
        <v/>
      </c>
      <c r="AV2090" s="105" t="str">
        <f>IF(AT2090=0,"",1+COUNTIFS($AT$2051:$AT$2550,1,$AU$2051:$AU$2550,IF(Master_rankableSchools!$J$10="Ascending","&lt;","&gt;")&amp;AU2090)+COUNTIFS($AT$2051:$AT$2550,1,$AU$2051:$AU$2550,AU2090,$W$2051:$W$2550,"&lt;"&amp;W2090))</f>
        <v/>
      </c>
    </row>
    <row r="2091" spans="1:48" ht="22" customHeight="1">
      <c r="A2091" s="1" t="str">
        <f t="shared" si="0"/>
        <v>2320</v>
      </c>
      <c r="B2091" s="1" t="str">
        <f t="shared" si="1"/>
        <v>Stephen Girard School</v>
      </c>
      <c r="C2091" s="1" t="str">
        <f t="shared" si="2"/>
        <v>District</v>
      </c>
      <c r="D2091" s="1" t="str">
        <f t="shared" si="3"/>
        <v>Elementary</v>
      </c>
      <c r="E2091" s="1" t="str">
        <f t="shared" si="4"/>
        <v>19145</v>
      </c>
      <c r="F2091" s="1">
        <f t="shared" si="5"/>
        <v>304</v>
      </c>
      <c r="G2091" s="1">
        <f t="shared" si="6"/>
        <v>0.84109999999999996</v>
      </c>
      <c r="H2091" s="1" t="str">
        <f t="shared" si="7"/>
        <v>Yes</v>
      </c>
      <c r="I2091" s="1">
        <f>IF(OR(A2091="",COUNTIFS('Staff Review'!$A$8:$A$507,A2091)&lt;&gt;1),0,MATCH(A2091,'Staff Review'!$A$8:$A$507,0))</f>
        <v>276</v>
      </c>
      <c r="J2091" s="1" t="str">
        <f>IF(I2091=0,"No",IF(INDEX('Staff Review'!$C$8:$C$507,I2091)="Yes","Yes","No"))</f>
        <v>No</v>
      </c>
      <c r="K2091" s="1">
        <f ca="1">IF(AI2091="Yes",INDEX('Staff Review'!$D$8:$D$507,I2091),IF(AB2091=0,"",IF(COUNT(INDEX($C$1531:$C$2030,AB2091))=1,INDEX($C$1531:$C$2030,AB2091),"")))</f>
        <v>0.34467862061523435</v>
      </c>
      <c r="L2091" s="1">
        <f>IF(AJ2091="Yes",INDEX('Staff Review'!$F$8:$F$507,I2091),IF(AB2091=0,"",IF(COUNT(INDEX($G$1531:$G$2030,AB2091))=1,INDEX($G$1531:$G$2030,AB2091),"")))</f>
        <v>12</v>
      </c>
      <c r="M2091" s="1" t="str">
        <f t="shared" ca="1" si="8"/>
        <v>Listed</v>
      </c>
      <c r="N2091" s="1" t="str">
        <f t="shared" si="9"/>
        <v>Listed</v>
      </c>
      <c r="O2091" s="1">
        <f t="shared" si="10"/>
        <v>25</v>
      </c>
      <c r="P2091" s="1">
        <f t="shared" ca="1" si="11"/>
        <v>10</v>
      </c>
      <c r="Q2091" s="1">
        <f t="shared" si="12"/>
        <v>0</v>
      </c>
      <c r="R2091" s="1">
        <f t="shared" si="13"/>
        <v>2</v>
      </c>
      <c r="S2091" s="1">
        <f t="shared" ca="1" si="14"/>
        <v>37</v>
      </c>
      <c r="T2091" s="1">
        <f ca="1">IF(OR(COUNT(O2091:R2091)&lt;&gt;4,COUNT('Top 25'!$B$45:$E$45)&lt;&gt;4,MIN('Top 25'!$B$45:$E$45)&lt;0,SUM('Top 25'!$B$45:$E$45)&lt;=0),"",ROUND(85*(O2091/30*'Top 25'!$B$45+P2091/25*'Top 25'!$C$45+Q2091/25*'Top 25'!$D$45+R2091/5*'Top 25'!$E$45)/SUM('Top 25'!$B$45:$E$45),6))</f>
        <v>37</v>
      </c>
      <c r="U2091" s="1" t="str">
        <f t="shared" ca="1" si="15"/>
        <v>Listed</v>
      </c>
      <c r="V2091" s="1" t="str">
        <f ca="1">IF(A2091="","",IF(AK2091&lt;&gt;1,"Duplicate source ID",IF(COUNTIFS('Staff Review'!$A$8:$A$507,A2091)&gt;1,"Duplicate review ID",IF(H2091&lt;&gt;"Yes","Outside scope",IF(J2091="Yes","Already served",IF(NOT(ISNUMBER(T2091)),"Missing data","Candidate"))))))</f>
        <v>Candidate</v>
      </c>
      <c r="W2091" s="1">
        <f t="shared" ca="1" si="16"/>
        <v>198</v>
      </c>
      <c r="X2091" s="1">
        <f t="shared" ca="1" si="17"/>
        <v>182</v>
      </c>
      <c r="Y2091" s="1">
        <f ca="1">IF(AND(H2091="Yes",OR(LEN('School Search'!$B$5)=0,ISNUMBER(SEARCH('School Search'!$B$5,B2091&amp;" "&amp;E2091&amp;" "&amp;A2091))),OR('School Search'!$D$5="All",C2091='School Search'!$D$5),OR('School Search'!$G$5="All eligible",AND('School Search'!$G$5="Not marked served",J2091&lt;&gt;"Yes"),AND('School Search'!$G$5="Missing data",V2091="Missing data"),AND('School Search'!$G$5="Marked served",J2091="Yes"))),1,0)</f>
        <v>1</v>
      </c>
      <c r="Z2091" s="1">
        <f ca="1">IF(Y2091=0,"",COUNTIFS($Y$2051:$Y$2550,1,$AO$2051:$AO$2550,"&lt;"&amp;AO2091)+COUNTIFS($Y$2051:Y2091,1,$AO$2051:AO2091,AO2091))</f>
        <v>198</v>
      </c>
      <c r="AA2091" s="1" t="str">
        <f t="shared" ca="1" si="18"/>
        <v>84% economic need; 0.34 mi fresh access; 12 nearby resources</v>
      </c>
      <c r="AB2091" s="1">
        <f t="shared" si="19"/>
        <v>41</v>
      </c>
      <c r="AC2091" s="1" t="str">
        <f t="shared" si="20"/>
        <v>Metfresh Supermarket</v>
      </c>
      <c r="AD2091" s="1" t="str">
        <f t="shared" si="21"/>
        <v>2014 S Broad St, Philadelphia, PA, 19145</v>
      </c>
      <c r="AE2091" s="1" t="str">
        <f t="shared" si="22"/>
        <v>1800 SNYDER AVE</v>
      </c>
      <c r="AF2091" s="1">
        <f t="shared" si="23"/>
        <v>39.925058999999997</v>
      </c>
      <c r="AG2091" s="1">
        <f t="shared" si="24"/>
        <v>-75.176610999999994</v>
      </c>
      <c r="AH2091" s="1" t="str">
        <f>IF(I2091=0,"Not contacted",IF(INDEX('Staff Review'!$J$8:$J$507,I2091)="","Not contacted",INDEX('Staff Review'!$J$8:$J$507,I2091)))</f>
        <v>Not contacted</v>
      </c>
      <c r="AI2091" s="1" t="str">
        <f ca="1">IF(I2091=0,"No",IF(AND(COUNT(INDEX('Staff Review'!$D$8:$D$507,I2091))=1,INDEX('Staff Review'!$D$8:$D$507,I2091)&gt;=0,COUNT(INDEX('Staff Review'!$E$8:$E$507,I2091))=1,INDEX('Staff Review'!$E$8:$E$507,I2091)&gt;0,INDEX('Staff Review'!$E$8:$E$507,I2091)&lt;='Top 25'!$E$5,'Top 25'!$E$5-INDEX('Staff Review'!$E$8:$E$507,I2091)&lt;='Top 25'!$H$5,LEN(INDEX('Staff Review'!$H$8:$H$507,I2091))&gt;0),"Yes","No"))</f>
        <v>No</v>
      </c>
      <c r="AJ2091" s="1" t="str">
        <f>IF(I2091=0,"No",IF(COUNT(INDEX('Staff Review'!$F$8:$F$507,I2091))&lt;&gt;1,"No",IF(AND(INDEX('Staff Review'!$F$8:$F$507,I2091)&gt;=0,MOD(INDEX('Staff Review'!$F$8:$F$507,I2091),1)=0,COUNT(INDEX('Staff Review'!$G$8:$G$507,I2091))=1,INDEX('Staff Review'!$G$8:$G$507,I2091)&gt;0,INDEX('Staff Review'!$G$8:$G$507,I2091)&lt;='Top 25'!$E$5,'Top 25'!$E$5-INDEX('Staff Review'!$G$8:$G$507,I2091)&lt;='Top 25'!$H$5,LEN(INDEX('Staff Review'!$H$8:$H$507,I2091))&gt;0),"Yes","No")))</f>
        <v>No</v>
      </c>
      <c r="AK2091" s="1">
        <f t="shared" si="25"/>
        <v>1</v>
      </c>
      <c r="AL2091" s="1">
        <f t="shared" ca="1" si="26"/>
        <v>1</v>
      </c>
      <c r="AM2091" s="1">
        <f t="shared" si="27"/>
        <v>2320</v>
      </c>
      <c r="AN2091" s="1">
        <f t="shared" si="28"/>
        <v>41</v>
      </c>
      <c r="AO2091">
        <f t="shared" ca="1" si="29"/>
        <v>198</v>
      </c>
      <c r="AP2091" s="105">
        <f ca="1">IF(AND(AL2091=1,OR('Top 25'!$A$10="All",C2091='Top 25'!$A$10),OR('Top 25'!$D$10="All",D2091='Top 25'!$D$10)),1,0)</f>
        <v>1</v>
      </c>
      <c r="AQ2091" s="105">
        <f ca="1">IF(AP2091=0,"",CHOOSE(MATCH('Top 25'!$G$10,{"Priority score","Economic need","Enrollment","Fresh miles","Nearby resources"},0),T2091,G2091,F2091,K2091,L2091))</f>
        <v>37</v>
      </c>
      <c r="AR2091" s="105">
        <f ca="1">IF(AP2091=0,"",1+COUNTIFS($AP$2051:$AP$2550,1,$AQ$2051:$AQ$2550,IF('Top 25'!$J$10="Ascending","&lt;","&gt;")&amp;AQ2091)+COUNTIFS($AP$2051:$AP$2550,1,$AQ$2051:$AQ$2550,AQ2091,$W$2051:$W$2550,"&lt;"&amp;W2091))</f>
        <v>32</v>
      </c>
      <c r="AT2091" s="105">
        <f ca="1">IF(AND(AL2091=1,OR(Master_rankableSchools!$A$10="All",C2091=Master_rankableSchools!$A$10),OR(Master_rankableSchools!$D$10="All",D2091=Master_rankableSchools!$D$10)),1,0)</f>
        <v>1</v>
      </c>
      <c r="AU2091" s="105">
        <f ca="1">IF(AT2091=0,"",CHOOSE(MATCH(Master_rankableSchools!$G$10,{"Priority score","Economic need","Enrollment","Fresh miles","Nearby resources"},0),T2091,G2091,F2091,K2091,L2091))</f>
        <v>37</v>
      </c>
      <c r="AV2091" s="105">
        <f ca="1">IF(AT2091=0,"",1+COUNTIFS($AT$2051:$AT$2550,1,$AU$2051:$AU$2550,IF(Master_rankableSchools!$J$10="Ascending","&lt;","&gt;")&amp;AU2091)+COUNTIFS($AT$2051:$AT$2550,1,$AU$2051:$AU$2550,AU2091,$W$2051:$W$2550,"&lt;"&amp;W2091))</f>
        <v>198</v>
      </c>
    </row>
    <row r="2092" spans="1:48" ht="22" customHeight="1">
      <c r="A2092" s="1" t="str">
        <f t="shared" si="0"/>
        <v>2340</v>
      </c>
      <c r="B2092" s="1" t="str">
        <f t="shared" si="1"/>
        <v>General George A. McCall School</v>
      </c>
      <c r="C2092" s="1" t="str">
        <f t="shared" si="2"/>
        <v>District</v>
      </c>
      <c r="D2092" s="1" t="str">
        <f t="shared" si="3"/>
        <v>Elementary-Middle</v>
      </c>
      <c r="E2092" s="1" t="str">
        <f t="shared" si="4"/>
        <v>19106</v>
      </c>
      <c r="F2092" s="1">
        <f t="shared" si="5"/>
        <v>667</v>
      </c>
      <c r="G2092" s="1">
        <f t="shared" si="6"/>
        <v>0.40089999999999998</v>
      </c>
      <c r="H2092" s="1" t="str">
        <f t="shared" si="7"/>
        <v>Yes</v>
      </c>
      <c r="I2092" s="1">
        <f>IF(OR(A2092="",COUNTIFS('Staff Review'!$A$8:$A$507,A2092)&lt;&gt;1),0,MATCH(A2092,'Staff Review'!$A$8:$A$507,0))</f>
        <v>90</v>
      </c>
      <c r="J2092" s="1" t="str">
        <f>IF(I2092=0,"No",IF(INDEX('Staff Review'!$C$8:$C$507,I2092)="Yes","Yes","No"))</f>
        <v>No</v>
      </c>
      <c r="K2092" s="1">
        <f ca="1">IF(AI2092="Yes",INDEX('Staff Review'!$D$8:$D$507,I2092),IF(AB2092=0,"",IF(COUNT(INDEX($C$1531:$C$2030,AB2092))=1,INDEX($C$1531:$C$2030,AB2092),"")))</f>
        <v>0.16356395069541119</v>
      </c>
      <c r="L2092" s="1">
        <f>IF(AJ2092="Yes",INDEX('Staff Review'!$F$8:$F$507,I2092),IF(AB2092=0,"",IF(COUNT(INDEX($G$1531:$G$2030,AB2092))=1,INDEX($G$1531:$G$2030,AB2092),"")))</f>
        <v>7</v>
      </c>
      <c r="M2092" s="1" t="str">
        <f t="shared" ca="1" si="8"/>
        <v>Listed</v>
      </c>
      <c r="N2092" s="1" t="str">
        <f t="shared" si="9"/>
        <v>Listed</v>
      </c>
      <c r="O2092" s="1">
        <f t="shared" si="10"/>
        <v>5</v>
      </c>
      <c r="P2092" s="1">
        <f t="shared" ca="1" si="11"/>
        <v>5</v>
      </c>
      <c r="Q2092" s="1">
        <f t="shared" si="12"/>
        <v>0</v>
      </c>
      <c r="R2092" s="1">
        <f t="shared" si="13"/>
        <v>4</v>
      </c>
      <c r="S2092" s="1">
        <f t="shared" ca="1" si="14"/>
        <v>14</v>
      </c>
      <c r="T2092" s="1">
        <f ca="1">IF(OR(COUNT(O2092:R2092)&lt;&gt;4,COUNT('Top 25'!$B$45:$E$45)&lt;&gt;4,MIN('Top 25'!$B$45:$E$45)&lt;0,SUM('Top 25'!$B$45:$E$45)&lt;=0),"",ROUND(85*(O2092/30*'Top 25'!$B$45+P2092/25*'Top 25'!$C$45+Q2092/25*'Top 25'!$D$45+R2092/5*'Top 25'!$E$45)/SUM('Top 25'!$B$45:$E$45),6))</f>
        <v>14</v>
      </c>
      <c r="U2092" s="1" t="str">
        <f t="shared" ca="1" si="15"/>
        <v>Listed</v>
      </c>
      <c r="V2092" s="1" t="str">
        <f ca="1">IF(A2092="","",IF(AK2092&lt;&gt;1,"Duplicate source ID",IF(COUNTIFS('Staff Review'!$A$8:$A$507,A2092)&gt;1,"Duplicate review ID",IF(H2092&lt;&gt;"Yes","Outside scope",IF(J2092="Yes","Already served",IF(NOT(ISNUMBER(T2092)),"Missing data","Candidate"))))))</f>
        <v>Candidate</v>
      </c>
      <c r="W2092" s="1">
        <f t="shared" ca="1" si="16"/>
        <v>286</v>
      </c>
      <c r="X2092" s="1">
        <f t="shared" ca="1" si="17"/>
        <v>283</v>
      </c>
      <c r="Y2092" s="1">
        <f ca="1">IF(AND(H2092="Yes",OR(LEN('School Search'!$B$5)=0,ISNUMBER(SEARCH('School Search'!$B$5,B2092&amp;" "&amp;E2092&amp;" "&amp;A2092))),OR('School Search'!$D$5="All",C2092='School Search'!$D$5),OR('School Search'!$G$5="All eligible",AND('School Search'!$G$5="Not marked served",J2092&lt;&gt;"Yes"),AND('School Search'!$G$5="Missing data",V2092="Missing data"),AND('School Search'!$G$5="Marked served",J2092="Yes"))),1,0)</f>
        <v>1</v>
      </c>
      <c r="Z2092" s="1">
        <f ca="1">IF(Y2092=0,"",COUNTIFS($Y$2051:$Y$2550,1,$AO$2051:$AO$2550,"&lt;"&amp;AO2092)+COUNTIFS($Y$2051:Y2092,1,$AO$2051:AO2092,AO2092))</f>
        <v>286</v>
      </c>
      <c r="AA2092" s="1" t="str">
        <f t="shared" ca="1" si="18"/>
        <v>40% economic need; 0.16 mi fresh access; 7 nearby resources</v>
      </c>
      <c r="AB2092" s="1">
        <f t="shared" si="19"/>
        <v>42</v>
      </c>
      <c r="AC2092" s="1" t="str">
        <f t="shared" si="20"/>
        <v>Acme 2638</v>
      </c>
      <c r="AD2092" s="1" t="str">
        <f t="shared" si="21"/>
        <v>309 S 5th St, Philadelphia, PA, 19106</v>
      </c>
      <c r="AE2092" s="1" t="str">
        <f t="shared" si="22"/>
        <v>325 S 7TH ST</v>
      </c>
      <c r="AF2092" s="1">
        <f t="shared" si="23"/>
        <v>39.944634999999998</v>
      </c>
      <c r="AG2092" s="1">
        <f t="shared" si="24"/>
        <v>-75.153180000000006</v>
      </c>
      <c r="AH2092" s="1" t="str">
        <f>IF(I2092=0,"Not contacted",IF(INDEX('Staff Review'!$J$8:$J$507,I2092)="","Not contacted",INDEX('Staff Review'!$J$8:$J$507,I2092)))</f>
        <v>Not contacted</v>
      </c>
      <c r="AI2092" s="1" t="str">
        <f ca="1">IF(I2092=0,"No",IF(AND(COUNT(INDEX('Staff Review'!$D$8:$D$507,I2092))=1,INDEX('Staff Review'!$D$8:$D$507,I2092)&gt;=0,COUNT(INDEX('Staff Review'!$E$8:$E$507,I2092))=1,INDEX('Staff Review'!$E$8:$E$507,I2092)&gt;0,INDEX('Staff Review'!$E$8:$E$507,I2092)&lt;='Top 25'!$E$5,'Top 25'!$E$5-INDEX('Staff Review'!$E$8:$E$507,I2092)&lt;='Top 25'!$H$5,LEN(INDEX('Staff Review'!$H$8:$H$507,I2092))&gt;0),"Yes","No"))</f>
        <v>No</v>
      </c>
      <c r="AJ2092" s="1" t="str">
        <f>IF(I2092=0,"No",IF(COUNT(INDEX('Staff Review'!$F$8:$F$507,I2092))&lt;&gt;1,"No",IF(AND(INDEX('Staff Review'!$F$8:$F$507,I2092)&gt;=0,MOD(INDEX('Staff Review'!$F$8:$F$507,I2092),1)=0,COUNT(INDEX('Staff Review'!$G$8:$G$507,I2092))=1,INDEX('Staff Review'!$G$8:$G$507,I2092)&gt;0,INDEX('Staff Review'!$G$8:$G$507,I2092)&lt;='Top 25'!$E$5,'Top 25'!$E$5-INDEX('Staff Review'!$G$8:$G$507,I2092)&lt;='Top 25'!$H$5,LEN(INDEX('Staff Review'!$H$8:$H$507,I2092))&gt;0),"Yes","No")))</f>
        <v>No</v>
      </c>
      <c r="AK2092" s="1">
        <f t="shared" si="25"/>
        <v>1</v>
      </c>
      <c r="AL2092" s="1">
        <f t="shared" ca="1" si="26"/>
        <v>1</v>
      </c>
      <c r="AM2092" s="1">
        <f t="shared" si="27"/>
        <v>2340</v>
      </c>
      <c r="AN2092" s="1">
        <f t="shared" si="28"/>
        <v>42</v>
      </c>
      <c r="AO2092">
        <f t="shared" ca="1" si="29"/>
        <v>286</v>
      </c>
      <c r="AP2092" s="105">
        <f ca="1">IF(AND(AL2092=1,OR('Top 25'!$A$10="All",C2092='Top 25'!$A$10),OR('Top 25'!$D$10="All",D2092='Top 25'!$D$10)),1,0)</f>
        <v>0</v>
      </c>
      <c r="AQ2092" s="105" t="str">
        <f ca="1">IF(AP2092=0,"",CHOOSE(MATCH('Top 25'!$G$10,{"Priority score","Economic need","Enrollment","Fresh miles","Nearby resources"},0),T2092,G2092,F2092,K2092,L2092))</f>
        <v/>
      </c>
      <c r="AR2092" s="105" t="str">
        <f ca="1">IF(AP2092=0,"",1+COUNTIFS($AP$2051:$AP$2550,1,$AQ$2051:$AQ$2550,IF('Top 25'!$J$10="Ascending","&lt;","&gt;")&amp;AQ2092)+COUNTIFS($AP$2051:$AP$2550,1,$AQ$2051:$AQ$2550,AQ2092,$W$2051:$W$2550,"&lt;"&amp;W2092))</f>
        <v/>
      </c>
      <c r="AT2092" s="105">
        <f ca="1">IF(AND(AL2092=1,OR(Master_rankableSchools!$A$10="All",C2092=Master_rankableSchools!$A$10),OR(Master_rankableSchools!$D$10="All",D2092=Master_rankableSchools!$D$10)),1,0)</f>
        <v>1</v>
      </c>
      <c r="AU2092" s="105">
        <f ca="1">IF(AT2092=0,"",CHOOSE(MATCH(Master_rankableSchools!$G$10,{"Priority score","Economic need","Enrollment","Fresh miles","Nearby resources"},0),T2092,G2092,F2092,K2092,L2092))</f>
        <v>14</v>
      </c>
      <c r="AV2092" s="105">
        <f ca="1">IF(AT2092=0,"",1+COUNTIFS($AT$2051:$AT$2550,1,$AU$2051:$AU$2550,IF(Master_rankableSchools!$J$10="Ascending","&lt;","&gt;")&amp;AU2092)+COUNTIFS($AT$2051:$AT$2550,1,$AU$2051:$AU$2550,AU2092,$W$2051:$W$2550,"&lt;"&amp;W2092))</f>
        <v>286</v>
      </c>
    </row>
    <row r="2093" spans="1:48" ht="22" customHeight="1">
      <c r="A2093" s="1" t="str">
        <f t="shared" si="0"/>
        <v>2370</v>
      </c>
      <c r="B2093" s="1" t="str">
        <f t="shared" si="1"/>
        <v>Delaplaine McDaniel School</v>
      </c>
      <c r="C2093" s="1" t="str">
        <f t="shared" si="2"/>
        <v>District</v>
      </c>
      <c r="D2093" s="1" t="str">
        <f t="shared" si="3"/>
        <v>Elementary-Middle</v>
      </c>
      <c r="E2093" s="1" t="str">
        <f t="shared" si="4"/>
        <v>19145</v>
      </c>
      <c r="F2093" s="1">
        <f t="shared" si="5"/>
        <v>240</v>
      </c>
      <c r="G2093" s="1">
        <f t="shared" si="6"/>
        <v>0.85470000000000002</v>
      </c>
      <c r="H2093" s="1" t="str">
        <f t="shared" si="7"/>
        <v>Yes</v>
      </c>
      <c r="I2093" s="1">
        <f>IF(OR(A2093="",COUNTIFS('Staff Review'!$A$8:$A$507,A2093)&lt;&gt;1),0,MATCH(A2093,'Staff Review'!$A$8:$A$507,0))</f>
        <v>51</v>
      </c>
      <c r="J2093" s="1" t="str">
        <f>IF(I2093=0,"No",IF(INDEX('Staff Review'!$C$8:$C$507,I2093)="Yes","Yes","No"))</f>
        <v>No</v>
      </c>
      <c r="K2093" s="1">
        <f ca="1">IF(AI2093="Yes",INDEX('Staff Review'!$D$8:$D$507,I2093),IF(AB2093=0,"",IF(COUNT(INDEX($C$1531:$C$2030,AB2093))=1,INDEX($C$1531:$C$2030,AB2093),"")))</f>
        <v>0.70377056286836415</v>
      </c>
      <c r="L2093" s="1">
        <f>IF(AJ2093="Yes",INDEX('Staff Review'!$F$8:$F$507,I2093),IF(AB2093=0,"",IF(COUNT(INDEX($G$1531:$G$2030,AB2093))=1,INDEX($G$1531:$G$2030,AB2093),"")))</f>
        <v>11</v>
      </c>
      <c r="M2093" s="1" t="str">
        <f t="shared" ca="1" si="8"/>
        <v>Listed</v>
      </c>
      <c r="N2093" s="1" t="str">
        <f t="shared" si="9"/>
        <v>Listed</v>
      </c>
      <c r="O2093" s="1">
        <f t="shared" si="10"/>
        <v>25</v>
      </c>
      <c r="P2093" s="1">
        <f t="shared" ca="1" si="11"/>
        <v>15</v>
      </c>
      <c r="Q2093" s="1">
        <f t="shared" si="12"/>
        <v>0</v>
      </c>
      <c r="R2093" s="1">
        <f t="shared" si="13"/>
        <v>2</v>
      </c>
      <c r="S2093" s="1">
        <f t="shared" ca="1" si="14"/>
        <v>42</v>
      </c>
      <c r="T2093" s="1">
        <f ca="1">IF(OR(COUNT(O2093:R2093)&lt;&gt;4,COUNT('Top 25'!$B$45:$E$45)&lt;&gt;4,MIN('Top 25'!$B$45:$E$45)&lt;0,SUM('Top 25'!$B$45:$E$45)&lt;=0),"",ROUND(85*(O2093/30*'Top 25'!$B$45+P2093/25*'Top 25'!$C$45+Q2093/25*'Top 25'!$D$45+R2093/5*'Top 25'!$E$45)/SUM('Top 25'!$B$45:$E$45),6))</f>
        <v>42</v>
      </c>
      <c r="U2093" s="1" t="str">
        <f t="shared" ca="1" si="15"/>
        <v>Listed</v>
      </c>
      <c r="V2093" s="1" t="str">
        <f ca="1">IF(A2093="","",IF(AK2093&lt;&gt;1,"Duplicate source ID",IF(COUNTIFS('Staff Review'!$A$8:$A$507,A2093)&gt;1,"Duplicate review ID",IF(H2093&lt;&gt;"Yes","Outside scope",IF(J2093="Yes","Already served",IF(NOT(ISNUMBER(T2093)),"Missing data","Candidate"))))))</f>
        <v>Candidate</v>
      </c>
      <c r="W2093" s="1">
        <f t="shared" ca="1" si="16"/>
        <v>120</v>
      </c>
      <c r="X2093" s="1">
        <f t="shared" ca="1" si="17"/>
        <v>101</v>
      </c>
      <c r="Y2093" s="1">
        <f ca="1">IF(AND(H2093="Yes",OR(LEN('School Search'!$B$5)=0,ISNUMBER(SEARCH('School Search'!$B$5,B2093&amp;" "&amp;E2093&amp;" "&amp;A2093))),OR('School Search'!$D$5="All",C2093='School Search'!$D$5),OR('School Search'!$G$5="All eligible",AND('School Search'!$G$5="Not marked served",J2093&lt;&gt;"Yes"),AND('School Search'!$G$5="Missing data",V2093="Missing data"),AND('School Search'!$G$5="Marked served",J2093="Yes"))),1,0)</f>
        <v>1</v>
      </c>
      <c r="Z2093" s="1">
        <f ca="1">IF(Y2093=0,"",COUNTIFS($Y$2051:$Y$2550,1,$AO$2051:$AO$2550,"&lt;"&amp;AO2093)+COUNTIFS($Y$2051:Y2093,1,$AO$2051:AO2093,AO2093))</f>
        <v>120</v>
      </c>
      <c r="AA2093" s="1" t="str">
        <f t="shared" ca="1" si="18"/>
        <v>85% economic need; 0.70 mi fresh access; 11 nearby resources</v>
      </c>
      <c r="AB2093" s="1">
        <f t="shared" si="19"/>
        <v>43</v>
      </c>
      <c r="AC2093" s="1" t="str">
        <f t="shared" si="20"/>
        <v>Metfresh Supermarket</v>
      </c>
      <c r="AD2093" s="1" t="str">
        <f t="shared" si="21"/>
        <v>2014 S Broad St, Philadelphia, PA, 19145</v>
      </c>
      <c r="AE2093" s="1" t="str">
        <f t="shared" si="22"/>
        <v>1801 S 22ND ST</v>
      </c>
      <c r="AF2093" s="1">
        <f t="shared" si="23"/>
        <v>39.929592</v>
      </c>
      <c r="AG2093" s="1">
        <f t="shared" si="24"/>
        <v>-75.181792999999999</v>
      </c>
      <c r="AH2093" s="1" t="str">
        <f>IF(I2093=0,"Not contacted",IF(INDEX('Staff Review'!$J$8:$J$507,I2093)="","Not contacted",INDEX('Staff Review'!$J$8:$J$507,I2093)))</f>
        <v>Not contacted</v>
      </c>
      <c r="AI2093" s="1" t="str">
        <f ca="1">IF(I2093=0,"No",IF(AND(COUNT(INDEX('Staff Review'!$D$8:$D$507,I2093))=1,INDEX('Staff Review'!$D$8:$D$507,I2093)&gt;=0,COUNT(INDEX('Staff Review'!$E$8:$E$507,I2093))=1,INDEX('Staff Review'!$E$8:$E$507,I2093)&gt;0,INDEX('Staff Review'!$E$8:$E$507,I2093)&lt;='Top 25'!$E$5,'Top 25'!$E$5-INDEX('Staff Review'!$E$8:$E$507,I2093)&lt;='Top 25'!$H$5,LEN(INDEX('Staff Review'!$H$8:$H$507,I2093))&gt;0),"Yes","No"))</f>
        <v>No</v>
      </c>
      <c r="AJ2093" s="1" t="str">
        <f>IF(I2093=0,"No",IF(COUNT(INDEX('Staff Review'!$F$8:$F$507,I2093))&lt;&gt;1,"No",IF(AND(INDEX('Staff Review'!$F$8:$F$507,I2093)&gt;=0,MOD(INDEX('Staff Review'!$F$8:$F$507,I2093),1)=0,COUNT(INDEX('Staff Review'!$G$8:$G$507,I2093))=1,INDEX('Staff Review'!$G$8:$G$507,I2093)&gt;0,INDEX('Staff Review'!$G$8:$G$507,I2093)&lt;='Top 25'!$E$5,'Top 25'!$E$5-INDEX('Staff Review'!$G$8:$G$507,I2093)&lt;='Top 25'!$H$5,LEN(INDEX('Staff Review'!$H$8:$H$507,I2093))&gt;0),"Yes","No")))</f>
        <v>No</v>
      </c>
      <c r="AK2093" s="1">
        <f t="shared" si="25"/>
        <v>1</v>
      </c>
      <c r="AL2093" s="1">
        <f t="shared" ca="1" si="26"/>
        <v>1</v>
      </c>
      <c r="AM2093" s="1">
        <f t="shared" si="27"/>
        <v>2370</v>
      </c>
      <c r="AN2093" s="1">
        <f t="shared" si="28"/>
        <v>43</v>
      </c>
      <c r="AO2093">
        <f t="shared" ca="1" si="29"/>
        <v>120</v>
      </c>
      <c r="AP2093" s="105">
        <f ca="1">IF(AND(AL2093=1,OR('Top 25'!$A$10="All",C2093='Top 25'!$A$10),OR('Top 25'!$D$10="All",D2093='Top 25'!$D$10)),1,0)</f>
        <v>0</v>
      </c>
      <c r="AQ2093" s="105" t="str">
        <f ca="1">IF(AP2093=0,"",CHOOSE(MATCH('Top 25'!$G$10,{"Priority score","Economic need","Enrollment","Fresh miles","Nearby resources"},0),T2093,G2093,F2093,K2093,L2093))</f>
        <v/>
      </c>
      <c r="AR2093" s="105" t="str">
        <f ca="1">IF(AP2093=0,"",1+COUNTIFS($AP$2051:$AP$2550,1,$AQ$2051:$AQ$2550,IF('Top 25'!$J$10="Ascending","&lt;","&gt;")&amp;AQ2093)+COUNTIFS($AP$2051:$AP$2550,1,$AQ$2051:$AQ$2550,AQ2093,$W$2051:$W$2550,"&lt;"&amp;W2093))</f>
        <v/>
      </c>
      <c r="AT2093" s="105">
        <f ca="1">IF(AND(AL2093=1,OR(Master_rankableSchools!$A$10="All",C2093=Master_rankableSchools!$A$10),OR(Master_rankableSchools!$D$10="All",D2093=Master_rankableSchools!$D$10)),1,0)</f>
        <v>1</v>
      </c>
      <c r="AU2093" s="105">
        <f ca="1">IF(AT2093=0,"",CHOOSE(MATCH(Master_rankableSchools!$G$10,{"Priority score","Economic need","Enrollment","Fresh miles","Nearby resources"},0),T2093,G2093,F2093,K2093,L2093))</f>
        <v>42</v>
      </c>
      <c r="AV2093" s="105">
        <f ca="1">IF(AT2093=0,"",1+COUNTIFS($AT$2051:$AT$2550,1,$AU$2051:$AU$2550,IF(Master_rankableSchools!$J$10="Ascending","&lt;","&gt;")&amp;AU2093)+COUNTIFS($AT$2051:$AT$2550,1,$AU$2051:$AU$2550,AU2093,$W$2051:$W$2550,"&lt;"&amp;W2093))</f>
        <v>120</v>
      </c>
    </row>
    <row r="2094" spans="1:48" ht="22" customHeight="1">
      <c r="A2094" s="1" t="str">
        <f t="shared" si="0"/>
        <v>2380</v>
      </c>
      <c r="B2094" s="1" t="str">
        <f t="shared" si="1"/>
        <v>William M. Meredith School</v>
      </c>
      <c r="C2094" s="1" t="str">
        <f t="shared" si="2"/>
        <v>District</v>
      </c>
      <c r="D2094" s="1" t="str">
        <f t="shared" si="3"/>
        <v>Elementary-Middle</v>
      </c>
      <c r="E2094" s="1" t="str">
        <f t="shared" si="4"/>
        <v>19147</v>
      </c>
      <c r="F2094" s="1">
        <f t="shared" si="5"/>
        <v>579</v>
      </c>
      <c r="G2094" s="1">
        <f t="shared" si="6"/>
        <v>0.15390000000000001</v>
      </c>
      <c r="H2094" s="1" t="str">
        <f t="shared" si="7"/>
        <v>Yes</v>
      </c>
      <c r="I2094" s="1">
        <f>IF(OR(A2094="",COUNTIFS('Staff Review'!$A$8:$A$507,A2094)&lt;&gt;1),0,MATCH(A2094,'Staff Review'!$A$8:$A$507,0))</f>
        <v>321</v>
      </c>
      <c r="J2094" s="1" t="str">
        <f>IF(I2094=0,"No",IF(INDEX('Staff Review'!$C$8:$C$507,I2094)="Yes","Yes","No"))</f>
        <v>No</v>
      </c>
      <c r="K2094" s="1">
        <f ca="1">IF(AI2094="Yes",INDEX('Staff Review'!$D$8:$D$507,I2094),IF(AB2094=0,"",IF(COUNT(INDEX($C$1531:$C$2030,AB2094))=1,INDEX($C$1531:$C$2030,AB2094),"")))</f>
        <v>0.35822108467378699</v>
      </c>
      <c r="L2094" s="1">
        <f>IF(AJ2094="Yes",INDEX('Staff Review'!$F$8:$F$507,I2094),IF(AB2094=0,"",IF(COUNT(INDEX($G$1531:$G$2030,AB2094))=1,INDEX($G$1531:$G$2030,AB2094),"")))</f>
        <v>6</v>
      </c>
      <c r="M2094" s="1" t="str">
        <f t="shared" ca="1" si="8"/>
        <v>Listed</v>
      </c>
      <c r="N2094" s="1" t="str">
        <f t="shared" si="9"/>
        <v>Listed</v>
      </c>
      <c r="O2094" s="1">
        <f t="shared" si="10"/>
        <v>0</v>
      </c>
      <c r="P2094" s="1">
        <f t="shared" ca="1" si="11"/>
        <v>10</v>
      </c>
      <c r="Q2094" s="1">
        <f t="shared" si="12"/>
        <v>0</v>
      </c>
      <c r="R2094" s="1">
        <f t="shared" si="13"/>
        <v>4</v>
      </c>
      <c r="S2094" s="1">
        <f t="shared" ca="1" si="14"/>
        <v>14</v>
      </c>
      <c r="T2094" s="1">
        <f ca="1">IF(OR(COUNT(O2094:R2094)&lt;&gt;4,COUNT('Top 25'!$B$45:$E$45)&lt;&gt;4,MIN('Top 25'!$B$45:$E$45)&lt;0,SUM('Top 25'!$B$45:$E$45)&lt;=0),"",ROUND(85*(O2094/30*'Top 25'!$B$45+P2094/25*'Top 25'!$C$45+Q2094/25*'Top 25'!$D$45+R2094/5*'Top 25'!$E$45)/SUM('Top 25'!$B$45:$E$45),6))</f>
        <v>14</v>
      </c>
      <c r="U2094" s="1" t="str">
        <f t="shared" ca="1" si="15"/>
        <v>Listed</v>
      </c>
      <c r="V2094" s="1" t="str">
        <f ca="1">IF(A2094="","",IF(AK2094&lt;&gt;1,"Duplicate source ID",IF(COUNTIFS('Staff Review'!$A$8:$A$507,A2094)&gt;1,"Duplicate review ID",IF(H2094&lt;&gt;"Yes","Outside scope",IF(J2094="Yes","Already served",IF(NOT(ISNUMBER(T2094)),"Missing data","Candidate"))))))</f>
        <v>Candidate</v>
      </c>
      <c r="W2094" s="1">
        <f t="shared" ca="1" si="16"/>
        <v>287</v>
      </c>
      <c r="X2094" s="1">
        <f t="shared" ca="1" si="17"/>
        <v>283</v>
      </c>
      <c r="Y2094" s="1">
        <f ca="1">IF(AND(H2094="Yes",OR(LEN('School Search'!$B$5)=0,ISNUMBER(SEARCH('School Search'!$B$5,B2094&amp;" "&amp;E2094&amp;" "&amp;A2094))),OR('School Search'!$D$5="All",C2094='School Search'!$D$5),OR('School Search'!$G$5="All eligible",AND('School Search'!$G$5="Not marked served",J2094&lt;&gt;"Yes"),AND('School Search'!$G$5="Missing data",V2094="Missing data"),AND('School Search'!$G$5="Marked served",J2094="Yes"))),1,0)</f>
        <v>1</v>
      </c>
      <c r="Z2094" s="1">
        <f ca="1">IF(Y2094=0,"",COUNTIFS($Y$2051:$Y$2550,1,$AO$2051:$AO$2550,"&lt;"&amp;AO2094)+COUNTIFS($Y$2051:Y2094,1,$AO$2051:AO2094,AO2094))</f>
        <v>287</v>
      </c>
      <c r="AA2094" s="1" t="str">
        <f t="shared" ca="1" si="18"/>
        <v>15% economic need; 0.36 mi fresh access; 6 nearby resources</v>
      </c>
      <c r="AB2094" s="1">
        <f t="shared" si="19"/>
        <v>44</v>
      </c>
      <c r="AC2094" s="1" t="str">
        <f t="shared" si="20"/>
        <v>Acme 2638</v>
      </c>
      <c r="AD2094" s="1" t="str">
        <f t="shared" si="21"/>
        <v>309 S 5th St, Philadelphia, PA, 19106</v>
      </c>
      <c r="AE2094" s="1" t="str">
        <f t="shared" si="22"/>
        <v>725 S 5TH ST</v>
      </c>
      <c r="AF2094" s="1">
        <f t="shared" si="23"/>
        <v>39.93974936</v>
      </c>
      <c r="AG2094" s="1">
        <f t="shared" si="24"/>
        <v>-75.151133389999998</v>
      </c>
      <c r="AH2094" s="1" t="str">
        <f>IF(I2094=0,"Not contacted",IF(INDEX('Staff Review'!$J$8:$J$507,I2094)="","Not contacted",INDEX('Staff Review'!$J$8:$J$507,I2094)))</f>
        <v>Not contacted</v>
      </c>
      <c r="AI2094" s="1" t="str">
        <f ca="1">IF(I2094=0,"No",IF(AND(COUNT(INDEX('Staff Review'!$D$8:$D$507,I2094))=1,INDEX('Staff Review'!$D$8:$D$507,I2094)&gt;=0,COUNT(INDEX('Staff Review'!$E$8:$E$507,I2094))=1,INDEX('Staff Review'!$E$8:$E$507,I2094)&gt;0,INDEX('Staff Review'!$E$8:$E$507,I2094)&lt;='Top 25'!$E$5,'Top 25'!$E$5-INDEX('Staff Review'!$E$8:$E$507,I2094)&lt;='Top 25'!$H$5,LEN(INDEX('Staff Review'!$H$8:$H$507,I2094))&gt;0),"Yes","No"))</f>
        <v>No</v>
      </c>
      <c r="AJ2094" s="1" t="str">
        <f>IF(I2094=0,"No",IF(COUNT(INDEX('Staff Review'!$F$8:$F$507,I2094))&lt;&gt;1,"No",IF(AND(INDEX('Staff Review'!$F$8:$F$507,I2094)&gt;=0,MOD(INDEX('Staff Review'!$F$8:$F$507,I2094),1)=0,COUNT(INDEX('Staff Review'!$G$8:$G$507,I2094))=1,INDEX('Staff Review'!$G$8:$G$507,I2094)&gt;0,INDEX('Staff Review'!$G$8:$G$507,I2094)&lt;='Top 25'!$E$5,'Top 25'!$E$5-INDEX('Staff Review'!$G$8:$G$507,I2094)&lt;='Top 25'!$H$5,LEN(INDEX('Staff Review'!$H$8:$H$507,I2094))&gt;0),"Yes","No")))</f>
        <v>No</v>
      </c>
      <c r="AK2094" s="1">
        <f t="shared" si="25"/>
        <v>1</v>
      </c>
      <c r="AL2094" s="1">
        <f t="shared" ca="1" si="26"/>
        <v>1</v>
      </c>
      <c r="AM2094" s="1">
        <f t="shared" si="27"/>
        <v>2380</v>
      </c>
      <c r="AN2094" s="1">
        <f t="shared" si="28"/>
        <v>44</v>
      </c>
      <c r="AO2094">
        <f t="shared" ca="1" si="29"/>
        <v>287</v>
      </c>
      <c r="AP2094" s="105">
        <f ca="1">IF(AND(AL2094=1,OR('Top 25'!$A$10="All",C2094='Top 25'!$A$10),OR('Top 25'!$D$10="All",D2094='Top 25'!$D$10)),1,0)</f>
        <v>0</v>
      </c>
      <c r="AQ2094" s="105" t="str">
        <f ca="1">IF(AP2094=0,"",CHOOSE(MATCH('Top 25'!$G$10,{"Priority score","Economic need","Enrollment","Fresh miles","Nearby resources"},0),T2094,G2094,F2094,K2094,L2094))</f>
        <v/>
      </c>
      <c r="AR2094" s="105" t="str">
        <f ca="1">IF(AP2094=0,"",1+COUNTIFS($AP$2051:$AP$2550,1,$AQ$2051:$AQ$2550,IF('Top 25'!$J$10="Ascending","&lt;","&gt;")&amp;AQ2094)+COUNTIFS($AP$2051:$AP$2550,1,$AQ$2051:$AQ$2550,AQ2094,$W$2051:$W$2550,"&lt;"&amp;W2094))</f>
        <v/>
      </c>
      <c r="AT2094" s="105">
        <f ca="1">IF(AND(AL2094=1,OR(Master_rankableSchools!$A$10="All",C2094=Master_rankableSchools!$A$10),OR(Master_rankableSchools!$D$10="All",D2094=Master_rankableSchools!$D$10)),1,0)</f>
        <v>1</v>
      </c>
      <c r="AU2094" s="105">
        <f ca="1">IF(AT2094=0,"",CHOOSE(MATCH(Master_rankableSchools!$G$10,{"Priority score","Economic need","Enrollment","Fresh miles","Nearby resources"},0),T2094,G2094,F2094,K2094,L2094))</f>
        <v>14</v>
      </c>
      <c r="AV2094" s="105">
        <f ca="1">IF(AT2094=0,"",1+COUNTIFS($AT$2051:$AT$2550,1,$AU$2051:$AU$2550,IF(Master_rankableSchools!$J$10="Ascending","&lt;","&gt;")&amp;AU2094)+COUNTIFS($AT$2051:$AT$2550,1,$AU$2051:$AU$2550,AU2094,$W$2051:$W$2550,"&lt;"&amp;W2094))</f>
        <v>287</v>
      </c>
    </row>
    <row r="2095" spans="1:48" ht="22" customHeight="1">
      <c r="A2095" s="1" t="str">
        <f t="shared" si="0"/>
        <v>2390</v>
      </c>
      <c r="B2095" s="1" t="str">
        <f t="shared" si="1"/>
        <v>Robert Morris School</v>
      </c>
      <c r="C2095" s="1" t="str">
        <f t="shared" si="2"/>
        <v>District</v>
      </c>
      <c r="D2095" s="1" t="str">
        <f t="shared" si="3"/>
        <v>Elementary-Middle</v>
      </c>
      <c r="E2095" s="1" t="str">
        <f t="shared" si="4"/>
        <v>19121</v>
      </c>
      <c r="F2095" s="1">
        <f t="shared" si="5"/>
        <v>216</v>
      </c>
      <c r="G2095" s="1">
        <f t="shared" si="6"/>
        <v>0.90229999999999999</v>
      </c>
      <c r="H2095" s="1" t="str">
        <f t="shared" si="7"/>
        <v>Yes</v>
      </c>
      <c r="I2095" s="1">
        <f>IF(OR(A2095="",COUNTIFS('Staff Review'!$A$8:$A$507,A2095)&lt;&gt;1),0,MATCH(A2095,'Staff Review'!$A$8:$A$507,0))</f>
        <v>253</v>
      </c>
      <c r="J2095" s="1" t="str">
        <f>IF(I2095=0,"No",IF(INDEX('Staff Review'!$C$8:$C$507,I2095)="Yes","Yes","No"))</f>
        <v>No</v>
      </c>
      <c r="K2095" s="1">
        <f ca="1">IF(AI2095="Yes",INDEX('Staff Review'!$D$8:$D$507,I2095),IF(AB2095=0,"",IF(COUNT(INDEX($C$1531:$C$2030,AB2095))=1,INDEX($C$1531:$C$2030,AB2095),"")))</f>
        <v>0.45576305239908549</v>
      </c>
      <c r="L2095" s="1">
        <f>IF(AJ2095="Yes",INDEX('Staff Review'!$F$8:$F$507,I2095),IF(AB2095=0,"",IF(COUNT(INDEX($G$1531:$G$2030,AB2095))=1,INDEX($G$1531:$G$2030,AB2095),"")))</f>
        <v>9</v>
      </c>
      <c r="M2095" s="1" t="str">
        <f t="shared" ca="1" si="8"/>
        <v>Listed</v>
      </c>
      <c r="N2095" s="1" t="str">
        <f t="shared" si="9"/>
        <v>Listed</v>
      </c>
      <c r="O2095" s="1">
        <f t="shared" si="10"/>
        <v>30</v>
      </c>
      <c r="P2095" s="1">
        <f t="shared" ca="1" si="11"/>
        <v>10</v>
      </c>
      <c r="Q2095" s="1">
        <f t="shared" si="12"/>
        <v>0</v>
      </c>
      <c r="R2095" s="1">
        <f t="shared" si="13"/>
        <v>2</v>
      </c>
      <c r="S2095" s="1">
        <f t="shared" ca="1" si="14"/>
        <v>42</v>
      </c>
      <c r="T2095" s="1">
        <f ca="1">IF(OR(COUNT(O2095:R2095)&lt;&gt;4,COUNT('Top 25'!$B$45:$E$45)&lt;&gt;4,MIN('Top 25'!$B$45:$E$45)&lt;0,SUM('Top 25'!$B$45:$E$45)&lt;=0),"",ROUND(85*(O2095/30*'Top 25'!$B$45+P2095/25*'Top 25'!$C$45+Q2095/25*'Top 25'!$D$45+R2095/5*'Top 25'!$E$45)/SUM('Top 25'!$B$45:$E$45),6))</f>
        <v>42</v>
      </c>
      <c r="U2095" s="1" t="str">
        <f t="shared" ca="1" si="15"/>
        <v>Listed</v>
      </c>
      <c r="V2095" s="1" t="str">
        <f ca="1">IF(A2095="","",IF(AK2095&lt;&gt;1,"Duplicate source ID",IF(COUNTIFS('Staff Review'!$A$8:$A$507,A2095)&gt;1,"Duplicate review ID",IF(H2095&lt;&gt;"Yes","Outside scope",IF(J2095="Yes","Already served",IF(NOT(ISNUMBER(T2095)),"Missing data","Candidate"))))))</f>
        <v>Candidate</v>
      </c>
      <c r="W2095" s="1">
        <f t="shared" ca="1" si="16"/>
        <v>111</v>
      </c>
      <c r="X2095" s="1">
        <f t="shared" ca="1" si="17"/>
        <v>101</v>
      </c>
      <c r="Y2095" s="1">
        <f ca="1">IF(AND(H2095="Yes",OR(LEN('School Search'!$B$5)=0,ISNUMBER(SEARCH('School Search'!$B$5,B2095&amp;" "&amp;E2095&amp;" "&amp;A2095))),OR('School Search'!$D$5="All",C2095='School Search'!$D$5),OR('School Search'!$G$5="All eligible",AND('School Search'!$G$5="Not marked served",J2095&lt;&gt;"Yes"),AND('School Search'!$G$5="Missing data",V2095="Missing data"),AND('School Search'!$G$5="Marked served",J2095="Yes"))),1,0)</f>
        <v>1</v>
      </c>
      <c r="Z2095" s="1">
        <f ca="1">IF(Y2095=0,"",COUNTIFS($Y$2051:$Y$2550,1,$AO$2051:$AO$2550,"&lt;"&amp;AO2095)+COUNTIFS($Y$2051:Y2095,1,$AO$2051:AO2095,AO2095))</f>
        <v>111</v>
      </c>
      <c r="AA2095" s="1" t="str">
        <f t="shared" ca="1" si="18"/>
        <v>90% economic need; 0.46 mi fresh access; 9 nearby resources</v>
      </c>
      <c r="AB2095" s="1">
        <f t="shared" si="19"/>
        <v>45</v>
      </c>
      <c r="AC2095" s="1" t="str">
        <f t="shared" si="20"/>
        <v>Aldi 43</v>
      </c>
      <c r="AD2095" s="1" t="str">
        <f t="shared" si="21"/>
        <v>3101 W Girard Ave, Philadelphia, PA, 19130</v>
      </c>
      <c r="AE2095" s="1" t="str">
        <f t="shared" si="22"/>
        <v>2600 W THOMPSON ST</v>
      </c>
      <c r="AF2095" s="1">
        <f t="shared" si="23"/>
        <v>39.975439000000001</v>
      </c>
      <c r="AG2095" s="1">
        <f t="shared" si="24"/>
        <v>-75.178659999999994</v>
      </c>
      <c r="AH2095" s="1" t="str">
        <f>IF(I2095=0,"Not contacted",IF(INDEX('Staff Review'!$J$8:$J$507,I2095)="","Not contacted",INDEX('Staff Review'!$J$8:$J$507,I2095)))</f>
        <v>Not contacted</v>
      </c>
      <c r="AI2095" s="1" t="str">
        <f ca="1">IF(I2095=0,"No",IF(AND(COUNT(INDEX('Staff Review'!$D$8:$D$507,I2095))=1,INDEX('Staff Review'!$D$8:$D$507,I2095)&gt;=0,COUNT(INDEX('Staff Review'!$E$8:$E$507,I2095))=1,INDEX('Staff Review'!$E$8:$E$507,I2095)&gt;0,INDEX('Staff Review'!$E$8:$E$507,I2095)&lt;='Top 25'!$E$5,'Top 25'!$E$5-INDEX('Staff Review'!$E$8:$E$507,I2095)&lt;='Top 25'!$H$5,LEN(INDEX('Staff Review'!$H$8:$H$507,I2095))&gt;0),"Yes","No"))</f>
        <v>No</v>
      </c>
      <c r="AJ2095" s="1" t="str">
        <f>IF(I2095=0,"No",IF(COUNT(INDEX('Staff Review'!$F$8:$F$507,I2095))&lt;&gt;1,"No",IF(AND(INDEX('Staff Review'!$F$8:$F$507,I2095)&gt;=0,MOD(INDEX('Staff Review'!$F$8:$F$507,I2095),1)=0,COUNT(INDEX('Staff Review'!$G$8:$G$507,I2095))=1,INDEX('Staff Review'!$G$8:$G$507,I2095)&gt;0,INDEX('Staff Review'!$G$8:$G$507,I2095)&lt;='Top 25'!$E$5,'Top 25'!$E$5-INDEX('Staff Review'!$G$8:$G$507,I2095)&lt;='Top 25'!$H$5,LEN(INDEX('Staff Review'!$H$8:$H$507,I2095))&gt;0),"Yes","No")))</f>
        <v>No</v>
      </c>
      <c r="AK2095" s="1">
        <f t="shared" si="25"/>
        <v>1</v>
      </c>
      <c r="AL2095" s="1">
        <f t="shared" ca="1" si="26"/>
        <v>1</v>
      </c>
      <c r="AM2095" s="1">
        <f t="shared" si="27"/>
        <v>2390</v>
      </c>
      <c r="AN2095" s="1">
        <f t="shared" si="28"/>
        <v>45</v>
      </c>
      <c r="AO2095">
        <f t="shared" ca="1" si="29"/>
        <v>111</v>
      </c>
      <c r="AP2095" s="105">
        <f ca="1">IF(AND(AL2095=1,OR('Top 25'!$A$10="All",C2095='Top 25'!$A$10),OR('Top 25'!$D$10="All",D2095='Top 25'!$D$10)),1,0)</f>
        <v>0</v>
      </c>
      <c r="AQ2095" s="105" t="str">
        <f ca="1">IF(AP2095=0,"",CHOOSE(MATCH('Top 25'!$G$10,{"Priority score","Economic need","Enrollment","Fresh miles","Nearby resources"},0),T2095,G2095,F2095,K2095,L2095))</f>
        <v/>
      </c>
      <c r="AR2095" s="105" t="str">
        <f ca="1">IF(AP2095=0,"",1+COUNTIFS($AP$2051:$AP$2550,1,$AQ$2051:$AQ$2550,IF('Top 25'!$J$10="Ascending","&lt;","&gt;")&amp;AQ2095)+COUNTIFS($AP$2051:$AP$2550,1,$AQ$2051:$AQ$2550,AQ2095,$W$2051:$W$2550,"&lt;"&amp;W2095))</f>
        <v/>
      </c>
      <c r="AT2095" s="105">
        <f ca="1">IF(AND(AL2095=1,OR(Master_rankableSchools!$A$10="All",C2095=Master_rankableSchools!$A$10),OR(Master_rankableSchools!$D$10="All",D2095=Master_rankableSchools!$D$10)),1,0)</f>
        <v>1</v>
      </c>
      <c r="AU2095" s="105">
        <f ca="1">IF(AT2095=0,"",CHOOSE(MATCH(Master_rankableSchools!$G$10,{"Priority score","Economic need","Enrollment","Fresh miles","Nearby resources"},0),T2095,G2095,F2095,K2095,L2095))</f>
        <v>42</v>
      </c>
      <c r="AV2095" s="105">
        <f ca="1">IF(AT2095=0,"",1+COUNTIFS($AT$2051:$AT$2550,1,$AU$2051:$AU$2550,IF(Master_rankableSchools!$J$10="Ascending","&lt;","&gt;")&amp;AU2095)+COUNTIFS($AT$2051:$AT$2550,1,$AU$2051:$AU$2550,AU2095,$W$2051:$W$2550,"&lt;"&amp;W2095))</f>
        <v>111</v>
      </c>
    </row>
    <row r="2096" spans="1:48" ht="22" customHeight="1">
      <c r="A2096" s="1" t="str">
        <f t="shared" si="0"/>
        <v>2410</v>
      </c>
      <c r="B2096" s="1" t="str">
        <f t="shared" si="1"/>
        <v>Girard Academic Music Program High School</v>
      </c>
      <c r="C2096" s="1" t="str">
        <f t="shared" si="2"/>
        <v>District</v>
      </c>
      <c r="D2096" s="1" t="str">
        <f t="shared" si="3"/>
        <v>Middle-High</v>
      </c>
      <c r="E2096" s="1" t="str">
        <f t="shared" si="4"/>
        <v>19145</v>
      </c>
      <c r="F2096" s="1">
        <f t="shared" si="5"/>
        <v>666</v>
      </c>
      <c r="G2096" s="1" t="str">
        <f t="shared" si="6"/>
        <v/>
      </c>
      <c r="H2096" s="1" t="str">
        <f t="shared" si="7"/>
        <v>Yes</v>
      </c>
      <c r="I2096" s="1">
        <f>IF(OR(A2096="",COUNTIFS('Staff Review'!$A$8:$A$507,A2096)&lt;&gt;1),0,MATCH(A2096,'Staff Review'!$A$8:$A$507,0))</f>
        <v>99</v>
      </c>
      <c r="J2096" s="1" t="str">
        <f>IF(I2096=0,"No",IF(INDEX('Staff Review'!$C$8:$C$507,I2096)="Yes","Yes","No"))</f>
        <v>No</v>
      </c>
      <c r="K2096" s="1">
        <f ca="1">IF(AI2096="Yes",INDEX('Staff Review'!$D$8:$D$507,I2096),IF(AB2096=0,"",IF(COUNT(INDEX($C$1531:$C$2030,AB2096))=1,INDEX($C$1531:$C$2030,AB2096),"")))</f>
        <v>0.28063913700256932</v>
      </c>
      <c r="L2096" s="1">
        <f>IF(AJ2096="Yes",INDEX('Staff Review'!$F$8:$F$507,I2096),IF(AB2096=0,"",IF(COUNT(INDEX($G$1531:$G$2030,AB2096))=1,INDEX($G$1531:$G$2030,AB2096),"")))</f>
        <v>7</v>
      </c>
      <c r="M2096" s="1" t="str">
        <f t="shared" ca="1" si="8"/>
        <v>Listed</v>
      </c>
      <c r="N2096" s="1" t="str">
        <f t="shared" si="9"/>
        <v>Listed</v>
      </c>
      <c r="O2096" s="1" t="str">
        <f t="shared" si="10"/>
        <v/>
      </c>
      <c r="P2096" s="1">
        <f t="shared" ca="1" si="11"/>
        <v>10</v>
      </c>
      <c r="Q2096" s="1">
        <f t="shared" si="12"/>
        <v>0</v>
      </c>
      <c r="R2096" s="1">
        <f t="shared" si="13"/>
        <v>4</v>
      </c>
      <c r="S2096" s="1" t="str">
        <f t="shared" ca="1" si="14"/>
        <v/>
      </c>
      <c r="T2096" s="1" t="str">
        <f ca="1">IF(OR(COUNT(O2096:R2096)&lt;&gt;4,COUNT('Top 25'!$B$45:$E$45)&lt;&gt;4,MIN('Top 25'!$B$45:$E$45)&lt;0,SUM('Top 25'!$B$45:$E$45)&lt;=0),"",ROUND(85*(O2096/30*'Top 25'!$B$45+P2096/25*'Top 25'!$C$45+Q2096/25*'Top 25'!$D$45+R2096/5*'Top 25'!$E$45)/SUM('Top 25'!$B$45:$E$45),6))</f>
        <v/>
      </c>
      <c r="U2096" s="1" t="str">
        <f t="shared" ca="1" si="15"/>
        <v>Listed</v>
      </c>
      <c r="V2096" s="1" t="str">
        <f ca="1">IF(A2096="","",IF(AK2096&lt;&gt;1,"Duplicate source ID",IF(COUNTIFS('Staff Review'!$A$8:$A$507,A2096)&gt;1,"Duplicate review ID",IF(H2096&lt;&gt;"Yes","Outside scope",IF(J2096="Yes","Already served",IF(NOT(ISNUMBER(T2096)),"Missing data","Candidate"))))))</f>
        <v>Missing data</v>
      </c>
      <c r="W2096" s="1" t="str">
        <f t="shared" ca="1" si="16"/>
        <v/>
      </c>
      <c r="X2096" s="1" t="str">
        <f t="shared" ca="1" si="17"/>
        <v/>
      </c>
      <c r="Y2096" s="1">
        <f ca="1">IF(AND(H2096="Yes",OR(LEN('School Search'!$B$5)=0,ISNUMBER(SEARCH('School Search'!$B$5,B2096&amp;" "&amp;E2096&amp;" "&amp;A2096))),OR('School Search'!$D$5="All",C2096='School Search'!$D$5),OR('School Search'!$G$5="All eligible",AND('School Search'!$G$5="Not marked served",J2096&lt;&gt;"Yes"),AND('School Search'!$G$5="Missing data",V2096="Missing data"),AND('School Search'!$G$5="Marked served",J2096="Yes"))),1,0)</f>
        <v>1</v>
      </c>
      <c r="Z2096" s="1">
        <f ca="1">IF(Y2096=0,"",COUNTIFS($Y$2051:$Y$2550,1,$AO$2051:$AO$2550,"&lt;"&amp;AO2096)+COUNTIFS($Y$2051:Y2096,1,$AO$2051:AO2096,AO2096))</f>
        <v>294</v>
      </c>
      <c r="AA2096" s="1" t="str">
        <f t="shared" ca="1" si="18"/>
        <v>Missing demographic or access input</v>
      </c>
      <c r="AB2096" s="1">
        <f t="shared" si="19"/>
        <v>46</v>
      </c>
      <c r="AC2096" s="1" t="str">
        <f t="shared" si="20"/>
        <v>Grocery Outlet Of West Oregon Ave 0730</v>
      </c>
      <c r="AD2096" s="1" t="str">
        <f t="shared" si="21"/>
        <v>2017 W Oregon Ave, Philadelphia, PA, 19145</v>
      </c>
      <c r="AE2096" s="1" t="str">
        <f t="shared" si="22"/>
        <v>2136 W RITNER ST, GAMP</v>
      </c>
      <c r="AF2096" s="1">
        <f t="shared" si="23"/>
        <v>39.92210463</v>
      </c>
      <c r="AG2096" s="1">
        <f t="shared" si="24"/>
        <v>-75.182564389999996</v>
      </c>
      <c r="AH2096" s="1" t="str">
        <f>IF(I2096=0,"Not contacted",IF(INDEX('Staff Review'!$J$8:$J$507,I2096)="","Not contacted",INDEX('Staff Review'!$J$8:$J$507,I2096)))</f>
        <v>Not contacted</v>
      </c>
      <c r="AI2096" s="1" t="str">
        <f ca="1">IF(I2096=0,"No",IF(AND(COUNT(INDEX('Staff Review'!$D$8:$D$507,I2096))=1,INDEX('Staff Review'!$D$8:$D$507,I2096)&gt;=0,COUNT(INDEX('Staff Review'!$E$8:$E$507,I2096))=1,INDEX('Staff Review'!$E$8:$E$507,I2096)&gt;0,INDEX('Staff Review'!$E$8:$E$507,I2096)&lt;='Top 25'!$E$5,'Top 25'!$E$5-INDEX('Staff Review'!$E$8:$E$507,I2096)&lt;='Top 25'!$H$5,LEN(INDEX('Staff Review'!$H$8:$H$507,I2096))&gt;0),"Yes","No"))</f>
        <v>No</v>
      </c>
      <c r="AJ2096" s="1" t="str">
        <f>IF(I2096=0,"No",IF(COUNT(INDEX('Staff Review'!$F$8:$F$507,I2096))&lt;&gt;1,"No",IF(AND(INDEX('Staff Review'!$F$8:$F$507,I2096)&gt;=0,MOD(INDEX('Staff Review'!$F$8:$F$507,I2096),1)=0,COUNT(INDEX('Staff Review'!$G$8:$G$507,I2096))=1,INDEX('Staff Review'!$G$8:$G$507,I2096)&gt;0,INDEX('Staff Review'!$G$8:$G$507,I2096)&lt;='Top 25'!$E$5,'Top 25'!$E$5-INDEX('Staff Review'!$G$8:$G$507,I2096)&lt;='Top 25'!$H$5,LEN(INDEX('Staff Review'!$H$8:$H$507,I2096))&gt;0),"Yes","No")))</f>
        <v>No</v>
      </c>
      <c r="AK2096" s="1">
        <f t="shared" si="25"/>
        <v>1</v>
      </c>
      <c r="AL2096" s="1">
        <f t="shared" ca="1" si="26"/>
        <v>0</v>
      </c>
      <c r="AM2096" s="1">
        <f t="shared" si="27"/>
        <v>2410</v>
      </c>
      <c r="AN2096" s="1">
        <f t="shared" si="28"/>
        <v>46</v>
      </c>
      <c r="AO2096">
        <f t="shared" ca="1" si="29"/>
        <v>12410</v>
      </c>
      <c r="AP2096" s="105">
        <f ca="1">IF(AND(AL2096=1,OR('Top 25'!$A$10="All",C2096='Top 25'!$A$10),OR('Top 25'!$D$10="All",D2096='Top 25'!$D$10)),1,0)</f>
        <v>0</v>
      </c>
      <c r="AQ2096" s="105" t="str">
        <f ca="1">IF(AP2096=0,"",CHOOSE(MATCH('Top 25'!$G$10,{"Priority score","Economic need","Enrollment","Fresh miles","Nearby resources"},0),T2096,G2096,F2096,K2096,L2096))</f>
        <v/>
      </c>
      <c r="AR2096" s="105" t="str">
        <f ca="1">IF(AP2096=0,"",1+COUNTIFS($AP$2051:$AP$2550,1,$AQ$2051:$AQ$2550,IF('Top 25'!$J$10="Ascending","&lt;","&gt;")&amp;AQ2096)+COUNTIFS($AP$2051:$AP$2550,1,$AQ$2051:$AQ$2550,AQ2096,$W$2051:$W$2550,"&lt;"&amp;W2096))</f>
        <v/>
      </c>
      <c r="AT2096" s="105">
        <f ca="1">IF(AND(AL2096=1,OR(Master_rankableSchools!$A$10="All",C2096=Master_rankableSchools!$A$10),OR(Master_rankableSchools!$D$10="All",D2096=Master_rankableSchools!$D$10)),1,0)</f>
        <v>0</v>
      </c>
      <c r="AU2096" s="105" t="str">
        <f ca="1">IF(AT2096=0,"",CHOOSE(MATCH(Master_rankableSchools!$G$10,{"Priority score","Economic need","Enrollment","Fresh miles","Nearby resources"},0),T2096,G2096,F2096,K2096,L2096))</f>
        <v/>
      </c>
      <c r="AV2096" s="105" t="str">
        <f ca="1">IF(AT2096=0,"",1+COUNTIFS($AT$2051:$AT$2550,1,$AU$2051:$AU$2550,IF(Master_rankableSchools!$J$10="Ascending","&lt;","&gt;")&amp;AU2096)+COUNTIFS($AT$2051:$AT$2550,1,$AU$2051:$AU$2550,AU2096,$W$2051:$W$2550,"&lt;"&amp;W2096))</f>
        <v/>
      </c>
    </row>
    <row r="2097" spans="1:48" ht="22" customHeight="1">
      <c r="A2097" s="1" t="str">
        <f t="shared" si="0"/>
        <v>2450</v>
      </c>
      <c r="B2097" s="1" t="str">
        <f t="shared" si="1"/>
        <v>Edwin M. Stanton School</v>
      </c>
      <c r="C2097" s="1" t="str">
        <f t="shared" si="2"/>
        <v>District</v>
      </c>
      <c r="D2097" s="1" t="str">
        <f t="shared" si="3"/>
        <v>Elementary-Middle</v>
      </c>
      <c r="E2097" s="1" t="str">
        <f t="shared" si="4"/>
        <v>19146</v>
      </c>
      <c r="F2097" s="1">
        <f t="shared" si="5"/>
        <v>316</v>
      </c>
      <c r="G2097" s="1">
        <f t="shared" si="6"/>
        <v>0.64970000000000006</v>
      </c>
      <c r="H2097" s="1" t="str">
        <f t="shared" si="7"/>
        <v>Yes</v>
      </c>
      <c r="I2097" s="1">
        <f>IF(OR(A2097="",COUNTIFS('Staff Review'!$A$8:$A$507,A2097)&lt;&gt;1),0,MATCH(A2097,'Staff Review'!$A$8:$A$507,0))</f>
        <v>59</v>
      </c>
      <c r="J2097" s="1" t="str">
        <f>IF(I2097=0,"No",IF(INDEX('Staff Review'!$C$8:$C$507,I2097)="Yes","Yes","No"))</f>
        <v>No</v>
      </c>
      <c r="K2097" s="1">
        <f ca="1">IF(AI2097="Yes",INDEX('Staff Review'!$D$8:$D$507,I2097),IF(AB2097=0,"",IF(COUNT(INDEX($C$1531:$C$2030,AB2097))=1,INDEX($C$1531:$C$2030,AB2097),"")))</f>
        <v>0.26255188949064612</v>
      </c>
      <c r="L2097" s="1">
        <f>IF(AJ2097="Yes",INDEX('Staff Review'!$F$8:$F$507,I2097),IF(AB2097=0,"",IF(COUNT(INDEX($G$1531:$G$2030,AB2097))=1,INDEX($G$1531:$G$2030,AB2097),"")))</f>
        <v>15</v>
      </c>
      <c r="M2097" s="1" t="str">
        <f t="shared" ca="1" si="8"/>
        <v>Listed</v>
      </c>
      <c r="N2097" s="1" t="str">
        <f t="shared" si="9"/>
        <v>Listed</v>
      </c>
      <c r="O2097" s="1">
        <f t="shared" si="10"/>
        <v>15</v>
      </c>
      <c r="P2097" s="1">
        <f t="shared" ca="1" si="11"/>
        <v>10</v>
      </c>
      <c r="Q2097" s="1">
        <f t="shared" si="12"/>
        <v>0</v>
      </c>
      <c r="R2097" s="1">
        <f t="shared" si="13"/>
        <v>2</v>
      </c>
      <c r="S2097" s="1">
        <f t="shared" ca="1" si="14"/>
        <v>27</v>
      </c>
      <c r="T2097" s="1">
        <f ca="1">IF(OR(COUNT(O2097:R2097)&lt;&gt;4,COUNT('Top 25'!$B$45:$E$45)&lt;&gt;4,MIN('Top 25'!$B$45:$E$45)&lt;0,SUM('Top 25'!$B$45:$E$45)&lt;=0),"",ROUND(85*(O2097/30*'Top 25'!$B$45+P2097/25*'Top 25'!$C$45+Q2097/25*'Top 25'!$D$45+R2097/5*'Top 25'!$E$45)/SUM('Top 25'!$B$45:$E$45),6))</f>
        <v>27</v>
      </c>
      <c r="U2097" s="1" t="str">
        <f t="shared" ca="1" si="15"/>
        <v>Listed</v>
      </c>
      <c r="V2097" s="1" t="str">
        <f ca="1">IF(A2097="","",IF(AK2097&lt;&gt;1,"Duplicate source ID",IF(COUNTIFS('Staff Review'!$A$8:$A$507,A2097)&gt;1,"Duplicate review ID",IF(H2097&lt;&gt;"Yes","Outside scope",IF(J2097="Yes","Already served",IF(NOT(ISNUMBER(T2097)),"Missing data","Candidate"))))))</f>
        <v>Candidate</v>
      </c>
      <c r="W2097" s="1">
        <f t="shared" ca="1" si="16"/>
        <v>267</v>
      </c>
      <c r="X2097" s="1">
        <f t="shared" ca="1" si="17"/>
        <v>266</v>
      </c>
      <c r="Y2097" s="1">
        <f ca="1">IF(AND(H2097="Yes",OR(LEN('School Search'!$B$5)=0,ISNUMBER(SEARCH('School Search'!$B$5,B2097&amp;" "&amp;E2097&amp;" "&amp;A2097))),OR('School Search'!$D$5="All",C2097='School Search'!$D$5),OR('School Search'!$G$5="All eligible",AND('School Search'!$G$5="Not marked served",J2097&lt;&gt;"Yes"),AND('School Search'!$G$5="Missing data",V2097="Missing data"),AND('School Search'!$G$5="Marked served",J2097="Yes"))),1,0)</f>
        <v>1</v>
      </c>
      <c r="Z2097" s="1">
        <f ca="1">IF(Y2097=0,"",COUNTIFS($Y$2051:$Y$2550,1,$AO$2051:$AO$2550,"&lt;"&amp;AO2097)+COUNTIFS($Y$2051:Y2097,1,$AO$2051:AO2097,AO2097))</f>
        <v>267</v>
      </c>
      <c r="AA2097" s="1" t="str">
        <f t="shared" ca="1" si="18"/>
        <v>65% economic need; 0.26 mi fresh access; 15 nearby resources</v>
      </c>
      <c r="AB2097" s="1">
        <f t="shared" si="19"/>
        <v>47</v>
      </c>
      <c r="AC2097" s="1" t="str">
        <f t="shared" si="20"/>
        <v>Sprouts Farmers Market 850</v>
      </c>
      <c r="AD2097" s="1" t="str">
        <f t="shared" si="21"/>
        <v>1000 S Broad St, Philadelphia, PA, 19146</v>
      </c>
      <c r="AE2097" s="1" t="str">
        <f t="shared" si="22"/>
        <v>901 S. 17TH ST.</v>
      </c>
      <c r="AF2097" s="1">
        <f t="shared" si="23"/>
        <v>39.940503</v>
      </c>
      <c r="AG2097" s="1">
        <f t="shared" si="24"/>
        <v>-75.171017000000006</v>
      </c>
      <c r="AH2097" s="1" t="str">
        <f>IF(I2097=0,"Not contacted",IF(INDEX('Staff Review'!$J$8:$J$507,I2097)="","Not contacted",INDEX('Staff Review'!$J$8:$J$507,I2097)))</f>
        <v>Not contacted</v>
      </c>
      <c r="AI2097" s="1" t="str">
        <f ca="1">IF(I2097=0,"No",IF(AND(COUNT(INDEX('Staff Review'!$D$8:$D$507,I2097))=1,INDEX('Staff Review'!$D$8:$D$507,I2097)&gt;=0,COUNT(INDEX('Staff Review'!$E$8:$E$507,I2097))=1,INDEX('Staff Review'!$E$8:$E$507,I2097)&gt;0,INDEX('Staff Review'!$E$8:$E$507,I2097)&lt;='Top 25'!$E$5,'Top 25'!$E$5-INDEX('Staff Review'!$E$8:$E$507,I2097)&lt;='Top 25'!$H$5,LEN(INDEX('Staff Review'!$H$8:$H$507,I2097))&gt;0),"Yes","No"))</f>
        <v>No</v>
      </c>
      <c r="AJ2097" s="1" t="str">
        <f>IF(I2097=0,"No",IF(COUNT(INDEX('Staff Review'!$F$8:$F$507,I2097))&lt;&gt;1,"No",IF(AND(INDEX('Staff Review'!$F$8:$F$507,I2097)&gt;=0,MOD(INDEX('Staff Review'!$F$8:$F$507,I2097),1)=0,COUNT(INDEX('Staff Review'!$G$8:$G$507,I2097))=1,INDEX('Staff Review'!$G$8:$G$507,I2097)&gt;0,INDEX('Staff Review'!$G$8:$G$507,I2097)&lt;='Top 25'!$E$5,'Top 25'!$E$5-INDEX('Staff Review'!$G$8:$G$507,I2097)&lt;='Top 25'!$H$5,LEN(INDEX('Staff Review'!$H$8:$H$507,I2097))&gt;0),"Yes","No")))</f>
        <v>No</v>
      </c>
      <c r="AK2097" s="1">
        <f t="shared" si="25"/>
        <v>1</v>
      </c>
      <c r="AL2097" s="1">
        <f t="shared" ca="1" si="26"/>
        <v>1</v>
      </c>
      <c r="AM2097" s="1">
        <f t="shared" si="27"/>
        <v>2450</v>
      </c>
      <c r="AN2097" s="1">
        <f t="shared" si="28"/>
        <v>47</v>
      </c>
      <c r="AO2097">
        <f t="shared" ca="1" si="29"/>
        <v>267</v>
      </c>
      <c r="AP2097" s="105">
        <f ca="1">IF(AND(AL2097=1,OR('Top 25'!$A$10="All",C2097='Top 25'!$A$10),OR('Top 25'!$D$10="All",D2097='Top 25'!$D$10)),1,0)</f>
        <v>0</v>
      </c>
      <c r="AQ2097" s="105" t="str">
        <f ca="1">IF(AP2097=0,"",CHOOSE(MATCH('Top 25'!$G$10,{"Priority score","Economic need","Enrollment","Fresh miles","Nearby resources"},0),T2097,G2097,F2097,K2097,L2097))</f>
        <v/>
      </c>
      <c r="AR2097" s="105" t="str">
        <f ca="1">IF(AP2097=0,"",1+COUNTIFS($AP$2051:$AP$2550,1,$AQ$2051:$AQ$2550,IF('Top 25'!$J$10="Ascending","&lt;","&gt;")&amp;AQ2097)+COUNTIFS($AP$2051:$AP$2550,1,$AQ$2051:$AQ$2550,AQ2097,$W$2051:$W$2550,"&lt;"&amp;W2097))</f>
        <v/>
      </c>
      <c r="AT2097" s="105">
        <f ca="1">IF(AND(AL2097=1,OR(Master_rankableSchools!$A$10="All",C2097=Master_rankableSchools!$A$10),OR(Master_rankableSchools!$D$10="All",D2097=Master_rankableSchools!$D$10)),1,0)</f>
        <v>1</v>
      </c>
      <c r="AU2097" s="105">
        <f ca="1">IF(AT2097=0,"",CHOOSE(MATCH(Master_rankableSchools!$G$10,{"Priority score","Economic need","Enrollment","Fresh miles","Nearby resources"},0),T2097,G2097,F2097,K2097,L2097))</f>
        <v>27</v>
      </c>
      <c r="AV2097" s="105">
        <f ca="1">IF(AT2097=0,"",1+COUNTIFS($AT$2051:$AT$2550,1,$AU$2051:$AU$2550,IF(Master_rankableSchools!$J$10="Ascending","&lt;","&gt;")&amp;AU2097)+COUNTIFS($AT$2051:$AT$2550,1,$AU$2051:$AU$2550,AU2097,$W$2051:$W$2550,"&lt;"&amp;W2097))</f>
        <v>267</v>
      </c>
    </row>
    <row r="2098" spans="1:48" ht="22" customHeight="1">
      <c r="A2098" s="1" t="str">
        <f t="shared" si="0"/>
        <v>2470</v>
      </c>
      <c r="B2098" s="1" t="str">
        <f t="shared" si="1"/>
        <v>Albert M. Greenfield School</v>
      </c>
      <c r="C2098" s="1" t="str">
        <f t="shared" si="2"/>
        <v>District</v>
      </c>
      <c r="D2098" s="1" t="str">
        <f t="shared" si="3"/>
        <v>Elementary-Middle</v>
      </c>
      <c r="E2098" s="1" t="str">
        <f t="shared" si="4"/>
        <v>19103</v>
      </c>
      <c r="F2098" s="1">
        <f t="shared" si="5"/>
        <v>757</v>
      </c>
      <c r="G2098" s="1">
        <f t="shared" si="6"/>
        <v>0.15759999999999999</v>
      </c>
      <c r="H2098" s="1" t="str">
        <f t="shared" si="7"/>
        <v>Yes</v>
      </c>
      <c r="I2098" s="1">
        <f>IF(OR(A2098="",COUNTIFS('Staff Review'!$A$8:$A$507,A2098)&lt;&gt;1),0,MATCH(A2098,'Staff Review'!$A$8:$A$507,0))</f>
        <v>11</v>
      </c>
      <c r="J2098" s="1" t="str">
        <f>IF(I2098=0,"No",IF(INDEX('Staff Review'!$C$8:$C$507,I2098)="Yes","Yes","No"))</f>
        <v>No</v>
      </c>
      <c r="K2098" s="1">
        <f ca="1">IF(AI2098="Yes",INDEX('Staff Review'!$D$8:$D$507,I2098),IF(AB2098=0,"",IF(COUNT(INDEX($C$1531:$C$2030,AB2098))=1,INDEX($C$1531:$C$2030,AB2098),"")))</f>
        <v>0.13384961289225211</v>
      </c>
      <c r="L2098" s="1">
        <f>IF(AJ2098="Yes",INDEX('Staff Review'!$F$8:$F$507,I2098),IF(AB2098=0,"",IF(COUNT(INDEX($G$1531:$G$2030,AB2098))=1,INDEX($G$1531:$G$2030,AB2098),"")))</f>
        <v>5</v>
      </c>
      <c r="M2098" s="1" t="str">
        <f t="shared" ca="1" si="8"/>
        <v>Listed</v>
      </c>
      <c r="N2098" s="1" t="str">
        <f t="shared" si="9"/>
        <v>Listed</v>
      </c>
      <c r="O2098" s="1">
        <f t="shared" si="10"/>
        <v>0</v>
      </c>
      <c r="P2098" s="1">
        <f t="shared" ca="1" si="11"/>
        <v>5</v>
      </c>
      <c r="Q2098" s="1">
        <f t="shared" si="12"/>
        <v>0</v>
      </c>
      <c r="R2098" s="1">
        <f t="shared" si="13"/>
        <v>5</v>
      </c>
      <c r="S2098" s="1">
        <f t="shared" ca="1" si="14"/>
        <v>10</v>
      </c>
      <c r="T2098" s="1">
        <f ca="1">IF(OR(COUNT(O2098:R2098)&lt;&gt;4,COUNT('Top 25'!$B$45:$E$45)&lt;&gt;4,MIN('Top 25'!$B$45:$E$45)&lt;0,SUM('Top 25'!$B$45:$E$45)&lt;=0),"",ROUND(85*(O2098/30*'Top 25'!$B$45+P2098/25*'Top 25'!$C$45+Q2098/25*'Top 25'!$D$45+R2098/5*'Top 25'!$E$45)/SUM('Top 25'!$B$45:$E$45),6))</f>
        <v>10</v>
      </c>
      <c r="U2098" s="1" t="str">
        <f t="shared" ca="1" si="15"/>
        <v>Listed</v>
      </c>
      <c r="V2098" s="1" t="str">
        <f ca="1">IF(A2098="","",IF(AK2098&lt;&gt;1,"Duplicate source ID",IF(COUNTIFS('Staff Review'!$A$8:$A$507,A2098)&gt;1,"Duplicate review ID",IF(H2098&lt;&gt;"Yes","Outside scope",IF(J2098="Yes","Already served",IF(NOT(ISNUMBER(T2098)),"Missing data","Candidate"))))))</f>
        <v>Candidate</v>
      </c>
      <c r="W2098" s="1">
        <f t="shared" ca="1" si="16"/>
        <v>291</v>
      </c>
      <c r="X2098" s="1">
        <f t="shared" ca="1" si="17"/>
        <v>290</v>
      </c>
      <c r="Y2098" s="1">
        <f ca="1">IF(AND(H2098="Yes",OR(LEN('School Search'!$B$5)=0,ISNUMBER(SEARCH('School Search'!$B$5,B2098&amp;" "&amp;E2098&amp;" "&amp;A2098))),OR('School Search'!$D$5="All",C2098='School Search'!$D$5),OR('School Search'!$G$5="All eligible",AND('School Search'!$G$5="Not marked served",J2098&lt;&gt;"Yes"),AND('School Search'!$G$5="Missing data",V2098="Missing data"),AND('School Search'!$G$5="Marked served",J2098="Yes"))),1,0)</f>
        <v>1</v>
      </c>
      <c r="Z2098" s="1">
        <f ca="1">IF(Y2098=0,"",COUNTIFS($Y$2051:$Y$2550,1,$AO$2051:$AO$2550,"&lt;"&amp;AO2098)+COUNTIFS($Y$2051:Y2098,1,$AO$2051:AO2098,AO2098))</f>
        <v>291</v>
      </c>
      <c r="AA2098" s="1" t="str">
        <f t="shared" ca="1" si="18"/>
        <v>16% economic need; 0.13 mi fresh access; 5 nearby resources</v>
      </c>
      <c r="AB2098" s="1">
        <f t="shared" si="19"/>
        <v>48</v>
      </c>
      <c r="AC2098" s="1" t="str">
        <f t="shared" si="20"/>
        <v>Trader Joe's 634</v>
      </c>
      <c r="AD2098" s="1" t="str">
        <f t="shared" si="21"/>
        <v>2121 Market St, Philadelphia, PA, 19103</v>
      </c>
      <c r="AE2098" s="1" t="str">
        <f t="shared" si="22"/>
        <v>2200 CHESTNUT ST</v>
      </c>
      <c r="AF2098" s="1">
        <f t="shared" si="23"/>
        <v>39.95227234</v>
      </c>
      <c r="AG2098" s="1">
        <f t="shared" si="24"/>
        <v>-75.177392060000003</v>
      </c>
      <c r="AH2098" s="1" t="str">
        <f>IF(I2098=0,"Not contacted",IF(INDEX('Staff Review'!$J$8:$J$507,I2098)="","Not contacted",INDEX('Staff Review'!$J$8:$J$507,I2098)))</f>
        <v>Not contacted</v>
      </c>
      <c r="AI2098" s="1" t="str">
        <f ca="1">IF(I2098=0,"No",IF(AND(COUNT(INDEX('Staff Review'!$D$8:$D$507,I2098))=1,INDEX('Staff Review'!$D$8:$D$507,I2098)&gt;=0,COUNT(INDEX('Staff Review'!$E$8:$E$507,I2098))=1,INDEX('Staff Review'!$E$8:$E$507,I2098)&gt;0,INDEX('Staff Review'!$E$8:$E$507,I2098)&lt;='Top 25'!$E$5,'Top 25'!$E$5-INDEX('Staff Review'!$E$8:$E$507,I2098)&lt;='Top 25'!$H$5,LEN(INDEX('Staff Review'!$H$8:$H$507,I2098))&gt;0),"Yes","No"))</f>
        <v>No</v>
      </c>
      <c r="AJ2098" s="1" t="str">
        <f>IF(I2098=0,"No",IF(COUNT(INDEX('Staff Review'!$F$8:$F$507,I2098))&lt;&gt;1,"No",IF(AND(INDEX('Staff Review'!$F$8:$F$507,I2098)&gt;=0,MOD(INDEX('Staff Review'!$F$8:$F$507,I2098),1)=0,COUNT(INDEX('Staff Review'!$G$8:$G$507,I2098))=1,INDEX('Staff Review'!$G$8:$G$507,I2098)&gt;0,INDEX('Staff Review'!$G$8:$G$507,I2098)&lt;='Top 25'!$E$5,'Top 25'!$E$5-INDEX('Staff Review'!$G$8:$G$507,I2098)&lt;='Top 25'!$H$5,LEN(INDEX('Staff Review'!$H$8:$H$507,I2098))&gt;0),"Yes","No")))</f>
        <v>No</v>
      </c>
      <c r="AK2098" s="1">
        <f t="shared" si="25"/>
        <v>1</v>
      </c>
      <c r="AL2098" s="1">
        <f t="shared" ca="1" si="26"/>
        <v>1</v>
      </c>
      <c r="AM2098" s="1">
        <f t="shared" si="27"/>
        <v>2470</v>
      </c>
      <c r="AN2098" s="1">
        <f t="shared" si="28"/>
        <v>48</v>
      </c>
      <c r="AO2098">
        <f t="shared" ca="1" si="29"/>
        <v>291</v>
      </c>
      <c r="AP2098" s="105">
        <f ca="1">IF(AND(AL2098=1,OR('Top 25'!$A$10="All",C2098='Top 25'!$A$10),OR('Top 25'!$D$10="All",D2098='Top 25'!$D$10)),1,0)</f>
        <v>0</v>
      </c>
      <c r="AQ2098" s="105" t="str">
        <f ca="1">IF(AP2098=0,"",CHOOSE(MATCH('Top 25'!$G$10,{"Priority score","Economic need","Enrollment","Fresh miles","Nearby resources"},0),T2098,G2098,F2098,K2098,L2098))</f>
        <v/>
      </c>
      <c r="AR2098" s="105" t="str">
        <f ca="1">IF(AP2098=0,"",1+COUNTIFS($AP$2051:$AP$2550,1,$AQ$2051:$AQ$2550,IF('Top 25'!$J$10="Ascending","&lt;","&gt;")&amp;AQ2098)+COUNTIFS($AP$2051:$AP$2550,1,$AQ$2051:$AQ$2550,AQ2098,$W$2051:$W$2550,"&lt;"&amp;W2098))</f>
        <v/>
      </c>
      <c r="AT2098" s="105">
        <f ca="1">IF(AND(AL2098=1,OR(Master_rankableSchools!$A$10="All",C2098=Master_rankableSchools!$A$10),OR(Master_rankableSchools!$D$10="All",D2098=Master_rankableSchools!$D$10)),1,0)</f>
        <v>1</v>
      </c>
      <c r="AU2098" s="105">
        <f ca="1">IF(AT2098=0,"",CHOOSE(MATCH(Master_rankableSchools!$G$10,{"Priority score","Economic need","Enrollment","Fresh miles","Nearby resources"},0),T2098,G2098,F2098,K2098,L2098))</f>
        <v>10</v>
      </c>
      <c r="AV2098" s="105">
        <f ca="1">IF(AT2098=0,"",1+COUNTIFS($AT$2051:$AT$2550,1,$AU$2051:$AU$2550,IF(Master_rankableSchools!$J$10="Ascending","&lt;","&gt;")&amp;AU2098)+COUNTIFS($AT$2051:$AT$2550,1,$AU$2051:$AU$2550,AU2098,$W$2051:$W$2550,"&lt;"&amp;W2098))</f>
        <v>291</v>
      </c>
    </row>
    <row r="2099" spans="1:48" ht="22" customHeight="1">
      <c r="A2099" s="1" t="str">
        <f t="shared" si="0"/>
        <v>2480</v>
      </c>
      <c r="B2099" s="1" t="str">
        <f t="shared" si="1"/>
        <v>Marian Anderson Neighborhood Academy</v>
      </c>
      <c r="C2099" s="1" t="str">
        <f t="shared" si="2"/>
        <v>District</v>
      </c>
      <c r="D2099" s="1" t="str">
        <f t="shared" si="3"/>
        <v>Elementary-Middle</v>
      </c>
      <c r="E2099" s="1" t="str">
        <f t="shared" si="4"/>
        <v>19146</v>
      </c>
      <c r="F2099" s="1">
        <f t="shared" si="5"/>
        <v>348</v>
      </c>
      <c r="G2099" s="1">
        <f t="shared" si="6"/>
        <v>0.41089999999999999</v>
      </c>
      <c r="H2099" s="1" t="str">
        <f t="shared" si="7"/>
        <v>Yes</v>
      </c>
      <c r="I2099" s="1">
        <f>IF(OR(A2099="",COUNTIFS('Staff Review'!$A$8:$A$507,A2099)&lt;&gt;1),0,MATCH(A2099,'Staff Review'!$A$8:$A$507,0))</f>
        <v>173</v>
      </c>
      <c r="J2099" s="1" t="str">
        <f>IF(I2099=0,"No",IF(INDEX('Staff Review'!$C$8:$C$507,I2099)="Yes","Yes","No"))</f>
        <v>No</v>
      </c>
      <c r="K2099" s="1">
        <f ca="1">IF(AI2099="Yes",INDEX('Staff Review'!$D$8:$D$507,I2099),IF(AB2099=0,"",IF(COUNT(INDEX($C$1531:$C$2030,AB2099))=1,INDEX($C$1531:$C$2030,AB2099),"")))</f>
        <v>0.22881499019783172</v>
      </c>
      <c r="L2099" s="1">
        <f>IF(AJ2099="Yes",INDEX('Staff Review'!$F$8:$F$507,I2099),IF(AB2099=0,"",IF(COUNT(INDEX($G$1531:$G$2030,AB2099))=1,INDEX($G$1531:$G$2030,AB2099),"")))</f>
        <v>16</v>
      </c>
      <c r="M2099" s="1" t="str">
        <f t="shared" ca="1" si="8"/>
        <v>Listed</v>
      </c>
      <c r="N2099" s="1" t="str">
        <f t="shared" si="9"/>
        <v>Listed</v>
      </c>
      <c r="O2099" s="1">
        <f t="shared" si="10"/>
        <v>5</v>
      </c>
      <c r="P2099" s="1">
        <f t="shared" ca="1" si="11"/>
        <v>5</v>
      </c>
      <c r="Q2099" s="1">
        <f t="shared" si="12"/>
        <v>0</v>
      </c>
      <c r="R2099" s="1">
        <f t="shared" si="13"/>
        <v>2</v>
      </c>
      <c r="S2099" s="1">
        <f t="shared" ca="1" si="14"/>
        <v>12</v>
      </c>
      <c r="T2099" s="1">
        <f ca="1">IF(OR(COUNT(O2099:R2099)&lt;&gt;4,COUNT('Top 25'!$B$45:$E$45)&lt;&gt;4,MIN('Top 25'!$B$45:$E$45)&lt;0,SUM('Top 25'!$B$45:$E$45)&lt;=0),"",ROUND(85*(O2099/30*'Top 25'!$B$45+P2099/25*'Top 25'!$C$45+Q2099/25*'Top 25'!$D$45+R2099/5*'Top 25'!$E$45)/SUM('Top 25'!$B$45:$E$45),6))</f>
        <v>12</v>
      </c>
      <c r="U2099" s="1" t="str">
        <f t="shared" ca="1" si="15"/>
        <v>Listed</v>
      </c>
      <c r="V2099" s="1" t="str">
        <f ca="1">IF(A2099="","",IF(AK2099&lt;&gt;1,"Duplicate source ID",IF(COUNTIFS('Staff Review'!$A$8:$A$507,A2099)&gt;1,"Duplicate review ID",IF(H2099&lt;&gt;"Yes","Outside scope",IF(J2099="Yes","Already served",IF(NOT(ISNUMBER(T2099)),"Missing data","Candidate"))))))</f>
        <v>Candidate</v>
      </c>
      <c r="W2099" s="1">
        <f t="shared" ca="1" si="16"/>
        <v>289</v>
      </c>
      <c r="X2099" s="1">
        <f t="shared" ca="1" si="17"/>
        <v>288</v>
      </c>
      <c r="Y2099" s="1">
        <f ca="1">IF(AND(H2099="Yes",OR(LEN('School Search'!$B$5)=0,ISNUMBER(SEARCH('School Search'!$B$5,B2099&amp;" "&amp;E2099&amp;" "&amp;A2099))),OR('School Search'!$D$5="All",C2099='School Search'!$D$5),OR('School Search'!$G$5="All eligible",AND('School Search'!$G$5="Not marked served",J2099&lt;&gt;"Yes"),AND('School Search'!$G$5="Missing data",V2099="Missing data"),AND('School Search'!$G$5="Marked served",J2099="Yes"))),1,0)</f>
        <v>1</v>
      </c>
      <c r="Z2099" s="1">
        <f ca="1">IF(Y2099=0,"",COUNTIFS($Y$2051:$Y$2550,1,$AO$2051:$AO$2550,"&lt;"&amp;AO2099)+COUNTIFS($Y$2051:Y2099,1,$AO$2051:AO2099,AO2099))</f>
        <v>289</v>
      </c>
      <c r="AA2099" s="1" t="str">
        <f t="shared" ca="1" si="18"/>
        <v>41% economic need; 0.23 mi fresh access; 16 nearby resources</v>
      </c>
      <c r="AB2099" s="1">
        <f t="shared" si="19"/>
        <v>49</v>
      </c>
      <c r="AC2099" s="1" t="str">
        <f t="shared" si="20"/>
        <v>ALDI 60161</v>
      </c>
      <c r="AD2099" s="1" t="str">
        <f t="shared" si="21"/>
        <v>2101 Washington Ave, Philadelphia, PA, 19146</v>
      </c>
      <c r="AE2099" s="1" t="str">
        <f t="shared" si="22"/>
        <v>2000 CATHARINE ST</v>
      </c>
      <c r="AF2099" s="1">
        <f t="shared" si="23"/>
        <v>39.941900830000002</v>
      </c>
      <c r="AG2099" s="1">
        <f t="shared" si="24"/>
        <v>-75.175698819999994</v>
      </c>
      <c r="AH2099" s="1" t="str">
        <f>IF(I2099=0,"Not contacted",IF(INDEX('Staff Review'!$J$8:$J$507,I2099)="","Not contacted",INDEX('Staff Review'!$J$8:$J$507,I2099)))</f>
        <v>Not contacted</v>
      </c>
      <c r="AI2099" s="1" t="str">
        <f ca="1">IF(I2099=0,"No",IF(AND(COUNT(INDEX('Staff Review'!$D$8:$D$507,I2099))=1,INDEX('Staff Review'!$D$8:$D$507,I2099)&gt;=0,COUNT(INDEX('Staff Review'!$E$8:$E$507,I2099))=1,INDEX('Staff Review'!$E$8:$E$507,I2099)&gt;0,INDEX('Staff Review'!$E$8:$E$507,I2099)&lt;='Top 25'!$E$5,'Top 25'!$E$5-INDEX('Staff Review'!$E$8:$E$507,I2099)&lt;='Top 25'!$H$5,LEN(INDEX('Staff Review'!$H$8:$H$507,I2099))&gt;0),"Yes","No"))</f>
        <v>No</v>
      </c>
      <c r="AJ2099" s="1" t="str">
        <f>IF(I2099=0,"No",IF(COUNT(INDEX('Staff Review'!$F$8:$F$507,I2099))&lt;&gt;1,"No",IF(AND(INDEX('Staff Review'!$F$8:$F$507,I2099)&gt;=0,MOD(INDEX('Staff Review'!$F$8:$F$507,I2099),1)=0,COUNT(INDEX('Staff Review'!$G$8:$G$507,I2099))=1,INDEX('Staff Review'!$G$8:$G$507,I2099)&gt;0,INDEX('Staff Review'!$G$8:$G$507,I2099)&lt;='Top 25'!$E$5,'Top 25'!$E$5-INDEX('Staff Review'!$G$8:$G$507,I2099)&lt;='Top 25'!$H$5,LEN(INDEX('Staff Review'!$H$8:$H$507,I2099))&gt;0),"Yes","No")))</f>
        <v>No</v>
      </c>
      <c r="AK2099" s="1">
        <f t="shared" si="25"/>
        <v>1</v>
      </c>
      <c r="AL2099" s="1">
        <f t="shared" ca="1" si="26"/>
        <v>1</v>
      </c>
      <c r="AM2099" s="1">
        <f t="shared" si="27"/>
        <v>2480</v>
      </c>
      <c r="AN2099" s="1">
        <f t="shared" si="28"/>
        <v>49</v>
      </c>
      <c r="AO2099">
        <f t="shared" ca="1" si="29"/>
        <v>289</v>
      </c>
      <c r="AP2099" s="105">
        <f ca="1">IF(AND(AL2099=1,OR('Top 25'!$A$10="All",C2099='Top 25'!$A$10),OR('Top 25'!$D$10="All",D2099='Top 25'!$D$10)),1,0)</f>
        <v>0</v>
      </c>
      <c r="AQ2099" s="105" t="str">
        <f ca="1">IF(AP2099=0,"",CHOOSE(MATCH('Top 25'!$G$10,{"Priority score","Economic need","Enrollment","Fresh miles","Nearby resources"},0),T2099,G2099,F2099,K2099,L2099))</f>
        <v/>
      </c>
      <c r="AR2099" s="105" t="str">
        <f ca="1">IF(AP2099=0,"",1+COUNTIFS($AP$2051:$AP$2550,1,$AQ$2051:$AQ$2550,IF('Top 25'!$J$10="Ascending","&lt;","&gt;")&amp;AQ2099)+COUNTIFS($AP$2051:$AP$2550,1,$AQ$2051:$AQ$2550,AQ2099,$W$2051:$W$2550,"&lt;"&amp;W2099))</f>
        <v/>
      </c>
      <c r="AT2099" s="105">
        <f ca="1">IF(AND(AL2099=1,OR(Master_rankableSchools!$A$10="All",C2099=Master_rankableSchools!$A$10),OR(Master_rankableSchools!$D$10="All",D2099=Master_rankableSchools!$D$10)),1,0)</f>
        <v>1</v>
      </c>
      <c r="AU2099" s="105">
        <f ca="1">IF(AT2099=0,"",CHOOSE(MATCH(Master_rankableSchools!$G$10,{"Priority score","Economic need","Enrollment","Fresh miles","Nearby resources"},0),T2099,G2099,F2099,K2099,L2099))</f>
        <v>12</v>
      </c>
      <c r="AV2099" s="105">
        <f ca="1">IF(AT2099=0,"",1+COUNTIFS($AT$2051:$AT$2550,1,$AU$2051:$AU$2550,IF(Master_rankableSchools!$J$10="Ascending","&lt;","&gt;")&amp;AU2099)+COUNTIFS($AT$2051:$AT$2550,1,$AU$2051:$AU$2550,AU2099,$W$2051:$W$2550,"&lt;"&amp;W2099))</f>
        <v>289</v>
      </c>
    </row>
    <row r="2100" spans="1:48" ht="22" customHeight="1">
      <c r="A2100" s="1" t="str">
        <f t="shared" si="0"/>
        <v>2490</v>
      </c>
      <c r="B2100" s="1" t="str">
        <f t="shared" si="1"/>
        <v>Laura W. Waring School</v>
      </c>
      <c r="C2100" s="1" t="str">
        <f t="shared" si="2"/>
        <v>District</v>
      </c>
      <c r="D2100" s="1" t="str">
        <f t="shared" si="3"/>
        <v>Elementary-Middle</v>
      </c>
      <c r="E2100" s="1" t="str">
        <f t="shared" si="4"/>
        <v>19130</v>
      </c>
      <c r="F2100" s="1">
        <f t="shared" si="5"/>
        <v>170</v>
      </c>
      <c r="G2100" s="1">
        <f t="shared" si="6"/>
        <v>0.79159999999999997</v>
      </c>
      <c r="H2100" s="1" t="str">
        <f t="shared" si="7"/>
        <v>Yes</v>
      </c>
      <c r="I2100" s="1">
        <f>IF(OR(A2100="",COUNTIFS('Staff Review'!$A$8:$A$507,A2100)&lt;&gt;1),0,MATCH(A2100,'Staff Review'!$A$8:$A$507,0))</f>
        <v>169</v>
      </c>
      <c r="J2100" s="1" t="str">
        <f>IF(I2100=0,"No",IF(INDEX('Staff Review'!$C$8:$C$507,I2100)="Yes","Yes","No"))</f>
        <v>No</v>
      </c>
      <c r="K2100" s="1">
        <f ca="1">IF(AI2100="Yes",INDEX('Staff Review'!$D$8:$D$507,I2100),IF(AB2100=0,"",IF(COUNT(INDEX($C$1531:$C$2030,AB2100))=1,INDEX($C$1531:$C$2030,AB2100),"")))</f>
        <v>0.31974289027423447</v>
      </c>
      <c r="L2100" s="1">
        <f>IF(AJ2100="Yes",INDEX('Staff Review'!$F$8:$F$507,I2100),IF(AB2100=0,"",IF(COUNT(INDEX($G$1531:$G$2030,AB2100))=1,INDEX($G$1531:$G$2030,AB2100),"")))</f>
        <v>9</v>
      </c>
      <c r="M2100" s="1" t="str">
        <f t="shared" ca="1" si="8"/>
        <v>Listed</v>
      </c>
      <c r="N2100" s="1" t="str">
        <f t="shared" si="9"/>
        <v>Listed</v>
      </c>
      <c r="O2100" s="1">
        <f t="shared" si="10"/>
        <v>20</v>
      </c>
      <c r="P2100" s="1">
        <f t="shared" ca="1" si="11"/>
        <v>10</v>
      </c>
      <c r="Q2100" s="1">
        <f t="shared" si="12"/>
        <v>0</v>
      </c>
      <c r="R2100" s="1">
        <f t="shared" si="13"/>
        <v>1</v>
      </c>
      <c r="S2100" s="1">
        <f t="shared" ca="1" si="14"/>
        <v>31</v>
      </c>
      <c r="T2100" s="1">
        <f ca="1">IF(OR(COUNT(O2100:R2100)&lt;&gt;4,COUNT('Top 25'!$B$45:$E$45)&lt;&gt;4,MIN('Top 25'!$B$45:$E$45)&lt;0,SUM('Top 25'!$B$45:$E$45)&lt;=0),"",ROUND(85*(O2100/30*'Top 25'!$B$45+P2100/25*'Top 25'!$C$45+Q2100/25*'Top 25'!$D$45+R2100/5*'Top 25'!$E$45)/SUM('Top 25'!$B$45:$E$45),6))</f>
        <v>31</v>
      </c>
      <c r="U2100" s="1" t="str">
        <f t="shared" ca="1" si="15"/>
        <v>Listed</v>
      </c>
      <c r="V2100" s="1" t="str">
        <f ca="1">IF(A2100="","",IF(AK2100&lt;&gt;1,"Duplicate source ID",IF(COUNTIFS('Staff Review'!$A$8:$A$507,A2100)&gt;1,"Duplicate review ID",IF(H2100&lt;&gt;"Yes","Outside scope",IF(J2100="Yes","Already served",IF(NOT(ISNUMBER(T2100)),"Missing data","Candidate"))))))</f>
        <v>Candidate</v>
      </c>
      <c r="W2100" s="1">
        <f t="shared" ca="1" si="16"/>
        <v>251</v>
      </c>
      <c r="X2100" s="1">
        <f t="shared" ca="1" si="17"/>
        <v>251</v>
      </c>
      <c r="Y2100" s="1">
        <f ca="1">IF(AND(H2100="Yes",OR(LEN('School Search'!$B$5)=0,ISNUMBER(SEARCH('School Search'!$B$5,B2100&amp;" "&amp;E2100&amp;" "&amp;A2100))),OR('School Search'!$D$5="All",C2100='School Search'!$D$5),OR('School Search'!$G$5="All eligible",AND('School Search'!$G$5="Not marked served",J2100&lt;&gt;"Yes"),AND('School Search'!$G$5="Missing data",V2100="Missing data"),AND('School Search'!$G$5="Marked served",J2100="Yes"))),1,0)</f>
        <v>1</v>
      </c>
      <c r="Z2100" s="1">
        <f ca="1">IF(Y2100=0,"",COUNTIFS($Y$2051:$Y$2550,1,$AO$2051:$AO$2550,"&lt;"&amp;AO2100)+COUNTIFS($Y$2051:Y2100,1,$AO$2051:AO2100,AO2100))</f>
        <v>251</v>
      </c>
      <c r="AA2100" s="1" t="str">
        <f t="shared" ca="1" si="18"/>
        <v>79% economic need; 0.32 mi fresh access; 9 nearby resources</v>
      </c>
      <c r="AB2100" s="1">
        <f t="shared" si="19"/>
        <v>50</v>
      </c>
      <c r="AC2100" s="1" t="str">
        <f t="shared" si="20"/>
        <v>Giant Food Store 6573</v>
      </c>
      <c r="AD2100" s="1" t="str">
        <f t="shared" si="21"/>
        <v>510 N Broad St, Philadelphia, PA, 19130</v>
      </c>
      <c r="AE2100" s="1" t="str">
        <f t="shared" si="22"/>
        <v>1801 GREEN ST</v>
      </c>
      <c r="AF2100" s="1">
        <f t="shared" si="23"/>
        <v>39.964919389999999</v>
      </c>
      <c r="AG2100" s="1">
        <f t="shared" si="24"/>
        <v>-75.167700600000003</v>
      </c>
      <c r="AH2100" s="1" t="str">
        <f>IF(I2100=0,"Not contacted",IF(INDEX('Staff Review'!$J$8:$J$507,I2100)="","Not contacted",INDEX('Staff Review'!$J$8:$J$507,I2100)))</f>
        <v>Not contacted</v>
      </c>
      <c r="AI2100" s="1" t="str">
        <f ca="1">IF(I2100=0,"No",IF(AND(COUNT(INDEX('Staff Review'!$D$8:$D$507,I2100))=1,INDEX('Staff Review'!$D$8:$D$507,I2100)&gt;=0,COUNT(INDEX('Staff Review'!$E$8:$E$507,I2100))=1,INDEX('Staff Review'!$E$8:$E$507,I2100)&gt;0,INDEX('Staff Review'!$E$8:$E$507,I2100)&lt;='Top 25'!$E$5,'Top 25'!$E$5-INDEX('Staff Review'!$E$8:$E$507,I2100)&lt;='Top 25'!$H$5,LEN(INDEX('Staff Review'!$H$8:$H$507,I2100))&gt;0),"Yes","No"))</f>
        <v>No</v>
      </c>
      <c r="AJ2100" s="1" t="str">
        <f>IF(I2100=0,"No",IF(COUNT(INDEX('Staff Review'!$F$8:$F$507,I2100))&lt;&gt;1,"No",IF(AND(INDEX('Staff Review'!$F$8:$F$507,I2100)&gt;=0,MOD(INDEX('Staff Review'!$F$8:$F$507,I2100),1)=0,COUNT(INDEX('Staff Review'!$G$8:$G$507,I2100))=1,INDEX('Staff Review'!$G$8:$G$507,I2100)&gt;0,INDEX('Staff Review'!$G$8:$G$507,I2100)&lt;='Top 25'!$E$5,'Top 25'!$E$5-INDEX('Staff Review'!$G$8:$G$507,I2100)&lt;='Top 25'!$H$5,LEN(INDEX('Staff Review'!$H$8:$H$507,I2100))&gt;0),"Yes","No")))</f>
        <v>No</v>
      </c>
      <c r="AK2100" s="1">
        <f t="shared" si="25"/>
        <v>1</v>
      </c>
      <c r="AL2100" s="1">
        <f t="shared" ca="1" si="26"/>
        <v>1</v>
      </c>
      <c r="AM2100" s="1">
        <f t="shared" si="27"/>
        <v>2490</v>
      </c>
      <c r="AN2100" s="1">
        <f t="shared" si="28"/>
        <v>50</v>
      </c>
      <c r="AO2100">
        <f t="shared" ca="1" si="29"/>
        <v>251</v>
      </c>
      <c r="AP2100" s="105">
        <f ca="1">IF(AND(AL2100=1,OR('Top 25'!$A$10="All",C2100='Top 25'!$A$10),OR('Top 25'!$D$10="All",D2100='Top 25'!$D$10)),1,0)</f>
        <v>0</v>
      </c>
      <c r="AQ2100" s="105" t="str">
        <f ca="1">IF(AP2100=0,"",CHOOSE(MATCH('Top 25'!$G$10,{"Priority score","Economic need","Enrollment","Fresh miles","Nearby resources"},0),T2100,G2100,F2100,K2100,L2100))</f>
        <v/>
      </c>
      <c r="AR2100" s="105" t="str">
        <f ca="1">IF(AP2100=0,"",1+COUNTIFS($AP$2051:$AP$2550,1,$AQ$2051:$AQ$2550,IF('Top 25'!$J$10="Ascending","&lt;","&gt;")&amp;AQ2100)+COUNTIFS($AP$2051:$AP$2550,1,$AQ$2051:$AQ$2550,AQ2100,$W$2051:$W$2550,"&lt;"&amp;W2100))</f>
        <v/>
      </c>
      <c r="AT2100" s="105">
        <f ca="1">IF(AND(AL2100=1,OR(Master_rankableSchools!$A$10="All",C2100=Master_rankableSchools!$A$10),OR(Master_rankableSchools!$D$10="All",D2100=Master_rankableSchools!$D$10)),1,0)</f>
        <v>1</v>
      </c>
      <c r="AU2100" s="105">
        <f ca="1">IF(AT2100=0,"",CHOOSE(MATCH(Master_rankableSchools!$G$10,{"Priority score","Economic need","Enrollment","Fresh miles","Nearby resources"},0),T2100,G2100,F2100,K2100,L2100))</f>
        <v>31</v>
      </c>
      <c r="AV2100" s="105">
        <f ca="1">IF(AT2100=0,"",1+COUNTIFS($AT$2051:$AT$2550,1,$AU$2051:$AU$2550,IF(Master_rankableSchools!$J$10="Ascending","&lt;","&gt;")&amp;AU2100)+COUNTIFS($AT$2051:$AT$2550,1,$AU$2051:$AU$2550,AU2100,$W$2051:$W$2550,"&lt;"&amp;W2100))</f>
        <v>251</v>
      </c>
    </row>
    <row r="2101" spans="1:48" ht="22" customHeight="1">
      <c r="A2101" s="1" t="str">
        <f t="shared" si="0"/>
        <v>2510</v>
      </c>
      <c r="B2101" s="1" t="str">
        <f t="shared" si="1"/>
        <v>Fanny Jackson Coppin School</v>
      </c>
      <c r="C2101" s="1" t="str">
        <f t="shared" si="2"/>
        <v>District</v>
      </c>
      <c r="D2101" s="1" t="str">
        <f t="shared" si="3"/>
        <v>Elementary-Middle</v>
      </c>
      <c r="E2101" s="1" t="str">
        <f t="shared" si="4"/>
        <v>19147</v>
      </c>
      <c r="F2101" s="1">
        <f t="shared" si="5"/>
        <v>541</v>
      </c>
      <c r="G2101" s="1">
        <f t="shared" si="6"/>
        <v>0.45639999999999997</v>
      </c>
      <c r="H2101" s="1" t="str">
        <f t="shared" si="7"/>
        <v>Yes</v>
      </c>
      <c r="I2101" s="1">
        <f>IF(OR(A2101="",COUNTIFS('Staff Review'!$A$8:$A$507,A2101)&lt;&gt;1),0,MATCH(A2101,'Staff Review'!$A$8:$A$507,0))</f>
        <v>72</v>
      </c>
      <c r="J2101" s="1" t="str">
        <f>IF(I2101=0,"No",IF(INDEX('Staff Review'!$C$8:$C$507,I2101)="Yes","Yes","No"))</f>
        <v>No</v>
      </c>
      <c r="K2101" s="1">
        <f ca="1">IF(AI2101="Yes",INDEX('Staff Review'!$D$8:$D$507,I2101),IF(AB2101=0,"",IF(COUNT(INDEX($C$1531:$C$2030,AB2101))=1,INDEX($C$1531:$C$2030,AB2101),"")))</f>
        <v>0.1719375482245509</v>
      </c>
      <c r="L2101" s="1">
        <f>IF(AJ2101="Yes",INDEX('Staff Review'!$F$8:$F$507,I2101),IF(AB2101=0,"",IF(COUNT(INDEX($G$1531:$G$2030,AB2101))=1,INDEX($G$1531:$G$2030,AB2101),"")))</f>
        <v>11</v>
      </c>
      <c r="M2101" s="1" t="str">
        <f t="shared" ca="1" si="8"/>
        <v>Listed</v>
      </c>
      <c r="N2101" s="1" t="str">
        <f t="shared" si="9"/>
        <v>Listed</v>
      </c>
      <c r="O2101" s="1">
        <f t="shared" si="10"/>
        <v>5</v>
      </c>
      <c r="P2101" s="1">
        <f t="shared" ca="1" si="11"/>
        <v>5</v>
      </c>
      <c r="Q2101" s="1">
        <f t="shared" si="12"/>
        <v>0</v>
      </c>
      <c r="R2101" s="1">
        <f t="shared" si="13"/>
        <v>4</v>
      </c>
      <c r="S2101" s="1">
        <f t="shared" ca="1" si="14"/>
        <v>14</v>
      </c>
      <c r="T2101" s="1">
        <f ca="1">IF(OR(COUNT(O2101:R2101)&lt;&gt;4,COUNT('Top 25'!$B$45:$E$45)&lt;&gt;4,MIN('Top 25'!$B$45:$E$45)&lt;0,SUM('Top 25'!$B$45:$E$45)&lt;=0),"",ROUND(85*(O2101/30*'Top 25'!$B$45+P2101/25*'Top 25'!$C$45+Q2101/25*'Top 25'!$D$45+R2101/5*'Top 25'!$E$45)/SUM('Top 25'!$B$45:$E$45),6))</f>
        <v>14</v>
      </c>
      <c r="U2101" s="1" t="str">
        <f t="shared" ca="1" si="15"/>
        <v>Listed</v>
      </c>
      <c r="V2101" s="1" t="str">
        <f ca="1">IF(A2101="","",IF(AK2101&lt;&gt;1,"Duplicate source ID",IF(COUNTIFS('Staff Review'!$A$8:$A$507,A2101)&gt;1,"Duplicate review ID",IF(H2101&lt;&gt;"Yes","Outside scope",IF(J2101="Yes","Already served",IF(NOT(ISNUMBER(T2101)),"Missing data","Candidate"))))))</f>
        <v>Candidate</v>
      </c>
      <c r="W2101" s="1">
        <f t="shared" ca="1" si="16"/>
        <v>285</v>
      </c>
      <c r="X2101" s="1">
        <f t="shared" ca="1" si="17"/>
        <v>283</v>
      </c>
      <c r="Y2101" s="1">
        <f ca="1">IF(AND(H2101="Yes",OR(LEN('School Search'!$B$5)=0,ISNUMBER(SEARCH('School Search'!$B$5,B2101&amp;" "&amp;E2101&amp;" "&amp;A2101))),OR('School Search'!$D$5="All",C2101='School Search'!$D$5),OR('School Search'!$G$5="All eligible",AND('School Search'!$G$5="Not marked served",J2101&lt;&gt;"Yes"),AND('School Search'!$G$5="Missing data",V2101="Missing data"),AND('School Search'!$G$5="Marked served",J2101="Yes"))),1,0)</f>
        <v>1</v>
      </c>
      <c r="Z2101" s="1">
        <f ca="1">IF(Y2101=0,"",COUNTIFS($Y$2051:$Y$2550,1,$AO$2051:$AO$2550,"&lt;"&amp;AO2101)+COUNTIFS($Y$2051:Y2101,1,$AO$2051:AO2101,AO2101))</f>
        <v>285</v>
      </c>
      <c r="AA2101" s="1" t="str">
        <f t="shared" ca="1" si="18"/>
        <v>46% economic need; 0.17 mi fresh access; 11 nearby resources</v>
      </c>
      <c r="AB2101" s="1">
        <f t="shared" si="19"/>
        <v>51</v>
      </c>
      <c r="AC2101" s="1" t="str">
        <f t="shared" si="20"/>
        <v>ACME 726</v>
      </c>
      <c r="AD2101" s="1" t="str">
        <f t="shared" si="21"/>
        <v>1400 E Passyunk Ave, Philadelphia, PA, 19147</v>
      </c>
      <c r="AE2101" s="1" t="str">
        <f t="shared" si="22"/>
        <v>1213 S 12TH ST</v>
      </c>
      <c r="AF2101" s="1">
        <f t="shared" si="23"/>
        <v>39.934623000000002</v>
      </c>
      <c r="AG2101" s="1">
        <f t="shared" si="24"/>
        <v>-75.163481000000004</v>
      </c>
      <c r="AH2101" s="1" t="str">
        <f>IF(I2101=0,"Not contacted",IF(INDEX('Staff Review'!$J$8:$J$507,I2101)="","Not contacted",INDEX('Staff Review'!$J$8:$J$507,I2101)))</f>
        <v>Not contacted</v>
      </c>
      <c r="AI2101" s="1" t="str">
        <f ca="1">IF(I2101=0,"No",IF(AND(COUNT(INDEX('Staff Review'!$D$8:$D$507,I2101))=1,INDEX('Staff Review'!$D$8:$D$507,I2101)&gt;=0,COUNT(INDEX('Staff Review'!$E$8:$E$507,I2101))=1,INDEX('Staff Review'!$E$8:$E$507,I2101)&gt;0,INDEX('Staff Review'!$E$8:$E$507,I2101)&lt;='Top 25'!$E$5,'Top 25'!$E$5-INDEX('Staff Review'!$E$8:$E$507,I2101)&lt;='Top 25'!$H$5,LEN(INDEX('Staff Review'!$H$8:$H$507,I2101))&gt;0),"Yes","No"))</f>
        <v>No</v>
      </c>
      <c r="AJ2101" s="1" t="str">
        <f>IF(I2101=0,"No",IF(COUNT(INDEX('Staff Review'!$F$8:$F$507,I2101))&lt;&gt;1,"No",IF(AND(INDEX('Staff Review'!$F$8:$F$507,I2101)&gt;=0,MOD(INDEX('Staff Review'!$F$8:$F$507,I2101),1)=0,COUNT(INDEX('Staff Review'!$G$8:$G$507,I2101))=1,INDEX('Staff Review'!$G$8:$G$507,I2101)&gt;0,INDEX('Staff Review'!$G$8:$G$507,I2101)&lt;='Top 25'!$E$5,'Top 25'!$E$5-INDEX('Staff Review'!$G$8:$G$507,I2101)&lt;='Top 25'!$H$5,LEN(INDEX('Staff Review'!$H$8:$H$507,I2101))&gt;0),"Yes","No")))</f>
        <v>No</v>
      </c>
      <c r="AK2101" s="1">
        <f t="shared" si="25"/>
        <v>1</v>
      </c>
      <c r="AL2101" s="1">
        <f t="shared" ca="1" si="26"/>
        <v>1</v>
      </c>
      <c r="AM2101" s="1">
        <f t="shared" si="27"/>
        <v>2510</v>
      </c>
      <c r="AN2101" s="1">
        <f t="shared" si="28"/>
        <v>51</v>
      </c>
      <c r="AO2101">
        <f t="shared" ca="1" si="29"/>
        <v>285</v>
      </c>
      <c r="AP2101" s="105">
        <f ca="1">IF(AND(AL2101=1,OR('Top 25'!$A$10="All",C2101='Top 25'!$A$10),OR('Top 25'!$D$10="All",D2101='Top 25'!$D$10)),1,0)</f>
        <v>0</v>
      </c>
      <c r="AQ2101" s="105" t="str">
        <f ca="1">IF(AP2101=0,"",CHOOSE(MATCH('Top 25'!$G$10,{"Priority score","Economic need","Enrollment","Fresh miles","Nearby resources"},0),T2101,G2101,F2101,K2101,L2101))</f>
        <v/>
      </c>
      <c r="AR2101" s="105" t="str">
        <f ca="1">IF(AP2101=0,"",1+COUNTIFS($AP$2051:$AP$2550,1,$AQ$2051:$AQ$2550,IF('Top 25'!$J$10="Ascending","&lt;","&gt;")&amp;AQ2101)+COUNTIFS($AP$2051:$AP$2550,1,$AQ$2051:$AQ$2550,AQ2101,$W$2051:$W$2550,"&lt;"&amp;W2101))</f>
        <v/>
      </c>
      <c r="AT2101" s="105">
        <f ca="1">IF(AND(AL2101=1,OR(Master_rankableSchools!$A$10="All",C2101=Master_rankableSchools!$A$10),OR(Master_rankableSchools!$D$10="All",D2101=Master_rankableSchools!$D$10)),1,0)</f>
        <v>1</v>
      </c>
      <c r="AU2101" s="105">
        <f ca="1">IF(AT2101=0,"",CHOOSE(MATCH(Master_rankableSchools!$G$10,{"Priority score","Economic need","Enrollment","Fresh miles","Nearby resources"},0),T2101,G2101,F2101,K2101,L2101))</f>
        <v>14</v>
      </c>
      <c r="AV2101" s="105">
        <f ca="1">IF(AT2101=0,"",1+COUNTIFS($AT$2051:$AT$2550,1,$AU$2051:$AU$2550,IF(Master_rankableSchools!$J$10="Ascending","&lt;","&gt;")&amp;AU2101)+COUNTIFS($AT$2051:$AT$2550,1,$AU$2051:$AU$2550,AU2101,$W$2051:$W$2550,"&lt;"&amp;W2101))</f>
        <v>285</v>
      </c>
    </row>
    <row r="2102" spans="1:48" ht="22" customHeight="1">
      <c r="A2102" s="1" t="str">
        <f t="shared" si="0"/>
        <v>2520</v>
      </c>
      <c r="B2102" s="1" t="str">
        <f t="shared" si="1"/>
        <v>Abram S. Jenks School</v>
      </c>
      <c r="C2102" s="1" t="str">
        <f t="shared" si="2"/>
        <v>District</v>
      </c>
      <c r="D2102" s="1" t="str">
        <f t="shared" si="3"/>
        <v>Elementary</v>
      </c>
      <c r="E2102" s="1" t="str">
        <f t="shared" si="4"/>
        <v>19148</v>
      </c>
      <c r="F2102" s="1">
        <f t="shared" si="5"/>
        <v>272</v>
      </c>
      <c r="G2102" s="1">
        <f t="shared" si="6"/>
        <v>0.61899999999999999</v>
      </c>
      <c r="H2102" s="1" t="str">
        <f t="shared" si="7"/>
        <v>Yes</v>
      </c>
      <c r="I2102" s="1">
        <f>IF(OR(A2102="",COUNTIFS('Staff Review'!$A$8:$A$507,A2102)&lt;&gt;1),0,MATCH(A2102,'Staff Review'!$A$8:$A$507,0))</f>
        <v>3</v>
      </c>
      <c r="J2102" s="1" t="str">
        <f>IF(I2102=0,"No",IF(INDEX('Staff Review'!$C$8:$C$507,I2102)="Yes","Yes","No"))</f>
        <v>No</v>
      </c>
      <c r="K2102" s="1">
        <f ca="1">IF(AI2102="Yes",INDEX('Staff Review'!$D$8:$D$507,I2102),IF(AB2102=0,"",IF(COUNT(INDEX($C$1531:$C$2030,AB2102))=1,INDEX($C$1531:$C$2030,AB2102),"")))</f>
        <v>0.39797068808990738</v>
      </c>
      <c r="L2102" s="1">
        <f>IF(AJ2102="Yes",INDEX('Staff Review'!$F$8:$F$507,I2102),IF(AB2102=0,"",IF(COUNT(INDEX($G$1531:$G$2030,AB2102))=1,INDEX($G$1531:$G$2030,AB2102),"")))</f>
        <v>6</v>
      </c>
      <c r="M2102" s="1" t="str">
        <f t="shared" ca="1" si="8"/>
        <v>Listed</v>
      </c>
      <c r="N2102" s="1" t="str">
        <f t="shared" si="9"/>
        <v>Listed</v>
      </c>
      <c r="O2102" s="1">
        <f t="shared" si="10"/>
        <v>15</v>
      </c>
      <c r="P2102" s="1">
        <f t="shared" ca="1" si="11"/>
        <v>10</v>
      </c>
      <c r="Q2102" s="1">
        <f t="shared" si="12"/>
        <v>0</v>
      </c>
      <c r="R2102" s="1">
        <f t="shared" si="13"/>
        <v>2</v>
      </c>
      <c r="S2102" s="1">
        <f t="shared" ca="1" si="14"/>
        <v>27</v>
      </c>
      <c r="T2102" s="1">
        <f ca="1">IF(OR(COUNT(O2102:R2102)&lt;&gt;4,COUNT('Top 25'!$B$45:$E$45)&lt;&gt;4,MIN('Top 25'!$B$45:$E$45)&lt;0,SUM('Top 25'!$B$45:$E$45)&lt;=0),"",ROUND(85*(O2102/30*'Top 25'!$B$45+P2102/25*'Top 25'!$C$45+Q2102/25*'Top 25'!$D$45+R2102/5*'Top 25'!$E$45)/SUM('Top 25'!$B$45:$E$45),6))</f>
        <v>27</v>
      </c>
      <c r="U2102" s="1" t="str">
        <f t="shared" ca="1" si="15"/>
        <v>Listed</v>
      </c>
      <c r="V2102" s="1" t="str">
        <f ca="1">IF(A2102="","",IF(AK2102&lt;&gt;1,"Duplicate source ID",IF(COUNTIFS('Staff Review'!$A$8:$A$507,A2102)&gt;1,"Duplicate review ID",IF(H2102&lt;&gt;"Yes","Outside scope",IF(J2102="Yes","Already served",IF(NOT(ISNUMBER(T2102)),"Missing data","Candidate"))))))</f>
        <v>Candidate</v>
      </c>
      <c r="W2102" s="1">
        <f t="shared" ca="1" si="16"/>
        <v>268</v>
      </c>
      <c r="X2102" s="1">
        <f t="shared" ca="1" si="17"/>
        <v>266</v>
      </c>
      <c r="Y2102" s="1">
        <f ca="1">IF(AND(H2102="Yes",OR(LEN('School Search'!$B$5)=0,ISNUMBER(SEARCH('School Search'!$B$5,B2102&amp;" "&amp;E2102&amp;" "&amp;A2102))),OR('School Search'!$D$5="All",C2102='School Search'!$D$5),OR('School Search'!$G$5="All eligible",AND('School Search'!$G$5="Not marked served",J2102&lt;&gt;"Yes"),AND('School Search'!$G$5="Missing data",V2102="Missing data"),AND('School Search'!$G$5="Marked served",J2102="Yes"))),1,0)</f>
        <v>1</v>
      </c>
      <c r="Z2102" s="1">
        <f ca="1">IF(Y2102=0,"",COUNTIFS($Y$2051:$Y$2550,1,$AO$2051:$AO$2550,"&lt;"&amp;AO2102)+COUNTIFS($Y$2051:Y2102,1,$AO$2051:AO2102,AO2102))</f>
        <v>268</v>
      </c>
      <c r="AA2102" s="1" t="str">
        <f t="shared" ca="1" si="18"/>
        <v>62% economic need; 0.40 mi fresh access; 6 nearby resources</v>
      </c>
      <c r="AB2102" s="1">
        <f t="shared" si="19"/>
        <v>52</v>
      </c>
      <c r="AC2102" s="1" t="str">
        <f t="shared" si="20"/>
        <v>South Philly Food Co-op</v>
      </c>
      <c r="AD2102" s="1" t="str">
        <f t="shared" si="21"/>
        <v>2031 S Juniper St, Philadelphia, PA, 19148</v>
      </c>
      <c r="AE2102" s="1" t="str">
        <f t="shared" si="22"/>
        <v>2501 S 13TH ST</v>
      </c>
      <c r="AF2102" s="1">
        <f t="shared" si="23"/>
        <v>39.918773000000002</v>
      </c>
      <c r="AG2102" s="1">
        <f t="shared" si="24"/>
        <v>-75.168367000000003</v>
      </c>
      <c r="AH2102" s="1" t="str">
        <f>IF(I2102=0,"Not contacted",IF(INDEX('Staff Review'!$J$8:$J$507,I2102)="","Not contacted",INDEX('Staff Review'!$J$8:$J$507,I2102)))</f>
        <v>Not contacted</v>
      </c>
      <c r="AI2102" s="1" t="str">
        <f ca="1">IF(I2102=0,"No",IF(AND(COUNT(INDEX('Staff Review'!$D$8:$D$507,I2102))=1,INDEX('Staff Review'!$D$8:$D$507,I2102)&gt;=0,COUNT(INDEX('Staff Review'!$E$8:$E$507,I2102))=1,INDEX('Staff Review'!$E$8:$E$507,I2102)&gt;0,INDEX('Staff Review'!$E$8:$E$507,I2102)&lt;='Top 25'!$E$5,'Top 25'!$E$5-INDEX('Staff Review'!$E$8:$E$507,I2102)&lt;='Top 25'!$H$5,LEN(INDEX('Staff Review'!$H$8:$H$507,I2102))&gt;0),"Yes","No"))</f>
        <v>No</v>
      </c>
      <c r="AJ2102" s="1" t="str">
        <f>IF(I2102=0,"No",IF(COUNT(INDEX('Staff Review'!$F$8:$F$507,I2102))&lt;&gt;1,"No",IF(AND(INDEX('Staff Review'!$F$8:$F$507,I2102)&gt;=0,MOD(INDEX('Staff Review'!$F$8:$F$507,I2102),1)=0,COUNT(INDEX('Staff Review'!$G$8:$G$507,I2102))=1,INDEX('Staff Review'!$G$8:$G$507,I2102)&gt;0,INDEX('Staff Review'!$G$8:$G$507,I2102)&lt;='Top 25'!$E$5,'Top 25'!$E$5-INDEX('Staff Review'!$G$8:$G$507,I2102)&lt;='Top 25'!$H$5,LEN(INDEX('Staff Review'!$H$8:$H$507,I2102))&gt;0),"Yes","No")))</f>
        <v>No</v>
      </c>
      <c r="AK2102" s="1">
        <f t="shared" si="25"/>
        <v>1</v>
      </c>
      <c r="AL2102" s="1">
        <f t="shared" ca="1" si="26"/>
        <v>1</v>
      </c>
      <c r="AM2102" s="1">
        <f t="shared" si="27"/>
        <v>2520</v>
      </c>
      <c r="AN2102" s="1">
        <f t="shared" si="28"/>
        <v>52</v>
      </c>
      <c r="AO2102">
        <f t="shared" ca="1" si="29"/>
        <v>268</v>
      </c>
      <c r="AP2102" s="105">
        <f ca="1">IF(AND(AL2102=1,OR('Top 25'!$A$10="All",C2102='Top 25'!$A$10),OR('Top 25'!$D$10="All",D2102='Top 25'!$D$10)),1,0)</f>
        <v>1</v>
      </c>
      <c r="AQ2102" s="105">
        <f ca="1">IF(AP2102=0,"",CHOOSE(MATCH('Top 25'!$G$10,{"Priority score","Economic need","Enrollment","Fresh miles","Nearby resources"},0),T2102,G2102,F2102,K2102,L2102))</f>
        <v>27</v>
      </c>
      <c r="AR2102" s="105">
        <f ca="1">IF(AP2102=0,"",1+COUNTIFS($AP$2051:$AP$2550,1,$AQ$2051:$AQ$2550,IF('Top 25'!$J$10="Ascending","&lt;","&gt;")&amp;AQ2102)+COUNTIFS($AP$2051:$AP$2550,1,$AQ$2051:$AQ$2550,AQ2102,$W$2051:$W$2550,"&lt;"&amp;W2102))</f>
        <v>42</v>
      </c>
      <c r="AT2102" s="105">
        <f ca="1">IF(AND(AL2102=1,OR(Master_rankableSchools!$A$10="All",C2102=Master_rankableSchools!$A$10),OR(Master_rankableSchools!$D$10="All",D2102=Master_rankableSchools!$D$10)),1,0)</f>
        <v>1</v>
      </c>
      <c r="AU2102" s="105">
        <f ca="1">IF(AT2102=0,"",CHOOSE(MATCH(Master_rankableSchools!$G$10,{"Priority score","Economic need","Enrollment","Fresh miles","Nearby resources"},0),T2102,G2102,F2102,K2102,L2102))</f>
        <v>27</v>
      </c>
      <c r="AV2102" s="105">
        <f ca="1">IF(AT2102=0,"",1+COUNTIFS($AT$2051:$AT$2550,1,$AU$2051:$AU$2550,IF(Master_rankableSchools!$J$10="Ascending","&lt;","&gt;")&amp;AU2102)+COUNTIFS($AT$2051:$AT$2550,1,$AU$2051:$AU$2550,AU2102,$W$2051:$W$2550,"&lt;"&amp;W2102))</f>
        <v>268</v>
      </c>
    </row>
    <row r="2103" spans="1:48" ht="22" customHeight="1">
      <c r="A2103" s="1" t="str">
        <f t="shared" si="0"/>
        <v>2530</v>
      </c>
      <c r="B2103" s="1" t="str">
        <f t="shared" si="1"/>
        <v>Philadelphia Juvenile Justice Services Center</v>
      </c>
      <c r="C2103" s="1" t="str">
        <f t="shared" si="2"/>
        <v>District</v>
      </c>
      <c r="D2103" s="1" t="str">
        <f t="shared" si="3"/>
        <v>Transition/Overage School</v>
      </c>
      <c r="E2103" s="1" t="str">
        <f t="shared" si="4"/>
        <v>19139</v>
      </c>
      <c r="F2103" s="1">
        <f t="shared" si="5"/>
        <v>124</v>
      </c>
      <c r="G2103" s="1" t="str">
        <f t="shared" si="6"/>
        <v/>
      </c>
      <c r="H2103" s="1" t="str">
        <f t="shared" si="7"/>
        <v>Yes</v>
      </c>
      <c r="I2103" s="1">
        <f>IF(OR(A2103="",COUNTIFS('Staff Review'!$A$8:$A$507,A2103)&lt;&gt;1),0,MATCH(A2103,'Staff Review'!$A$8:$A$507,0))</f>
        <v>236</v>
      </c>
      <c r="J2103" s="1" t="str">
        <f>IF(I2103=0,"No",IF(INDEX('Staff Review'!$C$8:$C$507,I2103)="Yes","Yes","No"))</f>
        <v>No</v>
      </c>
      <c r="K2103" s="1">
        <f ca="1">IF(AI2103="Yes",INDEX('Staff Review'!$D$8:$D$507,I2103),IF(AB2103=0,"",IF(COUNT(INDEX($C$1531:$C$2030,AB2103))=1,INDEX($C$1531:$C$2030,AB2103),"")))</f>
        <v>0.20340500695077349</v>
      </c>
      <c r="L2103" s="1">
        <f>IF(AJ2103="Yes",INDEX('Staff Review'!$F$8:$F$507,I2103),IF(AB2103=0,"",IF(COUNT(INDEX($G$1531:$G$2030,AB2103))=1,INDEX($G$1531:$G$2030,AB2103),"")))</f>
        <v>14</v>
      </c>
      <c r="M2103" s="1" t="str">
        <f t="shared" ca="1" si="8"/>
        <v>Listed</v>
      </c>
      <c r="N2103" s="1" t="str">
        <f t="shared" si="9"/>
        <v>Listed</v>
      </c>
      <c r="O2103" s="1" t="str">
        <f t="shared" si="10"/>
        <v/>
      </c>
      <c r="P2103" s="1">
        <f t="shared" ca="1" si="11"/>
        <v>5</v>
      </c>
      <c r="Q2103" s="1">
        <f t="shared" si="12"/>
        <v>0</v>
      </c>
      <c r="R2103" s="1">
        <f t="shared" si="13"/>
        <v>1</v>
      </c>
      <c r="S2103" s="1" t="str">
        <f t="shared" ca="1" si="14"/>
        <v/>
      </c>
      <c r="T2103" s="1" t="str">
        <f ca="1">IF(OR(COUNT(O2103:R2103)&lt;&gt;4,COUNT('Top 25'!$B$45:$E$45)&lt;&gt;4,MIN('Top 25'!$B$45:$E$45)&lt;0,SUM('Top 25'!$B$45:$E$45)&lt;=0),"",ROUND(85*(O2103/30*'Top 25'!$B$45+P2103/25*'Top 25'!$C$45+Q2103/25*'Top 25'!$D$45+R2103/5*'Top 25'!$E$45)/SUM('Top 25'!$B$45:$E$45),6))</f>
        <v/>
      </c>
      <c r="U2103" s="1" t="str">
        <f t="shared" ca="1" si="15"/>
        <v>Listed</v>
      </c>
      <c r="V2103" s="1" t="str">
        <f ca="1">IF(A2103="","",IF(AK2103&lt;&gt;1,"Duplicate source ID",IF(COUNTIFS('Staff Review'!$A$8:$A$507,A2103)&gt;1,"Duplicate review ID",IF(H2103&lt;&gt;"Yes","Outside scope",IF(J2103="Yes","Already served",IF(NOT(ISNUMBER(T2103)),"Missing data","Candidate"))))))</f>
        <v>Missing data</v>
      </c>
      <c r="W2103" s="1" t="str">
        <f t="shared" ca="1" si="16"/>
        <v/>
      </c>
      <c r="X2103" s="1" t="str">
        <f t="shared" ca="1" si="17"/>
        <v/>
      </c>
      <c r="Y2103" s="1">
        <f ca="1">IF(AND(H2103="Yes",OR(LEN('School Search'!$B$5)=0,ISNUMBER(SEARCH('School Search'!$B$5,B2103&amp;" "&amp;E2103&amp;" "&amp;A2103))),OR('School Search'!$D$5="All",C2103='School Search'!$D$5),OR('School Search'!$G$5="All eligible",AND('School Search'!$G$5="Not marked served",J2103&lt;&gt;"Yes"),AND('School Search'!$G$5="Missing data",V2103="Missing data"),AND('School Search'!$G$5="Marked served",J2103="Yes"))),1,0)</f>
        <v>1</v>
      </c>
      <c r="Z2103" s="1">
        <f ca="1">IF(Y2103=0,"",COUNTIFS($Y$2051:$Y$2550,1,$AO$2051:$AO$2550,"&lt;"&amp;AO2103)+COUNTIFS($Y$2051:Y2103,1,$AO$2051:AO2103,AO2103))</f>
        <v>295</v>
      </c>
      <c r="AA2103" s="1" t="str">
        <f t="shared" ca="1" si="18"/>
        <v>Missing demographic or access input</v>
      </c>
      <c r="AB2103" s="1">
        <f t="shared" si="19"/>
        <v>53</v>
      </c>
      <c r="AC2103" s="1" t="str">
        <f t="shared" si="20"/>
        <v>ALDI 54</v>
      </c>
      <c r="AD2103" s="1" t="str">
        <f t="shared" si="21"/>
        <v>4421 Market St, Philadelphia, PA, 19104</v>
      </c>
      <c r="AE2103" s="1" t="str">
        <f t="shared" si="22"/>
        <v>91 N 48TH ST</v>
      </c>
      <c r="AF2103" s="1">
        <f t="shared" si="23"/>
        <v>39.961365649999998</v>
      </c>
      <c r="AG2103" s="1">
        <f t="shared" si="24"/>
        <v>-75.215726239999995</v>
      </c>
      <c r="AH2103" s="1" t="str">
        <f>IF(I2103=0,"Not contacted",IF(INDEX('Staff Review'!$J$8:$J$507,I2103)="","Not contacted",INDEX('Staff Review'!$J$8:$J$507,I2103)))</f>
        <v>Not contacted</v>
      </c>
      <c r="AI2103" s="1" t="str">
        <f ca="1">IF(I2103=0,"No",IF(AND(COUNT(INDEX('Staff Review'!$D$8:$D$507,I2103))=1,INDEX('Staff Review'!$D$8:$D$507,I2103)&gt;=0,COUNT(INDEX('Staff Review'!$E$8:$E$507,I2103))=1,INDEX('Staff Review'!$E$8:$E$507,I2103)&gt;0,INDEX('Staff Review'!$E$8:$E$507,I2103)&lt;='Top 25'!$E$5,'Top 25'!$E$5-INDEX('Staff Review'!$E$8:$E$507,I2103)&lt;='Top 25'!$H$5,LEN(INDEX('Staff Review'!$H$8:$H$507,I2103))&gt;0),"Yes","No"))</f>
        <v>No</v>
      </c>
      <c r="AJ2103" s="1" t="str">
        <f>IF(I2103=0,"No",IF(COUNT(INDEX('Staff Review'!$F$8:$F$507,I2103))&lt;&gt;1,"No",IF(AND(INDEX('Staff Review'!$F$8:$F$507,I2103)&gt;=0,MOD(INDEX('Staff Review'!$F$8:$F$507,I2103),1)=0,COUNT(INDEX('Staff Review'!$G$8:$G$507,I2103))=1,INDEX('Staff Review'!$G$8:$G$507,I2103)&gt;0,INDEX('Staff Review'!$G$8:$G$507,I2103)&lt;='Top 25'!$E$5,'Top 25'!$E$5-INDEX('Staff Review'!$G$8:$G$507,I2103)&lt;='Top 25'!$H$5,LEN(INDEX('Staff Review'!$H$8:$H$507,I2103))&gt;0),"Yes","No")))</f>
        <v>No</v>
      </c>
      <c r="AK2103" s="1">
        <f t="shared" si="25"/>
        <v>1</v>
      </c>
      <c r="AL2103" s="1">
        <f t="shared" ca="1" si="26"/>
        <v>0</v>
      </c>
      <c r="AM2103" s="1">
        <f t="shared" si="27"/>
        <v>2530</v>
      </c>
      <c r="AN2103" s="1">
        <f t="shared" si="28"/>
        <v>53</v>
      </c>
      <c r="AO2103">
        <f t="shared" ca="1" si="29"/>
        <v>12530</v>
      </c>
      <c r="AP2103" s="105">
        <f ca="1">IF(AND(AL2103=1,OR('Top 25'!$A$10="All",C2103='Top 25'!$A$10),OR('Top 25'!$D$10="All",D2103='Top 25'!$D$10)),1,0)</f>
        <v>0</v>
      </c>
      <c r="AQ2103" s="105" t="str">
        <f ca="1">IF(AP2103=0,"",CHOOSE(MATCH('Top 25'!$G$10,{"Priority score","Economic need","Enrollment","Fresh miles","Nearby resources"},0),T2103,G2103,F2103,K2103,L2103))</f>
        <v/>
      </c>
      <c r="AR2103" s="105" t="str">
        <f ca="1">IF(AP2103=0,"",1+COUNTIFS($AP$2051:$AP$2550,1,$AQ$2051:$AQ$2550,IF('Top 25'!$J$10="Ascending","&lt;","&gt;")&amp;AQ2103)+COUNTIFS($AP$2051:$AP$2550,1,$AQ$2051:$AQ$2550,AQ2103,$W$2051:$W$2550,"&lt;"&amp;W2103))</f>
        <v/>
      </c>
      <c r="AT2103" s="105">
        <f ca="1">IF(AND(AL2103=1,OR(Master_rankableSchools!$A$10="All",C2103=Master_rankableSchools!$A$10),OR(Master_rankableSchools!$D$10="All",D2103=Master_rankableSchools!$D$10)),1,0)</f>
        <v>0</v>
      </c>
      <c r="AU2103" s="105" t="str">
        <f ca="1">IF(AT2103=0,"",CHOOSE(MATCH(Master_rankableSchools!$G$10,{"Priority score","Economic need","Enrollment","Fresh miles","Nearby resources"},0),T2103,G2103,F2103,K2103,L2103))</f>
        <v/>
      </c>
      <c r="AV2103" s="105" t="str">
        <f ca="1">IF(AT2103=0,"",1+COUNTIFS($AT$2051:$AT$2550,1,$AU$2051:$AU$2550,IF(Master_rankableSchools!$J$10="Ascending","&lt;","&gt;")&amp;AU2103)+COUNTIFS($AT$2051:$AT$2550,1,$AU$2051:$AU$2550,AU2103,$W$2051:$W$2550,"&lt;"&amp;W2103))</f>
        <v/>
      </c>
    </row>
    <row r="2104" spans="1:48" ht="22" customHeight="1">
      <c r="A2104" s="1" t="str">
        <f t="shared" si="0"/>
        <v>2540</v>
      </c>
      <c r="B2104" s="1" t="str">
        <f t="shared" si="1"/>
        <v>Francis S. Key School</v>
      </c>
      <c r="C2104" s="1" t="str">
        <f t="shared" si="2"/>
        <v>District</v>
      </c>
      <c r="D2104" s="1" t="str">
        <f t="shared" si="3"/>
        <v>Elementary</v>
      </c>
      <c r="E2104" s="1" t="str">
        <f t="shared" si="4"/>
        <v>19148</v>
      </c>
      <c r="F2104" s="1">
        <f t="shared" si="5"/>
        <v>349</v>
      </c>
      <c r="G2104" s="1">
        <f t="shared" si="6"/>
        <v>0.80740000000000001</v>
      </c>
      <c r="H2104" s="1" t="str">
        <f t="shared" si="7"/>
        <v>Yes</v>
      </c>
      <c r="I2104" s="1">
        <f>IF(OR(A2104="",COUNTIFS('Staff Review'!$A$8:$A$507,A2104)&lt;&gt;1),0,MATCH(A2104,'Staff Review'!$A$8:$A$507,0))</f>
        <v>81</v>
      </c>
      <c r="J2104" s="1" t="str">
        <f>IF(I2104=0,"No",IF(INDEX('Staff Review'!$C$8:$C$507,I2104)="Yes","Yes","No"))</f>
        <v>No</v>
      </c>
      <c r="K2104" s="1">
        <f ca="1">IF(AI2104="Yes",INDEX('Staff Review'!$D$8:$D$507,I2104),IF(AB2104=0,"",IF(COUNT(INDEX($C$1531:$C$2030,AB2104))=1,INDEX($C$1531:$C$2030,AB2104),"")))</f>
        <v>0.47317293014771705</v>
      </c>
      <c r="L2104" s="1">
        <f>IF(AJ2104="Yes",INDEX('Staff Review'!$F$8:$F$507,I2104),IF(AB2104=0,"",IF(COUNT(INDEX($G$1531:$G$2030,AB2104))=1,INDEX($G$1531:$G$2030,AB2104),"")))</f>
        <v>6</v>
      </c>
      <c r="M2104" s="1" t="str">
        <f t="shared" ca="1" si="8"/>
        <v>Listed</v>
      </c>
      <c r="N2104" s="1" t="str">
        <f t="shared" si="9"/>
        <v>Listed</v>
      </c>
      <c r="O2104" s="1">
        <f t="shared" si="10"/>
        <v>25</v>
      </c>
      <c r="P2104" s="1">
        <f t="shared" ca="1" si="11"/>
        <v>10</v>
      </c>
      <c r="Q2104" s="1">
        <f t="shared" si="12"/>
        <v>0</v>
      </c>
      <c r="R2104" s="1">
        <f t="shared" si="13"/>
        <v>2</v>
      </c>
      <c r="S2104" s="1">
        <f t="shared" ca="1" si="14"/>
        <v>37</v>
      </c>
      <c r="T2104" s="1">
        <f ca="1">IF(OR(COUNT(O2104:R2104)&lt;&gt;4,COUNT('Top 25'!$B$45:$E$45)&lt;&gt;4,MIN('Top 25'!$B$45:$E$45)&lt;0,SUM('Top 25'!$B$45:$E$45)&lt;=0),"",ROUND(85*(O2104/30*'Top 25'!$B$45+P2104/25*'Top 25'!$C$45+Q2104/25*'Top 25'!$D$45+R2104/5*'Top 25'!$E$45)/SUM('Top 25'!$B$45:$E$45),6))</f>
        <v>37</v>
      </c>
      <c r="U2104" s="1" t="str">
        <f t="shared" ca="1" si="15"/>
        <v>Listed</v>
      </c>
      <c r="V2104" s="1" t="str">
        <f ca="1">IF(A2104="","",IF(AK2104&lt;&gt;1,"Duplicate source ID",IF(COUNTIFS('Staff Review'!$A$8:$A$507,A2104)&gt;1,"Duplicate review ID",IF(H2104&lt;&gt;"Yes","Outside scope",IF(J2104="Yes","Already served",IF(NOT(ISNUMBER(T2104)),"Missing data","Candidate"))))))</f>
        <v>Candidate</v>
      </c>
      <c r="W2104" s="1">
        <f t="shared" ca="1" si="16"/>
        <v>202</v>
      </c>
      <c r="X2104" s="1">
        <f t="shared" ca="1" si="17"/>
        <v>182</v>
      </c>
      <c r="Y2104" s="1">
        <f ca="1">IF(AND(H2104="Yes",OR(LEN('School Search'!$B$5)=0,ISNUMBER(SEARCH('School Search'!$B$5,B2104&amp;" "&amp;E2104&amp;" "&amp;A2104))),OR('School Search'!$D$5="All",C2104='School Search'!$D$5),OR('School Search'!$G$5="All eligible",AND('School Search'!$G$5="Not marked served",J2104&lt;&gt;"Yes"),AND('School Search'!$G$5="Missing data",V2104="Missing data"),AND('School Search'!$G$5="Marked served",J2104="Yes"))),1,0)</f>
        <v>1</v>
      </c>
      <c r="Z2104" s="1">
        <f ca="1">IF(Y2104=0,"",COUNTIFS($Y$2051:$Y$2550,1,$AO$2051:$AO$2550,"&lt;"&amp;AO2104)+COUNTIFS($Y$2051:Y2104,1,$AO$2051:AO2104,AO2104))</f>
        <v>202</v>
      </c>
      <c r="AA2104" s="1" t="str">
        <f t="shared" ca="1" si="18"/>
        <v>81% economic need; 0.47 mi fresh access; 6 nearby resources</v>
      </c>
      <c r="AB2104" s="1">
        <f t="shared" si="19"/>
        <v>54</v>
      </c>
      <c r="AC2104" s="1" t="str">
        <f t="shared" si="20"/>
        <v>South Philly Food Co-op</v>
      </c>
      <c r="AD2104" s="1" t="str">
        <f t="shared" si="21"/>
        <v>2031 S Juniper St, Philadelphia, PA, 19148</v>
      </c>
      <c r="AE2104" s="1" t="str">
        <f t="shared" si="22"/>
        <v>2230 S 8TH ST</v>
      </c>
      <c r="AF2104" s="1">
        <f t="shared" si="23"/>
        <v>39.921385700000002</v>
      </c>
      <c r="AG2104" s="1">
        <f t="shared" si="24"/>
        <v>-75.160196099999993</v>
      </c>
      <c r="AH2104" s="1" t="str">
        <f>IF(I2104=0,"Not contacted",IF(INDEX('Staff Review'!$J$8:$J$507,I2104)="","Not contacted",INDEX('Staff Review'!$J$8:$J$507,I2104)))</f>
        <v>Not contacted</v>
      </c>
      <c r="AI2104" s="1" t="str">
        <f ca="1">IF(I2104=0,"No",IF(AND(COUNT(INDEX('Staff Review'!$D$8:$D$507,I2104))=1,INDEX('Staff Review'!$D$8:$D$507,I2104)&gt;=0,COUNT(INDEX('Staff Review'!$E$8:$E$507,I2104))=1,INDEX('Staff Review'!$E$8:$E$507,I2104)&gt;0,INDEX('Staff Review'!$E$8:$E$507,I2104)&lt;='Top 25'!$E$5,'Top 25'!$E$5-INDEX('Staff Review'!$E$8:$E$507,I2104)&lt;='Top 25'!$H$5,LEN(INDEX('Staff Review'!$H$8:$H$507,I2104))&gt;0),"Yes","No"))</f>
        <v>No</v>
      </c>
      <c r="AJ2104" s="1" t="str">
        <f>IF(I2104=0,"No",IF(COUNT(INDEX('Staff Review'!$F$8:$F$507,I2104))&lt;&gt;1,"No",IF(AND(INDEX('Staff Review'!$F$8:$F$507,I2104)&gt;=0,MOD(INDEX('Staff Review'!$F$8:$F$507,I2104),1)=0,COUNT(INDEX('Staff Review'!$G$8:$G$507,I2104))=1,INDEX('Staff Review'!$G$8:$G$507,I2104)&gt;0,INDEX('Staff Review'!$G$8:$G$507,I2104)&lt;='Top 25'!$E$5,'Top 25'!$E$5-INDEX('Staff Review'!$G$8:$G$507,I2104)&lt;='Top 25'!$H$5,LEN(INDEX('Staff Review'!$H$8:$H$507,I2104))&gt;0),"Yes","No")))</f>
        <v>No</v>
      </c>
      <c r="AK2104" s="1">
        <f t="shared" si="25"/>
        <v>1</v>
      </c>
      <c r="AL2104" s="1">
        <f t="shared" ca="1" si="26"/>
        <v>1</v>
      </c>
      <c r="AM2104" s="1">
        <f t="shared" si="27"/>
        <v>2540</v>
      </c>
      <c r="AN2104" s="1">
        <f t="shared" si="28"/>
        <v>54</v>
      </c>
      <c r="AO2104">
        <f t="shared" ca="1" si="29"/>
        <v>202</v>
      </c>
      <c r="AP2104" s="105">
        <f ca="1">IF(AND(AL2104=1,OR('Top 25'!$A$10="All",C2104='Top 25'!$A$10),OR('Top 25'!$D$10="All",D2104='Top 25'!$D$10)),1,0)</f>
        <v>1</v>
      </c>
      <c r="AQ2104" s="105">
        <f ca="1">IF(AP2104=0,"",CHOOSE(MATCH('Top 25'!$G$10,{"Priority score","Economic need","Enrollment","Fresh miles","Nearby resources"},0),T2104,G2104,F2104,K2104,L2104))</f>
        <v>37</v>
      </c>
      <c r="AR2104" s="105">
        <f ca="1">IF(AP2104=0,"",1+COUNTIFS($AP$2051:$AP$2550,1,$AQ$2051:$AQ$2550,IF('Top 25'!$J$10="Ascending","&lt;","&gt;")&amp;AQ2104)+COUNTIFS($AP$2051:$AP$2550,1,$AQ$2051:$AQ$2550,AQ2104,$W$2051:$W$2550,"&lt;"&amp;W2104))</f>
        <v>35</v>
      </c>
      <c r="AT2104" s="105">
        <f ca="1">IF(AND(AL2104=1,OR(Master_rankableSchools!$A$10="All",C2104=Master_rankableSchools!$A$10),OR(Master_rankableSchools!$D$10="All",D2104=Master_rankableSchools!$D$10)),1,0)</f>
        <v>1</v>
      </c>
      <c r="AU2104" s="105">
        <f ca="1">IF(AT2104=0,"",CHOOSE(MATCH(Master_rankableSchools!$G$10,{"Priority score","Economic need","Enrollment","Fresh miles","Nearby resources"},0),T2104,G2104,F2104,K2104,L2104))</f>
        <v>37</v>
      </c>
      <c r="AV2104" s="105">
        <f ca="1">IF(AT2104=0,"",1+COUNTIFS($AT$2051:$AT$2550,1,$AU$2051:$AU$2550,IF(Master_rankableSchools!$J$10="Ascending","&lt;","&gt;")&amp;AU2104)+COUNTIFS($AT$2051:$AT$2550,1,$AU$2051:$AU$2550,AU2104,$W$2051:$W$2550,"&lt;"&amp;W2104))</f>
        <v>202</v>
      </c>
    </row>
    <row r="2105" spans="1:48" ht="22" customHeight="1">
      <c r="A2105" s="1" t="str">
        <f t="shared" si="0"/>
        <v>2580</v>
      </c>
      <c r="B2105" s="1" t="str">
        <f t="shared" si="1"/>
        <v>Eliza B. Kirkbride School</v>
      </c>
      <c r="C2105" s="1" t="str">
        <f t="shared" si="2"/>
        <v>District</v>
      </c>
      <c r="D2105" s="1" t="str">
        <f t="shared" si="3"/>
        <v>Elementary-Middle</v>
      </c>
      <c r="E2105" s="1" t="str">
        <f t="shared" si="4"/>
        <v>19147</v>
      </c>
      <c r="F2105" s="1">
        <f t="shared" si="5"/>
        <v>481</v>
      </c>
      <c r="G2105" s="1">
        <f t="shared" si="6"/>
        <v>0.77159999999999995</v>
      </c>
      <c r="H2105" s="1" t="str">
        <f t="shared" si="7"/>
        <v>Yes</v>
      </c>
      <c r="I2105" s="1">
        <f>IF(OR(A2105="",COUNTIFS('Staff Review'!$A$8:$A$507,A2105)&lt;&gt;1),0,MATCH(A2105,'Staff Review'!$A$8:$A$507,0))</f>
        <v>62</v>
      </c>
      <c r="J2105" s="1" t="str">
        <f>IF(I2105=0,"No",IF(INDEX('Staff Review'!$C$8:$C$507,I2105)="Yes","Yes","No"))</f>
        <v>No</v>
      </c>
      <c r="K2105" s="1">
        <f ca="1">IF(AI2105="Yes",INDEX('Staff Review'!$D$8:$D$507,I2105),IF(AB2105=0,"",IF(COUNT(INDEX($C$1531:$C$2030,AB2105))=1,INDEX($C$1531:$C$2030,AB2105),"")))</f>
        <v>0.31234605949705418</v>
      </c>
      <c r="L2105" s="1">
        <f>IF(AJ2105="Yes",INDEX('Staff Review'!$F$8:$F$507,I2105),IF(AB2105=0,"",IF(COUNT(INDEX($G$1531:$G$2030,AB2105))=1,INDEX($G$1531:$G$2030,AB2105),"")))</f>
        <v>9</v>
      </c>
      <c r="M2105" s="1" t="str">
        <f t="shared" ca="1" si="8"/>
        <v>Listed</v>
      </c>
      <c r="N2105" s="1" t="str">
        <f t="shared" si="9"/>
        <v>Listed</v>
      </c>
      <c r="O2105" s="1">
        <f t="shared" si="10"/>
        <v>20</v>
      </c>
      <c r="P2105" s="1">
        <f t="shared" ca="1" si="11"/>
        <v>10</v>
      </c>
      <c r="Q2105" s="1">
        <f t="shared" si="12"/>
        <v>0</v>
      </c>
      <c r="R2105" s="1">
        <f t="shared" si="13"/>
        <v>3</v>
      </c>
      <c r="S2105" s="1">
        <f t="shared" ca="1" si="14"/>
        <v>33</v>
      </c>
      <c r="T2105" s="1">
        <f ca="1">IF(OR(COUNT(O2105:R2105)&lt;&gt;4,COUNT('Top 25'!$B$45:$E$45)&lt;&gt;4,MIN('Top 25'!$B$45:$E$45)&lt;0,SUM('Top 25'!$B$45:$E$45)&lt;=0),"",ROUND(85*(O2105/30*'Top 25'!$B$45+P2105/25*'Top 25'!$C$45+Q2105/25*'Top 25'!$D$45+R2105/5*'Top 25'!$E$45)/SUM('Top 25'!$B$45:$E$45),6))</f>
        <v>33</v>
      </c>
      <c r="U2105" s="1" t="str">
        <f t="shared" ca="1" si="15"/>
        <v>Listed</v>
      </c>
      <c r="V2105" s="1" t="str">
        <f ca="1">IF(A2105="","",IF(AK2105&lt;&gt;1,"Duplicate source ID",IF(COUNTIFS('Staff Review'!$A$8:$A$507,A2105)&gt;1,"Duplicate review ID",IF(H2105&lt;&gt;"Yes","Outside scope",IF(J2105="Yes","Already served",IF(NOT(ISNUMBER(T2105)),"Missing data","Candidate"))))))</f>
        <v>Candidate</v>
      </c>
      <c r="W2105" s="1">
        <f t="shared" ca="1" si="16"/>
        <v>239</v>
      </c>
      <c r="X2105" s="1">
        <f t="shared" ca="1" si="17"/>
        <v>233</v>
      </c>
      <c r="Y2105" s="1">
        <f ca="1">IF(AND(H2105="Yes",OR(LEN('School Search'!$B$5)=0,ISNUMBER(SEARCH('School Search'!$B$5,B2105&amp;" "&amp;E2105&amp;" "&amp;A2105))),OR('School Search'!$D$5="All",C2105='School Search'!$D$5),OR('School Search'!$G$5="All eligible",AND('School Search'!$G$5="Not marked served",J2105&lt;&gt;"Yes"),AND('School Search'!$G$5="Missing data",V2105="Missing data"),AND('School Search'!$G$5="Marked served",J2105="Yes"))),1,0)</f>
        <v>1</v>
      </c>
      <c r="Z2105" s="1">
        <f ca="1">IF(Y2105=0,"",COUNTIFS($Y$2051:$Y$2550,1,$AO$2051:$AO$2550,"&lt;"&amp;AO2105)+COUNTIFS($Y$2051:Y2105,1,$AO$2051:AO2105,AO2105))</f>
        <v>239</v>
      </c>
      <c r="AA2105" s="1" t="str">
        <f t="shared" ca="1" si="18"/>
        <v>77% economic need; 0.31 mi fresh access; 9 nearby resources</v>
      </c>
      <c r="AB2105" s="1">
        <f t="shared" si="19"/>
        <v>55</v>
      </c>
      <c r="AC2105" s="1" t="str">
        <f t="shared" si="20"/>
        <v>First Oriental Market Inc</v>
      </c>
      <c r="AD2105" s="1" t="str">
        <f t="shared" si="21"/>
        <v>1111 S 6th St, Philadelphia, PA, 19147</v>
      </c>
      <c r="AE2105" s="1" t="str">
        <f t="shared" si="22"/>
        <v>1501 S 7TH ST</v>
      </c>
      <c r="AF2105" s="1">
        <f t="shared" si="23"/>
        <v>39.930019999999999</v>
      </c>
      <c r="AG2105" s="1">
        <f t="shared" si="24"/>
        <v>-75.156465999999995</v>
      </c>
      <c r="AH2105" s="1" t="str">
        <f>IF(I2105=0,"Not contacted",IF(INDEX('Staff Review'!$J$8:$J$507,I2105)="","Not contacted",INDEX('Staff Review'!$J$8:$J$507,I2105)))</f>
        <v>Not contacted</v>
      </c>
      <c r="AI2105" s="1" t="str">
        <f ca="1">IF(I2105=0,"No",IF(AND(COUNT(INDEX('Staff Review'!$D$8:$D$507,I2105))=1,INDEX('Staff Review'!$D$8:$D$507,I2105)&gt;=0,COUNT(INDEX('Staff Review'!$E$8:$E$507,I2105))=1,INDEX('Staff Review'!$E$8:$E$507,I2105)&gt;0,INDEX('Staff Review'!$E$8:$E$507,I2105)&lt;='Top 25'!$E$5,'Top 25'!$E$5-INDEX('Staff Review'!$E$8:$E$507,I2105)&lt;='Top 25'!$H$5,LEN(INDEX('Staff Review'!$H$8:$H$507,I2105))&gt;0),"Yes","No"))</f>
        <v>No</v>
      </c>
      <c r="AJ2105" s="1" t="str">
        <f>IF(I2105=0,"No",IF(COUNT(INDEX('Staff Review'!$F$8:$F$507,I2105))&lt;&gt;1,"No",IF(AND(INDEX('Staff Review'!$F$8:$F$507,I2105)&gt;=0,MOD(INDEX('Staff Review'!$F$8:$F$507,I2105),1)=0,COUNT(INDEX('Staff Review'!$G$8:$G$507,I2105))=1,INDEX('Staff Review'!$G$8:$G$507,I2105)&gt;0,INDEX('Staff Review'!$G$8:$G$507,I2105)&lt;='Top 25'!$E$5,'Top 25'!$E$5-INDEX('Staff Review'!$G$8:$G$507,I2105)&lt;='Top 25'!$H$5,LEN(INDEX('Staff Review'!$H$8:$H$507,I2105))&gt;0),"Yes","No")))</f>
        <v>No</v>
      </c>
      <c r="AK2105" s="1">
        <f t="shared" si="25"/>
        <v>1</v>
      </c>
      <c r="AL2105" s="1">
        <f t="shared" ca="1" si="26"/>
        <v>1</v>
      </c>
      <c r="AM2105" s="1">
        <f t="shared" si="27"/>
        <v>2580</v>
      </c>
      <c r="AN2105" s="1">
        <f t="shared" si="28"/>
        <v>55</v>
      </c>
      <c r="AO2105">
        <f t="shared" ca="1" si="29"/>
        <v>239</v>
      </c>
      <c r="AP2105" s="105">
        <f ca="1">IF(AND(AL2105=1,OR('Top 25'!$A$10="All",C2105='Top 25'!$A$10),OR('Top 25'!$D$10="All",D2105='Top 25'!$D$10)),1,0)</f>
        <v>0</v>
      </c>
      <c r="AQ2105" s="105" t="str">
        <f ca="1">IF(AP2105=0,"",CHOOSE(MATCH('Top 25'!$G$10,{"Priority score","Economic need","Enrollment","Fresh miles","Nearby resources"},0),T2105,G2105,F2105,K2105,L2105))</f>
        <v/>
      </c>
      <c r="AR2105" s="105" t="str">
        <f ca="1">IF(AP2105=0,"",1+COUNTIFS($AP$2051:$AP$2550,1,$AQ$2051:$AQ$2550,IF('Top 25'!$J$10="Ascending","&lt;","&gt;")&amp;AQ2105)+COUNTIFS($AP$2051:$AP$2550,1,$AQ$2051:$AQ$2550,AQ2105,$W$2051:$W$2550,"&lt;"&amp;W2105))</f>
        <v/>
      </c>
      <c r="AT2105" s="105">
        <f ca="1">IF(AND(AL2105=1,OR(Master_rankableSchools!$A$10="All",C2105=Master_rankableSchools!$A$10),OR(Master_rankableSchools!$D$10="All",D2105=Master_rankableSchools!$D$10)),1,0)</f>
        <v>1</v>
      </c>
      <c r="AU2105" s="105">
        <f ca="1">IF(AT2105=0,"",CHOOSE(MATCH(Master_rankableSchools!$G$10,{"Priority score","Economic need","Enrollment","Fresh miles","Nearby resources"},0),T2105,G2105,F2105,K2105,L2105))</f>
        <v>33</v>
      </c>
      <c r="AV2105" s="105">
        <f ca="1">IF(AT2105=0,"",1+COUNTIFS($AT$2051:$AT$2550,1,$AU$2051:$AU$2550,IF(Master_rankableSchools!$J$10="Ascending","&lt;","&gt;")&amp;AU2105)+COUNTIFS($AT$2051:$AT$2550,1,$AU$2051:$AU$2550,AU2105,$W$2051:$W$2550,"&lt;"&amp;W2105))</f>
        <v>239</v>
      </c>
    </row>
    <row r="2106" spans="1:48" ht="22" customHeight="1">
      <c r="A2106" s="1" t="str">
        <f t="shared" si="0"/>
        <v>2590</v>
      </c>
      <c r="B2106" s="1" t="str">
        <f t="shared" si="1"/>
        <v>George W. Nebinger School</v>
      </c>
      <c r="C2106" s="1" t="str">
        <f t="shared" si="2"/>
        <v>District</v>
      </c>
      <c r="D2106" s="1" t="str">
        <f t="shared" si="3"/>
        <v>Elementary-Middle</v>
      </c>
      <c r="E2106" s="1" t="str">
        <f t="shared" si="4"/>
        <v>19147</v>
      </c>
      <c r="F2106" s="1">
        <f t="shared" si="5"/>
        <v>399</v>
      </c>
      <c r="G2106" s="1">
        <f t="shared" si="6"/>
        <v>0.62619999999999998</v>
      </c>
      <c r="H2106" s="1" t="str">
        <f t="shared" si="7"/>
        <v>Yes</v>
      </c>
      <c r="I2106" s="1">
        <f>IF(OR(A2106="",COUNTIFS('Staff Review'!$A$8:$A$507,A2106)&lt;&gt;1),0,MATCH(A2106,'Staff Review'!$A$8:$A$507,0))</f>
        <v>95</v>
      </c>
      <c r="J2106" s="1" t="str">
        <f>IF(I2106=0,"No",IF(INDEX('Staff Review'!$C$8:$C$507,I2106)="Yes","Yes","No"))</f>
        <v>No</v>
      </c>
      <c r="K2106" s="1">
        <f ca="1">IF(AI2106="Yes",INDEX('Staff Review'!$D$8:$D$507,I2106),IF(AB2106=0,"",IF(COUNT(INDEX($C$1531:$C$2030,AB2106))=1,INDEX($C$1531:$C$2030,AB2106),"")))</f>
        <v>0.18536353970744446</v>
      </c>
      <c r="L2106" s="1">
        <f>IF(AJ2106="Yes",INDEX('Staff Review'!$F$8:$F$507,I2106),IF(AB2106=0,"",IF(COUNT(INDEX($G$1531:$G$2030,AB2106))=1,INDEX($G$1531:$G$2030,AB2106),"")))</f>
        <v>8</v>
      </c>
      <c r="M2106" s="1" t="str">
        <f t="shared" ca="1" si="8"/>
        <v>Listed</v>
      </c>
      <c r="N2106" s="1" t="str">
        <f t="shared" si="9"/>
        <v>Listed</v>
      </c>
      <c r="O2106" s="1">
        <f t="shared" si="10"/>
        <v>15</v>
      </c>
      <c r="P2106" s="1">
        <f t="shared" ca="1" si="11"/>
        <v>5</v>
      </c>
      <c r="Q2106" s="1">
        <f t="shared" si="12"/>
        <v>0</v>
      </c>
      <c r="R2106" s="1">
        <f t="shared" si="13"/>
        <v>3</v>
      </c>
      <c r="S2106" s="1">
        <f t="shared" ca="1" si="14"/>
        <v>23</v>
      </c>
      <c r="T2106" s="1">
        <f ca="1">IF(OR(COUNT(O2106:R2106)&lt;&gt;4,COUNT('Top 25'!$B$45:$E$45)&lt;&gt;4,MIN('Top 25'!$B$45:$E$45)&lt;0,SUM('Top 25'!$B$45:$E$45)&lt;=0),"",ROUND(85*(O2106/30*'Top 25'!$B$45+P2106/25*'Top 25'!$C$45+Q2106/25*'Top 25'!$D$45+R2106/5*'Top 25'!$E$45)/SUM('Top 25'!$B$45:$E$45),6))</f>
        <v>23</v>
      </c>
      <c r="U2106" s="1" t="str">
        <f t="shared" ca="1" si="15"/>
        <v>Listed</v>
      </c>
      <c r="V2106" s="1" t="str">
        <f ca="1">IF(A2106="","",IF(AK2106&lt;&gt;1,"Duplicate source ID",IF(COUNTIFS('Staff Review'!$A$8:$A$507,A2106)&gt;1,"Duplicate review ID",IF(H2106&lt;&gt;"Yes","Outside scope",IF(J2106="Yes","Already served",IF(NOT(ISNUMBER(T2106)),"Missing data","Candidate"))))))</f>
        <v>Candidate</v>
      </c>
      <c r="W2106" s="1">
        <f t="shared" ca="1" si="16"/>
        <v>276</v>
      </c>
      <c r="X2106" s="1">
        <f t="shared" ca="1" si="17"/>
        <v>274</v>
      </c>
      <c r="Y2106" s="1">
        <f ca="1">IF(AND(H2106="Yes",OR(LEN('School Search'!$B$5)=0,ISNUMBER(SEARCH('School Search'!$B$5,B2106&amp;" "&amp;E2106&amp;" "&amp;A2106))),OR('School Search'!$D$5="All",C2106='School Search'!$D$5),OR('School Search'!$G$5="All eligible",AND('School Search'!$G$5="Not marked served",J2106&lt;&gt;"Yes"),AND('School Search'!$G$5="Missing data",V2106="Missing data"),AND('School Search'!$G$5="Marked served",J2106="Yes"))),1,0)</f>
        <v>1</v>
      </c>
      <c r="Z2106" s="1">
        <f ca="1">IF(Y2106=0,"",COUNTIFS($Y$2051:$Y$2550,1,$AO$2051:$AO$2550,"&lt;"&amp;AO2106)+COUNTIFS($Y$2051:Y2106,1,$AO$2051:AO2106,AO2106))</f>
        <v>276</v>
      </c>
      <c r="AA2106" s="1" t="str">
        <f t="shared" ca="1" si="18"/>
        <v>63% economic need; 0.19 mi fresh access; 8 nearby resources</v>
      </c>
      <c r="AB2106" s="1">
        <f t="shared" si="19"/>
        <v>56</v>
      </c>
      <c r="AC2106" s="1" t="str">
        <f t="shared" si="20"/>
        <v>First Oriental Market Inc</v>
      </c>
      <c r="AD2106" s="1" t="str">
        <f t="shared" si="21"/>
        <v>1111 S 6th St, Philadelphia, PA, 19147</v>
      </c>
      <c r="AE2106" s="1" t="str">
        <f t="shared" si="22"/>
        <v>601 CARPENTER ST</v>
      </c>
      <c r="AF2106" s="1">
        <f t="shared" si="23"/>
        <v>39.936694000000003</v>
      </c>
      <c r="AG2106" s="1">
        <f t="shared" si="24"/>
        <v>-75.153829999999999</v>
      </c>
      <c r="AH2106" s="1" t="str">
        <f>IF(I2106=0,"Not contacted",IF(INDEX('Staff Review'!$J$8:$J$507,I2106)="","Not contacted",INDEX('Staff Review'!$J$8:$J$507,I2106)))</f>
        <v>Not contacted</v>
      </c>
      <c r="AI2106" s="1" t="str">
        <f ca="1">IF(I2106=0,"No",IF(AND(COUNT(INDEX('Staff Review'!$D$8:$D$507,I2106))=1,INDEX('Staff Review'!$D$8:$D$507,I2106)&gt;=0,COUNT(INDEX('Staff Review'!$E$8:$E$507,I2106))=1,INDEX('Staff Review'!$E$8:$E$507,I2106)&gt;0,INDEX('Staff Review'!$E$8:$E$507,I2106)&lt;='Top 25'!$E$5,'Top 25'!$E$5-INDEX('Staff Review'!$E$8:$E$507,I2106)&lt;='Top 25'!$H$5,LEN(INDEX('Staff Review'!$H$8:$H$507,I2106))&gt;0),"Yes","No"))</f>
        <v>No</v>
      </c>
      <c r="AJ2106" s="1" t="str">
        <f>IF(I2106=0,"No",IF(COUNT(INDEX('Staff Review'!$F$8:$F$507,I2106))&lt;&gt;1,"No",IF(AND(INDEX('Staff Review'!$F$8:$F$507,I2106)&gt;=0,MOD(INDEX('Staff Review'!$F$8:$F$507,I2106),1)=0,COUNT(INDEX('Staff Review'!$G$8:$G$507,I2106))=1,INDEX('Staff Review'!$G$8:$G$507,I2106)&gt;0,INDEX('Staff Review'!$G$8:$G$507,I2106)&lt;='Top 25'!$E$5,'Top 25'!$E$5-INDEX('Staff Review'!$G$8:$G$507,I2106)&lt;='Top 25'!$H$5,LEN(INDEX('Staff Review'!$H$8:$H$507,I2106))&gt;0),"Yes","No")))</f>
        <v>No</v>
      </c>
      <c r="AK2106" s="1">
        <f t="shared" si="25"/>
        <v>1</v>
      </c>
      <c r="AL2106" s="1">
        <f t="shared" ca="1" si="26"/>
        <v>1</v>
      </c>
      <c r="AM2106" s="1">
        <f t="shared" si="27"/>
        <v>2590</v>
      </c>
      <c r="AN2106" s="1">
        <f t="shared" si="28"/>
        <v>56</v>
      </c>
      <c r="AO2106">
        <f t="shared" ca="1" si="29"/>
        <v>276</v>
      </c>
      <c r="AP2106" s="105">
        <f ca="1">IF(AND(AL2106=1,OR('Top 25'!$A$10="All",C2106='Top 25'!$A$10),OR('Top 25'!$D$10="All",D2106='Top 25'!$D$10)),1,0)</f>
        <v>0</v>
      </c>
      <c r="AQ2106" s="105" t="str">
        <f ca="1">IF(AP2106=0,"",CHOOSE(MATCH('Top 25'!$G$10,{"Priority score","Economic need","Enrollment","Fresh miles","Nearby resources"},0),T2106,G2106,F2106,K2106,L2106))</f>
        <v/>
      </c>
      <c r="AR2106" s="105" t="str">
        <f ca="1">IF(AP2106=0,"",1+COUNTIFS($AP$2051:$AP$2550,1,$AQ$2051:$AQ$2550,IF('Top 25'!$J$10="Ascending","&lt;","&gt;")&amp;AQ2106)+COUNTIFS($AP$2051:$AP$2550,1,$AQ$2051:$AQ$2550,AQ2106,$W$2051:$W$2550,"&lt;"&amp;W2106))</f>
        <v/>
      </c>
      <c r="AT2106" s="105">
        <f ca="1">IF(AND(AL2106=1,OR(Master_rankableSchools!$A$10="All",C2106=Master_rankableSchools!$A$10),OR(Master_rankableSchools!$D$10="All",D2106=Master_rankableSchools!$D$10)),1,0)</f>
        <v>1</v>
      </c>
      <c r="AU2106" s="105">
        <f ca="1">IF(AT2106=0,"",CHOOSE(MATCH(Master_rankableSchools!$G$10,{"Priority score","Economic need","Enrollment","Fresh miles","Nearby resources"},0),T2106,G2106,F2106,K2106,L2106))</f>
        <v>23</v>
      </c>
      <c r="AV2106" s="105">
        <f ca="1">IF(AT2106=0,"",1+COUNTIFS($AT$2051:$AT$2550,1,$AU$2051:$AU$2550,IF(Master_rankableSchools!$J$10="Ascending","&lt;","&gt;")&amp;AU2106)+COUNTIFS($AT$2051:$AT$2550,1,$AU$2051:$AU$2550,AU2106,$W$2051:$W$2550,"&lt;"&amp;W2106))</f>
        <v>276</v>
      </c>
    </row>
    <row r="2107" spans="1:48" ht="22" customHeight="1">
      <c r="A2107" s="1" t="str">
        <f t="shared" si="0"/>
        <v>2620</v>
      </c>
      <c r="B2107" s="1" t="str">
        <f t="shared" si="1"/>
        <v>Academy at Palumbo</v>
      </c>
      <c r="C2107" s="1" t="str">
        <f t="shared" si="2"/>
        <v>District</v>
      </c>
      <c r="D2107" s="1" t="str">
        <f t="shared" si="3"/>
        <v>High</v>
      </c>
      <c r="E2107" s="1" t="str">
        <f t="shared" si="4"/>
        <v>19147</v>
      </c>
      <c r="F2107" s="1">
        <f t="shared" si="5"/>
        <v>1242</v>
      </c>
      <c r="G2107" s="1">
        <f t="shared" si="6"/>
        <v>0.5998</v>
      </c>
      <c r="H2107" s="1" t="str">
        <f t="shared" si="7"/>
        <v>Yes</v>
      </c>
      <c r="I2107" s="1">
        <f>IF(OR(A2107="",COUNTIFS('Staff Review'!$A$8:$A$507,A2107)&lt;&gt;1),0,MATCH(A2107,'Staff Review'!$A$8:$A$507,0))</f>
        <v>4</v>
      </c>
      <c r="J2107" s="1" t="str">
        <f>IF(I2107=0,"No",IF(INDEX('Staff Review'!$C$8:$C$507,I2107)="Yes","Yes","No"))</f>
        <v>No</v>
      </c>
      <c r="K2107" s="1">
        <f ca="1">IF(AI2107="Yes",INDEX('Staff Review'!$D$8:$D$507,I2107),IF(AB2107=0,"",IF(COUNT(INDEX($C$1531:$C$2030,AB2107))=1,INDEX($C$1531:$C$2030,AB2107),"")))</f>
        <v>0.20588081692677693</v>
      </c>
      <c r="L2107" s="1">
        <f>IF(AJ2107="Yes",INDEX('Staff Review'!$F$8:$F$507,I2107),IF(AB2107=0,"",IF(COUNT(INDEX($G$1531:$G$2030,AB2107))=1,INDEX($G$1531:$G$2030,AB2107),"")))</f>
        <v>11</v>
      </c>
      <c r="M2107" s="1" t="str">
        <f t="shared" ca="1" si="8"/>
        <v>Listed</v>
      </c>
      <c r="N2107" s="1" t="str">
        <f t="shared" si="9"/>
        <v>Listed</v>
      </c>
      <c r="O2107" s="1">
        <f t="shared" si="10"/>
        <v>10</v>
      </c>
      <c r="P2107" s="1">
        <f t="shared" ca="1" si="11"/>
        <v>5</v>
      </c>
      <c r="Q2107" s="1">
        <f t="shared" si="12"/>
        <v>0</v>
      </c>
      <c r="R2107" s="1">
        <f t="shared" si="13"/>
        <v>5</v>
      </c>
      <c r="S2107" s="1">
        <f t="shared" ca="1" si="14"/>
        <v>20</v>
      </c>
      <c r="T2107" s="1">
        <f ca="1">IF(OR(COUNT(O2107:R2107)&lt;&gt;4,COUNT('Top 25'!$B$45:$E$45)&lt;&gt;4,MIN('Top 25'!$B$45:$E$45)&lt;0,SUM('Top 25'!$B$45:$E$45)&lt;=0),"",ROUND(85*(O2107/30*'Top 25'!$B$45+P2107/25*'Top 25'!$C$45+Q2107/25*'Top 25'!$D$45+R2107/5*'Top 25'!$E$45)/SUM('Top 25'!$B$45:$E$45),6))</f>
        <v>20</v>
      </c>
      <c r="U2107" s="1" t="str">
        <f t="shared" ca="1" si="15"/>
        <v>Listed</v>
      </c>
      <c r="V2107" s="1" t="str">
        <f ca="1">IF(A2107="","",IF(AK2107&lt;&gt;1,"Duplicate source ID",IF(COUNTIFS('Staff Review'!$A$8:$A$507,A2107)&gt;1,"Duplicate review ID",IF(H2107&lt;&gt;"Yes","Outside scope",IF(J2107="Yes","Already served",IF(NOT(ISNUMBER(T2107)),"Missing data","Candidate"))))))</f>
        <v>Candidate</v>
      </c>
      <c r="W2107" s="1">
        <f t="shared" ca="1" si="16"/>
        <v>279</v>
      </c>
      <c r="X2107" s="1">
        <f t="shared" ca="1" si="17"/>
        <v>279</v>
      </c>
      <c r="Y2107" s="1">
        <f ca="1">IF(AND(H2107="Yes",OR(LEN('School Search'!$B$5)=0,ISNUMBER(SEARCH('School Search'!$B$5,B2107&amp;" "&amp;E2107&amp;" "&amp;A2107))),OR('School Search'!$D$5="All",C2107='School Search'!$D$5),OR('School Search'!$G$5="All eligible",AND('School Search'!$G$5="Not marked served",J2107&lt;&gt;"Yes"),AND('School Search'!$G$5="Missing data",V2107="Missing data"),AND('School Search'!$G$5="Marked served",J2107="Yes"))),1,0)</f>
        <v>1</v>
      </c>
      <c r="Z2107" s="1">
        <f ca="1">IF(Y2107=0,"",COUNTIFS($Y$2051:$Y$2550,1,$AO$2051:$AO$2550,"&lt;"&amp;AO2107)+COUNTIFS($Y$2051:Y2107,1,$AO$2051:AO2107,AO2107))</f>
        <v>279</v>
      </c>
      <c r="AA2107" s="1" t="str">
        <f t="shared" ca="1" si="18"/>
        <v>60% economic need; 0.21 mi fresh access; 11 nearby resources</v>
      </c>
      <c r="AB2107" s="1">
        <f t="shared" si="19"/>
        <v>57</v>
      </c>
      <c r="AC2107" s="1" t="str">
        <f t="shared" si="20"/>
        <v>Hung Vuong Food Market</v>
      </c>
      <c r="AD2107" s="1" t="str">
        <f t="shared" si="21"/>
        <v>1122 Washington Ave, Philadelphia, PA, 19147</v>
      </c>
      <c r="AE2107" s="1" t="str">
        <f t="shared" si="22"/>
        <v>1100 CATHARINE ST</v>
      </c>
      <c r="AF2107" s="1">
        <f t="shared" si="23"/>
        <v>39.940197869999999</v>
      </c>
      <c r="AG2107" s="1">
        <f t="shared" si="24"/>
        <v>-75.161949149999998</v>
      </c>
      <c r="AH2107" s="1" t="str">
        <f>IF(I2107=0,"Not contacted",IF(INDEX('Staff Review'!$J$8:$J$507,I2107)="","Not contacted",INDEX('Staff Review'!$J$8:$J$507,I2107)))</f>
        <v>Not contacted</v>
      </c>
      <c r="AI2107" s="1" t="str">
        <f ca="1">IF(I2107=0,"No",IF(AND(COUNT(INDEX('Staff Review'!$D$8:$D$507,I2107))=1,INDEX('Staff Review'!$D$8:$D$507,I2107)&gt;=0,COUNT(INDEX('Staff Review'!$E$8:$E$507,I2107))=1,INDEX('Staff Review'!$E$8:$E$507,I2107)&gt;0,INDEX('Staff Review'!$E$8:$E$507,I2107)&lt;='Top 25'!$E$5,'Top 25'!$E$5-INDEX('Staff Review'!$E$8:$E$507,I2107)&lt;='Top 25'!$H$5,LEN(INDEX('Staff Review'!$H$8:$H$507,I2107))&gt;0),"Yes","No"))</f>
        <v>No</v>
      </c>
      <c r="AJ2107" s="1" t="str">
        <f>IF(I2107=0,"No",IF(COUNT(INDEX('Staff Review'!$F$8:$F$507,I2107))&lt;&gt;1,"No",IF(AND(INDEX('Staff Review'!$F$8:$F$507,I2107)&gt;=0,MOD(INDEX('Staff Review'!$F$8:$F$507,I2107),1)=0,COUNT(INDEX('Staff Review'!$G$8:$G$507,I2107))=1,INDEX('Staff Review'!$G$8:$G$507,I2107)&gt;0,INDEX('Staff Review'!$G$8:$G$507,I2107)&lt;='Top 25'!$E$5,'Top 25'!$E$5-INDEX('Staff Review'!$G$8:$G$507,I2107)&lt;='Top 25'!$H$5,LEN(INDEX('Staff Review'!$H$8:$H$507,I2107))&gt;0),"Yes","No")))</f>
        <v>No</v>
      </c>
      <c r="AK2107" s="1">
        <f t="shared" si="25"/>
        <v>1</v>
      </c>
      <c r="AL2107" s="1">
        <f t="shared" ca="1" si="26"/>
        <v>1</v>
      </c>
      <c r="AM2107" s="1">
        <f t="shared" si="27"/>
        <v>2620</v>
      </c>
      <c r="AN2107" s="1">
        <f t="shared" si="28"/>
        <v>57</v>
      </c>
      <c r="AO2107">
        <f t="shared" ca="1" si="29"/>
        <v>279</v>
      </c>
      <c r="AP2107" s="105">
        <f ca="1">IF(AND(AL2107=1,OR('Top 25'!$A$10="All",C2107='Top 25'!$A$10),OR('Top 25'!$D$10="All",D2107='Top 25'!$D$10)),1,0)</f>
        <v>0</v>
      </c>
      <c r="AQ2107" s="105" t="str">
        <f ca="1">IF(AP2107=0,"",CHOOSE(MATCH('Top 25'!$G$10,{"Priority score","Economic need","Enrollment","Fresh miles","Nearby resources"},0),T2107,G2107,F2107,K2107,L2107))</f>
        <v/>
      </c>
      <c r="AR2107" s="105" t="str">
        <f ca="1">IF(AP2107=0,"",1+COUNTIFS($AP$2051:$AP$2550,1,$AQ$2051:$AQ$2550,IF('Top 25'!$J$10="Ascending","&lt;","&gt;")&amp;AQ2107)+COUNTIFS($AP$2051:$AP$2550,1,$AQ$2051:$AQ$2550,AQ2107,$W$2051:$W$2550,"&lt;"&amp;W2107))</f>
        <v/>
      </c>
      <c r="AT2107" s="105">
        <f ca="1">IF(AND(AL2107=1,OR(Master_rankableSchools!$A$10="All",C2107=Master_rankableSchools!$A$10),OR(Master_rankableSchools!$D$10="All",D2107=Master_rankableSchools!$D$10)),1,0)</f>
        <v>1</v>
      </c>
      <c r="AU2107" s="105">
        <f ca="1">IF(AT2107=0,"",CHOOSE(MATCH(Master_rankableSchools!$G$10,{"Priority score","Economic need","Enrollment","Fresh miles","Nearby resources"},0),T2107,G2107,F2107,K2107,L2107))</f>
        <v>20</v>
      </c>
      <c r="AV2107" s="105">
        <f ca="1">IF(AT2107=0,"",1+COUNTIFS($AT$2051:$AT$2550,1,$AU$2051:$AU$2550,IF(Master_rankableSchools!$J$10="Ascending","&lt;","&gt;")&amp;AU2107)+COUNTIFS($AT$2051:$AT$2550,1,$AU$2051:$AU$2550,AU2107,$W$2051:$W$2550,"&lt;"&amp;W2107))</f>
        <v>279</v>
      </c>
    </row>
    <row r="2108" spans="1:48" ht="22" customHeight="1">
      <c r="A2108" s="1" t="str">
        <f t="shared" si="0"/>
        <v>2630</v>
      </c>
      <c r="B2108" s="1" t="str">
        <f t="shared" si="1"/>
        <v>George W. Sharswood School</v>
      </c>
      <c r="C2108" s="1" t="str">
        <f t="shared" si="2"/>
        <v>District</v>
      </c>
      <c r="D2108" s="1" t="str">
        <f t="shared" si="3"/>
        <v>Elementary-Middle</v>
      </c>
      <c r="E2108" s="1" t="str">
        <f t="shared" si="4"/>
        <v>19148</v>
      </c>
      <c r="F2108" s="1">
        <f t="shared" si="5"/>
        <v>317</v>
      </c>
      <c r="G2108" s="1">
        <f t="shared" si="6"/>
        <v>0.79769999999999996</v>
      </c>
      <c r="H2108" s="1" t="str">
        <f t="shared" si="7"/>
        <v>Yes</v>
      </c>
      <c r="I2108" s="1">
        <f>IF(OR(A2108="",COUNTIFS('Staff Review'!$A$8:$A$507,A2108)&lt;&gt;1),0,MATCH(A2108,'Staff Review'!$A$8:$A$507,0))</f>
        <v>96</v>
      </c>
      <c r="J2108" s="1" t="str">
        <f>IF(I2108=0,"No",IF(INDEX('Staff Review'!$C$8:$C$507,I2108)="Yes","Yes","No"))</f>
        <v>No</v>
      </c>
      <c r="K2108" s="1">
        <f ca="1">IF(AI2108="Yes",INDEX('Staff Review'!$D$8:$D$507,I2108),IF(AB2108=0,"",IF(COUNT(INDEX($C$1531:$C$2030,AB2108))=1,INDEX($C$1531:$C$2030,AB2108),"")))</f>
        <v>0.24947051507250717</v>
      </c>
      <c r="L2108" s="1">
        <f>IF(AJ2108="Yes",INDEX('Staff Review'!$F$8:$F$507,I2108),IF(AB2108=0,"",IF(COUNT(INDEX($G$1531:$G$2030,AB2108))=1,INDEX($G$1531:$G$2030,AB2108),"")))</f>
        <v>4</v>
      </c>
      <c r="M2108" s="1" t="str">
        <f t="shared" ca="1" si="8"/>
        <v>Listed</v>
      </c>
      <c r="N2108" s="1" t="str">
        <f t="shared" si="9"/>
        <v>Listed</v>
      </c>
      <c r="O2108" s="1">
        <f t="shared" si="10"/>
        <v>20</v>
      </c>
      <c r="P2108" s="1">
        <f t="shared" ca="1" si="11"/>
        <v>5</v>
      </c>
      <c r="Q2108" s="1">
        <f t="shared" si="12"/>
        <v>5</v>
      </c>
      <c r="R2108" s="1">
        <f t="shared" si="13"/>
        <v>2</v>
      </c>
      <c r="S2108" s="1">
        <f t="shared" ca="1" si="14"/>
        <v>32</v>
      </c>
      <c r="T2108" s="1">
        <f ca="1">IF(OR(COUNT(O2108:R2108)&lt;&gt;4,COUNT('Top 25'!$B$45:$E$45)&lt;&gt;4,MIN('Top 25'!$B$45:$E$45)&lt;0,SUM('Top 25'!$B$45:$E$45)&lt;=0),"",ROUND(85*(O2108/30*'Top 25'!$B$45+P2108/25*'Top 25'!$C$45+Q2108/25*'Top 25'!$D$45+R2108/5*'Top 25'!$E$45)/SUM('Top 25'!$B$45:$E$45),6))</f>
        <v>32</v>
      </c>
      <c r="U2108" s="1" t="str">
        <f t="shared" ca="1" si="15"/>
        <v>Listed</v>
      </c>
      <c r="V2108" s="1" t="str">
        <f ca="1">IF(A2108="","",IF(AK2108&lt;&gt;1,"Duplicate source ID",IF(COUNTIFS('Staff Review'!$A$8:$A$507,A2108)&gt;1,"Duplicate review ID",IF(H2108&lt;&gt;"Yes","Outside scope",IF(J2108="Yes","Already served",IF(NOT(ISNUMBER(T2108)),"Missing data","Candidate"))))))</f>
        <v>Candidate</v>
      </c>
      <c r="W2108" s="1">
        <f t="shared" ca="1" si="16"/>
        <v>248</v>
      </c>
      <c r="X2108" s="1">
        <f t="shared" ca="1" si="17"/>
        <v>243</v>
      </c>
      <c r="Y2108" s="1">
        <f ca="1">IF(AND(H2108="Yes",OR(LEN('School Search'!$B$5)=0,ISNUMBER(SEARCH('School Search'!$B$5,B2108&amp;" "&amp;E2108&amp;" "&amp;A2108))),OR('School Search'!$D$5="All",C2108='School Search'!$D$5),OR('School Search'!$G$5="All eligible",AND('School Search'!$G$5="Not marked served",J2108&lt;&gt;"Yes"),AND('School Search'!$G$5="Missing data",V2108="Missing data"),AND('School Search'!$G$5="Marked served",J2108="Yes"))),1,0)</f>
        <v>1</v>
      </c>
      <c r="Z2108" s="1">
        <f ca="1">IF(Y2108=0,"",COUNTIFS($Y$2051:$Y$2550,1,$AO$2051:$AO$2550,"&lt;"&amp;AO2108)+COUNTIFS($Y$2051:Y2108,1,$AO$2051:AO2108,AO2108))</f>
        <v>248</v>
      </c>
      <c r="AA2108" s="1" t="str">
        <f t="shared" ca="1" si="18"/>
        <v>80% economic need; 0.25 mi fresh access; 4 nearby resources</v>
      </c>
      <c r="AB2108" s="1">
        <f t="shared" si="19"/>
        <v>58</v>
      </c>
      <c r="AC2108" s="1" t="str">
        <f t="shared" si="20"/>
        <v>ACME 2771</v>
      </c>
      <c r="AD2108" s="1" t="str">
        <f t="shared" si="21"/>
        <v>29 Snyder Ave, Philadelphia, PA, 19148</v>
      </c>
      <c r="AE2108" s="1" t="str">
        <f t="shared" si="22"/>
        <v>2300 S 2ND ST</v>
      </c>
      <c r="AF2108" s="1">
        <f t="shared" si="23"/>
        <v>39.919357140000002</v>
      </c>
      <c r="AG2108" s="1">
        <f t="shared" si="24"/>
        <v>-75.150550530000004</v>
      </c>
      <c r="AH2108" s="1" t="str">
        <f>IF(I2108=0,"Not contacted",IF(INDEX('Staff Review'!$J$8:$J$507,I2108)="","Not contacted",INDEX('Staff Review'!$J$8:$J$507,I2108)))</f>
        <v>Not contacted</v>
      </c>
      <c r="AI2108" s="1" t="str">
        <f ca="1">IF(I2108=0,"No",IF(AND(COUNT(INDEX('Staff Review'!$D$8:$D$507,I2108))=1,INDEX('Staff Review'!$D$8:$D$507,I2108)&gt;=0,COUNT(INDEX('Staff Review'!$E$8:$E$507,I2108))=1,INDEX('Staff Review'!$E$8:$E$507,I2108)&gt;0,INDEX('Staff Review'!$E$8:$E$507,I2108)&lt;='Top 25'!$E$5,'Top 25'!$E$5-INDEX('Staff Review'!$E$8:$E$507,I2108)&lt;='Top 25'!$H$5,LEN(INDEX('Staff Review'!$H$8:$H$507,I2108))&gt;0),"Yes","No"))</f>
        <v>No</v>
      </c>
      <c r="AJ2108" s="1" t="str">
        <f>IF(I2108=0,"No",IF(COUNT(INDEX('Staff Review'!$F$8:$F$507,I2108))&lt;&gt;1,"No",IF(AND(INDEX('Staff Review'!$F$8:$F$507,I2108)&gt;=0,MOD(INDEX('Staff Review'!$F$8:$F$507,I2108),1)=0,COUNT(INDEX('Staff Review'!$G$8:$G$507,I2108))=1,INDEX('Staff Review'!$G$8:$G$507,I2108)&gt;0,INDEX('Staff Review'!$G$8:$G$507,I2108)&lt;='Top 25'!$E$5,'Top 25'!$E$5-INDEX('Staff Review'!$G$8:$G$507,I2108)&lt;='Top 25'!$H$5,LEN(INDEX('Staff Review'!$H$8:$H$507,I2108))&gt;0),"Yes","No")))</f>
        <v>No</v>
      </c>
      <c r="AK2108" s="1">
        <f t="shared" si="25"/>
        <v>1</v>
      </c>
      <c r="AL2108" s="1">
        <f t="shared" ca="1" si="26"/>
        <v>1</v>
      </c>
      <c r="AM2108" s="1">
        <f t="shared" si="27"/>
        <v>2630</v>
      </c>
      <c r="AN2108" s="1">
        <f t="shared" si="28"/>
        <v>58</v>
      </c>
      <c r="AO2108">
        <f t="shared" ca="1" si="29"/>
        <v>248</v>
      </c>
      <c r="AP2108" s="105">
        <f ca="1">IF(AND(AL2108=1,OR('Top 25'!$A$10="All",C2108='Top 25'!$A$10),OR('Top 25'!$D$10="All",D2108='Top 25'!$D$10)),1,0)</f>
        <v>0</v>
      </c>
      <c r="AQ2108" s="105" t="str">
        <f ca="1">IF(AP2108=0,"",CHOOSE(MATCH('Top 25'!$G$10,{"Priority score","Economic need","Enrollment","Fresh miles","Nearby resources"},0),T2108,G2108,F2108,K2108,L2108))</f>
        <v/>
      </c>
      <c r="AR2108" s="105" t="str">
        <f ca="1">IF(AP2108=0,"",1+COUNTIFS($AP$2051:$AP$2550,1,$AQ$2051:$AQ$2550,IF('Top 25'!$J$10="Ascending","&lt;","&gt;")&amp;AQ2108)+COUNTIFS($AP$2051:$AP$2550,1,$AQ$2051:$AQ$2550,AQ2108,$W$2051:$W$2550,"&lt;"&amp;W2108))</f>
        <v/>
      </c>
      <c r="AT2108" s="105">
        <f ca="1">IF(AND(AL2108=1,OR(Master_rankableSchools!$A$10="All",C2108=Master_rankableSchools!$A$10),OR(Master_rankableSchools!$D$10="All",D2108=Master_rankableSchools!$D$10)),1,0)</f>
        <v>1</v>
      </c>
      <c r="AU2108" s="105">
        <f ca="1">IF(AT2108=0,"",CHOOSE(MATCH(Master_rankableSchools!$G$10,{"Priority score","Economic need","Enrollment","Fresh miles","Nearby resources"},0),T2108,G2108,F2108,K2108,L2108))</f>
        <v>32</v>
      </c>
      <c r="AV2108" s="105">
        <f ca="1">IF(AT2108=0,"",1+COUNTIFS($AT$2051:$AT$2550,1,$AU$2051:$AU$2550,IF(Master_rankableSchools!$J$10="Ascending","&lt;","&gt;")&amp;AU2108)+COUNTIFS($AT$2051:$AT$2550,1,$AU$2051:$AU$2550,AU2108,$W$2051:$W$2550,"&lt;"&amp;W2108))</f>
        <v>248</v>
      </c>
    </row>
    <row r="2109" spans="1:48" ht="22" customHeight="1">
      <c r="A2109" s="1" t="str">
        <f t="shared" si="0"/>
        <v>2640</v>
      </c>
      <c r="B2109" s="1" t="str">
        <f t="shared" si="1"/>
        <v>Southwark School</v>
      </c>
      <c r="C2109" s="1" t="str">
        <f t="shared" si="2"/>
        <v>District</v>
      </c>
      <c r="D2109" s="1" t="str">
        <f t="shared" si="3"/>
        <v>Elementary-Middle</v>
      </c>
      <c r="E2109" s="1" t="str">
        <f t="shared" si="4"/>
        <v>19148</v>
      </c>
      <c r="F2109" s="1">
        <f t="shared" si="5"/>
        <v>889</v>
      </c>
      <c r="G2109" s="1">
        <f t="shared" si="6"/>
        <v>0.74780000000000002</v>
      </c>
      <c r="H2109" s="1" t="str">
        <f t="shared" si="7"/>
        <v>Yes</v>
      </c>
      <c r="I2109" s="1">
        <f>IF(OR(A2109="",COUNTIFS('Staff Review'!$A$8:$A$507,A2109)&lt;&gt;1),0,MATCH(A2109,'Staff Review'!$A$8:$A$507,0))</f>
        <v>272</v>
      </c>
      <c r="J2109" s="1" t="str">
        <f>IF(I2109=0,"No",IF(INDEX('Staff Review'!$C$8:$C$507,I2109)="Yes","Yes","No"))</f>
        <v>No</v>
      </c>
      <c r="K2109" s="1">
        <f ca="1">IF(AI2109="Yes",INDEX('Staff Review'!$D$8:$D$507,I2109),IF(AB2109=0,"",IF(COUNT(INDEX($C$1531:$C$2030,AB2109))=1,INDEX($C$1531:$C$2030,AB2109),"")))</f>
        <v>0.41951697224983825</v>
      </c>
      <c r="L2109" s="1">
        <f>IF(AJ2109="Yes",INDEX('Staff Review'!$F$8:$F$507,I2109),IF(AB2109=0,"",IF(COUNT(INDEX($G$1531:$G$2030,AB2109))=1,INDEX($G$1531:$G$2030,AB2109),"")))</f>
        <v>8</v>
      </c>
      <c r="M2109" s="1" t="str">
        <f t="shared" ca="1" si="8"/>
        <v>Listed</v>
      </c>
      <c r="N2109" s="1" t="str">
        <f t="shared" si="9"/>
        <v>Listed</v>
      </c>
      <c r="O2109" s="1">
        <f t="shared" si="10"/>
        <v>20</v>
      </c>
      <c r="P2109" s="1">
        <f t="shared" ca="1" si="11"/>
        <v>10</v>
      </c>
      <c r="Q2109" s="1">
        <f t="shared" si="12"/>
        <v>0</v>
      </c>
      <c r="R2109" s="1">
        <f t="shared" si="13"/>
        <v>5</v>
      </c>
      <c r="S2109" s="1">
        <f t="shared" ca="1" si="14"/>
        <v>35</v>
      </c>
      <c r="T2109" s="1">
        <f ca="1">IF(OR(COUNT(O2109:R2109)&lt;&gt;4,COUNT('Top 25'!$B$45:$E$45)&lt;&gt;4,MIN('Top 25'!$B$45:$E$45)&lt;0,SUM('Top 25'!$B$45:$E$45)&lt;=0),"",ROUND(85*(O2109/30*'Top 25'!$B$45+P2109/25*'Top 25'!$C$45+Q2109/25*'Top 25'!$D$45+R2109/5*'Top 25'!$E$45)/SUM('Top 25'!$B$45:$E$45),6))</f>
        <v>35</v>
      </c>
      <c r="U2109" s="1" t="str">
        <f t="shared" ca="1" si="15"/>
        <v>Listed</v>
      </c>
      <c r="V2109" s="1" t="str">
        <f ca="1">IF(A2109="","",IF(AK2109&lt;&gt;1,"Duplicate source ID",IF(COUNTIFS('Staff Review'!$A$8:$A$507,A2109)&gt;1,"Duplicate review ID",IF(H2109&lt;&gt;"Yes","Outside scope",IF(J2109="Yes","Already served",IF(NOT(ISNUMBER(T2109)),"Missing data","Candidate"))))))</f>
        <v>Candidate</v>
      </c>
      <c r="W2109" s="1">
        <f t="shared" ca="1" si="16"/>
        <v>214</v>
      </c>
      <c r="X2109" s="1">
        <f t="shared" ca="1" si="17"/>
        <v>210</v>
      </c>
      <c r="Y2109" s="1">
        <f ca="1">IF(AND(H2109="Yes",OR(LEN('School Search'!$B$5)=0,ISNUMBER(SEARCH('School Search'!$B$5,B2109&amp;" "&amp;E2109&amp;" "&amp;A2109))),OR('School Search'!$D$5="All",C2109='School Search'!$D$5),OR('School Search'!$G$5="All eligible",AND('School Search'!$G$5="Not marked served",J2109&lt;&gt;"Yes"),AND('School Search'!$G$5="Missing data",V2109="Missing data"),AND('School Search'!$G$5="Marked served",J2109="Yes"))),1,0)</f>
        <v>1</v>
      </c>
      <c r="Z2109" s="1">
        <f ca="1">IF(Y2109=0,"",COUNTIFS($Y$2051:$Y$2550,1,$AO$2051:$AO$2550,"&lt;"&amp;AO2109)+COUNTIFS($Y$2051:Y2109,1,$AO$2051:AO2109,AO2109))</f>
        <v>214</v>
      </c>
      <c r="AA2109" s="1" t="str">
        <f t="shared" ca="1" si="18"/>
        <v>75% economic need; 0.42 mi fresh access; 8 nearby resources</v>
      </c>
      <c r="AB2109" s="1">
        <f t="shared" si="19"/>
        <v>59</v>
      </c>
      <c r="AC2109" s="1" t="str">
        <f t="shared" si="20"/>
        <v>ACME 726</v>
      </c>
      <c r="AD2109" s="1" t="str">
        <f t="shared" si="21"/>
        <v>1400 E Passyunk Ave, Philadelphia, PA, 19147</v>
      </c>
      <c r="AE2109" s="1" t="str">
        <f t="shared" si="22"/>
        <v>1835 S 9TH ST</v>
      </c>
      <c r="AF2109" s="1">
        <f t="shared" si="23"/>
        <v>39.92637775</v>
      </c>
      <c r="AG2109" s="1">
        <f t="shared" si="24"/>
        <v>-75.160531680000005</v>
      </c>
      <c r="AH2109" s="1" t="str">
        <f>IF(I2109=0,"Not contacted",IF(INDEX('Staff Review'!$J$8:$J$507,I2109)="","Not contacted",INDEX('Staff Review'!$J$8:$J$507,I2109)))</f>
        <v>Not contacted</v>
      </c>
      <c r="AI2109" s="1" t="str">
        <f ca="1">IF(I2109=0,"No",IF(AND(COUNT(INDEX('Staff Review'!$D$8:$D$507,I2109))=1,INDEX('Staff Review'!$D$8:$D$507,I2109)&gt;=0,COUNT(INDEX('Staff Review'!$E$8:$E$507,I2109))=1,INDEX('Staff Review'!$E$8:$E$507,I2109)&gt;0,INDEX('Staff Review'!$E$8:$E$507,I2109)&lt;='Top 25'!$E$5,'Top 25'!$E$5-INDEX('Staff Review'!$E$8:$E$507,I2109)&lt;='Top 25'!$H$5,LEN(INDEX('Staff Review'!$H$8:$H$507,I2109))&gt;0),"Yes","No"))</f>
        <v>No</v>
      </c>
      <c r="AJ2109" s="1" t="str">
        <f>IF(I2109=0,"No",IF(COUNT(INDEX('Staff Review'!$F$8:$F$507,I2109))&lt;&gt;1,"No",IF(AND(INDEX('Staff Review'!$F$8:$F$507,I2109)&gt;=0,MOD(INDEX('Staff Review'!$F$8:$F$507,I2109),1)=0,COUNT(INDEX('Staff Review'!$G$8:$G$507,I2109))=1,INDEX('Staff Review'!$G$8:$G$507,I2109)&gt;0,INDEX('Staff Review'!$G$8:$G$507,I2109)&lt;='Top 25'!$E$5,'Top 25'!$E$5-INDEX('Staff Review'!$G$8:$G$507,I2109)&lt;='Top 25'!$H$5,LEN(INDEX('Staff Review'!$H$8:$H$507,I2109))&gt;0),"Yes","No")))</f>
        <v>No</v>
      </c>
      <c r="AK2109" s="1">
        <f t="shared" si="25"/>
        <v>1</v>
      </c>
      <c r="AL2109" s="1">
        <f t="shared" ca="1" si="26"/>
        <v>1</v>
      </c>
      <c r="AM2109" s="1">
        <f t="shared" si="27"/>
        <v>2640</v>
      </c>
      <c r="AN2109" s="1">
        <f t="shared" si="28"/>
        <v>59</v>
      </c>
      <c r="AO2109">
        <f t="shared" ca="1" si="29"/>
        <v>214</v>
      </c>
      <c r="AP2109" s="105">
        <f ca="1">IF(AND(AL2109=1,OR('Top 25'!$A$10="All",C2109='Top 25'!$A$10),OR('Top 25'!$D$10="All",D2109='Top 25'!$D$10)),1,0)</f>
        <v>0</v>
      </c>
      <c r="AQ2109" s="105" t="str">
        <f ca="1">IF(AP2109=0,"",CHOOSE(MATCH('Top 25'!$G$10,{"Priority score","Economic need","Enrollment","Fresh miles","Nearby resources"},0),T2109,G2109,F2109,K2109,L2109))</f>
        <v/>
      </c>
      <c r="AR2109" s="105" t="str">
        <f ca="1">IF(AP2109=0,"",1+COUNTIFS($AP$2051:$AP$2550,1,$AQ$2051:$AQ$2550,IF('Top 25'!$J$10="Ascending","&lt;","&gt;")&amp;AQ2109)+COUNTIFS($AP$2051:$AP$2550,1,$AQ$2051:$AQ$2550,AQ2109,$W$2051:$W$2550,"&lt;"&amp;W2109))</f>
        <v/>
      </c>
      <c r="AT2109" s="105">
        <f ca="1">IF(AND(AL2109=1,OR(Master_rankableSchools!$A$10="All",C2109=Master_rankableSchools!$A$10),OR(Master_rankableSchools!$D$10="All",D2109=Master_rankableSchools!$D$10)),1,0)</f>
        <v>1</v>
      </c>
      <c r="AU2109" s="105">
        <f ca="1">IF(AT2109=0,"",CHOOSE(MATCH(Master_rankableSchools!$G$10,{"Priority score","Economic need","Enrollment","Fresh miles","Nearby resources"},0),T2109,G2109,F2109,K2109,L2109))</f>
        <v>35</v>
      </c>
      <c r="AV2109" s="105">
        <f ca="1">IF(AT2109=0,"",1+COUNTIFS($AT$2051:$AT$2550,1,$AU$2051:$AU$2550,IF(Master_rankableSchools!$J$10="Ascending","&lt;","&gt;")&amp;AU2109)+COUNTIFS($AT$2051:$AT$2550,1,$AU$2051:$AU$2550,AU2109,$W$2051:$W$2550,"&lt;"&amp;W2109))</f>
        <v>214</v>
      </c>
    </row>
    <row r="2110" spans="1:48" ht="22" customHeight="1">
      <c r="A2110" s="1" t="str">
        <f t="shared" si="0"/>
        <v>2650</v>
      </c>
      <c r="B2110" s="1" t="str">
        <f t="shared" si="1"/>
        <v>Science Leadership Academy High School</v>
      </c>
      <c r="C2110" s="1" t="str">
        <f t="shared" si="2"/>
        <v>District</v>
      </c>
      <c r="D2110" s="1" t="str">
        <f t="shared" si="3"/>
        <v>High</v>
      </c>
      <c r="E2110" s="1" t="str">
        <f t="shared" si="4"/>
        <v>19130</v>
      </c>
      <c r="F2110" s="1">
        <f t="shared" si="5"/>
        <v>510</v>
      </c>
      <c r="G2110" s="1">
        <f t="shared" si="6"/>
        <v>0.4627</v>
      </c>
      <c r="H2110" s="1" t="str">
        <f t="shared" si="7"/>
        <v>Yes</v>
      </c>
      <c r="I2110" s="1">
        <f>IF(OR(A2110="",COUNTIFS('Staff Review'!$A$8:$A$507,A2110)&lt;&gt;1),0,MATCH(A2110,'Staff Review'!$A$8:$A$507,0))</f>
        <v>266</v>
      </c>
      <c r="J2110" s="1" t="str">
        <f>IF(I2110=0,"No",IF(INDEX('Staff Review'!$C$8:$C$507,I2110)="Yes","Yes","No"))</f>
        <v>No</v>
      </c>
      <c r="K2110" s="1">
        <f ca="1">IF(AI2110="Yes",INDEX('Staff Review'!$D$8:$D$507,I2110),IF(AB2110=0,"",IF(COUNT(INDEX($C$1531:$C$2030,AB2110))=1,INDEX($C$1531:$C$2030,AB2110),"")))</f>
        <v>5.2755379355640127E-2</v>
      </c>
      <c r="L2110" s="1">
        <f>IF(AJ2110="Yes",INDEX('Staff Review'!$F$8:$F$507,I2110),IF(AB2110=0,"",IF(COUNT(INDEX($G$1531:$G$2030,AB2110))=1,INDEX($G$1531:$G$2030,AB2110),"")))</f>
        <v>10</v>
      </c>
      <c r="M2110" s="1" t="str">
        <f t="shared" ca="1" si="8"/>
        <v>Listed</v>
      </c>
      <c r="N2110" s="1" t="str">
        <f t="shared" si="9"/>
        <v>Listed</v>
      </c>
      <c r="O2110" s="1">
        <f t="shared" si="10"/>
        <v>5</v>
      </c>
      <c r="P2110" s="1">
        <f t="shared" ca="1" si="11"/>
        <v>5</v>
      </c>
      <c r="Q2110" s="1">
        <f t="shared" si="12"/>
        <v>0</v>
      </c>
      <c r="R2110" s="1">
        <f t="shared" si="13"/>
        <v>4</v>
      </c>
      <c r="S2110" s="1">
        <f t="shared" ca="1" si="14"/>
        <v>14</v>
      </c>
      <c r="T2110" s="1">
        <f ca="1">IF(OR(COUNT(O2110:R2110)&lt;&gt;4,COUNT('Top 25'!$B$45:$E$45)&lt;&gt;4,MIN('Top 25'!$B$45:$E$45)&lt;0,SUM('Top 25'!$B$45:$E$45)&lt;=0),"",ROUND(85*(O2110/30*'Top 25'!$B$45+P2110/25*'Top 25'!$C$45+Q2110/25*'Top 25'!$D$45+R2110/5*'Top 25'!$E$45)/SUM('Top 25'!$B$45:$E$45),6))</f>
        <v>14</v>
      </c>
      <c r="U2110" s="1" t="str">
        <f t="shared" ca="1" si="15"/>
        <v>Listed</v>
      </c>
      <c r="V2110" s="1" t="str">
        <f ca="1">IF(A2110="","",IF(AK2110&lt;&gt;1,"Duplicate source ID",IF(COUNTIFS('Staff Review'!$A$8:$A$507,A2110)&gt;1,"Duplicate review ID",IF(H2110&lt;&gt;"Yes","Outside scope",IF(J2110="Yes","Already served",IF(NOT(ISNUMBER(T2110)),"Missing data","Candidate"))))))</f>
        <v>Candidate</v>
      </c>
      <c r="W2110" s="1">
        <f t="shared" ca="1" si="16"/>
        <v>284</v>
      </c>
      <c r="X2110" s="1">
        <f t="shared" ca="1" si="17"/>
        <v>283</v>
      </c>
      <c r="Y2110" s="1">
        <f ca="1">IF(AND(H2110="Yes",OR(LEN('School Search'!$B$5)=0,ISNUMBER(SEARCH('School Search'!$B$5,B2110&amp;" "&amp;E2110&amp;" "&amp;A2110))),OR('School Search'!$D$5="All",C2110='School Search'!$D$5),OR('School Search'!$G$5="All eligible",AND('School Search'!$G$5="Not marked served",J2110&lt;&gt;"Yes"),AND('School Search'!$G$5="Missing data",V2110="Missing data"),AND('School Search'!$G$5="Marked served",J2110="Yes"))),1,0)</f>
        <v>1</v>
      </c>
      <c r="Z2110" s="1">
        <f ca="1">IF(Y2110=0,"",COUNTIFS($Y$2051:$Y$2550,1,$AO$2051:$AO$2550,"&lt;"&amp;AO2110)+COUNTIFS($Y$2051:Y2110,1,$AO$2051:AO2110,AO2110))</f>
        <v>284</v>
      </c>
      <c r="AA2110" s="1" t="str">
        <f t="shared" ca="1" si="18"/>
        <v>46% economic need; 0.05 mi fresh access; 10 nearby resources</v>
      </c>
      <c r="AB2110" s="1">
        <f t="shared" si="19"/>
        <v>60</v>
      </c>
      <c r="AC2110" s="1" t="str">
        <f t="shared" si="20"/>
        <v>Giant Food Store 6573</v>
      </c>
      <c r="AD2110" s="1" t="str">
        <f t="shared" si="21"/>
        <v>510 N Broad St, Philadelphia, PA, 19130</v>
      </c>
      <c r="AE2110" s="1" t="str">
        <f t="shared" si="22"/>
        <v>550 N BROAD ST, SCIENCE LEADERSHIP ACADEMY, SUITE 202</v>
      </c>
      <c r="AF2110" s="1">
        <f t="shared" si="23"/>
        <v>39.963701</v>
      </c>
      <c r="AG2110" s="1">
        <f t="shared" si="24"/>
        <v>-75.162515999999997</v>
      </c>
      <c r="AH2110" s="1" t="str">
        <f>IF(I2110=0,"Not contacted",IF(INDEX('Staff Review'!$J$8:$J$507,I2110)="","Not contacted",INDEX('Staff Review'!$J$8:$J$507,I2110)))</f>
        <v>Not contacted</v>
      </c>
      <c r="AI2110" s="1" t="str">
        <f ca="1">IF(I2110=0,"No",IF(AND(COUNT(INDEX('Staff Review'!$D$8:$D$507,I2110))=1,INDEX('Staff Review'!$D$8:$D$507,I2110)&gt;=0,COUNT(INDEX('Staff Review'!$E$8:$E$507,I2110))=1,INDEX('Staff Review'!$E$8:$E$507,I2110)&gt;0,INDEX('Staff Review'!$E$8:$E$507,I2110)&lt;='Top 25'!$E$5,'Top 25'!$E$5-INDEX('Staff Review'!$E$8:$E$507,I2110)&lt;='Top 25'!$H$5,LEN(INDEX('Staff Review'!$H$8:$H$507,I2110))&gt;0),"Yes","No"))</f>
        <v>No</v>
      </c>
      <c r="AJ2110" s="1" t="str">
        <f>IF(I2110=0,"No",IF(COUNT(INDEX('Staff Review'!$F$8:$F$507,I2110))&lt;&gt;1,"No",IF(AND(INDEX('Staff Review'!$F$8:$F$507,I2110)&gt;=0,MOD(INDEX('Staff Review'!$F$8:$F$507,I2110),1)=0,COUNT(INDEX('Staff Review'!$G$8:$G$507,I2110))=1,INDEX('Staff Review'!$G$8:$G$507,I2110)&gt;0,INDEX('Staff Review'!$G$8:$G$507,I2110)&lt;='Top 25'!$E$5,'Top 25'!$E$5-INDEX('Staff Review'!$G$8:$G$507,I2110)&lt;='Top 25'!$H$5,LEN(INDEX('Staff Review'!$H$8:$H$507,I2110))&gt;0),"Yes","No")))</f>
        <v>No</v>
      </c>
      <c r="AK2110" s="1">
        <f t="shared" si="25"/>
        <v>1</v>
      </c>
      <c r="AL2110" s="1">
        <f t="shared" ca="1" si="26"/>
        <v>1</v>
      </c>
      <c r="AM2110" s="1">
        <f t="shared" si="27"/>
        <v>2650</v>
      </c>
      <c r="AN2110" s="1">
        <f t="shared" si="28"/>
        <v>60</v>
      </c>
      <c r="AO2110">
        <f t="shared" ca="1" si="29"/>
        <v>284</v>
      </c>
      <c r="AP2110" s="105">
        <f ca="1">IF(AND(AL2110=1,OR('Top 25'!$A$10="All",C2110='Top 25'!$A$10),OR('Top 25'!$D$10="All",D2110='Top 25'!$D$10)),1,0)</f>
        <v>0</v>
      </c>
      <c r="AQ2110" s="105" t="str">
        <f ca="1">IF(AP2110=0,"",CHOOSE(MATCH('Top 25'!$G$10,{"Priority score","Economic need","Enrollment","Fresh miles","Nearby resources"},0),T2110,G2110,F2110,K2110,L2110))</f>
        <v/>
      </c>
      <c r="AR2110" s="105" t="str">
        <f ca="1">IF(AP2110=0,"",1+COUNTIFS($AP$2051:$AP$2550,1,$AQ$2051:$AQ$2550,IF('Top 25'!$J$10="Ascending","&lt;","&gt;")&amp;AQ2110)+COUNTIFS($AP$2051:$AP$2550,1,$AQ$2051:$AQ$2550,AQ2110,$W$2051:$W$2550,"&lt;"&amp;W2110))</f>
        <v/>
      </c>
      <c r="AT2110" s="105">
        <f ca="1">IF(AND(AL2110=1,OR(Master_rankableSchools!$A$10="All",C2110=Master_rankableSchools!$A$10),OR(Master_rankableSchools!$D$10="All",D2110=Master_rankableSchools!$D$10)),1,0)</f>
        <v>1</v>
      </c>
      <c r="AU2110" s="105">
        <f ca="1">IF(AT2110=0,"",CHOOSE(MATCH(Master_rankableSchools!$G$10,{"Priority score","Economic need","Enrollment","Fresh miles","Nearby resources"},0),T2110,G2110,F2110,K2110,L2110))</f>
        <v>14</v>
      </c>
      <c r="AV2110" s="105">
        <f ca="1">IF(AT2110=0,"",1+COUNTIFS($AT$2051:$AT$2550,1,$AU$2051:$AU$2550,IF(Master_rankableSchools!$J$10="Ascending","&lt;","&gt;")&amp;AU2110)+COUNTIFS($AT$2051:$AT$2550,1,$AU$2051:$AU$2550,AU2110,$W$2051:$W$2550,"&lt;"&amp;W2110))</f>
        <v>284</v>
      </c>
    </row>
    <row r="2111" spans="1:48" ht="22" customHeight="1">
      <c r="A2111" s="1" t="str">
        <f t="shared" si="0"/>
        <v>2670</v>
      </c>
      <c r="B2111" s="1" t="str">
        <f t="shared" si="1"/>
        <v>Constitution High School</v>
      </c>
      <c r="C2111" s="1" t="str">
        <f t="shared" si="2"/>
        <v>District</v>
      </c>
      <c r="D2111" s="1" t="str">
        <f t="shared" si="3"/>
        <v>High</v>
      </c>
      <c r="E2111" s="1" t="str">
        <f t="shared" si="4"/>
        <v>19106</v>
      </c>
      <c r="F2111" s="1">
        <f t="shared" si="5"/>
        <v>410</v>
      </c>
      <c r="G2111" s="1">
        <f t="shared" si="6"/>
        <v>0.81120000000000003</v>
      </c>
      <c r="H2111" s="1" t="str">
        <f t="shared" si="7"/>
        <v>Yes</v>
      </c>
      <c r="I2111" s="1">
        <f>IF(OR(A2111="",COUNTIFS('Staff Review'!$A$8:$A$507,A2111)&lt;&gt;1),0,MATCH(A2111,'Staff Review'!$A$8:$A$507,0))</f>
        <v>45</v>
      </c>
      <c r="J2111" s="1" t="str">
        <f>IF(I2111=0,"No",IF(INDEX('Staff Review'!$C$8:$C$507,I2111)="Yes","Yes","No"))</f>
        <v>No</v>
      </c>
      <c r="K2111" s="1">
        <f ca="1">IF(AI2111="Yes",INDEX('Staff Review'!$D$8:$D$507,I2111),IF(AB2111=0,"",IF(COUNT(INDEX($C$1531:$C$2030,AB2111))=1,INDEX($C$1531:$C$2030,AB2111),"")))</f>
        <v>0.33164819158662245</v>
      </c>
      <c r="L2111" s="1">
        <f>IF(AJ2111="Yes",INDEX('Staff Review'!$F$8:$F$507,I2111),IF(AB2111=0,"",IF(COUNT(INDEX($G$1531:$G$2030,AB2111))=1,INDEX($G$1531:$G$2030,AB2111),"")))</f>
        <v>7</v>
      </c>
      <c r="M2111" s="1" t="str">
        <f t="shared" ca="1" si="8"/>
        <v>Listed</v>
      </c>
      <c r="N2111" s="1" t="str">
        <f t="shared" si="9"/>
        <v>Listed</v>
      </c>
      <c r="O2111" s="1">
        <f t="shared" si="10"/>
        <v>25</v>
      </c>
      <c r="P2111" s="1">
        <f t="shared" ca="1" si="11"/>
        <v>10</v>
      </c>
      <c r="Q2111" s="1">
        <f t="shared" si="12"/>
        <v>0</v>
      </c>
      <c r="R2111" s="1">
        <f t="shared" si="13"/>
        <v>3</v>
      </c>
      <c r="S2111" s="1">
        <f t="shared" ca="1" si="14"/>
        <v>38</v>
      </c>
      <c r="T2111" s="1">
        <f ca="1">IF(OR(COUNT(O2111:R2111)&lt;&gt;4,COUNT('Top 25'!$B$45:$E$45)&lt;&gt;4,MIN('Top 25'!$B$45:$E$45)&lt;0,SUM('Top 25'!$B$45:$E$45)&lt;=0),"",ROUND(85*(O2111/30*'Top 25'!$B$45+P2111/25*'Top 25'!$C$45+Q2111/25*'Top 25'!$D$45+R2111/5*'Top 25'!$E$45)/SUM('Top 25'!$B$45:$E$45),6))</f>
        <v>38</v>
      </c>
      <c r="U2111" s="1" t="str">
        <f t="shared" ca="1" si="15"/>
        <v>Listed</v>
      </c>
      <c r="V2111" s="1" t="str">
        <f ca="1">IF(A2111="","",IF(AK2111&lt;&gt;1,"Duplicate source ID",IF(COUNTIFS('Staff Review'!$A$8:$A$507,A2111)&gt;1,"Duplicate review ID",IF(H2111&lt;&gt;"Yes","Outside scope",IF(J2111="Yes","Already served",IF(NOT(ISNUMBER(T2111)),"Missing data","Candidate"))))))</f>
        <v>Candidate</v>
      </c>
      <c r="W2111" s="1">
        <f t="shared" ca="1" si="16"/>
        <v>177</v>
      </c>
      <c r="X2111" s="1">
        <f t="shared" ca="1" si="17"/>
        <v>166</v>
      </c>
      <c r="Y2111" s="1">
        <f ca="1">IF(AND(H2111="Yes",OR(LEN('School Search'!$B$5)=0,ISNUMBER(SEARCH('School Search'!$B$5,B2111&amp;" "&amp;E2111&amp;" "&amp;A2111))),OR('School Search'!$D$5="All",C2111='School Search'!$D$5),OR('School Search'!$G$5="All eligible",AND('School Search'!$G$5="Not marked served",J2111&lt;&gt;"Yes"),AND('School Search'!$G$5="Missing data",V2111="Missing data"),AND('School Search'!$G$5="Marked served",J2111="Yes"))),1,0)</f>
        <v>1</v>
      </c>
      <c r="Z2111" s="1">
        <f ca="1">IF(Y2111=0,"",COUNTIFS($Y$2051:$Y$2550,1,$AO$2051:$AO$2550,"&lt;"&amp;AO2111)+COUNTIFS($Y$2051:Y2111,1,$AO$2051:AO2111,AO2111))</f>
        <v>177</v>
      </c>
      <c r="AA2111" s="1" t="str">
        <f t="shared" ca="1" si="18"/>
        <v>81% economic need; 0.33 mi fresh access; 7 nearby resources</v>
      </c>
      <c r="AB2111" s="1">
        <f t="shared" si="19"/>
        <v>61</v>
      </c>
      <c r="AC2111" s="1" t="str">
        <f t="shared" si="20"/>
        <v>MOM's Organic Market 17</v>
      </c>
      <c r="AD2111" s="1" t="str">
        <f t="shared" si="21"/>
        <v>34 S 11th St, Philadelphia, PA, 19107</v>
      </c>
      <c r="AE2111" s="1" t="str">
        <f t="shared" si="22"/>
        <v>18 S 7TH ST</v>
      </c>
      <c r="AF2111" s="1">
        <f t="shared" si="23"/>
        <v>39.950251999999999</v>
      </c>
      <c r="AG2111" s="1">
        <f t="shared" si="24"/>
        <v>-75.152336000000005</v>
      </c>
      <c r="AH2111" s="1" t="str">
        <f>IF(I2111=0,"Not contacted",IF(INDEX('Staff Review'!$J$8:$J$507,I2111)="","Not contacted",INDEX('Staff Review'!$J$8:$J$507,I2111)))</f>
        <v>Not contacted</v>
      </c>
      <c r="AI2111" s="1" t="str">
        <f ca="1">IF(I2111=0,"No",IF(AND(COUNT(INDEX('Staff Review'!$D$8:$D$507,I2111))=1,INDEX('Staff Review'!$D$8:$D$507,I2111)&gt;=0,COUNT(INDEX('Staff Review'!$E$8:$E$507,I2111))=1,INDEX('Staff Review'!$E$8:$E$507,I2111)&gt;0,INDEX('Staff Review'!$E$8:$E$507,I2111)&lt;='Top 25'!$E$5,'Top 25'!$E$5-INDEX('Staff Review'!$E$8:$E$507,I2111)&lt;='Top 25'!$H$5,LEN(INDEX('Staff Review'!$H$8:$H$507,I2111))&gt;0),"Yes","No"))</f>
        <v>No</v>
      </c>
      <c r="AJ2111" s="1" t="str">
        <f>IF(I2111=0,"No",IF(COUNT(INDEX('Staff Review'!$F$8:$F$507,I2111))&lt;&gt;1,"No",IF(AND(INDEX('Staff Review'!$F$8:$F$507,I2111)&gt;=0,MOD(INDEX('Staff Review'!$F$8:$F$507,I2111),1)=0,COUNT(INDEX('Staff Review'!$G$8:$G$507,I2111))=1,INDEX('Staff Review'!$G$8:$G$507,I2111)&gt;0,INDEX('Staff Review'!$G$8:$G$507,I2111)&lt;='Top 25'!$E$5,'Top 25'!$E$5-INDEX('Staff Review'!$G$8:$G$507,I2111)&lt;='Top 25'!$H$5,LEN(INDEX('Staff Review'!$H$8:$H$507,I2111))&gt;0),"Yes","No")))</f>
        <v>No</v>
      </c>
      <c r="AK2111" s="1">
        <f t="shared" si="25"/>
        <v>1</v>
      </c>
      <c r="AL2111" s="1">
        <f t="shared" ca="1" si="26"/>
        <v>1</v>
      </c>
      <c r="AM2111" s="1">
        <f t="shared" si="27"/>
        <v>2670</v>
      </c>
      <c r="AN2111" s="1">
        <f t="shared" si="28"/>
        <v>61</v>
      </c>
      <c r="AO2111">
        <f t="shared" ca="1" si="29"/>
        <v>177</v>
      </c>
      <c r="AP2111" s="105">
        <f ca="1">IF(AND(AL2111=1,OR('Top 25'!$A$10="All",C2111='Top 25'!$A$10),OR('Top 25'!$D$10="All",D2111='Top 25'!$D$10)),1,0)</f>
        <v>0</v>
      </c>
      <c r="AQ2111" s="105" t="str">
        <f ca="1">IF(AP2111=0,"",CHOOSE(MATCH('Top 25'!$G$10,{"Priority score","Economic need","Enrollment","Fresh miles","Nearby resources"},0),T2111,G2111,F2111,K2111,L2111))</f>
        <v/>
      </c>
      <c r="AR2111" s="105" t="str">
        <f ca="1">IF(AP2111=0,"",1+COUNTIFS($AP$2051:$AP$2550,1,$AQ$2051:$AQ$2550,IF('Top 25'!$J$10="Ascending","&lt;","&gt;")&amp;AQ2111)+COUNTIFS($AP$2051:$AP$2550,1,$AQ$2051:$AQ$2550,AQ2111,$W$2051:$W$2550,"&lt;"&amp;W2111))</f>
        <v/>
      </c>
      <c r="AT2111" s="105">
        <f ca="1">IF(AND(AL2111=1,OR(Master_rankableSchools!$A$10="All",C2111=Master_rankableSchools!$A$10),OR(Master_rankableSchools!$D$10="All",D2111=Master_rankableSchools!$D$10)),1,0)</f>
        <v>1</v>
      </c>
      <c r="AU2111" s="105">
        <f ca="1">IF(AT2111=0,"",CHOOSE(MATCH(Master_rankableSchools!$G$10,{"Priority score","Economic need","Enrollment","Fresh miles","Nearby resources"},0),T2111,G2111,F2111,K2111,L2111))</f>
        <v>38</v>
      </c>
      <c r="AV2111" s="105">
        <f ca="1">IF(AT2111=0,"",1+COUNTIFS($AT$2051:$AT$2550,1,$AU$2051:$AU$2550,IF(Master_rankableSchools!$J$10="Ascending","&lt;","&gt;")&amp;AU2111)+COUNTIFS($AT$2051:$AT$2550,1,$AU$2051:$AU$2550,AU2111,$W$2051:$W$2550,"&lt;"&amp;W2111))</f>
        <v>177</v>
      </c>
    </row>
    <row r="2112" spans="1:48" ht="22" customHeight="1">
      <c r="A2112" s="1" t="str">
        <f t="shared" si="0"/>
        <v>2680</v>
      </c>
      <c r="B2112" s="1" t="str">
        <f t="shared" si="1"/>
        <v>The Science Leadership Academy at Beeber High School</v>
      </c>
      <c r="C2112" s="1" t="str">
        <f t="shared" si="2"/>
        <v>District</v>
      </c>
      <c r="D2112" s="1" t="str">
        <f t="shared" si="3"/>
        <v>Middle-High</v>
      </c>
      <c r="E2112" s="1" t="str">
        <f t="shared" si="4"/>
        <v>19131</v>
      </c>
      <c r="F2112" s="1">
        <f t="shared" si="5"/>
        <v>492</v>
      </c>
      <c r="G2112" s="1">
        <f t="shared" si="6"/>
        <v>0.51519999999999999</v>
      </c>
      <c r="H2112" s="1" t="str">
        <f t="shared" si="7"/>
        <v>Yes</v>
      </c>
      <c r="I2112" s="1">
        <f>IF(OR(A2112="",COUNTIFS('Staff Review'!$A$8:$A$507,A2112)&lt;&gt;1),0,MATCH(A2112,'Staff Review'!$A$8:$A$507,0))</f>
        <v>288</v>
      </c>
      <c r="J2112" s="1" t="str">
        <f>IF(I2112=0,"No",IF(INDEX('Staff Review'!$C$8:$C$507,I2112)="Yes","Yes","No"))</f>
        <v>No</v>
      </c>
      <c r="K2112" s="1">
        <f ca="1">IF(AI2112="Yes",INDEX('Staff Review'!$D$8:$D$507,I2112),IF(AB2112=0,"",IF(COUNT(INDEX($C$1531:$C$2030,AB2112))=1,INDEX($C$1531:$C$2030,AB2112),"")))</f>
        <v>1.0254135022515662</v>
      </c>
      <c r="L2112" s="1">
        <f>IF(AJ2112="Yes",INDEX('Staff Review'!$F$8:$F$507,I2112),IF(AB2112=0,"",IF(COUNT(INDEX($G$1531:$G$2030,AB2112))=1,INDEX($G$1531:$G$2030,AB2112),"")))</f>
        <v>5</v>
      </c>
      <c r="M2112" s="1" t="str">
        <f t="shared" ca="1" si="8"/>
        <v>Listed</v>
      </c>
      <c r="N2112" s="1" t="str">
        <f t="shared" si="9"/>
        <v>Listed</v>
      </c>
      <c r="O2112" s="1">
        <f t="shared" si="10"/>
        <v>10</v>
      </c>
      <c r="P2112" s="1">
        <f t="shared" ca="1" si="11"/>
        <v>25</v>
      </c>
      <c r="Q2112" s="1">
        <f t="shared" si="12"/>
        <v>0</v>
      </c>
      <c r="R2112" s="1">
        <f t="shared" si="13"/>
        <v>3</v>
      </c>
      <c r="S2112" s="1">
        <f t="shared" ca="1" si="14"/>
        <v>38</v>
      </c>
      <c r="T2112" s="1">
        <f ca="1">IF(OR(COUNT(O2112:R2112)&lt;&gt;4,COUNT('Top 25'!$B$45:$E$45)&lt;&gt;4,MIN('Top 25'!$B$45:$E$45)&lt;0,SUM('Top 25'!$B$45:$E$45)&lt;=0),"",ROUND(85*(O2112/30*'Top 25'!$B$45+P2112/25*'Top 25'!$C$45+Q2112/25*'Top 25'!$D$45+R2112/5*'Top 25'!$E$45)/SUM('Top 25'!$B$45:$E$45),6))</f>
        <v>38</v>
      </c>
      <c r="U2112" s="1" t="str">
        <f t="shared" ca="1" si="15"/>
        <v>Listed</v>
      </c>
      <c r="V2112" s="1" t="str">
        <f ca="1">IF(A2112="","",IF(AK2112&lt;&gt;1,"Duplicate source ID",IF(COUNTIFS('Staff Review'!$A$8:$A$507,A2112)&gt;1,"Duplicate review ID",IF(H2112&lt;&gt;"Yes","Outside scope",IF(J2112="Yes","Already served",IF(NOT(ISNUMBER(T2112)),"Missing data","Candidate"))))))</f>
        <v>Candidate</v>
      </c>
      <c r="W2112" s="1">
        <f t="shared" ca="1" si="16"/>
        <v>180</v>
      </c>
      <c r="X2112" s="1">
        <f t="shared" ca="1" si="17"/>
        <v>166</v>
      </c>
      <c r="Y2112" s="1">
        <f ca="1">IF(AND(H2112="Yes",OR(LEN('School Search'!$B$5)=0,ISNUMBER(SEARCH('School Search'!$B$5,B2112&amp;" "&amp;E2112&amp;" "&amp;A2112))),OR('School Search'!$D$5="All",C2112='School Search'!$D$5),OR('School Search'!$G$5="All eligible",AND('School Search'!$G$5="Not marked served",J2112&lt;&gt;"Yes"),AND('School Search'!$G$5="Missing data",V2112="Missing data"),AND('School Search'!$G$5="Marked served",J2112="Yes"))),1,0)</f>
        <v>1</v>
      </c>
      <c r="Z2112" s="1">
        <f ca="1">IF(Y2112=0,"",COUNTIFS($Y$2051:$Y$2550,1,$AO$2051:$AO$2550,"&lt;"&amp;AO2112)+COUNTIFS($Y$2051:Y2112,1,$AO$2051:AO2112,AO2112))</f>
        <v>180</v>
      </c>
      <c r="AA2112" s="1" t="str">
        <f t="shared" ca="1" si="18"/>
        <v>52% economic need; 1.03 mi fresh access; 5 nearby resources</v>
      </c>
      <c r="AB2112" s="1">
        <f t="shared" si="19"/>
        <v>62</v>
      </c>
      <c r="AC2112" s="1" t="str">
        <f t="shared" si="20"/>
        <v>Shoprite of Parkside 419</v>
      </c>
      <c r="AD2112" s="1" t="str">
        <f t="shared" si="21"/>
        <v>1575 N 52nd St, Philadelphia, PA, 19131</v>
      </c>
      <c r="AE2112" s="1" t="str">
        <f t="shared" si="22"/>
        <v>5925 MALVERN AVE</v>
      </c>
      <c r="AF2112" s="1">
        <f t="shared" si="23"/>
        <v>39.986102209999999</v>
      </c>
      <c r="AG2112" s="1">
        <f t="shared" si="24"/>
        <v>-75.24192008</v>
      </c>
      <c r="AH2112" s="1" t="str">
        <f>IF(I2112=0,"Not contacted",IF(INDEX('Staff Review'!$J$8:$J$507,I2112)="","Not contacted",INDEX('Staff Review'!$J$8:$J$507,I2112)))</f>
        <v>Not contacted</v>
      </c>
      <c r="AI2112" s="1" t="str">
        <f ca="1">IF(I2112=0,"No",IF(AND(COUNT(INDEX('Staff Review'!$D$8:$D$507,I2112))=1,INDEX('Staff Review'!$D$8:$D$507,I2112)&gt;=0,COUNT(INDEX('Staff Review'!$E$8:$E$507,I2112))=1,INDEX('Staff Review'!$E$8:$E$507,I2112)&gt;0,INDEX('Staff Review'!$E$8:$E$507,I2112)&lt;='Top 25'!$E$5,'Top 25'!$E$5-INDEX('Staff Review'!$E$8:$E$507,I2112)&lt;='Top 25'!$H$5,LEN(INDEX('Staff Review'!$H$8:$H$507,I2112))&gt;0),"Yes","No"))</f>
        <v>No</v>
      </c>
      <c r="AJ2112" s="1" t="str">
        <f>IF(I2112=0,"No",IF(COUNT(INDEX('Staff Review'!$F$8:$F$507,I2112))&lt;&gt;1,"No",IF(AND(INDEX('Staff Review'!$F$8:$F$507,I2112)&gt;=0,MOD(INDEX('Staff Review'!$F$8:$F$507,I2112),1)=0,COUNT(INDEX('Staff Review'!$G$8:$G$507,I2112))=1,INDEX('Staff Review'!$G$8:$G$507,I2112)&gt;0,INDEX('Staff Review'!$G$8:$G$507,I2112)&lt;='Top 25'!$E$5,'Top 25'!$E$5-INDEX('Staff Review'!$G$8:$G$507,I2112)&lt;='Top 25'!$H$5,LEN(INDEX('Staff Review'!$H$8:$H$507,I2112))&gt;0),"Yes","No")))</f>
        <v>No</v>
      </c>
      <c r="AK2112" s="1">
        <f t="shared" si="25"/>
        <v>1</v>
      </c>
      <c r="AL2112" s="1">
        <f t="shared" ca="1" si="26"/>
        <v>1</v>
      </c>
      <c r="AM2112" s="1">
        <f t="shared" si="27"/>
        <v>2680</v>
      </c>
      <c r="AN2112" s="1">
        <f t="shared" si="28"/>
        <v>62</v>
      </c>
      <c r="AO2112">
        <f t="shared" ca="1" si="29"/>
        <v>180</v>
      </c>
      <c r="AP2112" s="105">
        <f ca="1">IF(AND(AL2112=1,OR('Top 25'!$A$10="All",C2112='Top 25'!$A$10),OR('Top 25'!$D$10="All",D2112='Top 25'!$D$10)),1,0)</f>
        <v>0</v>
      </c>
      <c r="AQ2112" s="105" t="str">
        <f ca="1">IF(AP2112=0,"",CHOOSE(MATCH('Top 25'!$G$10,{"Priority score","Economic need","Enrollment","Fresh miles","Nearby resources"},0),T2112,G2112,F2112,K2112,L2112))</f>
        <v/>
      </c>
      <c r="AR2112" s="105" t="str">
        <f ca="1">IF(AP2112=0,"",1+COUNTIFS($AP$2051:$AP$2550,1,$AQ$2051:$AQ$2550,IF('Top 25'!$J$10="Ascending","&lt;","&gt;")&amp;AQ2112)+COUNTIFS($AP$2051:$AP$2550,1,$AQ$2051:$AQ$2550,AQ2112,$W$2051:$W$2550,"&lt;"&amp;W2112))</f>
        <v/>
      </c>
      <c r="AT2112" s="105">
        <f ca="1">IF(AND(AL2112=1,OR(Master_rankableSchools!$A$10="All",C2112=Master_rankableSchools!$A$10),OR(Master_rankableSchools!$D$10="All",D2112=Master_rankableSchools!$D$10)),1,0)</f>
        <v>1</v>
      </c>
      <c r="AU2112" s="105">
        <f ca="1">IF(AT2112=0,"",CHOOSE(MATCH(Master_rankableSchools!$G$10,{"Priority score","Economic need","Enrollment","Fresh miles","Nearby resources"},0),T2112,G2112,F2112,K2112,L2112))</f>
        <v>38</v>
      </c>
      <c r="AV2112" s="105">
        <f ca="1">IF(AT2112=0,"",1+COUNTIFS($AT$2051:$AT$2550,1,$AU$2051:$AU$2550,IF(Master_rankableSchools!$J$10="Ascending","&lt;","&gt;")&amp;AU2112)+COUNTIFS($AT$2051:$AT$2550,1,$AU$2051:$AU$2550,AU2112,$W$2051:$W$2550,"&lt;"&amp;W2112))</f>
        <v>180</v>
      </c>
    </row>
    <row r="2113" spans="1:48" ht="22" customHeight="1">
      <c r="A2113" s="1" t="str">
        <f t="shared" si="0"/>
        <v>2690</v>
      </c>
      <c r="B2113" s="1" t="str">
        <f t="shared" si="1"/>
        <v>John H. Taggart School</v>
      </c>
      <c r="C2113" s="1" t="str">
        <f t="shared" si="2"/>
        <v>District</v>
      </c>
      <c r="D2113" s="1" t="str">
        <f t="shared" si="3"/>
        <v>Elementary-Middle</v>
      </c>
      <c r="E2113" s="1" t="str">
        <f t="shared" si="4"/>
        <v>19148</v>
      </c>
      <c r="F2113" s="1">
        <f t="shared" si="5"/>
        <v>485</v>
      </c>
      <c r="G2113" s="1">
        <f t="shared" si="6"/>
        <v>0.80600000000000005</v>
      </c>
      <c r="H2113" s="1" t="str">
        <f t="shared" si="7"/>
        <v>Yes</v>
      </c>
      <c r="I2113" s="1">
        <f>IF(OR(A2113="",COUNTIFS('Staff Review'!$A$8:$A$507,A2113)&lt;&gt;1),0,MATCH(A2113,'Staff Review'!$A$8:$A$507,0))</f>
        <v>139</v>
      </c>
      <c r="J2113" s="1" t="str">
        <f>IF(I2113=0,"No",IF(INDEX('Staff Review'!$C$8:$C$507,I2113)="Yes","Yes","No"))</f>
        <v>No</v>
      </c>
      <c r="K2113" s="1">
        <f ca="1">IF(AI2113="Yes",INDEX('Staff Review'!$D$8:$D$507,I2113),IF(AB2113=0,"",IF(COUNT(INDEX($C$1531:$C$2030,AB2113))=1,INDEX($C$1531:$C$2030,AB2113),"")))</f>
        <v>0.19773198527602262</v>
      </c>
      <c r="L2113" s="1">
        <f>IF(AJ2113="Yes",INDEX('Staff Review'!$F$8:$F$507,I2113),IF(AB2113=0,"",IF(COUNT(INDEX($G$1531:$G$2030,AB2113))=1,INDEX($G$1531:$G$2030,AB2113),"")))</f>
        <v>4</v>
      </c>
      <c r="M2113" s="1" t="str">
        <f t="shared" ca="1" si="8"/>
        <v>Listed</v>
      </c>
      <c r="N2113" s="1" t="str">
        <f t="shared" si="9"/>
        <v>Listed</v>
      </c>
      <c r="O2113" s="1">
        <f t="shared" si="10"/>
        <v>25</v>
      </c>
      <c r="P2113" s="1">
        <f t="shared" ca="1" si="11"/>
        <v>5</v>
      </c>
      <c r="Q2113" s="1">
        <f t="shared" si="12"/>
        <v>5</v>
      </c>
      <c r="R2113" s="1">
        <f t="shared" si="13"/>
        <v>3</v>
      </c>
      <c r="S2113" s="1">
        <f t="shared" ca="1" si="14"/>
        <v>38</v>
      </c>
      <c r="T2113" s="1">
        <f ca="1">IF(OR(COUNT(O2113:R2113)&lt;&gt;4,COUNT('Top 25'!$B$45:$E$45)&lt;&gt;4,MIN('Top 25'!$B$45:$E$45)&lt;0,SUM('Top 25'!$B$45:$E$45)&lt;=0),"",ROUND(85*(O2113/30*'Top 25'!$B$45+P2113/25*'Top 25'!$C$45+Q2113/25*'Top 25'!$D$45+R2113/5*'Top 25'!$E$45)/SUM('Top 25'!$B$45:$E$45),6))</f>
        <v>38</v>
      </c>
      <c r="U2113" s="1" t="str">
        <f t="shared" ca="1" si="15"/>
        <v>Listed</v>
      </c>
      <c r="V2113" s="1" t="str">
        <f ca="1">IF(A2113="","",IF(AK2113&lt;&gt;1,"Duplicate source ID",IF(COUNTIFS('Staff Review'!$A$8:$A$507,A2113)&gt;1,"Duplicate review ID",IF(H2113&lt;&gt;"Yes","Outside scope",IF(J2113="Yes","Already served",IF(NOT(ISNUMBER(T2113)),"Missing data","Candidate"))))))</f>
        <v>Candidate</v>
      </c>
      <c r="W2113" s="1">
        <f t="shared" ca="1" si="16"/>
        <v>179</v>
      </c>
      <c r="X2113" s="1">
        <f t="shared" ca="1" si="17"/>
        <v>166</v>
      </c>
      <c r="Y2113" s="1">
        <f ca="1">IF(AND(H2113="Yes",OR(LEN('School Search'!$B$5)=0,ISNUMBER(SEARCH('School Search'!$B$5,B2113&amp;" "&amp;E2113&amp;" "&amp;A2113))),OR('School Search'!$D$5="All",C2113='School Search'!$D$5),OR('School Search'!$G$5="All eligible",AND('School Search'!$G$5="Not marked served",J2113&lt;&gt;"Yes"),AND('School Search'!$G$5="Missing data",V2113="Missing data"),AND('School Search'!$G$5="Marked served",J2113="Yes"))),1,0)</f>
        <v>1</v>
      </c>
      <c r="Z2113" s="1">
        <f ca="1">IF(Y2113=0,"",COUNTIFS($Y$2051:$Y$2550,1,$AO$2051:$AO$2550,"&lt;"&amp;AO2113)+COUNTIFS($Y$2051:Y2113,1,$AO$2051:AO2113,AO2113))</f>
        <v>179</v>
      </c>
      <c r="AA2113" s="1" t="str">
        <f t="shared" ca="1" si="18"/>
        <v>81% economic need; 0.20 mi fresh access; 4 nearby resources</v>
      </c>
      <c r="AB2113" s="1">
        <f t="shared" si="19"/>
        <v>63</v>
      </c>
      <c r="AC2113" s="1" t="str">
        <f t="shared" si="20"/>
        <v>New Oregon Market Inc</v>
      </c>
      <c r="AD2113" s="1" t="str">
        <f t="shared" si="21"/>
        <v>320 W Oregon Ave, Philadelphia, PA, 19148</v>
      </c>
      <c r="AE2113" s="1" t="str">
        <f t="shared" si="22"/>
        <v>400 W PORTER ST</v>
      </c>
      <c r="AF2113" s="1">
        <f t="shared" si="23"/>
        <v>39.917212229999997</v>
      </c>
      <c r="AG2113" s="1">
        <f t="shared" si="24"/>
        <v>-75.154522369999995</v>
      </c>
      <c r="AH2113" s="1" t="str">
        <f>IF(I2113=0,"Not contacted",IF(INDEX('Staff Review'!$J$8:$J$507,I2113)="","Not contacted",INDEX('Staff Review'!$J$8:$J$507,I2113)))</f>
        <v>Not contacted</v>
      </c>
      <c r="AI2113" s="1" t="str">
        <f ca="1">IF(I2113=0,"No",IF(AND(COUNT(INDEX('Staff Review'!$D$8:$D$507,I2113))=1,INDEX('Staff Review'!$D$8:$D$507,I2113)&gt;=0,COUNT(INDEX('Staff Review'!$E$8:$E$507,I2113))=1,INDEX('Staff Review'!$E$8:$E$507,I2113)&gt;0,INDEX('Staff Review'!$E$8:$E$507,I2113)&lt;='Top 25'!$E$5,'Top 25'!$E$5-INDEX('Staff Review'!$E$8:$E$507,I2113)&lt;='Top 25'!$H$5,LEN(INDEX('Staff Review'!$H$8:$H$507,I2113))&gt;0),"Yes","No"))</f>
        <v>No</v>
      </c>
      <c r="AJ2113" s="1" t="str">
        <f>IF(I2113=0,"No",IF(COUNT(INDEX('Staff Review'!$F$8:$F$507,I2113))&lt;&gt;1,"No",IF(AND(INDEX('Staff Review'!$F$8:$F$507,I2113)&gt;=0,MOD(INDEX('Staff Review'!$F$8:$F$507,I2113),1)=0,COUNT(INDEX('Staff Review'!$G$8:$G$507,I2113))=1,INDEX('Staff Review'!$G$8:$G$507,I2113)&gt;0,INDEX('Staff Review'!$G$8:$G$507,I2113)&lt;='Top 25'!$E$5,'Top 25'!$E$5-INDEX('Staff Review'!$G$8:$G$507,I2113)&lt;='Top 25'!$H$5,LEN(INDEX('Staff Review'!$H$8:$H$507,I2113))&gt;0),"Yes","No")))</f>
        <v>No</v>
      </c>
      <c r="AK2113" s="1">
        <f t="shared" si="25"/>
        <v>1</v>
      </c>
      <c r="AL2113" s="1">
        <f t="shared" ca="1" si="26"/>
        <v>1</v>
      </c>
      <c r="AM2113" s="1">
        <f t="shared" si="27"/>
        <v>2690</v>
      </c>
      <c r="AN2113" s="1">
        <f t="shared" si="28"/>
        <v>63</v>
      </c>
      <c r="AO2113">
        <f t="shared" ca="1" si="29"/>
        <v>179</v>
      </c>
      <c r="AP2113" s="105">
        <f ca="1">IF(AND(AL2113=1,OR('Top 25'!$A$10="All",C2113='Top 25'!$A$10),OR('Top 25'!$D$10="All",D2113='Top 25'!$D$10)),1,0)</f>
        <v>0</v>
      </c>
      <c r="AQ2113" s="105" t="str">
        <f ca="1">IF(AP2113=0,"",CHOOSE(MATCH('Top 25'!$G$10,{"Priority score","Economic need","Enrollment","Fresh miles","Nearby resources"},0),T2113,G2113,F2113,K2113,L2113))</f>
        <v/>
      </c>
      <c r="AR2113" s="105" t="str">
        <f ca="1">IF(AP2113=0,"",1+COUNTIFS($AP$2051:$AP$2550,1,$AQ$2051:$AQ$2550,IF('Top 25'!$J$10="Ascending","&lt;","&gt;")&amp;AQ2113)+COUNTIFS($AP$2051:$AP$2550,1,$AQ$2051:$AQ$2550,AQ2113,$W$2051:$W$2550,"&lt;"&amp;W2113))</f>
        <v/>
      </c>
      <c r="AT2113" s="105">
        <f ca="1">IF(AND(AL2113=1,OR(Master_rankableSchools!$A$10="All",C2113=Master_rankableSchools!$A$10),OR(Master_rankableSchools!$D$10="All",D2113=Master_rankableSchools!$D$10)),1,0)</f>
        <v>1</v>
      </c>
      <c r="AU2113" s="105">
        <f ca="1">IF(AT2113=0,"",CHOOSE(MATCH(Master_rankableSchools!$G$10,{"Priority score","Economic need","Enrollment","Fresh miles","Nearby resources"},0),T2113,G2113,F2113,K2113,L2113))</f>
        <v>38</v>
      </c>
      <c r="AV2113" s="105">
        <f ca="1">IF(AT2113=0,"",1+COUNTIFS($AT$2051:$AT$2550,1,$AU$2051:$AU$2550,IF(Master_rankableSchools!$J$10="Ascending","&lt;","&gt;")&amp;AU2113)+COUNTIFS($AT$2051:$AT$2550,1,$AU$2051:$AU$2550,AU2113,$W$2051:$W$2550,"&lt;"&amp;W2113))</f>
        <v>179</v>
      </c>
    </row>
    <row r="2114" spans="1:48" ht="22" customHeight="1">
      <c r="A2114" s="1" t="str">
        <f t="shared" si="0"/>
        <v>2720</v>
      </c>
      <c r="B2114" s="1" t="str">
        <f t="shared" si="1"/>
        <v>Vare-Washington School</v>
      </c>
      <c r="C2114" s="1" t="str">
        <f t="shared" si="2"/>
        <v>District</v>
      </c>
      <c r="D2114" s="1" t="str">
        <f t="shared" si="3"/>
        <v>Elementary-Middle</v>
      </c>
      <c r="E2114" s="1" t="str">
        <f t="shared" si="4"/>
        <v>19147</v>
      </c>
      <c r="F2114" s="1">
        <f t="shared" si="5"/>
        <v>370</v>
      </c>
      <c r="G2114" s="1">
        <f t="shared" si="6"/>
        <v>0.68559999999999999</v>
      </c>
      <c r="H2114" s="1" t="str">
        <f t="shared" si="7"/>
        <v>Yes</v>
      </c>
      <c r="I2114" s="1">
        <f>IF(OR(A2114="",COUNTIFS('Staff Review'!$A$8:$A$507,A2114)&lt;&gt;1),0,MATCH(A2114,'Staff Review'!$A$8:$A$507,0))</f>
        <v>303</v>
      </c>
      <c r="J2114" s="1" t="str">
        <f>IF(I2114=0,"No",IF(INDEX('Staff Review'!$C$8:$C$507,I2114)="Yes","Yes","No"))</f>
        <v>No</v>
      </c>
      <c r="K2114" s="1">
        <f ca="1">IF(AI2114="Yes",INDEX('Staff Review'!$D$8:$D$507,I2114),IF(AB2114=0,"",IF(COUNT(INDEX($C$1531:$C$2030,AB2114))=1,INDEX($C$1531:$C$2030,AB2114),"")))</f>
        <v>6.4942968368302934E-2</v>
      </c>
      <c r="L2114" s="1">
        <f>IF(AJ2114="Yes",INDEX('Staff Review'!$F$8:$F$507,I2114),IF(AB2114=0,"",IF(COUNT(INDEX($G$1531:$G$2030,AB2114))=1,INDEX($G$1531:$G$2030,AB2114),"")))</f>
        <v>8</v>
      </c>
      <c r="M2114" s="1" t="str">
        <f t="shared" ca="1" si="8"/>
        <v>Listed</v>
      </c>
      <c r="N2114" s="1" t="str">
        <f t="shared" si="9"/>
        <v>Listed</v>
      </c>
      <c r="O2114" s="1">
        <f t="shared" si="10"/>
        <v>15</v>
      </c>
      <c r="P2114" s="1">
        <f t="shared" ca="1" si="11"/>
        <v>5</v>
      </c>
      <c r="Q2114" s="1">
        <f t="shared" si="12"/>
        <v>0</v>
      </c>
      <c r="R2114" s="1">
        <f t="shared" si="13"/>
        <v>3</v>
      </c>
      <c r="S2114" s="1">
        <f t="shared" ca="1" si="14"/>
        <v>23</v>
      </c>
      <c r="T2114" s="1">
        <f ca="1">IF(OR(COUNT(O2114:R2114)&lt;&gt;4,COUNT('Top 25'!$B$45:$E$45)&lt;&gt;4,MIN('Top 25'!$B$45:$E$45)&lt;0,SUM('Top 25'!$B$45:$E$45)&lt;=0),"",ROUND(85*(O2114/30*'Top 25'!$B$45+P2114/25*'Top 25'!$C$45+Q2114/25*'Top 25'!$D$45+R2114/5*'Top 25'!$E$45)/SUM('Top 25'!$B$45:$E$45),6))</f>
        <v>23</v>
      </c>
      <c r="U2114" s="1" t="str">
        <f t="shared" ca="1" si="15"/>
        <v>Listed</v>
      </c>
      <c r="V2114" s="1" t="str">
        <f ca="1">IF(A2114="","",IF(AK2114&lt;&gt;1,"Duplicate source ID",IF(COUNTIFS('Staff Review'!$A$8:$A$507,A2114)&gt;1,"Duplicate review ID",IF(H2114&lt;&gt;"Yes","Outside scope",IF(J2114="Yes","Already served",IF(NOT(ISNUMBER(T2114)),"Missing data","Candidate"))))))</f>
        <v>Candidate</v>
      </c>
      <c r="W2114" s="1">
        <f t="shared" ca="1" si="16"/>
        <v>274</v>
      </c>
      <c r="X2114" s="1">
        <f t="shared" ca="1" si="17"/>
        <v>274</v>
      </c>
      <c r="Y2114" s="1">
        <f ca="1">IF(AND(H2114="Yes",OR(LEN('School Search'!$B$5)=0,ISNUMBER(SEARCH('School Search'!$B$5,B2114&amp;" "&amp;E2114&amp;" "&amp;A2114))),OR('School Search'!$D$5="All",C2114='School Search'!$D$5),OR('School Search'!$G$5="All eligible",AND('School Search'!$G$5="Not marked served",J2114&lt;&gt;"Yes"),AND('School Search'!$G$5="Missing data",V2114="Missing data"),AND('School Search'!$G$5="Marked served",J2114="Yes"))),1,0)</f>
        <v>1</v>
      </c>
      <c r="Z2114" s="1">
        <f ca="1">IF(Y2114=0,"",COUNTIFS($Y$2051:$Y$2550,1,$AO$2051:$AO$2550,"&lt;"&amp;AO2114)+COUNTIFS($Y$2051:Y2114,1,$AO$2051:AO2114,AO2114))</f>
        <v>274</v>
      </c>
      <c r="AA2114" s="1" t="str">
        <f t="shared" ca="1" si="18"/>
        <v>69% economic need; 0.06 mi fresh access; 8 nearby resources</v>
      </c>
      <c r="AB2114" s="1">
        <f t="shared" si="19"/>
        <v>64</v>
      </c>
      <c r="AC2114" s="1" t="str">
        <f t="shared" si="20"/>
        <v>First Oriental Market Inc</v>
      </c>
      <c r="AD2114" s="1" t="str">
        <f t="shared" si="21"/>
        <v>1111 S 6th St, Philadelphia, PA, 19147</v>
      </c>
      <c r="AE2114" s="1" t="str">
        <f t="shared" si="22"/>
        <v>1198 S 5TH ST</v>
      </c>
      <c r="AF2114" s="1">
        <f t="shared" si="23"/>
        <v>39.934279490000002</v>
      </c>
      <c r="AG2114" s="1">
        <f t="shared" si="24"/>
        <v>-75.15252649</v>
      </c>
      <c r="AH2114" s="1" t="str">
        <f>IF(I2114=0,"Not contacted",IF(INDEX('Staff Review'!$J$8:$J$507,I2114)="","Not contacted",INDEX('Staff Review'!$J$8:$J$507,I2114)))</f>
        <v>Not contacted</v>
      </c>
      <c r="AI2114" s="1" t="str">
        <f ca="1">IF(I2114=0,"No",IF(AND(COUNT(INDEX('Staff Review'!$D$8:$D$507,I2114))=1,INDEX('Staff Review'!$D$8:$D$507,I2114)&gt;=0,COUNT(INDEX('Staff Review'!$E$8:$E$507,I2114))=1,INDEX('Staff Review'!$E$8:$E$507,I2114)&gt;0,INDEX('Staff Review'!$E$8:$E$507,I2114)&lt;='Top 25'!$E$5,'Top 25'!$E$5-INDEX('Staff Review'!$E$8:$E$507,I2114)&lt;='Top 25'!$H$5,LEN(INDEX('Staff Review'!$H$8:$H$507,I2114))&gt;0),"Yes","No"))</f>
        <v>No</v>
      </c>
      <c r="AJ2114" s="1" t="str">
        <f>IF(I2114=0,"No",IF(COUNT(INDEX('Staff Review'!$F$8:$F$507,I2114))&lt;&gt;1,"No",IF(AND(INDEX('Staff Review'!$F$8:$F$507,I2114)&gt;=0,MOD(INDEX('Staff Review'!$F$8:$F$507,I2114),1)=0,COUNT(INDEX('Staff Review'!$G$8:$G$507,I2114))=1,INDEX('Staff Review'!$G$8:$G$507,I2114)&gt;0,INDEX('Staff Review'!$G$8:$G$507,I2114)&lt;='Top 25'!$E$5,'Top 25'!$E$5-INDEX('Staff Review'!$G$8:$G$507,I2114)&lt;='Top 25'!$H$5,LEN(INDEX('Staff Review'!$H$8:$H$507,I2114))&gt;0),"Yes","No")))</f>
        <v>No</v>
      </c>
      <c r="AK2114" s="1">
        <f t="shared" si="25"/>
        <v>1</v>
      </c>
      <c r="AL2114" s="1">
        <f t="shared" ca="1" si="26"/>
        <v>1</v>
      </c>
      <c r="AM2114" s="1">
        <f t="shared" si="27"/>
        <v>2720</v>
      </c>
      <c r="AN2114" s="1">
        <f t="shared" si="28"/>
        <v>64</v>
      </c>
      <c r="AO2114">
        <f t="shared" ca="1" si="29"/>
        <v>274</v>
      </c>
      <c r="AP2114" s="105">
        <f ca="1">IF(AND(AL2114=1,OR('Top 25'!$A$10="All",C2114='Top 25'!$A$10),OR('Top 25'!$D$10="All",D2114='Top 25'!$D$10)),1,0)</f>
        <v>0</v>
      </c>
      <c r="AQ2114" s="105" t="str">
        <f ca="1">IF(AP2114=0,"",CHOOSE(MATCH('Top 25'!$G$10,{"Priority score","Economic need","Enrollment","Fresh miles","Nearby resources"},0),T2114,G2114,F2114,K2114,L2114))</f>
        <v/>
      </c>
      <c r="AR2114" s="105" t="str">
        <f ca="1">IF(AP2114=0,"",1+COUNTIFS($AP$2051:$AP$2550,1,$AQ$2051:$AQ$2550,IF('Top 25'!$J$10="Ascending","&lt;","&gt;")&amp;AQ2114)+COUNTIFS($AP$2051:$AP$2550,1,$AQ$2051:$AQ$2550,AQ2114,$W$2051:$W$2550,"&lt;"&amp;W2114))</f>
        <v/>
      </c>
      <c r="AT2114" s="105">
        <f ca="1">IF(AND(AL2114=1,OR(Master_rankableSchools!$A$10="All",C2114=Master_rankableSchools!$A$10),OR(Master_rankableSchools!$D$10="All",D2114=Master_rankableSchools!$D$10)),1,0)</f>
        <v>1</v>
      </c>
      <c r="AU2114" s="105">
        <f ca="1">IF(AT2114=0,"",CHOOSE(MATCH(Master_rankableSchools!$G$10,{"Priority score","Economic need","Enrollment","Fresh miles","Nearby resources"},0),T2114,G2114,F2114,K2114,L2114))</f>
        <v>23</v>
      </c>
      <c r="AV2114" s="105">
        <f ca="1">IF(AT2114=0,"",1+COUNTIFS($AT$2051:$AT$2550,1,$AU$2051:$AU$2550,IF(Master_rankableSchools!$J$10="Ascending","&lt;","&gt;")&amp;AU2114)+COUNTIFS($AT$2051:$AT$2550,1,$AU$2051:$AU$2550,AU2114,$W$2051:$W$2550,"&lt;"&amp;W2114))</f>
        <v>274</v>
      </c>
    </row>
    <row r="2115" spans="1:48" ht="22" customHeight="1">
      <c r="A2115" s="1" t="str">
        <f t="shared" ref="A2115:A2178" si="30">IF(A66="","",A66)</f>
        <v>3040</v>
      </c>
      <c r="B2115" s="1" t="str">
        <f t="shared" ref="B2115:B2178" si="31">IF(A2115="","",B66)</f>
        <v>Excel Middle Years Academy</v>
      </c>
      <c r="C2115" s="1" t="str">
        <f t="shared" ref="C2115:C2178" si="32">IF(A2115="","",C66)</f>
        <v>Contracted</v>
      </c>
      <c r="D2115" s="1" t="str">
        <f t="shared" ref="D2115:D2178" si="33">IF(A2115="","",E66)</f>
        <v>Transition/Overage School</v>
      </c>
      <c r="E2115" s="1" t="str">
        <f t="shared" ref="E2115:E2178" si="34">IF(A2115="","",H66)</f>
        <v>19104</v>
      </c>
      <c r="F2115" s="1">
        <f t="shared" ref="F2115:F2178" si="35">IF(ISNUMBER(K66),K66,"")</f>
        <v>24</v>
      </c>
      <c r="G2115" s="1" t="str">
        <f t="shared" ref="G2115:G2178" si="36">IF(ISNUMBER(L66),L66,"")</f>
        <v/>
      </c>
      <c r="H2115" s="1" t="str">
        <f t="shared" ref="H2115:H2178" si="37">IF(A2115="","",IF(AND(UPPER(G66)="PHILADELPHIA",OR(C2115="District",AND(C2115="Charter",D66="Yes"))),"Yes","No"))</f>
        <v>No</v>
      </c>
      <c r="I2115" s="1">
        <f>IF(OR(A2115="",COUNTIFS('Staff Review'!$A$8:$A$507,A2115)&lt;&gt;1),0,MATCH(A2115,'Staff Review'!$A$8:$A$507,0))</f>
        <v>70</v>
      </c>
      <c r="J2115" s="1" t="str">
        <f>IF(I2115=0,"No",IF(INDEX('Staff Review'!$C$8:$C$507,I2115)="Yes","Yes","No"))</f>
        <v>No</v>
      </c>
      <c r="K2115" s="1">
        <f ca="1">IF(AI2115="Yes",INDEX('Staff Review'!$D$8:$D$507,I2115),IF(AB2115=0,"",IF(COUNT(INDEX($C$1531:$C$2030,AB2115))=1,INDEX($C$1531:$C$2030,AB2115),"")))</f>
        <v>0.65370942557423917</v>
      </c>
      <c r="L2115" s="1">
        <f>IF(AJ2115="Yes",INDEX('Staff Review'!$F$8:$F$507,I2115),IF(AB2115=0,"",IF(COUNT(INDEX($G$1531:$G$2030,AB2115))=1,INDEX($G$1531:$G$2030,AB2115),"")))</f>
        <v>11</v>
      </c>
      <c r="M2115" s="1" t="str">
        <f t="shared" ref="M2115:M2178" ca="1" si="38">IF(A2115="","",IF(AI2115="Yes","Verified","Listed"))</f>
        <v>Listed</v>
      </c>
      <c r="N2115" s="1" t="str">
        <f t="shared" ref="N2115:N2178" si="39">IF(A2115="","",IF(AJ2115="Yes","Verified","Listed"))</f>
        <v>Listed</v>
      </c>
      <c r="O2115" s="1" t="str">
        <f t="shared" ref="O2115:O2178" si="40">IF(AND(ISNUMBER(G2115),G2115&gt;=0,G2115&lt;=1),IF(G2115&gt;=0.9,30,IF(G2115&gt;=0.8,25,IF(G2115&gt;=0.7,20,IF(G2115&gt;=0.6,15,IF(G2115&gt;=0.5,10,IF(G2115&gt;=0.4,5,0)))))),"")</f>
        <v/>
      </c>
      <c r="P2115" s="1">
        <f t="shared" ref="P2115:P2178" ca="1" si="41">IF(ISNUMBER(K2115),IF(K2115&lt;0,"",IF(K2115&gt;1,25,IF(K2115&gt;=0.75,20,IF(K2115&gt;=0.5,15,IF(K2115&gt;=0.25,10,5))))),"")</f>
        <v>15</v>
      </c>
      <c r="Q2115" s="1">
        <f t="shared" ref="Q2115:Q2178" si="42">IF(NOT(ISNUMBER(L2115)),"",IF(AND(L2115&gt;=0,MOD(L2115,1)=0),MAX(0,25-5*L2115),""))</f>
        <v>0</v>
      </c>
      <c r="R2115" s="1">
        <f t="shared" ref="R2115:R2178" si="43">IF(NOT(ISNUMBER(F2115)),"",IF(AND(F2115&gt;0,MOD(F2115,1)=0),IF(F2115&gt;=700,5,IF(F2115&gt;=500,4,IF(F2115&gt;=350,3,IF(F2115&gt;=200,2,1)))),""))</f>
        <v>1</v>
      </c>
      <c r="S2115" s="1" t="str">
        <f t="shared" ref="S2115:S2178" ca="1" si="44">IF(COUNT(O2115:R2115)=4,SUM(O2115:R2115),"")</f>
        <v/>
      </c>
      <c r="T2115" s="1" t="str">
        <f ca="1">IF(OR(COUNT(O2115:R2115)&lt;&gt;4,COUNT('Top 25'!$B$45:$E$45)&lt;&gt;4,MIN('Top 25'!$B$45:$E$45)&lt;0,SUM('Top 25'!$B$45:$E$45)&lt;=0),"",ROUND(85*(O2115/30*'Top 25'!$B$45+P2115/25*'Top 25'!$C$45+Q2115/25*'Top 25'!$D$45+R2115/5*'Top 25'!$E$45)/SUM('Top 25'!$B$45:$E$45),6))</f>
        <v/>
      </c>
      <c r="U2115" s="1" t="str">
        <f t="shared" ref="U2115:U2178" ca="1" si="45">IF(A2115="","",IF(AND(M2115="Verified",N2115="Verified"),"Verified",IF(AND(M2115="Listed",N2115="Listed"),"Listed","Mixed")))</f>
        <v>Listed</v>
      </c>
      <c r="V2115" s="1" t="str">
        <f>IF(A2115="","",IF(AK2115&lt;&gt;1,"Duplicate source ID",IF(COUNTIFS('Staff Review'!$A$8:$A$507,A2115)&gt;1,"Duplicate review ID",IF(H2115&lt;&gt;"Yes","Outside scope",IF(J2115="Yes","Already served",IF(NOT(ISNUMBER(T2115)),"Missing data","Candidate"))))))</f>
        <v>Outside scope</v>
      </c>
      <c r="W2115" s="1" t="str">
        <f t="shared" ref="W2115:W2178" si="46">IF(AL2115=0,"",1+COUNTIFS($AL$2051:$AL$2550,1,$T$2051:$T$2550,"&gt;"&amp;T2115)+COUNTIFS($AL$2051:$AL$2550,1,$T$2051:$T$2550,T2115,$G$2051:$G$2550,"&gt;"&amp;G2115)+COUNTIFS($AL$2051:$AL$2550,1,$T$2051:$T$2550,T2115,$G$2051:$G$2550,G2115,$F$2051:$F$2550,"&gt;"&amp;F2115)+COUNTIFS($AL$2051:$AL$2550,1,$T$2051:$T$2550,T2115,$G$2051:$G$2550,G2115,$F$2051:$F$2550,F2115,$AM$2051:$AM$2550,"&lt;"&amp;AM2115))</f>
        <v/>
      </c>
      <c r="X2115" s="1" t="str">
        <f t="shared" ref="X2115:X2178" si="47">IF(AL2115=0,"",1+COUNTIFS($AL$2051:$AL$2550,1,$T$2051:$T$2550,"&gt;"&amp;T2115))</f>
        <v/>
      </c>
      <c r="Y2115" s="1">
        <f>IF(AND(H2115="Yes",OR(LEN('School Search'!$B$5)=0,ISNUMBER(SEARCH('School Search'!$B$5,B2115&amp;" "&amp;E2115&amp;" "&amp;A2115))),OR('School Search'!$D$5="All",C2115='School Search'!$D$5),OR('School Search'!$G$5="All eligible",AND('School Search'!$G$5="Not marked served",J2115&lt;&gt;"Yes"),AND('School Search'!$G$5="Missing data",V2115="Missing data"),AND('School Search'!$G$5="Marked served",J2115="Yes"))),1,0)</f>
        <v>0</v>
      </c>
      <c r="Z2115" s="1" t="str">
        <f>IF(Y2115=0,"",COUNTIFS($Y$2051:$Y$2550,1,$AO$2051:$AO$2550,"&lt;"&amp;AO2115)+COUNTIFS($Y$2051:Y2115,1,$AO$2051:AO2115,AO2115))</f>
        <v/>
      </c>
      <c r="AA2115" s="1" t="str">
        <f t="shared" ref="AA2115:AA2178" ca="1" si="48">IF(NOT(ISNUMBER(S2115)),"Missing demographic or access input",TEXT(G2115,"0%")&amp;" economic need; "&amp;TEXT(K2115,"0.00")&amp;" mi fresh access; "&amp;L2115&amp;" nearby resources")</f>
        <v>Missing demographic or access input</v>
      </c>
      <c r="AB2115" s="1">
        <f t="shared" ref="AB2115:AB2178" si="49">IF(OR(A2115="",COUNTIFS($A$1531:$A$2030,A2115)&lt;&gt;1),0,MATCH(A2115,$A$1531:$A$2030,0))</f>
        <v>65</v>
      </c>
      <c r="AC2115" s="1" t="str">
        <f t="shared" ref="AC2115:AC2178" si="50">IF(AB2115=0,"",INDEX($E$1531:$E$2030,AB2115))</f>
        <v>Cousin's Fresh Market 2 Inc</v>
      </c>
      <c r="AD2115" s="1" t="str">
        <f t="shared" ref="AD2115:AD2178" si="51">IF(AB2115=0,"",INDEX($F$1531:$F$2030,AB2115))</f>
        <v>5429 W Girard Ave, Philadelphia, PA, 19131</v>
      </c>
      <c r="AE2115" s="1" t="str">
        <f t="shared" ref="AE2115:AE2178" si="52">IF(A2115="","",F66)</f>
        <v>4300 WESTMINSTER AVE</v>
      </c>
      <c r="AF2115" s="1">
        <f t="shared" ref="AF2115:AF2178" si="53">IF(ISNUMBER(I66),I66,"")</f>
        <v>39.969704999999998</v>
      </c>
      <c r="AG2115" s="1">
        <f t="shared" ref="AG2115:AG2178" si="54">IF(ISNUMBER(J66),J66,"")</f>
        <v>-75.210282000000007</v>
      </c>
      <c r="AH2115" s="1" t="str">
        <f>IF(I2115=0,"Not contacted",IF(INDEX('Staff Review'!$J$8:$J$507,I2115)="","Not contacted",INDEX('Staff Review'!$J$8:$J$507,I2115)))</f>
        <v>Not contacted</v>
      </c>
      <c r="AI2115" s="1" t="str">
        <f ca="1">IF(I2115=0,"No",IF(AND(COUNT(INDEX('Staff Review'!$D$8:$D$507,I2115))=1,INDEX('Staff Review'!$D$8:$D$507,I2115)&gt;=0,COUNT(INDEX('Staff Review'!$E$8:$E$507,I2115))=1,INDEX('Staff Review'!$E$8:$E$507,I2115)&gt;0,INDEX('Staff Review'!$E$8:$E$507,I2115)&lt;='Top 25'!$E$5,'Top 25'!$E$5-INDEX('Staff Review'!$E$8:$E$507,I2115)&lt;='Top 25'!$H$5,LEN(INDEX('Staff Review'!$H$8:$H$507,I2115))&gt;0),"Yes","No"))</f>
        <v>No</v>
      </c>
      <c r="AJ2115" s="1" t="str">
        <f>IF(I2115=0,"No",IF(COUNT(INDEX('Staff Review'!$F$8:$F$507,I2115))&lt;&gt;1,"No",IF(AND(INDEX('Staff Review'!$F$8:$F$507,I2115)&gt;=0,MOD(INDEX('Staff Review'!$F$8:$F$507,I2115),1)=0,COUNT(INDEX('Staff Review'!$G$8:$G$507,I2115))=1,INDEX('Staff Review'!$G$8:$G$507,I2115)&gt;0,INDEX('Staff Review'!$G$8:$G$507,I2115)&lt;='Top 25'!$E$5,'Top 25'!$E$5-INDEX('Staff Review'!$G$8:$G$507,I2115)&lt;='Top 25'!$H$5,LEN(INDEX('Staff Review'!$H$8:$H$507,I2115))&gt;0),"Yes","No")))</f>
        <v>No</v>
      </c>
      <c r="AK2115" s="1">
        <f t="shared" ref="AK2115:AK2178" si="55">IF(A2115="",0,COUNTIFS($A$2:$A$501,A2115))</f>
        <v>1</v>
      </c>
      <c r="AL2115" s="1">
        <f t="shared" ref="AL2115:AL2178" si="56">IF(V2115="Candidate",1,0)</f>
        <v>0</v>
      </c>
      <c r="AM2115" s="1">
        <f t="shared" ref="AM2115:AM2178" si="57">IF(A2115="",0,VALUE(A2115))</f>
        <v>3040</v>
      </c>
      <c r="AN2115" s="1">
        <f t="shared" ref="AN2115:AN2178" si="58">IF(OR(A2115="",COUNTIFS($T$41:$T$540,A2115)&lt;&gt;1),0,MATCH(A2115,$T$41:$T$540,0))</f>
        <v>65</v>
      </c>
      <c r="AO2115">
        <f t="shared" ref="AO2115:AO2178" si="59">IF(ISNUMBER(W2115),W2115,10000+AM2115)</f>
        <v>13040</v>
      </c>
      <c r="AP2115" s="105">
        <f>IF(AND(AL2115=1,OR('Top 25'!$A$10="All",C2115='Top 25'!$A$10),OR('Top 25'!$D$10="All",D2115='Top 25'!$D$10)),1,0)</f>
        <v>0</v>
      </c>
      <c r="AQ2115" s="105" t="str">
        <f>IF(AP2115=0,"",CHOOSE(MATCH('Top 25'!$G$10,{"Priority score","Economic need","Enrollment","Fresh miles","Nearby resources"},0),T2115,G2115,F2115,K2115,L2115))</f>
        <v/>
      </c>
      <c r="AR2115" s="105" t="str">
        <f>IF(AP2115=0,"",1+COUNTIFS($AP$2051:$AP$2550,1,$AQ$2051:$AQ$2550,IF('Top 25'!$J$10="Ascending","&lt;","&gt;")&amp;AQ2115)+COUNTIFS($AP$2051:$AP$2550,1,$AQ$2051:$AQ$2550,AQ2115,$W$2051:$W$2550,"&lt;"&amp;W2115))</f>
        <v/>
      </c>
      <c r="AT2115" s="105">
        <f>IF(AND(AL2115=1,OR(Master_rankableSchools!$A$10="All",C2115=Master_rankableSchools!$A$10),OR(Master_rankableSchools!$D$10="All",D2115=Master_rankableSchools!$D$10)),1,0)</f>
        <v>0</v>
      </c>
      <c r="AU2115" s="105" t="str">
        <f>IF(AT2115=0,"",CHOOSE(MATCH(Master_rankableSchools!$G$10,{"Priority score","Economic need","Enrollment","Fresh miles","Nearby resources"},0),T2115,G2115,F2115,K2115,L2115))</f>
        <v/>
      </c>
      <c r="AV2115" s="105" t="str">
        <f>IF(AT2115=0,"",1+COUNTIFS($AT$2051:$AT$2550,1,$AU$2051:$AU$2550,IF(Master_rankableSchools!$J$10="Ascending","&lt;","&gt;")&amp;AU2115)+COUNTIFS($AT$2051:$AT$2550,1,$AU$2051:$AU$2550,AU2115,$W$2051:$W$2550,"&lt;"&amp;W2115))</f>
        <v/>
      </c>
    </row>
    <row r="2116" spans="1:48" ht="22" customHeight="1">
      <c r="A2116" s="1" t="str">
        <f t="shared" si="30"/>
        <v>3190</v>
      </c>
      <c r="B2116" s="1" t="str">
        <f t="shared" si="31"/>
        <v>Crossroads at Hunting Park</v>
      </c>
      <c r="C2116" s="1" t="str">
        <f t="shared" si="32"/>
        <v>District</v>
      </c>
      <c r="D2116" s="1" t="str">
        <f t="shared" si="33"/>
        <v>Transition/Overage School</v>
      </c>
      <c r="E2116" s="1" t="str">
        <f t="shared" si="34"/>
        <v>19140</v>
      </c>
      <c r="F2116" s="1">
        <f t="shared" si="35"/>
        <v>25</v>
      </c>
      <c r="G2116" s="1" t="str">
        <f t="shared" si="36"/>
        <v/>
      </c>
      <c r="H2116" s="1" t="str">
        <f t="shared" si="37"/>
        <v>Yes</v>
      </c>
      <c r="I2116" s="1">
        <f>IF(OR(A2116="",COUNTIFS('Staff Review'!$A$8:$A$507,A2116)&lt;&gt;1),0,MATCH(A2116,'Staff Review'!$A$8:$A$507,0))</f>
        <v>48</v>
      </c>
      <c r="J2116" s="1" t="str">
        <f>IF(I2116=0,"No",IF(INDEX('Staff Review'!$C$8:$C$507,I2116)="Yes","Yes","No"))</f>
        <v>No</v>
      </c>
      <c r="K2116" s="1">
        <f ca="1">IF(AI2116="Yes",INDEX('Staff Review'!$D$8:$D$507,I2116),IF(AB2116=0,"",IF(COUNT(INDEX($C$1531:$C$2030,AB2116))=1,INDEX($C$1531:$C$2030,AB2116),"")))</f>
        <v>0.51816367324305457</v>
      </c>
      <c r="L2116" s="1">
        <f>IF(AJ2116="Yes",INDEX('Staff Review'!$F$8:$F$507,I2116),IF(AB2116=0,"",IF(COUNT(INDEX($G$1531:$G$2030,AB2116))=1,INDEX($G$1531:$G$2030,AB2116),"")))</f>
        <v>10</v>
      </c>
      <c r="M2116" s="1" t="str">
        <f t="shared" ca="1" si="38"/>
        <v>Listed</v>
      </c>
      <c r="N2116" s="1" t="str">
        <f t="shared" si="39"/>
        <v>Listed</v>
      </c>
      <c r="O2116" s="1" t="str">
        <f t="shared" si="40"/>
        <v/>
      </c>
      <c r="P2116" s="1">
        <f t="shared" ca="1" si="41"/>
        <v>15</v>
      </c>
      <c r="Q2116" s="1">
        <f t="shared" si="42"/>
        <v>0</v>
      </c>
      <c r="R2116" s="1">
        <f t="shared" si="43"/>
        <v>1</v>
      </c>
      <c r="S2116" s="1" t="str">
        <f t="shared" ca="1" si="44"/>
        <v/>
      </c>
      <c r="T2116" s="1" t="str">
        <f ca="1">IF(OR(COUNT(O2116:R2116)&lt;&gt;4,COUNT('Top 25'!$B$45:$E$45)&lt;&gt;4,MIN('Top 25'!$B$45:$E$45)&lt;0,SUM('Top 25'!$B$45:$E$45)&lt;=0),"",ROUND(85*(O2116/30*'Top 25'!$B$45+P2116/25*'Top 25'!$C$45+Q2116/25*'Top 25'!$D$45+R2116/5*'Top 25'!$E$45)/SUM('Top 25'!$B$45:$E$45),6))</f>
        <v/>
      </c>
      <c r="U2116" s="1" t="str">
        <f t="shared" ca="1" si="45"/>
        <v>Listed</v>
      </c>
      <c r="V2116" s="1" t="str">
        <f ca="1">IF(A2116="","",IF(AK2116&lt;&gt;1,"Duplicate source ID",IF(COUNTIFS('Staff Review'!$A$8:$A$507,A2116)&gt;1,"Duplicate review ID",IF(H2116&lt;&gt;"Yes","Outside scope",IF(J2116="Yes","Already served",IF(NOT(ISNUMBER(T2116)),"Missing data","Candidate"))))))</f>
        <v>Missing data</v>
      </c>
      <c r="W2116" s="1" t="str">
        <f t="shared" ca="1" si="46"/>
        <v/>
      </c>
      <c r="X2116" s="1" t="str">
        <f t="shared" ca="1" si="47"/>
        <v/>
      </c>
      <c r="Y2116" s="1">
        <f ca="1">IF(AND(H2116="Yes",OR(LEN('School Search'!$B$5)=0,ISNUMBER(SEARCH('School Search'!$B$5,B2116&amp;" "&amp;E2116&amp;" "&amp;A2116))),OR('School Search'!$D$5="All",C2116='School Search'!$D$5),OR('School Search'!$G$5="All eligible",AND('School Search'!$G$5="Not marked served",J2116&lt;&gt;"Yes"),AND('School Search'!$G$5="Missing data",V2116="Missing data"),AND('School Search'!$G$5="Marked served",J2116="Yes"))),1,0)</f>
        <v>1</v>
      </c>
      <c r="Z2116" s="1">
        <f ca="1">IF(Y2116=0,"",COUNTIFS($Y$2051:$Y$2550,1,$AO$2051:$AO$2550,"&lt;"&amp;AO2116)+COUNTIFS($Y$2051:Y2116,1,$AO$2051:AO2116,AO2116))</f>
        <v>296</v>
      </c>
      <c r="AA2116" s="1" t="str">
        <f t="shared" ca="1" si="48"/>
        <v>Missing demographic or access input</v>
      </c>
      <c r="AB2116" s="1">
        <f t="shared" si="49"/>
        <v>66</v>
      </c>
      <c r="AC2116" s="1" t="str">
        <f t="shared" si="50"/>
        <v>COUSINS SUPERMARKET INC. #2</v>
      </c>
      <c r="AD2116" s="1" t="str">
        <f t="shared" si="51"/>
        <v>4037 N 5th St, Philadelphia, PA, 19140</v>
      </c>
      <c r="AE2116" s="1" t="str">
        <f t="shared" si="52"/>
        <v>4224 N FRONT ST</v>
      </c>
      <c r="AF2116" s="1">
        <f t="shared" si="53"/>
        <v>40.014255249999998</v>
      </c>
      <c r="AG2116" s="1">
        <f t="shared" si="54"/>
        <v>-75.125996790000002</v>
      </c>
      <c r="AH2116" s="1" t="str">
        <f>IF(I2116=0,"Not contacted",IF(INDEX('Staff Review'!$J$8:$J$507,I2116)="","Not contacted",INDEX('Staff Review'!$J$8:$J$507,I2116)))</f>
        <v>Not contacted</v>
      </c>
      <c r="AI2116" s="1" t="str">
        <f ca="1">IF(I2116=0,"No",IF(AND(COUNT(INDEX('Staff Review'!$D$8:$D$507,I2116))=1,INDEX('Staff Review'!$D$8:$D$507,I2116)&gt;=0,COUNT(INDEX('Staff Review'!$E$8:$E$507,I2116))=1,INDEX('Staff Review'!$E$8:$E$507,I2116)&gt;0,INDEX('Staff Review'!$E$8:$E$507,I2116)&lt;='Top 25'!$E$5,'Top 25'!$E$5-INDEX('Staff Review'!$E$8:$E$507,I2116)&lt;='Top 25'!$H$5,LEN(INDEX('Staff Review'!$H$8:$H$507,I2116))&gt;0),"Yes","No"))</f>
        <v>No</v>
      </c>
      <c r="AJ2116" s="1" t="str">
        <f>IF(I2116=0,"No",IF(COUNT(INDEX('Staff Review'!$F$8:$F$507,I2116))&lt;&gt;1,"No",IF(AND(INDEX('Staff Review'!$F$8:$F$507,I2116)&gt;=0,MOD(INDEX('Staff Review'!$F$8:$F$507,I2116),1)=0,COUNT(INDEX('Staff Review'!$G$8:$G$507,I2116))=1,INDEX('Staff Review'!$G$8:$G$507,I2116)&gt;0,INDEX('Staff Review'!$G$8:$G$507,I2116)&lt;='Top 25'!$E$5,'Top 25'!$E$5-INDEX('Staff Review'!$G$8:$G$507,I2116)&lt;='Top 25'!$H$5,LEN(INDEX('Staff Review'!$H$8:$H$507,I2116))&gt;0),"Yes","No")))</f>
        <v>No</v>
      </c>
      <c r="AK2116" s="1">
        <f t="shared" si="55"/>
        <v>1</v>
      </c>
      <c r="AL2116" s="1">
        <f t="shared" ca="1" si="56"/>
        <v>0</v>
      </c>
      <c r="AM2116" s="1">
        <f t="shared" si="57"/>
        <v>3190</v>
      </c>
      <c r="AN2116" s="1">
        <f t="shared" si="58"/>
        <v>66</v>
      </c>
      <c r="AO2116">
        <f t="shared" ca="1" si="59"/>
        <v>13190</v>
      </c>
      <c r="AP2116" s="105">
        <f ca="1">IF(AND(AL2116=1,OR('Top 25'!$A$10="All",C2116='Top 25'!$A$10),OR('Top 25'!$D$10="All",D2116='Top 25'!$D$10)),1,0)</f>
        <v>0</v>
      </c>
      <c r="AQ2116" s="105" t="str">
        <f ca="1">IF(AP2116=0,"",CHOOSE(MATCH('Top 25'!$G$10,{"Priority score","Economic need","Enrollment","Fresh miles","Nearby resources"},0),T2116,G2116,F2116,K2116,L2116))</f>
        <v/>
      </c>
      <c r="AR2116" s="105" t="str">
        <f ca="1">IF(AP2116=0,"",1+COUNTIFS($AP$2051:$AP$2550,1,$AQ$2051:$AQ$2550,IF('Top 25'!$J$10="Ascending","&lt;","&gt;")&amp;AQ2116)+COUNTIFS($AP$2051:$AP$2550,1,$AQ$2051:$AQ$2550,AQ2116,$W$2051:$W$2550,"&lt;"&amp;W2116))</f>
        <v/>
      </c>
      <c r="AT2116" s="105">
        <f ca="1">IF(AND(AL2116=1,OR(Master_rankableSchools!$A$10="All",C2116=Master_rankableSchools!$A$10),OR(Master_rankableSchools!$D$10="All",D2116=Master_rankableSchools!$D$10)),1,0)</f>
        <v>0</v>
      </c>
      <c r="AU2116" s="105" t="str">
        <f ca="1">IF(AT2116=0,"",CHOOSE(MATCH(Master_rankableSchools!$G$10,{"Priority score","Economic need","Enrollment","Fresh miles","Nearby resources"},0),T2116,G2116,F2116,K2116,L2116))</f>
        <v/>
      </c>
      <c r="AV2116" s="105" t="str">
        <f ca="1">IF(AT2116=0,"",1+COUNTIFS($AT$2051:$AT$2550,1,$AU$2051:$AU$2550,IF(Master_rankableSchools!$J$10="Ascending","&lt;","&gt;")&amp;AU2116)+COUNTIFS($AT$2051:$AT$2550,1,$AU$2051:$AU$2550,AU2116,$W$2051:$W$2550,"&lt;"&amp;W2116))</f>
        <v/>
      </c>
    </row>
    <row r="2117" spans="1:48" ht="22" customHeight="1">
      <c r="A2117" s="1" t="str">
        <f t="shared" si="30"/>
        <v>3210</v>
      </c>
      <c r="B2117" s="1" t="str">
        <f t="shared" si="31"/>
        <v>Ben Franklin High School EOP</v>
      </c>
      <c r="C2117" s="1" t="str">
        <f t="shared" si="32"/>
        <v>District</v>
      </c>
      <c r="D2117" s="1" t="str">
        <f t="shared" si="33"/>
        <v>Transition/Overage School</v>
      </c>
      <c r="E2117" s="1" t="str">
        <f t="shared" si="34"/>
        <v>19130</v>
      </c>
      <c r="F2117" s="1">
        <f t="shared" si="35"/>
        <v>211</v>
      </c>
      <c r="G2117" s="1" t="str">
        <f t="shared" si="36"/>
        <v/>
      </c>
      <c r="H2117" s="1" t="str">
        <f t="shared" si="37"/>
        <v>Yes</v>
      </c>
      <c r="I2117" s="1">
        <f>IF(OR(A2117="",COUNTIFS('Staff Review'!$A$8:$A$507,A2117)&lt;&gt;1),0,MATCH(A2117,'Staff Review'!$A$8:$A$507,0))</f>
        <v>29</v>
      </c>
      <c r="J2117" s="1" t="str">
        <f>IF(I2117=0,"No",IF(INDEX('Staff Review'!$C$8:$C$507,I2117)="Yes","Yes","No"))</f>
        <v>No</v>
      </c>
      <c r="K2117" s="1">
        <f ca="1">IF(AI2117="Yes",INDEX('Staff Review'!$D$8:$D$507,I2117),IF(AB2117=0,"",IF(COUNT(INDEX($C$1531:$C$2030,AB2117))=1,INDEX($C$1531:$C$2030,AB2117),"")))</f>
        <v>4.9479585756971922E-2</v>
      </c>
      <c r="L2117" s="1">
        <f>IF(AJ2117="Yes",INDEX('Staff Review'!$F$8:$F$507,I2117),IF(AB2117=0,"",IF(COUNT(INDEX($G$1531:$G$2030,AB2117))=1,INDEX($G$1531:$G$2030,AB2117),"")))</f>
        <v>10</v>
      </c>
      <c r="M2117" s="1" t="str">
        <f t="shared" ca="1" si="38"/>
        <v>Listed</v>
      </c>
      <c r="N2117" s="1" t="str">
        <f t="shared" si="39"/>
        <v>Listed</v>
      </c>
      <c r="O2117" s="1" t="str">
        <f t="shared" si="40"/>
        <v/>
      </c>
      <c r="P2117" s="1">
        <f t="shared" ca="1" si="41"/>
        <v>5</v>
      </c>
      <c r="Q2117" s="1">
        <f t="shared" si="42"/>
        <v>0</v>
      </c>
      <c r="R2117" s="1">
        <f t="shared" si="43"/>
        <v>2</v>
      </c>
      <c r="S2117" s="1" t="str">
        <f t="shared" ca="1" si="44"/>
        <v/>
      </c>
      <c r="T2117" s="1" t="str">
        <f ca="1">IF(OR(COUNT(O2117:R2117)&lt;&gt;4,COUNT('Top 25'!$B$45:$E$45)&lt;&gt;4,MIN('Top 25'!$B$45:$E$45)&lt;0,SUM('Top 25'!$B$45:$E$45)&lt;=0),"",ROUND(85*(O2117/30*'Top 25'!$B$45+P2117/25*'Top 25'!$C$45+Q2117/25*'Top 25'!$D$45+R2117/5*'Top 25'!$E$45)/SUM('Top 25'!$B$45:$E$45),6))</f>
        <v/>
      </c>
      <c r="U2117" s="1" t="str">
        <f t="shared" ca="1" si="45"/>
        <v>Listed</v>
      </c>
      <c r="V2117" s="1" t="str">
        <f ca="1">IF(A2117="","",IF(AK2117&lt;&gt;1,"Duplicate source ID",IF(COUNTIFS('Staff Review'!$A$8:$A$507,A2117)&gt;1,"Duplicate review ID",IF(H2117&lt;&gt;"Yes","Outside scope",IF(J2117="Yes","Already served",IF(NOT(ISNUMBER(T2117)),"Missing data","Candidate"))))))</f>
        <v>Missing data</v>
      </c>
      <c r="W2117" s="1" t="str">
        <f t="shared" ca="1" si="46"/>
        <v/>
      </c>
      <c r="X2117" s="1" t="str">
        <f t="shared" ca="1" si="47"/>
        <v/>
      </c>
      <c r="Y2117" s="1">
        <f ca="1">IF(AND(H2117="Yes",OR(LEN('School Search'!$B$5)=0,ISNUMBER(SEARCH('School Search'!$B$5,B2117&amp;" "&amp;E2117&amp;" "&amp;A2117))),OR('School Search'!$D$5="All",C2117='School Search'!$D$5),OR('School Search'!$G$5="All eligible",AND('School Search'!$G$5="Not marked served",J2117&lt;&gt;"Yes"),AND('School Search'!$G$5="Missing data",V2117="Missing data"),AND('School Search'!$G$5="Marked served",J2117="Yes"))),1,0)</f>
        <v>1</v>
      </c>
      <c r="Z2117" s="1">
        <f ca="1">IF(Y2117=0,"",COUNTIFS($Y$2051:$Y$2550,1,$AO$2051:$AO$2550,"&lt;"&amp;AO2117)+COUNTIFS($Y$2051:Y2117,1,$AO$2051:AO2117,AO2117))</f>
        <v>297</v>
      </c>
      <c r="AA2117" s="1" t="str">
        <f t="shared" ca="1" si="48"/>
        <v>Missing demographic or access input</v>
      </c>
      <c r="AB2117" s="1">
        <f t="shared" si="49"/>
        <v>67</v>
      </c>
      <c r="AC2117" s="1" t="str">
        <f t="shared" si="50"/>
        <v>Giant Food Store 6573</v>
      </c>
      <c r="AD2117" s="1" t="str">
        <f t="shared" si="51"/>
        <v>510 N Broad St, Philadelphia, PA, 19130</v>
      </c>
      <c r="AE2117" s="1" t="str">
        <f t="shared" si="52"/>
        <v>550 N BROAD ST</v>
      </c>
      <c r="AF2117" s="1">
        <f t="shared" si="53"/>
        <v>39.963529999999999</v>
      </c>
      <c r="AG2117" s="1">
        <f t="shared" si="54"/>
        <v>-75.161640000000006</v>
      </c>
      <c r="AH2117" s="1" t="str">
        <f>IF(I2117=0,"Not contacted",IF(INDEX('Staff Review'!$J$8:$J$507,I2117)="","Not contacted",INDEX('Staff Review'!$J$8:$J$507,I2117)))</f>
        <v>Not contacted</v>
      </c>
      <c r="AI2117" s="1" t="str">
        <f ca="1">IF(I2117=0,"No",IF(AND(COUNT(INDEX('Staff Review'!$D$8:$D$507,I2117))=1,INDEX('Staff Review'!$D$8:$D$507,I2117)&gt;=0,COUNT(INDEX('Staff Review'!$E$8:$E$507,I2117))=1,INDEX('Staff Review'!$E$8:$E$507,I2117)&gt;0,INDEX('Staff Review'!$E$8:$E$507,I2117)&lt;='Top 25'!$E$5,'Top 25'!$E$5-INDEX('Staff Review'!$E$8:$E$507,I2117)&lt;='Top 25'!$H$5,LEN(INDEX('Staff Review'!$H$8:$H$507,I2117))&gt;0),"Yes","No"))</f>
        <v>No</v>
      </c>
      <c r="AJ2117" s="1" t="str">
        <f>IF(I2117=0,"No",IF(COUNT(INDEX('Staff Review'!$F$8:$F$507,I2117))&lt;&gt;1,"No",IF(AND(INDEX('Staff Review'!$F$8:$F$507,I2117)&gt;=0,MOD(INDEX('Staff Review'!$F$8:$F$507,I2117),1)=0,COUNT(INDEX('Staff Review'!$G$8:$G$507,I2117))=1,INDEX('Staff Review'!$G$8:$G$507,I2117)&gt;0,INDEX('Staff Review'!$G$8:$G$507,I2117)&lt;='Top 25'!$E$5,'Top 25'!$E$5-INDEX('Staff Review'!$G$8:$G$507,I2117)&lt;='Top 25'!$H$5,LEN(INDEX('Staff Review'!$H$8:$H$507,I2117))&gt;0),"Yes","No")))</f>
        <v>No</v>
      </c>
      <c r="AK2117" s="1">
        <f t="shared" si="55"/>
        <v>1</v>
      </c>
      <c r="AL2117" s="1">
        <f t="shared" ca="1" si="56"/>
        <v>0</v>
      </c>
      <c r="AM2117" s="1">
        <f t="shared" si="57"/>
        <v>3210</v>
      </c>
      <c r="AN2117" s="1">
        <f t="shared" si="58"/>
        <v>67</v>
      </c>
      <c r="AO2117">
        <f t="shared" ca="1" si="59"/>
        <v>13210</v>
      </c>
      <c r="AP2117" s="105">
        <f ca="1">IF(AND(AL2117=1,OR('Top 25'!$A$10="All",C2117='Top 25'!$A$10),OR('Top 25'!$D$10="All",D2117='Top 25'!$D$10)),1,0)</f>
        <v>0</v>
      </c>
      <c r="AQ2117" s="105" t="str">
        <f ca="1">IF(AP2117=0,"",CHOOSE(MATCH('Top 25'!$G$10,{"Priority score","Economic need","Enrollment","Fresh miles","Nearby resources"},0),T2117,G2117,F2117,K2117,L2117))</f>
        <v/>
      </c>
      <c r="AR2117" s="105" t="str">
        <f ca="1">IF(AP2117=0,"",1+COUNTIFS($AP$2051:$AP$2550,1,$AQ$2051:$AQ$2550,IF('Top 25'!$J$10="Ascending","&lt;","&gt;")&amp;AQ2117)+COUNTIFS($AP$2051:$AP$2550,1,$AQ$2051:$AQ$2550,AQ2117,$W$2051:$W$2550,"&lt;"&amp;W2117))</f>
        <v/>
      </c>
      <c r="AT2117" s="105">
        <f ca="1">IF(AND(AL2117=1,OR(Master_rankableSchools!$A$10="All",C2117=Master_rankableSchools!$A$10),OR(Master_rankableSchools!$D$10="All",D2117=Master_rankableSchools!$D$10)),1,0)</f>
        <v>0</v>
      </c>
      <c r="AU2117" s="105" t="str">
        <f ca="1">IF(AT2117=0,"",CHOOSE(MATCH(Master_rankableSchools!$G$10,{"Priority score","Economic need","Enrollment","Fresh miles","Nearby resources"},0),T2117,G2117,F2117,K2117,L2117))</f>
        <v/>
      </c>
      <c r="AV2117" s="105" t="str">
        <f ca="1">IF(AT2117=0,"",1+COUNTIFS($AT$2051:$AT$2550,1,$AU$2051:$AU$2550,IF(Master_rankableSchools!$J$10="Ascending","&lt;","&gt;")&amp;AU2117)+COUNTIFS($AT$2051:$AT$2550,1,$AU$2051:$AU$2550,AU2117,$W$2051:$W$2550,"&lt;"&amp;W2117))</f>
        <v/>
      </c>
    </row>
    <row r="2118" spans="1:48" ht="22" customHeight="1">
      <c r="A2118" s="1" t="str">
        <f t="shared" si="30"/>
        <v>3240</v>
      </c>
      <c r="B2118" s="1" t="str">
        <f t="shared" si="31"/>
        <v>The Fortis Program</v>
      </c>
      <c r="C2118" s="1" t="str">
        <f t="shared" si="32"/>
        <v>Contracted</v>
      </c>
      <c r="D2118" s="1" t="str">
        <f t="shared" si="33"/>
        <v>Transition/Overage School</v>
      </c>
      <c r="E2118" s="1" t="str">
        <f t="shared" si="34"/>
        <v>19125</v>
      </c>
      <c r="F2118" s="1">
        <f t="shared" si="35"/>
        <v>105</v>
      </c>
      <c r="G2118" s="1" t="str">
        <f t="shared" si="36"/>
        <v/>
      </c>
      <c r="H2118" s="1" t="str">
        <f t="shared" si="37"/>
        <v>No</v>
      </c>
      <c r="I2118" s="1">
        <f>IF(OR(A2118="",COUNTIFS('Staff Review'!$A$8:$A$507,A2118)&lt;&gt;1),0,MATCH(A2118,'Staff Review'!$A$8:$A$507,0))</f>
        <v>284</v>
      </c>
      <c r="J2118" s="1" t="str">
        <f>IF(I2118=0,"No",IF(INDEX('Staff Review'!$C$8:$C$507,I2118)="Yes","Yes","No"))</f>
        <v>No</v>
      </c>
      <c r="K2118" s="1">
        <f ca="1">IF(AI2118="Yes",INDEX('Staff Review'!$D$8:$D$507,I2118),IF(AB2118=0,"",IF(COUNT(INDEX($C$1531:$C$2030,AB2118))=1,INDEX($C$1531:$C$2030,AB2118),"")))</f>
        <v>0.25388415306094564</v>
      </c>
      <c r="L2118" s="1">
        <f>IF(AJ2118="Yes",INDEX('Staff Review'!$F$8:$F$507,I2118),IF(AB2118=0,"",IF(COUNT(INDEX($G$1531:$G$2030,AB2118))=1,INDEX($G$1531:$G$2030,AB2118),"")))</f>
        <v>6</v>
      </c>
      <c r="M2118" s="1" t="str">
        <f t="shared" ca="1" si="38"/>
        <v>Listed</v>
      </c>
      <c r="N2118" s="1" t="str">
        <f t="shared" si="39"/>
        <v>Listed</v>
      </c>
      <c r="O2118" s="1" t="str">
        <f t="shared" si="40"/>
        <v/>
      </c>
      <c r="P2118" s="1">
        <f t="shared" ca="1" si="41"/>
        <v>10</v>
      </c>
      <c r="Q2118" s="1">
        <f t="shared" si="42"/>
        <v>0</v>
      </c>
      <c r="R2118" s="1">
        <f t="shared" si="43"/>
        <v>1</v>
      </c>
      <c r="S2118" s="1" t="str">
        <f t="shared" ca="1" si="44"/>
        <v/>
      </c>
      <c r="T2118" s="1" t="str">
        <f ca="1">IF(OR(COUNT(O2118:R2118)&lt;&gt;4,COUNT('Top 25'!$B$45:$E$45)&lt;&gt;4,MIN('Top 25'!$B$45:$E$45)&lt;0,SUM('Top 25'!$B$45:$E$45)&lt;=0),"",ROUND(85*(O2118/30*'Top 25'!$B$45+P2118/25*'Top 25'!$C$45+Q2118/25*'Top 25'!$D$45+R2118/5*'Top 25'!$E$45)/SUM('Top 25'!$B$45:$E$45),6))</f>
        <v/>
      </c>
      <c r="U2118" s="1" t="str">
        <f t="shared" ca="1" si="45"/>
        <v>Listed</v>
      </c>
      <c r="V2118" s="1" t="str">
        <f>IF(A2118="","",IF(AK2118&lt;&gt;1,"Duplicate source ID",IF(COUNTIFS('Staff Review'!$A$8:$A$507,A2118)&gt;1,"Duplicate review ID",IF(H2118&lt;&gt;"Yes","Outside scope",IF(J2118="Yes","Already served",IF(NOT(ISNUMBER(T2118)),"Missing data","Candidate"))))))</f>
        <v>Outside scope</v>
      </c>
      <c r="W2118" s="1" t="str">
        <f t="shared" si="46"/>
        <v/>
      </c>
      <c r="X2118" s="1" t="str">
        <f t="shared" si="47"/>
        <v/>
      </c>
      <c r="Y2118" s="1">
        <f>IF(AND(H2118="Yes",OR(LEN('School Search'!$B$5)=0,ISNUMBER(SEARCH('School Search'!$B$5,B2118&amp;" "&amp;E2118&amp;" "&amp;A2118))),OR('School Search'!$D$5="All",C2118='School Search'!$D$5),OR('School Search'!$G$5="All eligible",AND('School Search'!$G$5="Not marked served",J2118&lt;&gt;"Yes"),AND('School Search'!$G$5="Missing data",V2118="Missing data"),AND('School Search'!$G$5="Marked served",J2118="Yes"))),1,0)</f>
        <v>0</v>
      </c>
      <c r="Z2118" s="1" t="str">
        <f>IF(Y2118=0,"",COUNTIFS($Y$2051:$Y$2550,1,$AO$2051:$AO$2550,"&lt;"&amp;AO2118)+COUNTIFS($Y$2051:Y2118,1,$AO$2051:AO2118,AO2118))</f>
        <v/>
      </c>
      <c r="AA2118" s="1" t="str">
        <f t="shared" ca="1" si="48"/>
        <v>Missing demographic or access input</v>
      </c>
      <c r="AB2118" s="1">
        <f t="shared" si="49"/>
        <v>68</v>
      </c>
      <c r="AC2118" s="1" t="str">
        <f t="shared" si="50"/>
        <v>Save A Lot 30224</v>
      </c>
      <c r="AD2118" s="1" t="str">
        <f t="shared" si="51"/>
        <v>2132 E Lehigh Ave, Philadelphia, PA, 19125</v>
      </c>
      <c r="AE2118" s="1" t="str">
        <f t="shared" si="52"/>
        <v>2343 E TUCKER ST</v>
      </c>
      <c r="AF2118" s="1">
        <f t="shared" si="53"/>
        <v>39.981490100000002</v>
      </c>
      <c r="AG2118" s="1">
        <f t="shared" si="54"/>
        <v>-75.118870599999994</v>
      </c>
      <c r="AH2118" s="1" t="str">
        <f>IF(I2118=0,"Not contacted",IF(INDEX('Staff Review'!$J$8:$J$507,I2118)="","Not contacted",INDEX('Staff Review'!$J$8:$J$507,I2118)))</f>
        <v>Not contacted</v>
      </c>
      <c r="AI2118" s="1" t="str">
        <f ca="1">IF(I2118=0,"No",IF(AND(COUNT(INDEX('Staff Review'!$D$8:$D$507,I2118))=1,INDEX('Staff Review'!$D$8:$D$507,I2118)&gt;=0,COUNT(INDEX('Staff Review'!$E$8:$E$507,I2118))=1,INDEX('Staff Review'!$E$8:$E$507,I2118)&gt;0,INDEX('Staff Review'!$E$8:$E$507,I2118)&lt;='Top 25'!$E$5,'Top 25'!$E$5-INDEX('Staff Review'!$E$8:$E$507,I2118)&lt;='Top 25'!$H$5,LEN(INDEX('Staff Review'!$H$8:$H$507,I2118))&gt;0),"Yes","No"))</f>
        <v>No</v>
      </c>
      <c r="AJ2118" s="1" t="str">
        <f>IF(I2118=0,"No",IF(COUNT(INDEX('Staff Review'!$F$8:$F$507,I2118))&lt;&gt;1,"No",IF(AND(INDEX('Staff Review'!$F$8:$F$507,I2118)&gt;=0,MOD(INDEX('Staff Review'!$F$8:$F$507,I2118),1)=0,COUNT(INDEX('Staff Review'!$G$8:$G$507,I2118))=1,INDEX('Staff Review'!$G$8:$G$507,I2118)&gt;0,INDEX('Staff Review'!$G$8:$G$507,I2118)&lt;='Top 25'!$E$5,'Top 25'!$E$5-INDEX('Staff Review'!$G$8:$G$507,I2118)&lt;='Top 25'!$H$5,LEN(INDEX('Staff Review'!$H$8:$H$507,I2118))&gt;0),"Yes","No")))</f>
        <v>No</v>
      </c>
      <c r="AK2118" s="1">
        <f t="shared" si="55"/>
        <v>1</v>
      </c>
      <c r="AL2118" s="1">
        <f t="shared" si="56"/>
        <v>0</v>
      </c>
      <c r="AM2118" s="1">
        <f t="shared" si="57"/>
        <v>3240</v>
      </c>
      <c r="AN2118" s="1">
        <f t="shared" si="58"/>
        <v>68</v>
      </c>
      <c r="AO2118">
        <f t="shared" si="59"/>
        <v>13240</v>
      </c>
      <c r="AP2118" s="105">
        <f>IF(AND(AL2118=1,OR('Top 25'!$A$10="All",C2118='Top 25'!$A$10),OR('Top 25'!$D$10="All",D2118='Top 25'!$D$10)),1,0)</f>
        <v>0</v>
      </c>
      <c r="AQ2118" s="105" t="str">
        <f>IF(AP2118=0,"",CHOOSE(MATCH('Top 25'!$G$10,{"Priority score","Economic need","Enrollment","Fresh miles","Nearby resources"},0),T2118,G2118,F2118,K2118,L2118))</f>
        <v/>
      </c>
      <c r="AR2118" s="105" t="str">
        <f>IF(AP2118=0,"",1+COUNTIFS($AP$2051:$AP$2550,1,$AQ$2051:$AQ$2550,IF('Top 25'!$J$10="Ascending","&lt;","&gt;")&amp;AQ2118)+COUNTIFS($AP$2051:$AP$2550,1,$AQ$2051:$AQ$2550,AQ2118,$W$2051:$W$2550,"&lt;"&amp;W2118))</f>
        <v/>
      </c>
      <c r="AT2118" s="105">
        <f>IF(AND(AL2118=1,OR(Master_rankableSchools!$A$10="All",C2118=Master_rankableSchools!$A$10),OR(Master_rankableSchools!$D$10="All",D2118=Master_rankableSchools!$D$10)),1,0)</f>
        <v>0</v>
      </c>
      <c r="AU2118" s="105" t="str">
        <f>IF(AT2118=0,"",CHOOSE(MATCH(Master_rankableSchools!$G$10,{"Priority score","Economic need","Enrollment","Fresh miles","Nearby resources"},0),T2118,G2118,F2118,K2118,L2118))</f>
        <v/>
      </c>
      <c r="AV2118" s="105" t="str">
        <f>IF(AT2118=0,"",1+COUNTIFS($AT$2051:$AT$2550,1,$AU$2051:$AU$2550,IF(Master_rankableSchools!$J$10="Ascending","&lt;","&gt;")&amp;AU2118)+COUNTIFS($AT$2051:$AT$2550,1,$AU$2051:$AU$2550,AU2118,$W$2051:$W$2550,"&lt;"&amp;W2118))</f>
        <v/>
      </c>
    </row>
    <row r="2119" spans="1:48" ht="22" customHeight="1">
      <c r="A2119" s="1" t="str">
        <f t="shared" si="30"/>
        <v>3250</v>
      </c>
      <c r="B2119" s="1" t="str">
        <f t="shared" si="31"/>
        <v>Early College Charter School of Philadelphia</v>
      </c>
      <c r="C2119" s="1" t="str">
        <f t="shared" si="32"/>
        <v>Charter</v>
      </c>
      <c r="D2119" s="1" t="str">
        <f t="shared" si="33"/>
        <v>Middle</v>
      </c>
      <c r="E2119" s="1" t="str">
        <f t="shared" si="34"/>
        <v>19102</v>
      </c>
      <c r="F2119" s="1" t="str">
        <f t="shared" si="35"/>
        <v/>
      </c>
      <c r="G2119" s="1" t="str">
        <f t="shared" si="36"/>
        <v/>
      </c>
      <c r="H2119" s="1" t="str">
        <f t="shared" si="37"/>
        <v>No</v>
      </c>
      <c r="I2119" s="1">
        <f>IF(OR(A2119="",COUNTIFS('Staff Review'!$A$8:$A$507,A2119)&lt;&gt;1),0,MATCH(A2119,'Staff Review'!$A$8:$A$507,0))</f>
        <v>54</v>
      </c>
      <c r="J2119" s="1" t="str">
        <f>IF(I2119=0,"No",IF(INDEX('Staff Review'!$C$8:$C$507,I2119)="Yes","Yes","No"))</f>
        <v>No</v>
      </c>
      <c r="K2119" s="1">
        <f ca="1">IF(AI2119="Yes",INDEX('Staff Review'!$D$8:$D$507,I2119),IF(AB2119=0,"",IF(COUNT(INDEX($C$1531:$C$2030,AB2119))=1,INDEX($C$1531:$C$2030,AB2119),"")))</f>
        <v>0.25723468064181654</v>
      </c>
      <c r="L2119" s="1">
        <f>IF(AJ2119="Yes",INDEX('Staff Review'!$F$8:$F$507,I2119),IF(AB2119=0,"",IF(COUNT(INDEX($G$1531:$G$2030,AB2119))=1,INDEX($G$1531:$G$2030,AB2119),"")))</f>
        <v>10</v>
      </c>
      <c r="M2119" s="1" t="str">
        <f t="shared" ca="1" si="38"/>
        <v>Listed</v>
      </c>
      <c r="N2119" s="1" t="str">
        <f t="shared" si="39"/>
        <v>Listed</v>
      </c>
      <c r="O2119" s="1" t="str">
        <f t="shared" si="40"/>
        <v/>
      </c>
      <c r="P2119" s="1">
        <f t="shared" ca="1" si="41"/>
        <v>10</v>
      </c>
      <c r="Q2119" s="1">
        <f t="shared" si="42"/>
        <v>0</v>
      </c>
      <c r="R2119" s="1" t="str">
        <f t="shared" si="43"/>
        <v/>
      </c>
      <c r="S2119" s="1" t="str">
        <f t="shared" ca="1" si="44"/>
        <v/>
      </c>
      <c r="T2119" s="1" t="str">
        <f ca="1">IF(OR(COUNT(O2119:R2119)&lt;&gt;4,COUNT('Top 25'!$B$45:$E$45)&lt;&gt;4,MIN('Top 25'!$B$45:$E$45)&lt;0,SUM('Top 25'!$B$45:$E$45)&lt;=0),"",ROUND(85*(O2119/30*'Top 25'!$B$45+P2119/25*'Top 25'!$C$45+Q2119/25*'Top 25'!$D$45+R2119/5*'Top 25'!$E$45)/SUM('Top 25'!$B$45:$E$45),6))</f>
        <v/>
      </c>
      <c r="U2119" s="1" t="str">
        <f t="shared" ca="1" si="45"/>
        <v>Listed</v>
      </c>
      <c r="V2119" s="1" t="str">
        <f>IF(A2119="","",IF(AK2119&lt;&gt;1,"Duplicate source ID",IF(COUNTIFS('Staff Review'!$A$8:$A$507,A2119)&gt;1,"Duplicate review ID",IF(H2119&lt;&gt;"Yes","Outside scope",IF(J2119="Yes","Already served",IF(NOT(ISNUMBER(T2119)),"Missing data","Candidate"))))))</f>
        <v>Outside scope</v>
      </c>
      <c r="W2119" s="1" t="str">
        <f t="shared" si="46"/>
        <v/>
      </c>
      <c r="X2119" s="1" t="str">
        <f t="shared" si="47"/>
        <v/>
      </c>
      <c r="Y2119" s="1">
        <f>IF(AND(H2119="Yes",OR(LEN('School Search'!$B$5)=0,ISNUMBER(SEARCH('School Search'!$B$5,B2119&amp;" "&amp;E2119&amp;" "&amp;A2119))),OR('School Search'!$D$5="All",C2119='School Search'!$D$5),OR('School Search'!$G$5="All eligible",AND('School Search'!$G$5="Not marked served",J2119&lt;&gt;"Yes"),AND('School Search'!$G$5="Missing data",V2119="Missing data"),AND('School Search'!$G$5="Marked served",J2119="Yes"))),1,0)</f>
        <v>0</v>
      </c>
      <c r="Z2119" s="1" t="str">
        <f>IF(Y2119=0,"",COUNTIFS($Y$2051:$Y$2550,1,$AO$2051:$AO$2550,"&lt;"&amp;AO2119)+COUNTIFS($Y$2051:Y2119,1,$AO$2051:AO2119,AO2119))</f>
        <v/>
      </c>
      <c r="AA2119" s="1" t="str">
        <f t="shared" ca="1" si="48"/>
        <v>Missing demographic or access input</v>
      </c>
      <c r="AB2119" s="1">
        <f t="shared" si="49"/>
        <v>69</v>
      </c>
      <c r="AC2119" s="1" t="str">
        <f t="shared" si="50"/>
        <v>Rittenhouse Market</v>
      </c>
      <c r="AD2119" s="1" t="str">
        <f t="shared" si="51"/>
        <v>1733 Spruce St, Philadelphia, PA, 19103</v>
      </c>
      <c r="AE2119" s="1" t="str">
        <f t="shared" si="52"/>
        <v>1420 PINE ST</v>
      </c>
      <c r="AF2119" s="1">
        <f t="shared" si="53"/>
        <v>39.945419999999999</v>
      </c>
      <c r="AG2119" s="1">
        <f t="shared" si="54"/>
        <v>-75.166300000000007</v>
      </c>
      <c r="AH2119" s="1" t="str">
        <f>IF(I2119=0,"Not contacted",IF(INDEX('Staff Review'!$J$8:$J$507,I2119)="","Not contacted",INDEX('Staff Review'!$J$8:$J$507,I2119)))</f>
        <v>Not contacted</v>
      </c>
      <c r="AI2119" s="1" t="str">
        <f ca="1">IF(I2119=0,"No",IF(AND(COUNT(INDEX('Staff Review'!$D$8:$D$507,I2119))=1,INDEX('Staff Review'!$D$8:$D$507,I2119)&gt;=0,COUNT(INDEX('Staff Review'!$E$8:$E$507,I2119))=1,INDEX('Staff Review'!$E$8:$E$507,I2119)&gt;0,INDEX('Staff Review'!$E$8:$E$507,I2119)&lt;='Top 25'!$E$5,'Top 25'!$E$5-INDEX('Staff Review'!$E$8:$E$507,I2119)&lt;='Top 25'!$H$5,LEN(INDEX('Staff Review'!$H$8:$H$507,I2119))&gt;0),"Yes","No"))</f>
        <v>No</v>
      </c>
      <c r="AJ2119" s="1" t="str">
        <f>IF(I2119=0,"No",IF(COUNT(INDEX('Staff Review'!$F$8:$F$507,I2119))&lt;&gt;1,"No",IF(AND(INDEX('Staff Review'!$F$8:$F$507,I2119)&gt;=0,MOD(INDEX('Staff Review'!$F$8:$F$507,I2119),1)=0,COUNT(INDEX('Staff Review'!$G$8:$G$507,I2119))=1,INDEX('Staff Review'!$G$8:$G$507,I2119)&gt;0,INDEX('Staff Review'!$G$8:$G$507,I2119)&lt;='Top 25'!$E$5,'Top 25'!$E$5-INDEX('Staff Review'!$G$8:$G$507,I2119)&lt;='Top 25'!$H$5,LEN(INDEX('Staff Review'!$H$8:$H$507,I2119))&gt;0),"Yes","No")))</f>
        <v>No</v>
      </c>
      <c r="AK2119" s="1">
        <f t="shared" si="55"/>
        <v>1</v>
      </c>
      <c r="AL2119" s="1">
        <f t="shared" si="56"/>
        <v>0</v>
      </c>
      <c r="AM2119" s="1">
        <f t="shared" si="57"/>
        <v>3250</v>
      </c>
      <c r="AN2119" s="1">
        <f t="shared" si="58"/>
        <v>69</v>
      </c>
      <c r="AO2119">
        <f t="shared" si="59"/>
        <v>13250</v>
      </c>
      <c r="AP2119" s="105">
        <f>IF(AND(AL2119=1,OR('Top 25'!$A$10="All",C2119='Top 25'!$A$10),OR('Top 25'!$D$10="All",D2119='Top 25'!$D$10)),1,0)</f>
        <v>0</v>
      </c>
      <c r="AQ2119" s="105" t="str">
        <f>IF(AP2119=0,"",CHOOSE(MATCH('Top 25'!$G$10,{"Priority score","Economic need","Enrollment","Fresh miles","Nearby resources"},0),T2119,G2119,F2119,K2119,L2119))</f>
        <v/>
      </c>
      <c r="AR2119" s="105" t="str">
        <f>IF(AP2119=0,"",1+COUNTIFS($AP$2051:$AP$2550,1,$AQ$2051:$AQ$2550,IF('Top 25'!$J$10="Ascending","&lt;","&gt;")&amp;AQ2119)+COUNTIFS($AP$2051:$AP$2550,1,$AQ$2051:$AQ$2550,AQ2119,$W$2051:$W$2550,"&lt;"&amp;W2119))</f>
        <v/>
      </c>
      <c r="AT2119" s="105">
        <f>IF(AND(AL2119=1,OR(Master_rankableSchools!$A$10="All",C2119=Master_rankableSchools!$A$10),OR(Master_rankableSchools!$D$10="All",D2119=Master_rankableSchools!$D$10)),1,0)</f>
        <v>0</v>
      </c>
      <c r="AU2119" s="105" t="str">
        <f>IF(AT2119=0,"",CHOOSE(MATCH(Master_rankableSchools!$G$10,{"Priority score","Economic need","Enrollment","Fresh miles","Nearby resources"},0),T2119,G2119,F2119,K2119,L2119))</f>
        <v/>
      </c>
      <c r="AV2119" s="105" t="str">
        <f>IF(AT2119=0,"",1+COUNTIFS($AT$2051:$AT$2550,1,$AU$2051:$AU$2550,IF(Master_rankableSchools!$J$10="Ascending","&lt;","&gt;")&amp;AU2119)+COUNTIFS($AT$2051:$AT$2550,1,$AU$2051:$AU$2550,AU2119,$W$2051:$W$2550,"&lt;"&amp;W2119))</f>
        <v/>
      </c>
    </row>
    <row r="2120" spans="1:48" ht="22" customHeight="1">
      <c r="A2120" s="1" t="str">
        <f t="shared" si="30"/>
        <v>3290</v>
      </c>
      <c r="B2120" s="1" t="str">
        <f t="shared" si="31"/>
        <v>Excel Academy South</v>
      </c>
      <c r="C2120" s="1" t="str">
        <f t="shared" si="32"/>
        <v>Contracted</v>
      </c>
      <c r="D2120" s="1" t="str">
        <f t="shared" si="33"/>
        <v>Transition/Overage School</v>
      </c>
      <c r="E2120" s="1" t="str">
        <f t="shared" si="34"/>
        <v>19124</v>
      </c>
      <c r="F2120" s="1">
        <f t="shared" si="35"/>
        <v>183</v>
      </c>
      <c r="G2120" s="1" t="str">
        <f t="shared" si="36"/>
        <v/>
      </c>
      <c r="H2120" s="1" t="str">
        <f t="shared" si="37"/>
        <v>No</v>
      </c>
      <c r="I2120" s="1">
        <f>IF(OR(A2120="",COUNTIFS('Staff Review'!$A$8:$A$507,A2120)&lt;&gt;1),0,MATCH(A2120,'Staff Review'!$A$8:$A$507,0))</f>
        <v>69</v>
      </c>
      <c r="J2120" s="1" t="str">
        <f>IF(I2120=0,"No",IF(INDEX('Staff Review'!$C$8:$C$507,I2120)="Yes","Yes","No"))</f>
        <v>No</v>
      </c>
      <c r="K2120" s="1">
        <f ca="1">IF(AI2120="Yes",INDEX('Staff Review'!$D$8:$D$507,I2120),IF(AB2120=0,"",IF(COUNT(INDEX($C$1531:$C$2030,AB2120))=1,INDEX($C$1531:$C$2030,AB2120),"")))</f>
        <v>0.22832825262966802</v>
      </c>
      <c r="L2120" s="1">
        <f>IF(AJ2120="Yes",INDEX('Staff Review'!$F$8:$F$507,I2120),IF(AB2120=0,"",IF(COUNT(INDEX($G$1531:$G$2030,AB2120))=1,INDEX($G$1531:$G$2030,AB2120),"")))</f>
        <v>3</v>
      </c>
      <c r="M2120" s="1" t="str">
        <f t="shared" ca="1" si="38"/>
        <v>Listed</v>
      </c>
      <c r="N2120" s="1" t="str">
        <f t="shared" si="39"/>
        <v>Listed</v>
      </c>
      <c r="O2120" s="1" t="str">
        <f t="shared" si="40"/>
        <v/>
      </c>
      <c r="P2120" s="1">
        <f t="shared" ca="1" si="41"/>
        <v>5</v>
      </c>
      <c r="Q2120" s="1">
        <f t="shared" si="42"/>
        <v>10</v>
      </c>
      <c r="R2120" s="1">
        <f t="shared" si="43"/>
        <v>1</v>
      </c>
      <c r="S2120" s="1" t="str">
        <f t="shared" ca="1" si="44"/>
        <v/>
      </c>
      <c r="T2120" s="1" t="str">
        <f ca="1">IF(OR(COUNT(O2120:R2120)&lt;&gt;4,COUNT('Top 25'!$B$45:$E$45)&lt;&gt;4,MIN('Top 25'!$B$45:$E$45)&lt;0,SUM('Top 25'!$B$45:$E$45)&lt;=0),"",ROUND(85*(O2120/30*'Top 25'!$B$45+P2120/25*'Top 25'!$C$45+Q2120/25*'Top 25'!$D$45+R2120/5*'Top 25'!$E$45)/SUM('Top 25'!$B$45:$E$45),6))</f>
        <v/>
      </c>
      <c r="U2120" s="1" t="str">
        <f t="shared" ca="1" si="45"/>
        <v>Listed</v>
      </c>
      <c r="V2120" s="1" t="str">
        <f>IF(A2120="","",IF(AK2120&lt;&gt;1,"Duplicate source ID",IF(COUNTIFS('Staff Review'!$A$8:$A$507,A2120)&gt;1,"Duplicate review ID",IF(H2120&lt;&gt;"Yes","Outside scope",IF(J2120="Yes","Already served",IF(NOT(ISNUMBER(T2120)),"Missing data","Candidate"))))))</f>
        <v>Outside scope</v>
      </c>
      <c r="W2120" s="1" t="str">
        <f t="shared" si="46"/>
        <v/>
      </c>
      <c r="X2120" s="1" t="str">
        <f t="shared" si="47"/>
        <v/>
      </c>
      <c r="Y2120" s="1">
        <f>IF(AND(H2120="Yes",OR(LEN('School Search'!$B$5)=0,ISNUMBER(SEARCH('School Search'!$B$5,B2120&amp;" "&amp;E2120&amp;" "&amp;A2120))),OR('School Search'!$D$5="All",C2120='School Search'!$D$5),OR('School Search'!$G$5="All eligible",AND('School Search'!$G$5="Not marked served",J2120&lt;&gt;"Yes"),AND('School Search'!$G$5="Missing data",V2120="Missing data"),AND('School Search'!$G$5="Marked served",J2120="Yes"))),1,0)</f>
        <v>0</v>
      </c>
      <c r="Z2120" s="1" t="str">
        <f>IF(Y2120=0,"",COUNTIFS($Y$2051:$Y$2550,1,$AO$2051:$AO$2550,"&lt;"&amp;AO2120)+COUNTIFS($Y$2051:Y2120,1,$AO$2051:AO2120,AO2120))</f>
        <v/>
      </c>
      <c r="AA2120" s="1" t="str">
        <f t="shared" ca="1" si="48"/>
        <v>Missing demographic or access input</v>
      </c>
      <c r="AB2120" s="1">
        <f t="shared" si="49"/>
        <v>70</v>
      </c>
      <c r="AC2120" s="1" t="str">
        <f t="shared" si="50"/>
        <v>Walmart 5103</v>
      </c>
      <c r="AD2120" s="1" t="str">
        <f t="shared" si="51"/>
        <v>4600 E Roosevelt Blvd, Philadelphia, PA, 19124</v>
      </c>
      <c r="AE2120" s="1" t="str">
        <f t="shared" si="52"/>
        <v>4641 ROOSEVELT BLVD</v>
      </c>
      <c r="AF2120" s="1">
        <f t="shared" si="53"/>
        <v>40.026081429999998</v>
      </c>
      <c r="AG2120" s="1">
        <f t="shared" si="54"/>
        <v>-75.102519439999995</v>
      </c>
      <c r="AH2120" s="1" t="str">
        <f>IF(I2120=0,"Not contacted",IF(INDEX('Staff Review'!$J$8:$J$507,I2120)="","Not contacted",INDEX('Staff Review'!$J$8:$J$507,I2120)))</f>
        <v>Not contacted</v>
      </c>
      <c r="AI2120" s="1" t="str">
        <f ca="1">IF(I2120=0,"No",IF(AND(COUNT(INDEX('Staff Review'!$D$8:$D$507,I2120))=1,INDEX('Staff Review'!$D$8:$D$507,I2120)&gt;=0,COUNT(INDEX('Staff Review'!$E$8:$E$507,I2120))=1,INDEX('Staff Review'!$E$8:$E$507,I2120)&gt;0,INDEX('Staff Review'!$E$8:$E$507,I2120)&lt;='Top 25'!$E$5,'Top 25'!$E$5-INDEX('Staff Review'!$E$8:$E$507,I2120)&lt;='Top 25'!$H$5,LEN(INDEX('Staff Review'!$H$8:$H$507,I2120))&gt;0),"Yes","No"))</f>
        <v>No</v>
      </c>
      <c r="AJ2120" s="1" t="str">
        <f>IF(I2120=0,"No",IF(COUNT(INDEX('Staff Review'!$F$8:$F$507,I2120))&lt;&gt;1,"No",IF(AND(INDEX('Staff Review'!$F$8:$F$507,I2120)&gt;=0,MOD(INDEX('Staff Review'!$F$8:$F$507,I2120),1)=0,COUNT(INDEX('Staff Review'!$G$8:$G$507,I2120))=1,INDEX('Staff Review'!$G$8:$G$507,I2120)&gt;0,INDEX('Staff Review'!$G$8:$G$507,I2120)&lt;='Top 25'!$E$5,'Top 25'!$E$5-INDEX('Staff Review'!$G$8:$G$507,I2120)&lt;='Top 25'!$H$5,LEN(INDEX('Staff Review'!$H$8:$H$507,I2120))&gt;0),"Yes","No")))</f>
        <v>No</v>
      </c>
      <c r="AK2120" s="1">
        <f t="shared" si="55"/>
        <v>1</v>
      </c>
      <c r="AL2120" s="1">
        <f t="shared" si="56"/>
        <v>0</v>
      </c>
      <c r="AM2120" s="1">
        <f t="shared" si="57"/>
        <v>3290</v>
      </c>
      <c r="AN2120" s="1">
        <f t="shared" si="58"/>
        <v>70</v>
      </c>
      <c r="AO2120">
        <f t="shared" si="59"/>
        <v>13290</v>
      </c>
      <c r="AP2120" s="105">
        <f>IF(AND(AL2120=1,OR('Top 25'!$A$10="All",C2120='Top 25'!$A$10),OR('Top 25'!$D$10="All",D2120='Top 25'!$D$10)),1,0)</f>
        <v>0</v>
      </c>
      <c r="AQ2120" s="105" t="str">
        <f>IF(AP2120=0,"",CHOOSE(MATCH('Top 25'!$G$10,{"Priority score","Economic need","Enrollment","Fresh miles","Nearby resources"},0),T2120,G2120,F2120,K2120,L2120))</f>
        <v/>
      </c>
      <c r="AR2120" s="105" t="str">
        <f>IF(AP2120=0,"",1+COUNTIFS($AP$2051:$AP$2550,1,$AQ$2051:$AQ$2550,IF('Top 25'!$J$10="Ascending","&lt;","&gt;")&amp;AQ2120)+COUNTIFS($AP$2051:$AP$2550,1,$AQ$2051:$AQ$2550,AQ2120,$W$2051:$W$2550,"&lt;"&amp;W2120))</f>
        <v/>
      </c>
      <c r="AT2120" s="105">
        <f>IF(AND(AL2120=1,OR(Master_rankableSchools!$A$10="All",C2120=Master_rankableSchools!$A$10),OR(Master_rankableSchools!$D$10="All",D2120=Master_rankableSchools!$D$10)),1,0)</f>
        <v>0</v>
      </c>
      <c r="AU2120" s="105" t="str">
        <f>IF(AT2120=0,"",CHOOSE(MATCH(Master_rankableSchools!$G$10,{"Priority score","Economic need","Enrollment","Fresh miles","Nearby resources"},0),T2120,G2120,F2120,K2120,L2120))</f>
        <v/>
      </c>
      <c r="AV2120" s="105" t="str">
        <f>IF(AT2120=0,"",1+COUNTIFS($AT$2051:$AT$2550,1,$AU$2051:$AU$2550,IF(Master_rankableSchools!$J$10="Ascending","&lt;","&gt;")&amp;AU2120)+COUNTIFS($AT$2051:$AT$2550,1,$AU$2051:$AU$2550,AU2120,$W$2051:$W$2550,"&lt;"&amp;W2120))</f>
        <v/>
      </c>
    </row>
    <row r="2121" spans="1:48" ht="22" customHeight="1">
      <c r="A2121" s="1" t="str">
        <f t="shared" si="30"/>
        <v>3291</v>
      </c>
      <c r="B2121" s="1" t="str">
        <f t="shared" si="31"/>
        <v>Excel Academy Central</v>
      </c>
      <c r="C2121" s="1" t="str">
        <f t="shared" si="32"/>
        <v>Contracted</v>
      </c>
      <c r="D2121" s="1" t="str">
        <f t="shared" si="33"/>
        <v>Transition/Overage School</v>
      </c>
      <c r="E2121" s="1" t="str">
        <f t="shared" si="34"/>
        <v>19120</v>
      </c>
      <c r="F2121" s="1">
        <f t="shared" si="35"/>
        <v>199</v>
      </c>
      <c r="G2121" s="1" t="str">
        <f t="shared" si="36"/>
        <v/>
      </c>
      <c r="H2121" s="1" t="str">
        <f t="shared" si="37"/>
        <v>No</v>
      </c>
      <c r="I2121" s="1">
        <f>IF(OR(A2121="",COUNTIFS('Staff Review'!$A$8:$A$507,A2121)&lt;&gt;1),0,MATCH(A2121,'Staff Review'!$A$8:$A$507,0))</f>
        <v>67</v>
      </c>
      <c r="J2121" s="1" t="str">
        <f>IF(I2121=0,"No",IF(INDEX('Staff Review'!$C$8:$C$507,I2121)="Yes","Yes","No"))</f>
        <v>No</v>
      </c>
      <c r="K2121" s="1">
        <f ca="1">IF(AI2121="Yes",INDEX('Staff Review'!$D$8:$D$507,I2121),IF(AB2121=0,"",IF(COUNT(INDEX($C$1531:$C$2030,AB2121))=1,INDEX($C$1531:$C$2030,AB2121),"")))</f>
        <v>0.17942385839555314</v>
      </c>
      <c r="L2121" s="1">
        <f>IF(AJ2121="Yes",INDEX('Staff Review'!$F$8:$F$507,I2121),IF(AB2121=0,"",IF(COUNT(INDEX($G$1531:$G$2030,AB2121))=1,INDEX($G$1531:$G$2030,AB2121),"")))</f>
        <v>6</v>
      </c>
      <c r="M2121" s="1" t="str">
        <f t="shared" ca="1" si="38"/>
        <v>Listed</v>
      </c>
      <c r="N2121" s="1" t="str">
        <f t="shared" si="39"/>
        <v>Listed</v>
      </c>
      <c r="O2121" s="1" t="str">
        <f t="shared" si="40"/>
        <v/>
      </c>
      <c r="P2121" s="1">
        <f t="shared" ca="1" si="41"/>
        <v>5</v>
      </c>
      <c r="Q2121" s="1">
        <f t="shared" si="42"/>
        <v>0</v>
      </c>
      <c r="R2121" s="1">
        <f t="shared" si="43"/>
        <v>1</v>
      </c>
      <c r="S2121" s="1" t="str">
        <f t="shared" ca="1" si="44"/>
        <v/>
      </c>
      <c r="T2121" s="1" t="str">
        <f ca="1">IF(OR(COUNT(O2121:R2121)&lt;&gt;4,COUNT('Top 25'!$B$45:$E$45)&lt;&gt;4,MIN('Top 25'!$B$45:$E$45)&lt;0,SUM('Top 25'!$B$45:$E$45)&lt;=0),"",ROUND(85*(O2121/30*'Top 25'!$B$45+P2121/25*'Top 25'!$C$45+Q2121/25*'Top 25'!$D$45+R2121/5*'Top 25'!$E$45)/SUM('Top 25'!$B$45:$E$45),6))</f>
        <v/>
      </c>
      <c r="U2121" s="1" t="str">
        <f t="shared" ca="1" si="45"/>
        <v>Listed</v>
      </c>
      <c r="V2121" s="1" t="str">
        <f>IF(A2121="","",IF(AK2121&lt;&gt;1,"Duplicate source ID",IF(COUNTIFS('Staff Review'!$A$8:$A$507,A2121)&gt;1,"Duplicate review ID",IF(H2121&lt;&gt;"Yes","Outside scope",IF(J2121="Yes","Already served",IF(NOT(ISNUMBER(T2121)),"Missing data","Candidate"))))))</f>
        <v>Outside scope</v>
      </c>
      <c r="W2121" s="1" t="str">
        <f t="shared" si="46"/>
        <v/>
      </c>
      <c r="X2121" s="1" t="str">
        <f t="shared" si="47"/>
        <v/>
      </c>
      <c r="Y2121" s="1">
        <f>IF(AND(H2121="Yes",OR(LEN('School Search'!$B$5)=0,ISNUMBER(SEARCH('School Search'!$B$5,B2121&amp;" "&amp;E2121&amp;" "&amp;A2121))),OR('School Search'!$D$5="All",C2121='School Search'!$D$5),OR('School Search'!$G$5="All eligible",AND('School Search'!$G$5="Not marked served",J2121&lt;&gt;"Yes"),AND('School Search'!$G$5="Missing data",V2121="Missing data"),AND('School Search'!$G$5="Marked served",J2121="Yes"))),1,0)</f>
        <v>0</v>
      </c>
      <c r="Z2121" s="1" t="str">
        <f>IF(Y2121=0,"",COUNTIFS($Y$2051:$Y$2550,1,$AO$2051:$AO$2550,"&lt;"&amp;AO2121)+COUNTIFS($Y$2051:Y2121,1,$AO$2051:AO2121,AO2121))</f>
        <v/>
      </c>
      <c r="AA2121" s="1" t="str">
        <f t="shared" ca="1" si="48"/>
        <v>Missing demographic or access input</v>
      </c>
      <c r="AB2121" s="1">
        <f t="shared" si="49"/>
        <v>71</v>
      </c>
      <c r="AC2121" s="1" t="str">
        <f t="shared" si="50"/>
        <v>SHOPRITE 537</v>
      </c>
      <c r="AD2121" s="1" t="str">
        <f t="shared" si="51"/>
        <v>101 E Olney Ave, Philadelphia, PA, 19120</v>
      </c>
      <c r="AE2121" s="1" t="str">
        <f t="shared" si="52"/>
        <v>201 E OLNEY AVE</v>
      </c>
      <c r="AF2121" s="1">
        <f t="shared" si="53"/>
        <v>40.035414299999999</v>
      </c>
      <c r="AG2121" s="1">
        <f t="shared" si="54"/>
        <v>-75.117962599999998</v>
      </c>
      <c r="AH2121" s="1" t="str">
        <f>IF(I2121=0,"Not contacted",IF(INDEX('Staff Review'!$J$8:$J$507,I2121)="","Not contacted",INDEX('Staff Review'!$J$8:$J$507,I2121)))</f>
        <v>Not contacted</v>
      </c>
      <c r="AI2121" s="1" t="str">
        <f ca="1">IF(I2121=0,"No",IF(AND(COUNT(INDEX('Staff Review'!$D$8:$D$507,I2121))=1,INDEX('Staff Review'!$D$8:$D$507,I2121)&gt;=0,COUNT(INDEX('Staff Review'!$E$8:$E$507,I2121))=1,INDEX('Staff Review'!$E$8:$E$507,I2121)&gt;0,INDEX('Staff Review'!$E$8:$E$507,I2121)&lt;='Top 25'!$E$5,'Top 25'!$E$5-INDEX('Staff Review'!$E$8:$E$507,I2121)&lt;='Top 25'!$H$5,LEN(INDEX('Staff Review'!$H$8:$H$507,I2121))&gt;0),"Yes","No"))</f>
        <v>No</v>
      </c>
      <c r="AJ2121" s="1" t="str">
        <f>IF(I2121=0,"No",IF(COUNT(INDEX('Staff Review'!$F$8:$F$507,I2121))&lt;&gt;1,"No",IF(AND(INDEX('Staff Review'!$F$8:$F$507,I2121)&gt;=0,MOD(INDEX('Staff Review'!$F$8:$F$507,I2121),1)=0,COUNT(INDEX('Staff Review'!$G$8:$G$507,I2121))=1,INDEX('Staff Review'!$G$8:$G$507,I2121)&gt;0,INDEX('Staff Review'!$G$8:$G$507,I2121)&lt;='Top 25'!$E$5,'Top 25'!$E$5-INDEX('Staff Review'!$G$8:$G$507,I2121)&lt;='Top 25'!$H$5,LEN(INDEX('Staff Review'!$H$8:$H$507,I2121))&gt;0),"Yes","No")))</f>
        <v>No</v>
      </c>
      <c r="AK2121" s="1">
        <f t="shared" si="55"/>
        <v>1</v>
      </c>
      <c r="AL2121" s="1">
        <f t="shared" si="56"/>
        <v>0</v>
      </c>
      <c r="AM2121" s="1">
        <f t="shared" si="57"/>
        <v>3291</v>
      </c>
      <c r="AN2121" s="1">
        <f t="shared" si="58"/>
        <v>71</v>
      </c>
      <c r="AO2121">
        <f t="shared" si="59"/>
        <v>13291</v>
      </c>
      <c r="AP2121" s="105">
        <f>IF(AND(AL2121=1,OR('Top 25'!$A$10="All",C2121='Top 25'!$A$10),OR('Top 25'!$D$10="All",D2121='Top 25'!$D$10)),1,0)</f>
        <v>0</v>
      </c>
      <c r="AQ2121" s="105" t="str">
        <f>IF(AP2121=0,"",CHOOSE(MATCH('Top 25'!$G$10,{"Priority score","Economic need","Enrollment","Fresh miles","Nearby resources"},0),T2121,G2121,F2121,K2121,L2121))</f>
        <v/>
      </c>
      <c r="AR2121" s="105" t="str">
        <f>IF(AP2121=0,"",1+COUNTIFS($AP$2051:$AP$2550,1,$AQ$2051:$AQ$2550,IF('Top 25'!$J$10="Ascending","&lt;","&gt;")&amp;AQ2121)+COUNTIFS($AP$2051:$AP$2550,1,$AQ$2051:$AQ$2550,AQ2121,$W$2051:$W$2550,"&lt;"&amp;W2121))</f>
        <v/>
      </c>
      <c r="AT2121" s="105">
        <f>IF(AND(AL2121=1,OR(Master_rankableSchools!$A$10="All",C2121=Master_rankableSchools!$A$10),OR(Master_rankableSchools!$D$10="All",D2121=Master_rankableSchools!$D$10)),1,0)</f>
        <v>0</v>
      </c>
      <c r="AU2121" s="105" t="str">
        <f>IF(AT2121=0,"",CHOOSE(MATCH(Master_rankableSchools!$G$10,{"Priority score","Economic need","Enrollment","Fresh miles","Nearby resources"},0),T2121,G2121,F2121,K2121,L2121))</f>
        <v/>
      </c>
      <c r="AV2121" s="105" t="str">
        <f>IF(AT2121=0,"",1+COUNTIFS($AT$2051:$AT$2550,1,$AU$2051:$AU$2550,IF(Master_rankableSchools!$J$10="Ascending","&lt;","&gt;")&amp;AU2121)+COUNTIFS($AT$2051:$AT$2550,1,$AU$2051:$AU$2550,AU2121,$W$2051:$W$2550,"&lt;"&amp;W2121))</f>
        <v/>
      </c>
    </row>
    <row r="2122" spans="1:48" ht="22" customHeight="1">
      <c r="A2122" s="1" t="str">
        <f t="shared" si="30"/>
        <v>3292</v>
      </c>
      <c r="B2122" s="1" t="str">
        <f t="shared" si="31"/>
        <v>The Academy of Continued Education School</v>
      </c>
      <c r="C2122" s="1" t="str">
        <f t="shared" si="32"/>
        <v>District</v>
      </c>
      <c r="D2122" s="1" t="str">
        <f t="shared" si="33"/>
        <v>Transition/Overage School</v>
      </c>
      <c r="E2122" s="1" t="str">
        <f t="shared" si="34"/>
        <v>19130</v>
      </c>
      <c r="F2122" s="1" t="str">
        <f t="shared" si="35"/>
        <v/>
      </c>
      <c r="G2122" s="1" t="str">
        <f t="shared" si="36"/>
        <v/>
      </c>
      <c r="H2122" s="1" t="str">
        <f t="shared" si="37"/>
        <v>Yes</v>
      </c>
      <c r="I2122" s="1">
        <f>IF(OR(A2122="",COUNTIFS('Staff Review'!$A$8:$A$507,A2122)&lt;&gt;1),0,MATCH(A2122,'Staff Review'!$A$8:$A$507,0))</f>
        <v>283</v>
      </c>
      <c r="J2122" s="1" t="str">
        <f>IF(I2122=0,"No",IF(INDEX('Staff Review'!$C$8:$C$507,I2122)="Yes","Yes","No"))</f>
        <v>No</v>
      </c>
      <c r="K2122" s="1">
        <f ca="1">IF(AI2122="Yes",INDEX('Staff Review'!$D$8:$D$507,I2122),IF(AB2122=0,"",IF(COUNT(INDEX($C$1531:$C$2030,AB2122))=1,INDEX($C$1531:$C$2030,AB2122),"")))</f>
        <v>0.11489059178460097</v>
      </c>
      <c r="L2122" s="1">
        <f>IF(AJ2122="Yes",INDEX('Staff Review'!$F$8:$F$507,I2122),IF(AB2122=0,"",IF(COUNT(INDEX($G$1531:$G$2030,AB2122))=1,INDEX($G$1531:$G$2030,AB2122),"")))</f>
        <v>10</v>
      </c>
      <c r="M2122" s="1" t="str">
        <f t="shared" ca="1" si="38"/>
        <v>Listed</v>
      </c>
      <c r="N2122" s="1" t="str">
        <f t="shared" si="39"/>
        <v>Listed</v>
      </c>
      <c r="O2122" s="1" t="str">
        <f t="shared" si="40"/>
        <v/>
      </c>
      <c r="P2122" s="1">
        <f t="shared" ca="1" si="41"/>
        <v>5</v>
      </c>
      <c r="Q2122" s="1">
        <f t="shared" si="42"/>
        <v>0</v>
      </c>
      <c r="R2122" s="1" t="str">
        <f t="shared" si="43"/>
        <v/>
      </c>
      <c r="S2122" s="1" t="str">
        <f t="shared" ca="1" si="44"/>
        <v/>
      </c>
      <c r="T2122" s="1" t="str">
        <f ca="1">IF(OR(COUNT(O2122:R2122)&lt;&gt;4,COUNT('Top 25'!$B$45:$E$45)&lt;&gt;4,MIN('Top 25'!$B$45:$E$45)&lt;0,SUM('Top 25'!$B$45:$E$45)&lt;=0),"",ROUND(85*(O2122/30*'Top 25'!$B$45+P2122/25*'Top 25'!$C$45+Q2122/25*'Top 25'!$D$45+R2122/5*'Top 25'!$E$45)/SUM('Top 25'!$B$45:$E$45),6))</f>
        <v/>
      </c>
      <c r="U2122" s="1" t="str">
        <f t="shared" ca="1" si="45"/>
        <v>Listed</v>
      </c>
      <c r="V2122" s="1" t="str">
        <f ca="1">IF(A2122="","",IF(AK2122&lt;&gt;1,"Duplicate source ID",IF(COUNTIFS('Staff Review'!$A$8:$A$507,A2122)&gt;1,"Duplicate review ID",IF(H2122&lt;&gt;"Yes","Outside scope",IF(J2122="Yes","Already served",IF(NOT(ISNUMBER(T2122)),"Missing data","Candidate"))))))</f>
        <v>Missing data</v>
      </c>
      <c r="W2122" s="1" t="str">
        <f t="shared" ca="1" si="46"/>
        <v/>
      </c>
      <c r="X2122" s="1" t="str">
        <f t="shared" ca="1" si="47"/>
        <v/>
      </c>
      <c r="Y2122" s="1">
        <f ca="1">IF(AND(H2122="Yes",OR(LEN('School Search'!$B$5)=0,ISNUMBER(SEARCH('School Search'!$B$5,B2122&amp;" "&amp;E2122&amp;" "&amp;A2122))),OR('School Search'!$D$5="All",C2122='School Search'!$D$5),OR('School Search'!$G$5="All eligible",AND('School Search'!$G$5="Not marked served",J2122&lt;&gt;"Yes"),AND('School Search'!$G$5="Missing data",V2122="Missing data"),AND('School Search'!$G$5="Marked served",J2122="Yes"))),1,0)</f>
        <v>1</v>
      </c>
      <c r="Z2122" s="1">
        <f ca="1">IF(Y2122=0,"",COUNTIFS($Y$2051:$Y$2550,1,$AO$2051:$AO$2550,"&lt;"&amp;AO2122)+COUNTIFS($Y$2051:Y2122,1,$AO$2051:AO2122,AO2122))</f>
        <v>298</v>
      </c>
      <c r="AA2122" s="1" t="str">
        <f t="shared" ca="1" si="48"/>
        <v>Missing demographic or access input</v>
      </c>
      <c r="AB2122" s="1">
        <f t="shared" si="49"/>
        <v>72</v>
      </c>
      <c r="AC2122" s="1" t="str">
        <f t="shared" si="50"/>
        <v>Giant Food Store 6573</v>
      </c>
      <c r="AD2122" s="1" t="str">
        <f t="shared" si="51"/>
        <v>510 N Broad St, Philadelphia, PA, 19130</v>
      </c>
      <c r="AE2122" s="1" t="str">
        <f t="shared" si="52"/>
        <v>440 N BROAD ST</v>
      </c>
      <c r="AF2122" s="1">
        <f t="shared" si="53"/>
        <v>39.961308299999999</v>
      </c>
      <c r="AG2122" s="1">
        <f t="shared" si="54"/>
        <v>-75.162251100000006</v>
      </c>
      <c r="AH2122" s="1" t="str">
        <f>IF(I2122=0,"Not contacted",IF(INDEX('Staff Review'!$J$8:$J$507,I2122)="","Not contacted",INDEX('Staff Review'!$J$8:$J$507,I2122)))</f>
        <v>Not contacted</v>
      </c>
      <c r="AI2122" s="1" t="str">
        <f ca="1">IF(I2122=0,"No",IF(AND(COUNT(INDEX('Staff Review'!$D$8:$D$507,I2122))=1,INDEX('Staff Review'!$D$8:$D$507,I2122)&gt;=0,COUNT(INDEX('Staff Review'!$E$8:$E$507,I2122))=1,INDEX('Staff Review'!$E$8:$E$507,I2122)&gt;0,INDEX('Staff Review'!$E$8:$E$507,I2122)&lt;='Top 25'!$E$5,'Top 25'!$E$5-INDEX('Staff Review'!$E$8:$E$507,I2122)&lt;='Top 25'!$H$5,LEN(INDEX('Staff Review'!$H$8:$H$507,I2122))&gt;0),"Yes","No"))</f>
        <v>No</v>
      </c>
      <c r="AJ2122" s="1" t="str">
        <f>IF(I2122=0,"No",IF(COUNT(INDEX('Staff Review'!$F$8:$F$507,I2122))&lt;&gt;1,"No",IF(AND(INDEX('Staff Review'!$F$8:$F$507,I2122)&gt;=0,MOD(INDEX('Staff Review'!$F$8:$F$507,I2122),1)=0,COUNT(INDEX('Staff Review'!$G$8:$G$507,I2122))=1,INDEX('Staff Review'!$G$8:$G$507,I2122)&gt;0,INDEX('Staff Review'!$G$8:$G$507,I2122)&lt;='Top 25'!$E$5,'Top 25'!$E$5-INDEX('Staff Review'!$G$8:$G$507,I2122)&lt;='Top 25'!$H$5,LEN(INDEX('Staff Review'!$H$8:$H$507,I2122))&gt;0),"Yes","No")))</f>
        <v>No</v>
      </c>
      <c r="AK2122" s="1">
        <f t="shared" si="55"/>
        <v>1</v>
      </c>
      <c r="AL2122" s="1">
        <f t="shared" ca="1" si="56"/>
        <v>0</v>
      </c>
      <c r="AM2122" s="1">
        <f t="shared" si="57"/>
        <v>3292</v>
      </c>
      <c r="AN2122" s="1">
        <f t="shared" si="58"/>
        <v>72</v>
      </c>
      <c r="AO2122">
        <f t="shared" ca="1" si="59"/>
        <v>13292</v>
      </c>
      <c r="AP2122" s="105">
        <f ca="1">IF(AND(AL2122=1,OR('Top 25'!$A$10="All",C2122='Top 25'!$A$10),OR('Top 25'!$D$10="All",D2122='Top 25'!$D$10)),1,0)</f>
        <v>0</v>
      </c>
      <c r="AQ2122" s="105" t="str">
        <f ca="1">IF(AP2122=0,"",CHOOSE(MATCH('Top 25'!$G$10,{"Priority score","Economic need","Enrollment","Fresh miles","Nearby resources"},0),T2122,G2122,F2122,K2122,L2122))</f>
        <v/>
      </c>
      <c r="AR2122" s="105" t="str">
        <f ca="1">IF(AP2122=0,"",1+COUNTIFS($AP$2051:$AP$2550,1,$AQ$2051:$AQ$2550,IF('Top 25'!$J$10="Ascending","&lt;","&gt;")&amp;AQ2122)+COUNTIFS($AP$2051:$AP$2550,1,$AQ$2051:$AQ$2550,AQ2122,$W$2051:$W$2550,"&lt;"&amp;W2122))</f>
        <v/>
      </c>
      <c r="AT2122" s="105">
        <f ca="1">IF(AND(AL2122=1,OR(Master_rankableSchools!$A$10="All",C2122=Master_rankableSchools!$A$10),OR(Master_rankableSchools!$D$10="All",D2122=Master_rankableSchools!$D$10)),1,0)</f>
        <v>0</v>
      </c>
      <c r="AU2122" s="105" t="str">
        <f ca="1">IF(AT2122=0,"",CHOOSE(MATCH(Master_rankableSchools!$G$10,{"Priority score","Economic need","Enrollment","Fresh miles","Nearby resources"},0),T2122,G2122,F2122,K2122,L2122))</f>
        <v/>
      </c>
      <c r="AV2122" s="105" t="str">
        <f ca="1">IF(AT2122=0,"",1+COUNTIFS($AT$2051:$AT$2550,1,$AU$2051:$AU$2550,IF(Master_rankableSchools!$J$10="Ascending","&lt;","&gt;")&amp;AU2122)+COUNTIFS($AT$2051:$AT$2550,1,$AU$2051:$AU$2550,AU2122,$W$2051:$W$2550,"&lt;"&amp;W2122))</f>
        <v/>
      </c>
    </row>
    <row r="2123" spans="1:48" ht="22" customHeight="1">
      <c r="A2123" s="1" t="str">
        <f t="shared" si="30"/>
        <v>3301</v>
      </c>
      <c r="B2123" s="1" t="str">
        <f t="shared" si="31"/>
        <v>Community Academy of Philadelphia Charter School</v>
      </c>
      <c r="C2123" s="1" t="str">
        <f t="shared" si="32"/>
        <v>Charter</v>
      </c>
      <c r="D2123" s="1" t="str">
        <f t="shared" si="33"/>
        <v>Elementary-Middle-High</v>
      </c>
      <c r="E2123" s="1" t="str">
        <f t="shared" si="34"/>
        <v>19124</v>
      </c>
      <c r="F2123" s="1">
        <f t="shared" si="35"/>
        <v>1251</v>
      </c>
      <c r="G2123" s="1">
        <f t="shared" si="36"/>
        <v>0.91139999999999999</v>
      </c>
      <c r="H2123" s="1" t="str">
        <f t="shared" si="37"/>
        <v>Yes</v>
      </c>
      <c r="I2123" s="1">
        <f>IF(OR(A2123="",COUNTIFS('Staff Review'!$A$8:$A$507,A2123)&lt;&gt;1),0,MATCH(A2123,'Staff Review'!$A$8:$A$507,0))</f>
        <v>44</v>
      </c>
      <c r="J2123" s="1" t="str">
        <f>IF(I2123=0,"No",IF(INDEX('Staff Review'!$C$8:$C$507,I2123)="Yes","Yes","No"))</f>
        <v>No</v>
      </c>
      <c r="K2123" s="1">
        <f ca="1">IF(AI2123="Yes",INDEX('Staff Review'!$D$8:$D$507,I2123),IF(AB2123=0,"",IF(COUNT(INDEX($C$1531:$C$2030,AB2123))=1,INDEX($C$1531:$C$2030,AB2123),"")))</f>
        <v>0.15687259846166368</v>
      </c>
      <c r="L2123" s="1">
        <f>IF(AJ2123="Yes",INDEX('Staff Review'!$F$8:$F$507,I2123),IF(AB2123=0,"",IF(COUNT(INDEX($G$1531:$G$2030,AB2123))=1,INDEX($G$1531:$G$2030,AB2123),"")))</f>
        <v>7</v>
      </c>
      <c r="M2123" s="1" t="str">
        <f t="shared" ca="1" si="38"/>
        <v>Listed</v>
      </c>
      <c r="N2123" s="1" t="str">
        <f t="shared" si="39"/>
        <v>Listed</v>
      </c>
      <c r="O2123" s="1">
        <f t="shared" si="40"/>
        <v>30</v>
      </c>
      <c r="P2123" s="1">
        <f t="shared" ca="1" si="41"/>
        <v>5</v>
      </c>
      <c r="Q2123" s="1">
        <f t="shared" si="42"/>
        <v>0</v>
      </c>
      <c r="R2123" s="1">
        <f t="shared" si="43"/>
        <v>5</v>
      </c>
      <c r="S2123" s="1">
        <f t="shared" ca="1" si="44"/>
        <v>40</v>
      </c>
      <c r="T2123" s="1">
        <f ca="1">IF(OR(COUNT(O2123:R2123)&lt;&gt;4,COUNT('Top 25'!$B$45:$E$45)&lt;&gt;4,MIN('Top 25'!$B$45:$E$45)&lt;0,SUM('Top 25'!$B$45:$E$45)&lt;=0),"",ROUND(85*(O2123/30*'Top 25'!$B$45+P2123/25*'Top 25'!$C$45+Q2123/25*'Top 25'!$D$45+R2123/5*'Top 25'!$E$45)/SUM('Top 25'!$B$45:$E$45),6))</f>
        <v>40</v>
      </c>
      <c r="U2123" s="1" t="str">
        <f t="shared" ca="1" si="45"/>
        <v>Listed</v>
      </c>
      <c r="V2123" s="1" t="str">
        <f ca="1">IF(A2123="","",IF(AK2123&lt;&gt;1,"Duplicate source ID",IF(COUNTIFS('Staff Review'!$A$8:$A$507,A2123)&gt;1,"Duplicate review ID",IF(H2123&lt;&gt;"Yes","Outside scope",IF(J2123="Yes","Already served",IF(NOT(ISNUMBER(T2123)),"Missing data","Candidate"))))))</f>
        <v>Candidate</v>
      </c>
      <c r="W2123" s="1">
        <f t="shared" ca="1" si="46"/>
        <v>134</v>
      </c>
      <c r="X2123" s="1">
        <f t="shared" ca="1" si="47"/>
        <v>133</v>
      </c>
      <c r="Y2123" s="1">
        <f ca="1">IF(AND(H2123="Yes",OR(LEN('School Search'!$B$5)=0,ISNUMBER(SEARCH('School Search'!$B$5,B2123&amp;" "&amp;E2123&amp;" "&amp;A2123))),OR('School Search'!$D$5="All",C2123='School Search'!$D$5),OR('School Search'!$G$5="All eligible",AND('School Search'!$G$5="Not marked served",J2123&lt;&gt;"Yes"),AND('School Search'!$G$5="Missing data",V2123="Missing data"),AND('School Search'!$G$5="Marked served",J2123="Yes"))),1,0)</f>
        <v>1</v>
      </c>
      <c r="Z2123" s="1">
        <f ca="1">IF(Y2123=0,"",COUNTIFS($Y$2051:$Y$2550,1,$AO$2051:$AO$2550,"&lt;"&amp;AO2123)+COUNTIFS($Y$2051:Y2123,1,$AO$2051:AO2123,AO2123))</f>
        <v>134</v>
      </c>
      <c r="AA2123" s="1" t="str">
        <f t="shared" ca="1" si="48"/>
        <v>91% economic need; 0.16 mi fresh access; 7 nearby resources</v>
      </c>
      <c r="AB2123" s="1">
        <f t="shared" si="49"/>
        <v>73</v>
      </c>
      <c r="AC2123" s="1" t="str">
        <f t="shared" si="50"/>
        <v>Pa Fair Farm Food Corp/Fine Fare Supermarket</v>
      </c>
      <c r="AD2123" s="1" t="str">
        <f t="shared" si="51"/>
        <v>1240 E Erie Ave, Philadelphia, PA, 19124</v>
      </c>
      <c r="AE2123" s="1" t="str">
        <f t="shared" si="52"/>
        <v>1100 E ERIE AVE</v>
      </c>
      <c r="AF2123" s="1">
        <f t="shared" si="53"/>
        <v>40.00538049</v>
      </c>
      <c r="AG2123" s="1">
        <f t="shared" si="54"/>
        <v>-75.107356129999999</v>
      </c>
      <c r="AH2123" s="1" t="str">
        <f>IF(I2123=0,"Not contacted",IF(INDEX('Staff Review'!$J$8:$J$507,I2123)="","Not contacted",INDEX('Staff Review'!$J$8:$J$507,I2123)))</f>
        <v>Not contacted</v>
      </c>
      <c r="AI2123" s="1" t="str">
        <f ca="1">IF(I2123=0,"No",IF(AND(COUNT(INDEX('Staff Review'!$D$8:$D$507,I2123))=1,INDEX('Staff Review'!$D$8:$D$507,I2123)&gt;=0,COUNT(INDEX('Staff Review'!$E$8:$E$507,I2123))=1,INDEX('Staff Review'!$E$8:$E$507,I2123)&gt;0,INDEX('Staff Review'!$E$8:$E$507,I2123)&lt;='Top 25'!$E$5,'Top 25'!$E$5-INDEX('Staff Review'!$E$8:$E$507,I2123)&lt;='Top 25'!$H$5,LEN(INDEX('Staff Review'!$H$8:$H$507,I2123))&gt;0),"Yes","No"))</f>
        <v>No</v>
      </c>
      <c r="AJ2123" s="1" t="str">
        <f>IF(I2123=0,"No",IF(COUNT(INDEX('Staff Review'!$F$8:$F$507,I2123))&lt;&gt;1,"No",IF(AND(INDEX('Staff Review'!$F$8:$F$507,I2123)&gt;=0,MOD(INDEX('Staff Review'!$F$8:$F$507,I2123),1)=0,COUNT(INDEX('Staff Review'!$G$8:$G$507,I2123))=1,INDEX('Staff Review'!$G$8:$G$507,I2123)&gt;0,INDEX('Staff Review'!$G$8:$G$507,I2123)&lt;='Top 25'!$E$5,'Top 25'!$E$5-INDEX('Staff Review'!$G$8:$G$507,I2123)&lt;='Top 25'!$H$5,LEN(INDEX('Staff Review'!$H$8:$H$507,I2123))&gt;0),"Yes","No")))</f>
        <v>No</v>
      </c>
      <c r="AK2123" s="1">
        <f t="shared" si="55"/>
        <v>1</v>
      </c>
      <c r="AL2123" s="1">
        <f t="shared" ca="1" si="56"/>
        <v>1</v>
      </c>
      <c r="AM2123" s="1">
        <f t="shared" si="57"/>
        <v>3301</v>
      </c>
      <c r="AN2123" s="1">
        <f t="shared" si="58"/>
        <v>73</v>
      </c>
      <c r="AO2123">
        <f t="shared" ca="1" si="59"/>
        <v>134</v>
      </c>
      <c r="AP2123" s="105">
        <f ca="1">IF(AND(AL2123=1,OR('Top 25'!$A$10="All",C2123='Top 25'!$A$10),OR('Top 25'!$D$10="All",D2123='Top 25'!$D$10)),1,0)</f>
        <v>0</v>
      </c>
      <c r="AQ2123" s="105" t="str">
        <f ca="1">IF(AP2123=0,"",CHOOSE(MATCH('Top 25'!$G$10,{"Priority score","Economic need","Enrollment","Fresh miles","Nearby resources"},0),T2123,G2123,F2123,K2123,L2123))</f>
        <v/>
      </c>
      <c r="AR2123" s="105" t="str">
        <f ca="1">IF(AP2123=0,"",1+COUNTIFS($AP$2051:$AP$2550,1,$AQ$2051:$AQ$2550,IF('Top 25'!$J$10="Ascending","&lt;","&gt;")&amp;AQ2123)+COUNTIFS($AP$2051:$AP$2550,1,$AQ$2051:$AQ$2550,AQ2123,$W$2051:$W$2550,"&lt;"&amp;W2123))</f>
        <v/>
      </c>
      <c r="AT2123" s="105">
        <f ca="1">IF(AND(AL2123=1,OR(Master_rankableSchools!$A$10="All",C2123=Master_rankableSchools!$A$10),OR(Master_rankableSchools!$D$10="All",D2123=Master_rankableSchools!$D$10)),1,0)</f>
        <v>1</v>
      </c>
      <c r="AU2123" s="105">
        <f ca="1">IF(AT2123=0,"",CHOOSE(MATCH(Master_rankableSchools!$G$10,{"Priority score","Economic need","Enrollment","Fresh miles","Nearby resources"},0),T2123,G2123,F2123,K2123,L2123))</f>
        <v>40</v>
      </c>
      <c r="AV2123" s="105">
        <f ca="1">IF(AT2123=0,"",1+COUNTIFS($AT$2051:$AT$2550,1,$AU$2051:$AU$2550,IF(Master_rankableSchools!$J$10="Ascending","&lt;","&gt;")&amp;AU2123)+COUNTIFS($AT$2051:$AT$2550,1,$AU$2051:$AU$2550,AU2123,$W$2051:$W$2550,"&lt;"&amp;W2123))</f>
        <v>134</v>
      </c>
    </row>
    <row r="2124" spans="1:48" ht="22" customHeight="1">
      <c r="A2124" s="1" t="str">
        <f t="shared" si="30"/>
        <v>3302</v>
      </c>
      <c r="B2124" s="1" t="str">
        <f t="shared" si="31"/>
        <v>Harambee Institute of Science and Technology Charter School</v>
      </c>
      <c r="C2124" s="1" t="str">
        <f t="shared" si="32"/>
        <v>Charter</v>
      </c>
      <c r="D2124" s="1" t="str">
        <f t="shared" si="33"/>
        <v>Elementary-Middle</v>
      </c>
      <c r="E2124" s="1" t="str">
        <f t="shared" si="34"/>
        <v>19151</v>
      </c>
      <c r="F2124" s="1">
        <f t="shared" si="35"/>
        <v>555</v>
      </c>
      <c r="G2124" s="1">
        <f t="shared" si="36"/>
        <v>0.79410000000000003</v>
      </c>
      <c r="H2124" s="1" t="str">
        <f t="shared" si="37"/>
        <v>Yes</v>
      </c>
      <c r="I2124" s="1">
        <f>IF(OR(A2124="",COUNTIFS('Staff Review'!$A$8:$A$507,A2124)&lt;&gt;1),0,MATCH(A2124,'Staff Review'!$A$8:$A$507,0))</f>
        <v>108</v>
      </c>
      <c r="J2124" s="1" t="str">
        <f>IF(I2124=0,"No",IF(INDEX('Staff Review'!$C$8:$C$507,I2124)="Yes","Yes","No"))</f>
        <v>No</v>
      </c>
      <c r="K2124" s="1">
        <f ca="1">IF(AI2124="Yes",INDEX('Staff Review'!$D$8:$D$507,I2124),IF(AB2124=0,"",IF(COUNT(INDEX($C$1531:$C$2030,AB2124))=1,INDEX($C$1531:$C$2030,AB2124),"")))</f>
        <v>0.71279356834158725</v>
      </c>
      <c r="L2124" s="1">
        <f>IF(AJ2124="Yes",INDEX('Staff Review'!$F$8:$F$507,I2124),IF(AB2124=0,"",IF(COUNT(INDEX($G$1531:$G$2030,AB2124))=1,INDEX($G$1531:$G$2030,AB2124),"")))</f>
        <v>7</v>
      </c>
      <c r="M2124" s="1" t="str">
        <f t="shared" ca="1" si="38"/>
        <v>Listed</v>
      </c>
      <c r="N2124" s="1" t="str">
        <f t="shared" si="39"/>
        <v>Listed</v>
      </c>
      <c r="O2124" s="1">
        <f t="shared" si="40"/>
        <v>20</v>
      </c>
      <c r="P2124" s="1">
        <f t="shared" ca="1" si="41"/>
        <v>15</v>
      </c>
      <c r="Q2124" s="1">
        <f t="shared" si="42"/>
        <v>0</v>
      </c>
      <c r="R2124" s="1">
        <f t="shared" si="43"/>
        <v>4</v>
      </c>
      <c r="S2124" s="1">
        <f t="shared" ca="1" si="44"/>
        <v>39</v>
      </c>
      <c r="T2124" s="1">
        <f ca="1">IF(OR(COUNT(O2124:R2124)&lt;&gt;4,COUNT('Top 25'!$B$45:$E$45)&lt;&gt;4,MIN('Top 25'!$B$45:$E$45)&lt;0,SUM('Top 25'!$B$45:$E$45)&lt;=0),"",ROUND(85*(O2124/30*'Top 25'!$B$45+P2124/25*'Top 25'!$C$45+Q2124/25*'Top 25'!$D$45+R2124/5*'Top 25'!$E$45)/SUM('Top 25'!$B$45:$E$45),6))</f>
        <v>39</v>
      </c>
      <c r="U2124" s="1" t="str">
        <f t="shared" ca="1" si="45"/>
        <v>Listed</v>
      </c>
      <c r="V2124" s="1" t="str">
        <f ca="1">IF(A2124="","",IF(AK2124&lt;&gt;1,"Duplicate source ID",IF(COUNTIFS('Staff Review'!$A$8:$A$507,A2124)&gt;1,"Duplicate review ID",IF(H2124&lt;&gt;"Yes","Outside scope",IF(J2124="Yes","Already served",IF(NOT(ISNUMBER(T2124)),"Missing data","Candidate"))))))</f>
        <v>Candidate</v>
      </c>
      <c r="W2124" s="1">
        <f t="shared" ca="1" si="46"/>
        <v>161</v>
      </c>
      <c r="X2124" s="1">
        <f t="shared" ca="1" si="47"/>
        <v>148</v>
      </c>
      <c r="Y2124" s="1">
        <f ca="1">IF(AND(H2124="Yes",OR(LEN('School Search'!$B$5)=0,ISNUMBER(SEARCH('School Search'!$B$5,B2124&amp;" "&amp;E2124&amp;" "&amp;A2124))),OR('School Search'!$D$5="All",C2124='School Search'!$D$5),OR('School Search'!$G$5="All eligible",AND('School Search'!$G$5="Not marked served",J2124&lt;&gt;"Yes"),AND('School Search'!$G$5="Missing data",V2124="Missing data"),AND('School Search'!$G$5="Marked served",J2124="Yes"))),1,0)</f>
        <v>1</v>
      </c>
      <c r="Z2124" s="1">
        <f ca="1">IF(Y2124=0,"",COUNTIFS($Y$2051:$Y$2550,1,$AO$2051:$AO$2550,"&lt;"&amp;AO2124)+COUNTIFS($Y$2051:Y2124,1,$AO$2051:AO2124,AO2124))</f>
        <v>161</v>
      </c>
      <c r="AA2124" s="1" t="str">
        <f t="shared" ca="1" si="48"/>
        <v>79% economic need; 0.71 mi fresh access; 7 nearby resources</v>
      </c>
      <c r="AB2124" s="1">
        <f t="shared" si="49"/>
        <v>74</v>
      </c>
      <c r="AC2124" s="1" t="str">
        <f t="shared" si="50"/>
        <v>Al Aqsa Supermarket</v>
      </c>
      <c r="AD2124" s="1" t="str">
        <f t="shared" si="51"/>
        <v>6501 Market St, Upper Darby, PA, 19082</v>
      </c>
      <c r="AE2124" s="1" t="str">
        <f t="shared" si="52"/>
        <v>640 N 66TH ST</v>
      </c>
      <c r="AF2124" s="1">
        <f t="shared" si="53"/>
        <v>39.973091109999999</v>
      </c>
      <c r="AG2124" s="1">
        <f t="shared" si="54"/>
        <v>-75.251719739999999</v>
      </c>
      <c r="AH2124" s="1" t="str">
        <f>IF(I2124=0,"Not contacted",IF(INDEX('Staff Review'!$J$8:$J$507,I2124)="","Not contacted",INDEX('Staff Review'!$J$8:$J$507,I2124)))</f>
        <v>Not contacted</v>
      </c>
      <c r="AI2124" s="1" t="str">
        <f ca="1">IF(I2124=0,"No",IF(AND(COUNT(INDEX('Staff Review'!$D$8:$D$507,I2124))=1,INDEX('Staff Review'!$D$8:$D$507,I2124)&gt;=0,COUNT(INDEX('Staff Review'!$E$8:$E$507,I2124))=1,INDEX('Staff Review'!$E$8:$E$507,I2124)&gt;0,INDEX('Staff Review'!$E$8:$E$507,I2124)&lt;='Top 25'!$E$5,'Top 25'!$E$5-INDEX('Staff Review'!$E$8:$E$507,I2124)&lt;='Top 25'!$H$5,LEN(INDEX('Staff Review'!$H$8:$H$507,I2124))&gt;0),"Yes","No"))</f>
        <v>No</v>
      </c>
      <c r="AJ2124" s="1" t="str">
        <f>IF(I2124=0,"No",IF(COUNT(INDEX('Staff Review'!$F$8:$F$507,I2124))&lt;&gt;1,"No",IF(AND(INDEX('Staff Review'!$F$8:$F$507,I2124)&gt;=0,MOD(INDEX('Staff Review'!$F$8:$F$507,I2124),1)=0,COUNT(INDEX('Staff Review'!$G$8:$G$507,I2124))=1,INDEX('Staff Review'!$G$8:$G$507,I2124)&gt;0,INDEX('Staff Review'!$G$8:$G$507,I2124)&lt;='Top 25'!$E$5,'Top 25'!$E$5-INDEX('Staff Review'!$G$8:$G$507,I2124)&lt;='Top 25'!$H$5,LEN(INDEX('Staff Review'!$H$8:$H$507,I2124))&gt;0),"Yes","No")))</f>
        <v>No</v>
      </c>
      <c r="AK2124" s="1">
        <f t="shared" si="55"/>
        <v>1</v>
      </c>
      <c r="AL2124" s="1">
        <f t="shared" ca="1" si="56"/>
        <v>1</v>
      </c>
      <c r="AM2124" s="1">
        <f t="shared" si="57"/>
        <v>3302</v>
      </c>
      <c r="AN2124" s="1">
        <f t="shared" si="58"/>
        <v>74</v>
      </c>
      <c r="AO2124">
        <f t="shared" ca="1" si="59"/>
        <v>161</v>
      </c>
      <c r="AP2124" s="105">
        <f ca="1">IF(AND(AL2124=1,OR('Top 25'!$A$10="All",C2124='Top 25'!$A$10),OR('Top 25'!$D$10="All",D2124='Top 25'!$D$10)),1,0)</f>
        <v>0</v>
      </c>
      <c r="AQ2124" s="105" t="str">
        <f ca="1">IF(AP2124=0,"",CHOOSE(MATCH('Top 25'!$G$10,{"Priority score","Economic need","Enrollment","Fresh miles","Nearby resources"},0),T2124,G2124,F2124,K2124,L2124))</f>
        <v/>
      </c>
      <c r="AR2124" s="105" t="str">
        <f ca="1">IF(AP2124=0,"",1+COUNTIFS($AP$2051:$AP$2550,1,$AQ$2051:$AQ$2550,IF('Top 25'!$J$10="Ascending","&lt;","&gt;")&amp;AQ2124)+COUNTIFS($AP$2051:$AP$2550,1,$AQ$2051:$AQ$2550,AQ2124,$W$2051:$W$2550,"&lt;"&amp;W2124))</f>
        <v/>
      </c>
      <c r="AT2124" s="105">
        <f ca="1">IF(AND(AL2124=1,OR(Master_rankableSchools!$A$10="All",C2124=Master_rankableSchools!$A$10),OR(Master_rankableSchools!$D$10="All",D2124=Master_rankableSchools!$D$10)),1,0)</f>
        <v>1</v>
      </c>
      <c r="AU2124" s="105">
        <f ca="1">IF(AT2124=0,"",CHOOSE(MATCH(Master_rankableSchools!$G$10,{"Priority score","Economic need","Enrollment","Fresh miles","Nearby resources"},0),T2124,G2124,F2124,K2124,L2124))</f>
        <v>39</v>
      </c>
      <c r="AV2124" s="105">
        <f ca="1">IF(AT2124=0,"",1+COUNTIFS($AT$2051:$AT$2550,1,$AU$2051:$AU$2550,IF(Master_rankableSchools!$J$10="Ascending","&lt;","&gt;")&amp;AU2124)+COUNTIFS($AT$2051:$AT$2550,1,$AU$2051:$AU$2550,AU2124,$W$2051:$W$2550,"&lt;"&amp;W2124))</f>
        <v>161</v>
      </c>
    </row>
    <row r="2125" spans="1:48" ht="22" customHeight="1">
      <c r="A2125" s="1" t="str">
        <f t="shared" si="30"/>
        <v>3304</v>
      </c>
      <c r="B2125" s="1" t="str">
        <f t="shared" si="31"/>
        <v>YouthBuild Philadelphia Charter School</v>
      </c>
      <c r="C2125" s="1" t="str">
        <f t="shared" si="32"/>
        <v>Charter</v>
      </c>
      <c r="D2125" s="1" t="str">
        <f t="shared" si="33"/>
        <v>High</v>
      </c>
      <c r="E2125" s="1" t="str">
        <f t="shared" si="34"/>
        <v>19132</v>
      </c>
      <c r="F2125" s="1">
        <f t="shared" si="35"/>
        <v>286</v>
      </c>
      <c r="G2125" s="1" t="str">
        <f t="shared" si="36"/>
        <v/>
      </c>
      <c r="H2125" s="1" t="str">
        <f t="shared" si="37"/>
        <v>No</v>
      </c>
      <c r="I2125" s="1">
        <f>IF(OR(A2125="",COUNTIFS('Staff Review'!$A$8:$A$507,A2125)&lt;&gt;1),0,MATCH(A2125,'Staff Review'!$A$8:$A$507,0))</f>
        <v>329</v>
      </c>
      <c r="J2125" s="1" t="str">
        <f>IF(I2125=0,"No",IF(INDEX('Staff Review'!$C$8:$C$507,I2125)="Yes","Yes","No"))</f>
        <v>No</v>
      </c>
      <c r="K2125" s="1">
        <f ca="1">IF(AI2125="Yes",INDEX('Staff Review'!$D$8:$D$507,I2125),IF(AB2125=0,"",IF(COUNT(INDEX($C$1531:$C$2030,AB2125))=1,INDEX($C$1531:$C$2030,AB2125),"")))</f>
        <v>0.70661457496291302</v>
      </c>
      <c r="L2125" s="1">
        <f>IF(AJ2125="Yes",INDEX('Staff Review'!$F$8:$F$507,I2125),IF(AB2125=0,"",IF(COUNT(INDEX($G$1531:$G$2030,AB2125))=1,INDEX($G$1531:$G$2030,AB2125),"")))</f>
        <v>16</v>
      </c>
      <c r="M2125" s="1" t="str">
        <f t="shared" ca="1" si="38"/>
        <v>Listed</v>
      </c>
      <c r="N2125" s="1" t="str">
        <f t="shared" si="39"/>
        <v>Listed</v>
      </c>
      <c r="O2125" s="1" t="str">
        <f t="shared" si="40"/>
        <v/>
      </c>
      <c r="P2125" s="1">
        <f t="shared" ca="1" si="41"/>
        <v>15</v>
      </c>
      <c r="Q2125" s="1">
        <f t="shared" si="42"/>
        <v>0</v>
      </c>
      <c r="R2125" s="1">
        <f t="shared" si="43"/>
        <v>2</v>
      </c>
      <c r="S2125" s="1" t="str">
        <f t="shared" ca="1" si="44"/>
        <v/>
      </c>
      <c r="T2125" s="1" t="str">
        <f ca="1">IF(OR(COUNT(O2125:R2125)&lt;&gt;4,COUNT('Top 25'!$B$45:$E$45)&lt;&gt;4,MIN('Top 25'!$B$45:$E$45)&lt;0,SUM('Top 25'!$B$45:$E$45)&lt;=0),"",ROUND(85*(O2125/30*'Top 25'!$B$45+P2125/25*'Top 25'!$C$45+Q2125/25*'Top 25'!$D$45+R2125/5*'Top 25'!$E$45)/SUM('Top 25'!$B$45:$E$45),6))</f>
        <v/>
      </c>
      <c r="U2125" s="1" t="str">
        <f t="shared" ca="1" si="45"/>
        <v>Listed</v>
      </c>
      <c r="V2125" s="1" t="str">
        <f>IF(A2125="","",IF(AK2125&lt;&gt;1,"Duplicate source ID",IF(COUNTIFS('Staff Review'!$A$8:$A$507,A2125)&gt;1,"Duplicate review ID",IF(H2125&lt;&gt;"Yes","Outside scope",IF(J2125="Yes","Already served",IF(NOT(ISNUMBER(T2125)),"Missing data","Candidate"))))))</f>
        <v>Outside scope</v>
      </c>
      <c r="W2125" s="1" t="str">
        <f t="shared" si="46"/>
        <v/>
      </c>
      <c r="X2125" s="1" t="str">
        <f t="shared" si="47"/>
        <v/>
      </c>
      <c r="Y2125" s="1">
        <f>IF(AND(H2125="Yes",OR(LEN('School Search'!$B$5)=0,ISNUMBER(SEARCH('School Search'!$B$5,B2125&amp;" "&amp;E2125&amp;" "&amp;A2125))),OR('School Search'!$D$5="All",C2125='School Search'!$D$5),OR('School Search'!$G$5="All eligible",AND('School Search'!$G$5="Not marked served",J2125&lt;&gt;"Yes"),AND('School Search'!$G$5="Missing data",V2125="Missing data"),AND('School Search'!$G$5="Marked served",J2125="Yes"))),1,0)</f>
        <v>0</v>
      </c>
      <c r="Z2125" s="1" t="str">
        <f>IF(Y2125=0,"",COUNTIFS($Y$2051:$Y$2550,1,$AO$2051:$AO$2550,"&lt;"&amp;AO2125)+COUNTIFS($Y$2051:Y2125,1,$AO$2051:AO2125,AO2125))</f>
        <v/>
      </c>
      <c r="AA2125" s="1" t="str">
        <f t="shared" ca="1" si="48"/>
        <v>Missing demographic or access input</v>
      </c>
      <c r="AB2125" s="1">
        <f t="shared" si="49"/>
        <v>75</v>
      </c>
      <c r="AC2125" s="1" t="str">
        <f t="shared" si="50"/>
        <v>Save A Lot 60139</v>
      </c>
      <c r="AD2125" s="1" t="str">
        <f t="shared" si="51"/>
        <v>701 W Lehigh Ave, Philadelphia, PA, 19133</v>
      </c>
      <c r="AE2125" s="1" t="str">
        <f t="shared" si="52"/>
        <v>2309 N BROAD ST</v>
      </c>
      <c r="AF2125" s="1">
        <f t="shared" si="53"/>
        <v>39.988219299999997</v>
      </c>
      <c r="AG2125" s="1">
        <f t="shared" si="54"/>
        <v>-75.155322699999999</v>
      </c>
      <c r="AH2125" s="1" t="str">
        <f>IF(I2125=0,"Not contacted",IF(INDEX('Staff Review'!$J$8:$J$507,I2125)="","Not contacted",INDEX('Staff Review'!$J$8:$J$507,I2125)))</f>
        <v>Not contacted</v>
      </c>
      <c r="AI2125" s="1" t="str">
        <f ca="1">IF(I2125=0,"No",IF(AND(COUNT(INDEX('Staff Review'!$D$8:$D$507,I2125))=1,INDEX('Staff Review'!$D$8:$D$507,I2125)&gt;=0,COUNT(INDEX('Staff Review'!$E$8:$E$507,I2125))=1,INDEX('Staff Review'!$E$8:$E$507,I2125)&gt;0,INDEX('Staff Review'!$E$8:$E$507,I2125)&lt;='Top 25'!$E$5,'Top 25'!$E$5-INDEX('Staff Review'!$E$8:$E$507,I2125)&lt;='Top 25'!$H$5,LEN(INDEX('Staff Review'!$H$8:$H$507,I2125))&gt;0),"Yes","No"))</f>
        <v>No</v>
      </c>
      <c r="AJ2125" s="1" t="str">
        <f>IF(I2125=0,"No",IF(COUNT(INDEX('Staff Review'!$F$8:$F$507,I2125))&lt;&gt;1,"No",IF(AND(INDEX('Staff Review'!$F$8:$F$507,I2125)&gt;=0,MOD(INDEX('Staff Review'!$F$8:$F$507,I2125),1)=0,COUNT(INDEX('Staff Review'!$G$8:$G$507,I2125))=1,INDEX('Staff Review'!$G$8:$G$507,I2125)&gt;0,INDEX('Staff Review'!$G$8:$G$507,I2125)&lt;='Top 25'!$E$5,'Top 25'!$E$5-INDEX('Staff Review'!$G$8:$G$507,I2125)&lt;='Top 25'!$H$5,LEN(INDEX('Staff Review'!$H$8:$H$507,I2125))&gt;0),"Yes","No")))</f>
        <v>No</v>
      </c>
      <c r="AK2125" s="1">
        <f t="shared" si="55"/>
        <v>1</v>
      </c>
      <c r="AL2125" s="1">
        <f t="shared" si="56"/>
        <v>0</v>
      </c>
      <c r="AM2125" s="1">
        <f t="shared" si="57"/>
        <v>3304</v>
      </c>
      <c r="AN2125" s="1">
        <f t="shared" si="58"/>
        <v>75</v>
      </c>
      <c r="AO2125">
        <f t="shared" si="59"/>
        <v>13304</v>
      </c>
      <c r="AP2125" s="105">
        <f>IF(AND(AL2125=1,OR('Top 25'!$A$10="All",C2125='Top 25'!$A$10),OR('Top 25'!$D$10="All",D2125='Top 25'!$D$10)),1,0)</f>
        <v>0</v>
      </c>
      <c r="AQ2125" s="105" t="str">
        <f>IF(AP2125=0,"",CHOOSE(MATCH('Top 25'!$G$10,{"Priority score","Economic need","Enrollment","Fresh miles","Nearby resources"},0),T2125,G2125,F2125,K2125,L2125))</f>
        <v/>
      </c>
      <c r="AR2125" s="105" t="str">
        <f>IF(AP2125=0,"",1+COUNTIFS($AP$2051:$AP$2550,1,$AQ$2051:$AQ$2550,IF('Top 25'!$J$10="Ascending","&lt;","&gt;")&amp;AQ2125)+COUNTIFS($AP$2051:$AP$2550,1,$AQ$2051:$AQ$2550,AQ2125,$W$2051:$W$2550,"&lt;"&amp;W2125))</f>
        <v/>
      </c>
      <c r="AT2125" s="105">
        <f>IF(AND(AL2125=1,OR(Master_rankableSchools!$A$10="All",C2125=Master_rankableSchools!$A$10),OR(Master_rankableSchools!$D$10="All",D2125=Master_rankableSchools!$D$10)),1,0)</f>
        <v>0</v>
      </c>
      <c r="AU2125" s="105" t="str">
        <f>IF(AT2125=0,"",CHOOSE(MATCH(Master_rankableSchools!$G$10,{"Priority score","Economic need","Enrollment","Fresh miles","Nearby resources"},0),T2125,G2125,F2125,K2125,L2125))</f>
        <v/>
      </c>
      <c r="AV2125" s="105" t="str">
        <f>IF(AT2125=0,"",1+COUNTIFS($AT$2051:$AT$2550,1,$AU$2051:$AU$2550,IF(Master_rankableSchools!$J$10="Ascending","&lt;","&gt;")&amp;AU2125)+COUNTIFS($AT$2051:$AT$2550,1,$AU$2051:$AU$2550,AU2125,$W$2051:$W$2550,"&lt;"&amp;W2125))</f>
        <v/>
      </c>
    </row>
    <row r="2126" spans="1:48" ht="22" customHeight="1">
      <c r="A2126" s="1" t="str">
        <f t="shared" si="30"/>
        <v>3306</v>
      </c>
      <c r="B2126" s="1" t="str">
        <f t="shared" si="31"/>
        <v>Christopher Columbus Charter School</v>
      </c>
      <c r="C2126" s="1" t="str">
        <f t="shared" si="32"/>
        <v>Charter</v>
      </c>
      <c r="D2126" s="1" t="str">
        <f t="shared" si="33"/>
        <v>Elementary-Middle</v>
      </c>
      <c r="E2126" s="1" t="str">
        <f t="shared" si="34"/>
        <v>19147</v>
      </c>
      <c r="F2126" s="1">
        <f t="shared" si="35"/>
        <v>817</v>
      </c>
      <c r="G2126" s="1">
        <f t="shared" si="36"/>
        <v>0.60309999999999997</v>
      </c>
      <c r="H2126" s="1" t="str">
        <f t="shared" si="37"/>
        <v>Yes</v>
      </c>
      <c r="I2126" s="1">
        <f>IF(OR(A2126="",COUNTIFS('Staff Review'!$A$8:$A$507,A2126)&lt;&gt;1),0,MATCH(A2126,'Staff Review'!$A$8:$A$507,0))</f>
        <v>42</v>
      </c>
      <c r="J2126" s="1" t="str">
        <f>IF(I2126=0,"No",IF(INDEX('Staff Review'!$C$8:$C$507,I2126)="Yes","Yes","No"))</f>
        <v>No</v>
      </c>
      <c r="K2126" s="1">
        <f ca="1">IF(AI2126="Yes",INDEX('Staff Review'!$D$8:$D$507,I2126),IF(AB2126=0,"",IF(COUNT(INDEX($C$1531:$C$2030,AB2126))=1,INDEX($C$1531:$C$2030,AB2126),"")))</f>
        <v>0.22052858366333475</v>
      </c>
      <c r="L2126" s="1">
        <f>IF(AJ2126="Yes",INDEX('Staff Review'!$F$8:$F$507,I2126),IF(AB2126=0,"",IF(COUNT(INDEX($G$1531:$G$2030,AB2126))=1,INDEX($G$1531:$G$2030,AB2126),"")))</f>
        <v>11</v>
      </c>
      <c r="M2126" s="1" t="str">
        <f t="shared" ca="1" si="38"/>
        <v>Listed</v>
      </c>
      <c r="N2126" s="1" t="str">
        <f t="shared" si="39"/>
        <v>Listed</v>
      </c>
      <c r="O2126" s="1">
        <f t="shared" si="40"/>
        <v>15</v>
      </c>
      <c r="P2126" s="1">
        <f t="shared" ca="1" si="41"/>
        <v>5</v>
      </c>
      <c r="Q2126" s="1">
        <f t="shared" si="42"/>
        <v>0</v>
      </c>
      <c r="R2126" s="1">
        <f t="shared" si="43"/>
        <v>5</v>
      </c>
      <c r="S2126" s="1">
        <f t="shared" ca="1" si="44"/>
        <v>25</v>
      </c>
      <c r="T2126" s="1">
        <f ca="1">IF(OR(COUNT(O2126:R2126)&lt;&gt;4,COUNT('Top 25'!$B$45:$E$45)&lt;&gt;4,MIN('Top 25'!$B$45:$E$45)&lt;0,SUM('Top 25'!$B$45:$E$45)&lt;=0),"",ROUND(85*(O2126/30*'Top 25'!$B$45+P2126/25*'Top 25'!$C$45+Q2126/25*'Top 25'!$D$45+R2126/5*'Top 25'!$E$45)/SUM('Top 25'!$B$45:$E$45),6))</f>
        <v>25</v>
      </c>
      <c r="U2126" s="1" t="str">
        <f t="shared" ca="1" si="45"/>
        <v>Listed</v>
      </c>
      <c r="V2126" s="1" t="str">
        <f ca="1">IF(A2126="","",IF(AK2126&lt;&gt;1,"Duplicate source ID",IF(COUNTIFS('Staff Review'!$A$8:$A$507,A2126)&gt;1,"Duplicate review ID",IF(H2126&lt;&gt;"Yes","Outside scope",IF(J2126="Yes","Already served",IF(NOT(ISNUMBER(T2126)),"Missing data","Candidate"))))))</f>
        <v>Candidate</v>
      </c>
      <c r="W2126" s="1">
        <f t="shared" ca="1" si="46"/>
        <v>270</v>
      </c>
      <c r="X2126" s="1">
        <f t="shared" ca="1" si="47"/>
        <v>269</v>
      </c>
      <c r="Y2126" s="1">
        <f ca="1">IF(AND(H2126="Yes",OR(LEN('School Search'!$B$5)=0,ISNUMBER(SEARCH('School Search'!$B$5,B2126&amp;" "&amp;E2126&amp;" "&amp;A2126))),OR('School Search'!$D$5="All",C2126='School Search'!$D$5),OR('School Search'!$G$5="All eligible",AND('School Search'!$G$5="Not marked served",J2126&lt;&gt;"Yes"),AND('School Search'!$G$5="Missing data",V2126="Missing data"),AND('School Search'!$G$5="Marked served",J2126="Yes"))),1,0)</f>
        <v>1</v>
      </c>
      <c r="Z2126" s="1">
        <f ca="1">IF(Y2126=0,"",COUNTIFS($Y$2051:$Y$2550,1,$AO$2051:$AO$2550,"&lt;"&amp;AO2126)+COUNTIFS($Y$2051:Y2126,1,$AO$2051:AO2126,AO2126))</f>
        <v>270</v>
      </c>
      <c r="AA2126" s="1" t="str">
        <f t="shared" ca="1" si="48"/>
        <v>60% economic need; 0.22 mi fresh access; 11 nearby resources</v>
      </c>
      <c r="AB2126" s="1">
        <f t="shared" si="49"/>
        <v>76</v>
      </c>
      <c r="AC2126" s="1" t="str">
        <f t="shared" si="50"/>
        <v>Hung Vuong Food Market</v>
      </c>
      <c r="AD2126" s="1" t="str">
        <f t="shared" si="51"/>
        <v>1122 Washington Ave, Philadelphia, PA, 19147</v>
      </c>
      <c r="AE2126" s="1" t="str">
        <f t="shared" si="52"/>
        <v>916 CHRISTIAN ST</v>
      </c>
      <c r="AF2126" s="1">
        <f t="shared" si="53"/>
        <v>39.938945740000001</v>
      </c>
      <c r="AG2126" s="1">
        <f t="shared" si="54"/>
        <v>-75.158247520000003</v>
      </c>
      <c r="AH2126" s="1" t="str">
        <f>IF(I2126=0,"Not contacted",IF(INDEX('Staff Review'!$J$8:$J$507,I2126)="","Not contacted",INDEX('Staff Review'!$J$8:$J$507,I2126)))</f>
        <v>Not contacted</v>
      </c>
      <c r="AI2126" s="1" t="str">
        <f ca="1">IF(I2126=0,"No",IF(AND(COUNT(INDEX('Staff Review'!$D$8:$D$507,I2126))=1,INDEX('Staff Review'!$D$8:$D$507,I2126)&gt;=0,COUNT(INDEX('Staff Review'!$E$8:$E$507,I2126))=1,INDEX('Staff Review'!$E$8:$E$507,I2126)&gt;0,INDEX('Staff Review'!$E$8:$E$507,I2126)&lt;='Top 25'!$E$5,'Top 25'!$E$5-INDEX('Staff Review'!$E$8:$E$507,I2126)&lt;='Top 25'!$H$5,LEN(INDEX('Staff Review'!$H$8:$H$507,I2126))&gt;0),"Yes","No"))</f>
        <v>No</v>
      </c>
      <c r="AJ2126" s="1" t="str">
        <f>IF(I2126=0,"No",IF(COUNT(INDEX('Staff Review'!$F$8:$F$507,I2126))&lt;&gt;1,"No",IF(AND(INDEX('Staff Review'!$F$8:$F$507,I2126)&gt;=0,MOD(INDEX('Staff Review'!$F$8:$F$507,I2126),1)=0,COUNT(INDEX('Staff Review'!$G$8:$G$507,I2126))=1,INDEX('Staff Review'!$G$8:$G$507,I2126)&gt;0,INDEX('Staff Review'!$G$8:$G$507,I2126)&lt;='Top 25'!$E$5,'Top 25'!$E$5-INDEX('Staff Review'!$G$8:$G$507,I2126)&lt;='Top 25'!$H$5,LEN(INDEX('Staff Review'!$H$8:$H$507,I2126))&gt;0),"Yes","No")))</f>
        <v>No</v>
      </c>
      <c r="AK2126" s="1">
        <f t="shared" si="55"/>
        <v>1</v>
      </c>
      <c r="AL2126" s="1">
        <f t="shared" ca="1" si="56"/>
        <v>1</v>
      </c>
      <c r="AM2126" s="1">
        <f t="shared" si="57"/>
        <v>3306</v>
      </c>
      <c r="AN2126" s="1">
        <f t="shared" si="58"/>
        <v>76</v>
      </c>
      <c r="AO2126">
        <f t="shared" ca="1" si="59"/>
        <v>270</v>
      </c>
      <c r="AP2126" s="105">
        <f ca="1">IF(AND(AL2126=1,OR('Top 25'!$A$10="All",C2126='Top 25'!$A$10),OR('Top 25'!$D$10="All",D2126='Top 25'!$D$10)),1,0)</f>
        <v>0</v>
      </c>
      <c r="AQ2126" s="105" t="str">
        <f ca="1">IF(AP2126=0,"",CHOOSE(MATCH('Top 25'!$G$10,{"Priority score","Economic need","Enrollment","Fresh miles","Nearby resources"},0),T2126,G2126,F2126,K2126,L2126))</f>
        <v/>
      </c>
      <c r="AR2126" s="105" t="str">
        <f ca="1">IF(AP2126=0,"",1+COUNTIFS($AP$2051:$AP$2550,1,$AQ$2051:$AQ$2550,IF('Top 25'!$J$10="Ascending","&lt;","&gt;")&amp;AQ2126)+COUNTIFS($AP$2051:$AP$2550,1,$AQ$2051:$AQ$2550,AQ2126,$W$2051:$W$2550,"&lt;"&amp;W2126))</f>
        <v/>
      </c>
      <c r="AT2126" s="105">
        <f ca="1">IF(AND(AL2126=1,OR(Master_rankableSchools!$A$10="All",C2126=Master_rankableSchools!$A$10),OR(Master_rankableSchools!$D$10="All",D2126=Master_rankableSchools!$D$10)),1,0)</f>
        <v>1</v>
      </c>
      <c r="AU2126" s="105">
        <f ca="1">IF(AT2126=0,"",CHOOSE(MATCH(Master_rankableSchools!$G$10,{"Priority score","Economic need","Enrollment","Fresh miles","Nearby resources"},0),T2126,G2126,F2126,K2126,L2126))</f>
        <v>25</v>
      </c>
      <c r="AV2126" s="105">
        <f ca="1">IF(AT2126=0,"",1+COUNTIFS($AT$2051:$AT$2550,1,$AU$2051:$AU$2550,IF(Master_rankableSchools!$J$10="Ascending","&lt;","&gt;")&amp;AU2126)+COUNTIFS($AT$2051:$AT$2550,1,$AU$2051:$AU$2550,AU2126,$W$2051:$W$2550,"&lt;"&amp;W2126))</f>
        <v>270</v>
      </c>
    </row>
    <row r="2127" spans="1:48" ht="22" customHeight="1">
      <c r="A2127" s="1" t="str">
        <f t="shared" si="30"/>
        <v>3307</v>
      </c>
      <c r="B2127" s="1" t="str">
        <f t="shared" si="31"/>
        <v>Eugenio Maria De Hostos Charter School</v>
      </c>
      <c r="C2127" s="1" t="str">
        <f t="shared" si="32"/>
        <v>Charter</v>
      </c>
      <c r="D2127" s="1" t="str">
        <f t="shared" si="33"/>
        <v>Elementary-Middle</v>
      </c>
      <c r="E2127" s="1" t="str">
        <f t="shared" si="34"/>
        <v>19120</v>
      </c>
      <c r="F2127" s="1">
        <f t="shared" si="35"/>
        <v>697</v>
      </c>
      <c r="G2127" s="1">
        <f t="shared" si="36"/>
        <v>0.76470000000000005</v>
      </c>
      <c r="H2127" s="1" t="str">
        <f t="shared" si="37"/>
        <v>Yes</v>
      </c>
      <c r="I2127" s="1">
        <f>IF(OR(A2127="",COUNTIFS('Staff Review'!$A$8:$A$507,A2127)&lt;&gt;1),0,MATCH(A2127,'Staff Review'!$A$8:$A$507,0))</f>
        <v>66</v>
      </c>
      <c r="J2127" s="1" t="str">
        <f>IF(I2127=0,"No",IF(INDEX('Staff Review'!$C$8:$C$507,I2127)="Yes","Yes","No"))</f>
        <v>No</v>
      </c>
      <c r="K2127" s="1">
        <f ca="1">IF(AI2127="Yes",INDEX('Staff Review'!$D$8:$D$507,I2127),IF(AB2127=0,"",IF(COUNT(INDEX($C$1531:$C$2030,AB2127))=1,INDEX($C$1531:$C$2030,AB2127),"")))</f>
        <v>0.2923713862135881</v>
      </c>
      <c r="L2127" s="1">
        <f>IF(AJ2127="Yes",INDEX('Staff Review'!$F$8:$F$507,I2127),IF(AB2127=0,"",IF(COUNT(INDEX($G$1531:$G$2030,AB2127))=1,INDEX($G$1531:$G$2030,AB2127),"")))</f>
        <v>3</v>
      </c>
      <c r="M2127" s="1" t="str">
        <f t="shared" ca="1" si="38"/>
        <v>Listed</v>
      </c>
      <c r="N2127" s="1" t="str">
        <f t="shared" si="39"/>
        <v>Listed</v>
      </c>
      <c r="O2127" s="1">
        <f t="shared" si="40"/>
        <v>20</v>
      </c>
      <c r="P2127" s="1">
        <f t="shared" ca="1" si="41"/>
        <v>10</v>
      </c>
      <c r="Q2127" s="1">
        <f t="shared" si="42"/>
        <v>10</v>
      </c>
      <c r="R2127" s="1">
        <f t="shared" si="43"/>
        <v>4</v>
      </c>
      <c r="S2127" s="1">
        <f t="shared" ca="1" si="44"/>
        <v>44</v>
      </c>
      <c r="T2127" s="1">
        <f ca="1">IF(OR(COUNT(O2127:R2127)&lt;&gt;4,COUNT('Top 25'!$B$45:$E$45)&lt;&gt;4,MIN('Top 25'!$B$45:$E$45)&lt;0,SUM('Top 25'!$B$45:$E$45)&lt;=0),"",ROUND(85*(O2127/30*'Top 25'!$B$45+P2127/25*'Top 25'!$C$45+Q2127/25*'Top 25'!$D$45+R2127/5*'Top 25'!$E$45)/SUM('Top 25'!$B$45:$E$45),6))</f>
        <v>44</v>
      </c>
      <c r="U2127" s="1" t="str">
        <f t="shared" ca="1" si="45"/>
        <v>Listed</v>
      </c>
      <c r="V2127" s="1" t="str">
        <f ca="1">IF(A2127="","",IF(AK2127&lt;&gt;1,"Duplicate source ID",IF(COUNTIFS('Staff Review'!$A$8:$A$507,A2127)&gt;1,"Duplicate review ID",IF(H2127&lt;&gt;"Yes","Outside scope",IF(J2127="Yes","Already served",IF(NOT(ISNUMBER(T2127)),"Missing data","Candidate"))))))</f>
        <v>Candidate</v>
      </c>
      <c r="W2127" s="1">
        <f t="shared" ca="1" si="46"/>
        <v>89</v>
      </c>
      <c r="X2127" s="1">
        <f t="shared" ca="1" si="47"/>
        <v>81</v>
      </c>
      <c r="Y2127" s="1">
        <f ca="1">IF(AND(H2127="Yes",OR(LEN('School Search'!$B$5)=0,ISNUMBER(SEARCH('School Search'!$B$5,B2127&amp;" "&amp;E2127&amp;" "&amp;A2127))),OR('School Search'!$D$5="All",C2127='School Search'!$D$5),OR('School Search'!$G$5="All eligible",AND('School Search'!$G$5="Not marked served",J2127&lt;&gt;"Yes"),AND('School Search'!$G$5="Missing data",V2127="Missing data"),AND('School Search'!$G$5="Marked served",J2127="Yes"))),1,0)</f>
        <v>1</v>
      </c>
      <c r="Z2127" s="1">
        <f ca="1">IF(Y2127=0,"",COUNTIFS($Y$2051:$Y$2550,1,$AO$2051:$AO$2550,"&lt;"&amp;AO2127)+COUNTIFS($Y$2051:Y2127,1,$AO$2051:AO2127,AO2127))</f>
        <v>89</v>
      </c>
      <c r="AA2127" s="1" t="str">
        <f t="shared" ca="1" si="48"/>
        <v>76% economic need; 0.29 mi fresh access; 3 nearby resources</v>
      </c>
      <c r="AB2127" s="1">
        <f t="shared" si="49"/>
        <v>77</v>
      </c>
      <c r="AC2127" s="1" t="str">
        <f t="shared" si="50"/>
        <v>H MART PHILADELPHIA LLC.</v>
      </c>
      <c r="AD2127" s="1" t="str">
        <f t="shared" si="51"/>
        <v>6201 N Front St, Philadelphia, PA, 19120</v>
      </c>
      <c r="AE2127" s="1" t="str">
        <f t="shared" si="52"/>
        <v>6301 N 2ND ST</v>
      </c>
      <c r="AF2127" s="1">
        <f t="shared" si="53"/>
        <v>40.046550119999999</v>
      </c>
      <c r="AG2127" s="1">
        <f t="shared" si="54"/>
        <v>-75.123249939999994</v>
      </c>
      <c r="AH2127" s="1" t="str">
        <f>IF(I2127=0,"Not contacted",IF(INDEX('Staff Review'!$J$8:$J$507,I2127)="","Not contacted",INDEX('Staff Review'!$J$8:$J$507,I2127)))</f>
        <v>Not contacted</v>
      </c>
      <c r="AI2127" s="1" t="str">
        <f ca="1">IF(I2127=0,"No",IF(AND(COUNT(INDEX('Staff Review'!$D$8:$D$507,I2127))=1,INDEX('Staff Review'!$D$8:$D$507,I2127)&gt;=0,COUNT(INDEX('Staff Review'!$E$8:$E$507,I2127))=1,INDEX('Staff Review'!$E$8:$E$507,I2127)&gt;0,INDEX('Staff Review'!$E$8:$E$507,I2127)&lt;='Top 25'!$E$5,'Top 25'!$E$5-INDEX('Staff Review'!$E$8:$E$507,I2127)&lt;='Top 25'!$H$5,LEN(INDEX('Staff Review'!$H$8:$H$507,I2127))&gt;0),"Yes","No"))</f>
        <v>No</v>
      </c>
      <c r="AJ2127" s="1" t="str">
        <f>IF(I2127=0,"No",IF(COUNT(INDEX('Staff Review'!$F$8:$F$507,I2127))&lt;&gt;1,"No",IF(AND(INDEX('Staff Review'!$F$8:$F$507,I2127)&gt;=0,MOD(INDEX('Staff Review'!$F$8:$F$507,I2127),1)=0,COUNT(INDEX('Staff Review'!$G$8:$G$507,I2127))=1,INDEX('Staff Review'!$G$8:$G$507,I2127)&gt;0,INDEX('Staff Review'!$G$8:$G$507,I2127)&lt;='Top 25'!$E$5,'Top 25'!$E$5-INDEX('Staff Review'!$G$8:$G$507,I2127)&lt;='Top 25'!$H$5,LEN(INDEX('Staff Review'!$H$8:$H$507,I2127))&gt;0),"Yes","No")))</f>
        <v>No</v>
      </c>
      <c r="AK2127" s="1">
        <f t="shared" si="55"/>
        <v>1</v>
      </c>
      <c r="AL2127" s="1">
        <f t="shared" ca="1" si="56"/>
        <v>1</v>
      </c>
      <c r="AM2127" s="1">
        <f t="shared" si="57"/>
        <v>3307</v>
      </c>
      <c r="AN2127" s="1">
        <f t="shared" si="58"/>
        <v>77</v>
      </c>
      <c r="AO2127">
        <f t="shared" ca="1" si="59"/>
        <v>89</v>
      </c>
      <c r="AP2127" s="105">
        <f ca="1">IF(AND(AL2127=1,OR('Top 25'!$A$10="All",C2127='Top 25'!$A$10),OR('Top 25'!$D$10="All",D2127='Top 25'!$D$10)),1,0)</f>
        <v>0</v>
      </c>
      <c r="AQ2127" s="105" t="str">
        <f ca="1">IF(AP2127=0,"",CHOOSE(MATCH('Top 25'!$G$10,{"Priority score","Economic need","Enrollment","Fresh miles","Nearby resources"},0),T2127,G2127,F2127,K2127,L2127))</f>
        <v/>
      </c>
      <c r="AR2127" s="105" t="str">
        <f ca="1">IF(AP2127=0,"",1+COUNTIFS($AP$2051:$AP$2550,1,$AQ$2051:$AQ$2550,IF('Top 25'!$J$10="Ascending","&lt;","&gt;")&amp;AQ2127)+COUNTIFS($AP$2051:$AP$2550,1,$AQ$2051:$AQ$2550,AQ2127,$W$2051:$W$2550,"&lt;"&amp;W2127))</f>
        <v/>
      </c>
      <c r="AT2127" s="105">
        <f ca="1">IF(AND(AL2127=1,OR(Master_rankableSchools!$A$10="All",C2127=Master_rankableSchools!$A$10),OR(Master_rankableSchools!$D$10="All",D2127=Master_rankableSchools!$D$10)),1,0)</f>
        <v>1</v>
      </c>
      <c r="AU2127" s="105">
        <f ca="1">IF(AT2127=0,"",CHOOSE(MATCH(Master_rankableSchools!$G$10,{"Priority score","Economic need","Enrollment","Fresh miles","Nearby resources"},0),T2127,G2127,F2127,K2127,L2127))</f>
        <v>44</v>
      </c>
      <c r="AV2127" s="105">
        <f ca="1">IF(AT2127=0,"",1+COUNTIFS($AT$2051:$AT$2550,1,$AU$2051:$AU$2550,IF(Master_rankableSchools!$J$10="Ascending","&lt;","&gt;")&amp;AU2127)+COUNTIFS($AT$2051:$AT$2550,1,$AU$2051:$AU$2550,AU2127,$W$2051:$W$2550,"&lt;"&amp;W2127))</f>
        <v>89</v>
      </c>
    </row>
    <row r="2128" spans="1:48" ht="22" customHeight="1">
      <c r="A2128" s="1" t="str">
        <f t="shared" si="30"/>
        <v>3308</v>
      </c>
      <c r="B2128" s="1" t="str">
        <f t="shared" si="31"/>
        <v>Inquiry Charter School</v>
      </c>
      <c r="C2128" s="1" t="str">
        <f t="shared" si="32"/>
        <v>Charter</v>
      </c>
      <c r="D2128" s="1" t="str">
        <f t="shared" si="33"/>
        <v>Elementary</v>
      </c>
      <c r="E2128" s="1" t="str">
        <f t="shared" si="34"/>
        <v>19104</v>
      </c>
      <c r="F2128" s="1">
        <f t="shared" si="35"/>
        <v>272</v>
      </c>
      <c r="G2128" s="1">
        <f t="shared" si="36"/>
        <v>0.63360000000000005</v>
      </c>
      <c r="H2128" s="1" t="str">
        <f t="shared" si="37"/>
        <v>Yes</v>
      </c>
      <c r="I2128" s="1">
        <f>IF(OR(A2128="",COUNTIFS('Staff Review'!$A$8:$A$507,A2128)&lt;&gt;1),0,MATCH(A2128,'Staff Review'!$A$8:$A$507,0))</f>
        <v>122</v>
      </c>
      <c r="J2128" s="1" t="str">
        <f>IF(I2128=0,"No",IF(INDEX('Staff Review'!$C$8:$C$507,I2128)="Yes","Yes","No"))</f>
        <v>No</v>
      </c>
      <c r="K2128" s="1">
        <f ca="1">IF(AI2128="Yes",INDEX('Staff Review'!$D$8:$D$507,I2128),IF(AB2128=0,"",IF(COUNT(INDEX($C$1531:$C$2030,AB2128))=1,INDEX($C$1531:$C$2030,AB2128),"")))</f>
        <v>0.54025252040445781</v>
      </c>
      <c r="L2128" s="1">
        <f>IF(AJ2128="Yes",INDEX('Staff Review'!$F$8:$F$507,I2128),IF(AB2128=0,"",IF(COUNT(INDEX($G$1531:$G$2030,AB2128))=1,INDEX($G$1531:$G$2030,AB2128),"")))</f>
        <v>9</v>
      </c>
      <c r="M2128" s="1" t="str">
        <f t="shared" ca="1" si="38"/>
        <v>Listed</v>
      </c>
      <c r="N2128" s="1" t="str">
        <f t="shared" si="39"/>
        <v>Listed</v>
      </c>
      <c r="O2128" s="1">
        <f t="shared" si="40"/>
        <v>15</v>
      </c>
      <c r="P2128" s="1">
        <f t="shared" ca="1" si="41"/>
        <v>15</v>
      </c>
      <c r="Q2128" s="1">
        <f t="shared" si="42"/>
        <v>0</v>
      </c>
      <c r="R2128" s="1">
        <f t="shared" si="43"/>
        <v>2</v>
      </c>
      <c r="S2128" s="1">
        <f t="shared" ca="1" si="44"/>
        <v>32</v>
      </c>
      <c r="T2128" s="1">
        <f ca="1">IF(OR(COUNT(O2128:R2128)&lt;&gt;4,COUNT('Top 25'!$B$45:$E$45)&lt;&gt;4,MIN('Top 25'!$B$45:$E$45)&lt;0,SUM('Top 25'!$B$45:$E$45)&lt;=0),"",ROUND(85*(O2128/30*'Top 25'!$B$45+P2128/25*'Top 25'!$C$45+Q2128/25*'Top 25'!$D$45+R2128/5*'Top 25'!$E$45)/SUM('Top 25'!$B$45:$E$45),6))</f>
        <v>32</v>
      </c>
      <c r="U2128" s="1" t="str">
        <f t="shared" ca="1" si="45"/>
        <v>Listed</v>
      </c>
      <c r="V2128" s="1" t="str">
        <f ca="1">IF(A2128="","",IF(AK2128&lt;&gt;1,"Duplicate source ID",IF(COUNTIFS('Staff Review'!$A$8:$A$507,A2128)&gt;1,"Duplicate review ID",IF(H2128&lt;&gt;"Yes","Outside scope",IF(J2128="Yes","Already served",IF(NOT(ISNUMBER(T2128)),"Missing data","Candidate"))))))</f>
        <v>Candidate</v>
      </c>
      <c r="W2128" s="1">
        <f t="shared" ca="1" si="46"/>
        <v>250</v>
      </c>
      <c r="X2128" s="1">
        <f t="shared" ca="1" si="47"/>
        <v>243</v>
      </c>
      <c r="Y2128" s="1">
        <f ca="1">IF(AND(H2128="Yes",OR(LEN('School Search'!$B$5)=0,ISNUMBER(SEARCH('School Search'!$B$5,B2128&amp;" "&amp;E2128&amp;" "&amp;A2128))),OR('School Search'!$D$5="All",C2128='School Search'!$D$5),OR('School Search'!$G$5="All eligible",AND('School Search'!$G$5="Not marked served",J2128&lt;&gt;"Yes"),AND('School Search'!$G$5="Missing data",V2128="Missing data"),AND('School Search'!$G$5="Marked served",J2128="Yes"))),1,0)</f>
        <v>1</v>
      </c>
      <c r="Z2128" s="1">
        <f ca="1">IF(Y2128=0,"",COUNTIFS($Y$2051:$Y$2550,1,$AO$2051:$AO$2550,"&lt;"&amp;AO2128)+COUNTIFS($Y$2051:Y2128,1,$AO$2051:AO2128,AO2128))</f>
        <v>250</v>
      </c>
      <c r="AA2128" s="1" t="str">
        <f t="shared" ca="1" si="48"/>
        <v>63% economic need; 0.54 mi fresh access; 9 nearby resources</v>
      </c>
      <c r="AB2128" s="1">
        <f t="shared" si="49"/>
        <v>78</v>
      </c>
      <c r="AC2128" s="1" t="str">
        <f t="shared" si="50"/>
        <v>Cousin's Fresh Market 2 Inc</v>
      </c>
      <c r="AD2128" s="1" t="str">
        <f t="shared" si="51"/>
        <v>5429 W Girard Ave, Philadelphia, PA, 19131</v>
      </c>
      <c r="AE2128" s="1" t="str">
        <f t="shared" si="52"/>
        <v>1301 BELMONT AVE</v>
      </c>
      <c r="AF2128" s="1">
        <f t="shared" si="53"/>
        <v>39.974752340000002</v>
      </c>
      <c r="AG2128" s="1">
        <f t="shared" si="54"/>
        <v>-75.212529239999995</v>
      </c>
      <c r="AH2128" s="1" t="str">
        <f>IF(I2128=0,"Not contacted",IF(INDEX('Staff Review'!$J$8:$J$507,I2128)="","Not contacted",INDEX('Staff Review'!$J$8:$J$507,I2128)))</f>
        <v>Not contacted</v>
      </c>
      <c r="AI2128" s="1" t="str">
        <f ca="1">IF(I2128=0,"No",IF(AND(COUNT(INDEX('Staff Review'!$D$8:$D$507,I2128))=1,INDEX('Staff Review'!$D$8:$D$507,I2128)&gt;=0,COUNT(INDEX('Staff Review'!$E$8:$E$507,I2128))=1,INDEX('Staff Review'!$E$8:$E$507,I2128)&gt;0,INDEX('Staff Review'!$E$8:$E$507,I2128)&lt;='Top 25'!$E$5,'Top 25'!$E$5-INDEX('Staff Review'!$E$8:$E$507,I2128)&lt;='Top 25'!$H$5,LEN(INDEX('Staff Review'!$H$8:$H$507,I2128))&gt;0),"Yes","No"))</f>
        <v>No</v>
      </c>
      <c r="AJ2128" s="1" t="str">
        <f>IF(I2128=0,"No",IF(COUNT(INDEX('Staff Review'!$F$8:$F$507,I2128))&lt;&gt;1,"No",IF(AND(INDEX('Staff Review'!$F$8:$F$507,I2128)&gt;=0,MOD(INDEX('Staff Review'!$F$8:$F$507,I2128),1)=0,COUNT(INDEX('Staff Review'!$G$8:$G$507,I2128))=1,INDEX('Staff Review'!$G$8:$G$507,I2128)&gt;0,INDEX('Staff Review'!$G$8:$G$507,I2128)&lt;='Top 25'!$E$5,'Top 25'!$E$5-INDEX('Staff Review'!$G$8:$G$507,I2128)&lt;='Top 25'!$H$5,LEN(INDEX('Staff Review'!$H$8:$H$507,I2128))&gt;0),"Yes","No")))</f>
        <v>No</v>
      </c>
      <c r="AK2128" s="1">
        <f t="shared" si="55"/>
        <v>1</v>
      </c>
      <c r="AL2128" s="1">
        <f t="shared" ca="1" si="56"/>
        <v>1</v>
      </c>
      <c r="AM2128" s="1">
        <f t="shared" si="57"/>
        <v>3308</v>
      </c>
      <c r="AN2128" s="1">
        <f t="shared" si="58"/>
        <v>78</v>
      </c>
      <c r="AO2128">
        <f t="shared" ca="1" si="59"/>
        <v>250</v>
      </c>
      <c r="AP2128" s="105">
        <f ca="1">IF(AND(AL2128=1,OR('Top 25'!$A$10="All",C2128='Top 25'!$A$10),OR('Top 25'!$D$10="All",D2128='Top 25'!$D$10)),1,0)</f>
        <v>0</v>
      </c>
      <c r="AQ2128" s="105" t="str">
        <f ca="1">IF(AP2128=0,"",CHOOSE(MATCH('Top 25'!$G$10,{"Priority score","Economic need","Enrollment","Fresh miles","Nearby resources"},0),T2128,G2128,F2128,K2128,L2128))</f>
        <v/>
      </c>
      <c r="AR2128" s="105" t="str">
        <f ca="1">IF(AP2128=0,"",1+COUNTIFS($AP$2051:$AP$2550,1,$AQ$2051:$AQ$2550,IF('Top 25'!$J$10="Ascending","&lt;","&gt;")&amp;AQ2128)+COUNTIFS($AP$2051:$AP$2550,1,$AQ$2051:$AQ$2550,AQ2128,$W$2051:$W$2550,"&lt;"&amp;W2128))</f>
        <v/>
      </c>
      <c r="AT2128" s="105">
        <f ca="1">IF(AND(AL2128=1,OR(Master_rankableSchools!$A$10="All",C2128=Master_rankableSchools!$A$10),OR(Master_rankableSchools!$D$10="All",D2128=Master_rankableSchools!$D$10)),1,0)</f>
        <v>1</v>
      </c>
      <c r="AU2128" s="105">
        <f ca="1">IF(AT2128=0,"",CHOOSE(MATCH(Master_rankableSchools!$G$10,{"Priority score","Economic need","Enrollment","Fresh miles","Nearby resources"},0),T2128,G2128,F2128,K2128,L2128))</f>
        <v>32</v>
      </c>
      <c r="AV2128" s="105">
        <f ca="1">IF(AT2128=0,"",1+COUNTIFS($AT$2051:$AT$2550,1,$AU$2051:$AU$2550,IF(Master_rankableSchools!$J$10="Ascending","&lt;","&gt;")&amp;AU2128)+COUNTIFS($AT$2051:$AT$2550,1,$AU$2051:$AU$2550,AU2128,$W$2051:$W$2550,"&lt;"&amp;W2128))</f>
        <v>250</v>
      </c>
    </row>
    <row r="2129" spans="1:48" ht="22" customHeight="1">
      <c r="A2129" s="1" t="str">
        <f t="shared" si="30"/>
        <v>3309</v>
      </c>
      <c r="B2129" s="1" t="str">
        <f t="shared" si="31"/>
        <v>Imhotep Institute Charter High School</v>
      </c>
      <c r="C2129" s="1" t="str">
        <f t="shared" si="32"/>
        <v>Charter</v>
      </c>
      <c r="D2129" s="1" t="str">
        <f t="shared" si="33"/>
        <v>High</v>
      </c>
      <c r="E2129" s="1" t="str">
        <f t="shared" si="34"/>
        <v>19138</v>
      </c>
      <c r="F2129" s="1">
        <f t="shared" si="35"/>
        <v>604</v>
      </c>
      <c r="G2129" s="1">
        <f t="shared" si="36"/>
        <v>0.79600000000000004</v>
      </c>
      <c r="H2129" s="1" t="str">
        <f t="shared" si="37"/>
        <v>Yes</v>
      </c>
      <c r="I2129" s="1">
        <f>IF(OR(A2129="",COUNTIFS('Staff Review'!$A$8:$A$507,A2129)&lt;&gt;1),0,MATCH(A2129,'Staff Review'!$A$8:$A$507,0))</f>
        <v>119</v>
      </c>
      <c r="J2129" s="1" t="str">
        <f>IF(I2129=0,"No",IF(INDEX('Staff Review'!$C$8:$C$507,I2129)="Yes","Yes","No"))</f>
        <v>No</v>
      </c>
      <c r="K2129" s="1">
        <f ca="1">IF(AI2129="Yes",INDEX('Staff Review'!$D$8:$D$507,I2129),IF(AB2129=0,"",IF(COUNT(INDEX($C$1531:$C$2030,AB2129))=1,INDEX($C$1531:$C$2030,AB2129),"")))</f>
        <v>0.56696854712567146</v>
      </c>
      <c r="L2129" s="1">
        <f>IF(AJ2129="Yes",INDEX('Staff Review'!$F$8:$F$507,I2129),IF(AB2129=0,"",IF(COUNT(INDEX($G$1531:$G$2030,AB2129))=1,INDEX($G$1531:$G$2030,AB2129),"")))</f>
        <v>13</v>
      </c>
      <c r="M2129" s="1" t="str">
        <f t="shared" ca="1" si="38"/>
        <v>Listed</v>
      </c>
      <c r="N2129" s="1" t="str">
        <f t="shared" si="39"/>
        <v>Listed</v>
      </c>
      <c r="O2129" s="1">
        <f t="shared" si="40"/>
        <v>20</v>
      </c>
      <c r="P2129" s="1">
        <f t="shared" ca="1" si="41"/>
        <v>15</v>
      </c>
      <c r="Q2129" s="1">
        <f t="shared" si="42"/>
        <v>0</v>
      </c>
      <c r="R2129" s="1">
        <f t="shared" si="43"/>
        <v>4</v>
      </c>
      <c r="S2129" s="1">
        <f t="shared" ca="1" si="44"/>
        <v>39</v>
      </c>
      <c r="T2129" s="1">
        <f ca="1">IF(OR(COUNT(O2129:R2129)&lt;&gt;4,COUNT('Top 25'!$B$45:$E$45)&lt;&gt;4,MIN('Top 25'!$B$45:$E$45)&lt;0,SUM('Top 25'!$B$45:$E$45)&lt;=0),"",ROUND(85*(O2129/30*'Top 25'!$B$45+P2129/25*'Top 25'!$C$45+Q2129/25*'Top 25'!$D$45+R2129/5*'Top 25'!$E$45)/SUM('Top 25'!$B$45:$E$45),6))</f>
        <v>39</v>
      </c>
      <c r="U2129" s="1" t="str">
        <f t="shared" ca="1" si="45"/>
        <v>Listed</v>
      </c>
      <c r="V2129" s="1" t="str">
        <f ca="1">IF(A2129="","",IF(AK2129&lt;&gt;1,"Duplicate source ID",IF(COUNTIFS('Staff Review'!$A$8:$A$507,A2129)&gt;1,"Duplicate review ID",IF(H2129&lt;&gt;"Yes","Outside scope",IF(J2129="Yes","Already served",IF(NOT(ISNUMBER(T2129)),"Missing data","Candidate"))))))</f>
        <v>Candidate</v>
      </c>
      <c r="W2129" s="1">
        <f t="shared" ca="1" si="46"/>
        <v>160</v>
      </c>
      <c r="X2129" s="1">
        <f t="shared" ca="1" si="47"/>
        <v>148</v>
      </c>
      <c r="Y2129" s="1">
        <f ca="1">IF(AND(H2129="Yes",OR(LEN('School Search'!$B$5)=0,ISNUMBER(SEARCH('School Search'!$B$5,B2129&amp;" "&amp;E2129&amp;" "&amp;A2129))),OR('School Search'!$D$5="All",C2129='School Search'!$D$5),OR('School Search'!$G$5="All eligible",AND('School Search'!$G$5="Not marked served",J2129&lt;&gt;"Yes"),AND('School Search'!$G$5="Missing data",V2129="Missing data"),AND('School Search'!$G$5="Marked served",J2129="Yes"))),1,0)</f>
        <v>1</v>
      </c>
      <c r="Z2129" s="1">
        <f ca="1">IF(Y2129=0,"",COUNTIFS($Y$2051:$Y$2550,1,$AO$2051:$AO$2550,"&lt;"&amp;AO2129)+COUNTIFS($Y$2051:Y2129,1,$AO$2051:AO2129,AO2129))</f>
        <v>160</v>
      </c>
      <c r="AA2129" s="1" t="str">
        <f t="shared" ca="1" si="48"/>
        <v>80% economic need; 0.57 mi fresh access; 13 nearby resources</v>
      </c>
      <c r="AB2129" s="1">
        <f t="shared" si="49"/>
        <v>79</v>
      </c>
      <c r="AC2129" s="1" t="str">
        <f t="shared" si="50"/>
        <v>THE FRESH GROCER</v>
      </c>
      <c r="AD2129" s="1" t="str">
        <f t="shared" si="51"/>
        <v>5301 Chew Ave, Philadelphia, PA, 19138</v>
      </c>
      <c r="AE2129" s="1" t="str">
        <f t="shared" si="52"/>
        <v>6201 N 21ST ST</v>
      </c>
      <c r="AF2129" s="1">
        <f t="shared" si="53"/>
        <v>40.049427000000001</v>
      </c>
      <c r="AG2129" s="1">
        <f t="shared" si="54"/>
        <v>-75.154717000000005</v>
      </c>
      <c r="AH2129" s="1" t="str">
        <f>IF(I2129=0,"Not contacted",IF(INDEX('Staff Review'!$J$8:$J$507,I2129)="","Not contacted",INDEX('Staff Review'!$J$8:$J$507,I2129)))</f>
        <v>Not contacted</v>
      </c>
      <c r="AI2129" s="1" t="str">
        <f ca="1">IF(I2129=0,"No",IF(AND(COUNT(INDEX('Staff Review'!$D$8:$D$507,I2129))=1,INDEX('Staff Review'!$D$8:$D$507,I2129)&gt;=0,COUNT(INDEX('Staff Review'!$E$8:$E$507,I2129))=1,INDEX('Staff Review'!$E$8:$E$507,I2129)&gt;0,INDEX('Staff Review'!$E$8:$E$507,I2129)&lt;='Top 25'!$E$5,'Top 25'!$E$5-INDEX('Staff Review'!$E$8:$E$507,I2129)&lt;='Top 25'!$H$5,LEN(INDEX('Staff Review'!$H$8:$H$507,I2129))&gt;0),"Yes","No"))</f>
        <v>No</v>
      </c>
      <c r="AJ2129" s="1" t="str">
        <f>IF(I2129=0,"No",IF(COUNT(INDEX('Staff Review'!$F$8:$F$507,I2129))&lt;&gt;1,"No",IF(AND(INDEX('Staff Review'!$F$8:$F$507,I2129)&gt;=0,MOD(INDEX('Staff Review'!$F$8:$F$507,I2129),1)=0,COUNT(INDEX('Staff Review'!$G$8:$G$507,I2129))=1,INDEX('Staff Review'!$G$8:$G$507,I2129)&gt;0,INDEX('Staff Review'!$G$8:$G$507,I2129)&lt;='Top 25'!$E$5,'Top 25'!$E$5-INDEX('Staff Review'!$G$8:$G$507,I2129)&lt;='Top 25'!$H$5,LEN(INDEX('Staff Review'!$H$8:$H$507,I2129))&gt;0),"Yes","No")))</f>
        <v>No</v>
      </c>
      <c r="AK2129" s="1">
        <f t="shared" si="55"/>
        <v>1</v>
      </c>
      <c r="AL2129" s="1">
        <f t="shared" ca="1" si="56"/>
        <v>1</v>
      </c>
      <c r="AM2129" s="1">
        <f t="shared" si="57"/>
        <v>3309</v>
      </c>
      <c r="AN2129" s="1">
        <f t="shared" si="58"/>
        <v>79</v>
      </c>
      <c r="AO2129">
        <f t="shared" ca="1" si="59"/>
        <v>160</v>
      </c>
      <c r="AP2129" s="105">
        <f ca="1">IF(AND(AL2129=1,OR('Top 25'!$A$10="All",C2129='Top 25'!$A$10),OR('Top 25'!$D$10="All",D2129='Top 25'!$D$10)),1,0)</f>
        <v>0</v>
      </c>
      <c r="AQ2129" s="105" t="str">
        <f ca="1">IF(AP2129=0,"",CHOOSE(MATCH('Top 25'!$G$10,{"Priority score","Economic need","Enrollment","Fresh miles","Nearby resources"},0),T2129,G2129,F2129,K2129,L2129))</f>
        <v/>
      </c>
      <c r="AR2129" s="105" t="str">
        <f ca="1">IF(AP2129=0,"",1+COUNTIFS($AP$2051:$AP$2550,1,$AQ$2051:$AQ$2550,IF('Top 25'!$J$10="Ascending","&lt;","&gt;")&amp;AQ2129)+COUNTIFS($AP$2051:$AP$2550,1,$AQ$2051:$AQ$2550,AQ2129,$W$2051:$W$2550,"&lt;"&amp;W2129))</f>
        <v/>
      </c>
      <c r="AT2129" s="105">
        <f ca="1">IF(AND(AL2129=1,OR(Master_rankableSchools!$A$10="All",C2129=Master_rankableSchools!$A$10),OR(Master_rankableSchools!$D$10="All",D2129=Master_rankableSchools!$D$10)),1,0)</f>
        <v>1</v>
      </c>
      <c r="AU2129" s="105">
        <f ca="1">IF(AT2129=0,"",CHOOSE(MATCH(Master_rankableSchools!$G$10,{"Priority score","Economic need","Enrollment","Fresh miles","Nearby resources"},0),T2129,G2129,F2129,K2129,L2129))</f>
        <v>39</v>
      </c>
      <c r="AV2129" s="105">
        <f ca="1">IF(AT2129=0,"",1+COUNTIFS($AT$2051:$AT$2550,1,$AU$2051:$AU$2550,IF(Master_rankableSchools!$J$10="Ascending","&lt;","&gt;")&amp;AU2129)+COUNTIFS($AT$2051:$AT$2550,1,$AU$2051:$AU$2550,AU2129,$W$2051:$W$2550,"&lt;"&amp;W2129))</f>
        <v>160</v>
      </c>
    </row>
    <row r="2130" spans="1:48" ht="22" customHeight="1">
      <c r="A2130" s="1" t="str">
        <f t="shared" si="30"/>
        <v>3310</v>
      </c>
      <c r="B2130" s="1" t="str">
        <f t="shared" si="31"/>
        <v>Laboratory Charter School of Communication and Languages</v>
      </c>
      <c r="C2130" s="1" t="str">
        <f t="shared" si="32"/>
        <v>Charter</v>
      </c>
      <c r="D2130" s="1" t="str">
        <f t="shared" si="33"/>
        <v>Elementary-Middle</v>
      </c>
      <c r="E2130" s="1" t="str">
        <f t="shared" si="34"/>
        <v>19140</v>
      </c>
      <c r="F2130" s="1">
        <f t="shared" si="35"/>
        <v>375</v>
      </c>
      <c r="G2130" s="1">
        <f t="shared" si="36"/>
        <v>0.86109999999999998</v>
      </c>
      <c r="H2130" s="1" t="str">
        <f t="shared" si="37"/>
        <v>Yes</v>
      </c>
      <c r="I2130" s="1">
        <f>IF(OR(A2130="",COUNTIFS('Staff Review'!$A$8:$A$507,A2130)&lt;&gt;1),0,MATCH(A2130,'Staff Review'!$A$8:$A$507,0))</f>
        <v>166</v>
      </c>
      <c r="J2130" s="1" t="str">
        <f>IF(I2130=0,"No",IF(INDEX('Staff Review'!$C$8:$C$507,I2130)="Yes","Yes","No"))</f>
        <v>No</v>
      </c>
      <c r="K2130" s="1">
        <f ca="1">IF(AI2130="Yes",INDEX('Staff Review'!$D$8:$D$507,I2130),IF(AB2130=0,"",IF(COUNT(INDEX($C$1531:$C$2030,AB2130))=1,INDEX($C$1531:$C$2030,AB2130),"")))</f>
        <v>0.4926131971074626</v>
      </c>
      <c r="L2130" s="1">
        <f>IF(AJ2130="Yes",INDEX('Staff Review'!$F$8:$F$507,I2130),IF(AB2130=0,"",IF(COUNT(INDEX($G$1531:$G$2030,AB2130))=1,INDEX($G$1531:$G$2030,AB2130),"")))</f>
        <v>10</v>
      </c>
      <c r="M2130" s="1" t="str">
        <f t="shared" ca="1" si="38"/>
        <v>Listed</v>
      </c>
      <c r="N2130" s="1" t="str">
        <f t="shared" si="39"/>
        <v>Listed</v>
      </c>
      <c r="O2130" s="1">
        <f t="shared" si="40"/>
        <v>25</v>
      </c>
      <c r="P2130" s="1">
        <f t="shared" ca="1" si="41"/>
        <v>10</v>
      </c>
      <c r="Q2130" s="1">
        <f t="shared" si="42"/>
        <v>0</v>
      </c>
      <c r="R2130" s="1">
        <f t="shared" si="43"/>
        <v>3</v>
      </c>
      <c r="S2130" s="1">
        <f t="shared" ca="1" si="44"/>
        <v>38</v>
      </c>
      <c r="T2130" s="1">
        <f ca="1">IF(OR(COUNT(O2130:R2130)&lt;&gt;4,COUNT('Top 25'!$B$45:$E$45)&lt;&gt;4,MIN('Top 25'!$B$45:$E$45)&lt;0,SUM('Top 25'!$B$45:$E$45)&lt;=0),"",ROUND(85*(O2130/30*'Top 25'!$B$45+P2130/25*'Top 25'!$C$45+Q2130/25*'Top 25'!$D$45+R2130/5*'Top 25'!$E$45)/SUM('Top 25'!$B$45:$E$45),6))</f>
        <v>38</v>
      </c>
      <c r="U2130" s="1" t="str">
        <f t="shared" ca="1" si="45"/>
        <v>Listed</v>
      </c>
      <c r="V2130" s="1" t="str">
        <f ca="1">IF(A2130="","",IF(AK2130&lt;&gt;1,"Duplicate source ID",IF(COUNTIFS('Staff Review'!$A$8:$A$507,A2130)&gt;1,"Duplicate review ID",IF(H2130&lt;&gt;"Yes","Outside scope",IF(J2130="Yes","Already served",IF(NOT(ISNUMBER(T2130)),"Missing data","Candidate"))))))</f>
        <v>Candidate</v>
      </c>
      <c r="W2130" s="1">
        <f t="shared" ca="1" si="46"/>
        <v>174</v>
      </c>
      <c r="X2130" s="1">
        <f t="shared" ca="1" si="47"/>
        <v>166</v>
      </c>
      <c r="Y2130" s="1">
        <f ca="1">IF(AND(H2130="Yes",OR(LEN('School Search'!$B$5)=0,ISNUMBER(SEARCH('School Search'!$B$5,B2130&amp;" "&amp;E2130&amp;" "&amp;A2130))),OR('School Search'!$D$5="All",C2130='School Search'!$D$5),OR('School Search'!$G$5="All eligible",AND('School Search'!$G$5="Not marked served",J2130&lt;&gt;"Yes"),AND('School Search'!$G$5="Missing data",V2130="Missing data"),AND('School Search'!$G$5="Marked served",J2130="Yes"))),1,0)</f>
        <v>1</v>
      </c>
      <c r="Z2130" s="1">
        <f ca="1">IF(Y2130=0,"",COUNTIFS($Y$2051:$Y$2550,1,$AO$2051:$AO$2550,"&lt;"&amp;AO2130)+COUNTIFS($Y$2051:Y2130,1,$AO$2051:AO2130,AO2130))</f>
        <v>174</v>
      </c>
      <c r="AA2130" s="1" t="str">
        <f t="shared" ca="1" si="48"/>
        <v>86% economic need; 0.49 mi fresh access; 10 nearby resources</v>
      </c>
      <c r="AB2130" s="1">
        <f t="shared" si="49"/>
        <v>80</v>
      </c>
      <c r="AC2130" s="1" t="str">
        <f t="shared" si="50"/>
        <v>Save A Lot 60136</v>
      </c>
      <c r="AD2130" s="1" t="str">
        <f t="shared" si="51"/>
        <v>400 W Allegheny Ave, Philadelphia, PA, 19133</v>
      </c>
      <c r="AE2130" s="1" t="str">
        <f t="shared" si="52"/>
        <v>926 W SEDGLEY AVE</v>
      </c>
      <c r="AF2130" s="1">
        <f t="shared" si="53"/>
        <v>40.001404000000001</v>
      </c>
      <c r="AG2130" s="1">
        <f t="shared" si="54"/>
        <v>-75.145662000000002</v>
      </c>
      <c r="AH2130" s="1" t="str">
        <f>IF(I2130=0,"Not contacted",IF(INDEX('Staff Review'!$J$8:$J$507,I2130)="","Not contacted",INDEX('Staff Review'!$J$8:$J$507,I2130)))</f>
        <v>Not contacted</v>
      </c>
      <c r="AI2130" s="1" t="str">
        <f ca="1">IF(I2130=0,"No",IF(AND(COUNT(INDEX('Staff Review'!$D$8:$D$507,I2130))=1,INDEX('Staff Review'!$D$8:$D$507,I2130)&gt;=0,COUNT(INDEX('Staff Review'!$E$8:$E$507,I2130))=1,INDEX('Staff Review'!$E$8:$E$507,I2130)&gt;0,INDEX('Staff Review'!$E$8:$E$507,I2130)&lt;='Top 25'!$E$5,'Top 25'!$E$5-INDEX('Staff Review'!$E$8:$E$507,I2130)&lt;='Top 25'!$H$5,LEN(INDEX('Staff Review'!$H$8:$H$507,I2130))&gt;0),"Yes","No"))</f>
        <v>No</v>
      </c>
      <c r="AJ2130" s="1" t="str">
        <f>IF(I2130=0,"No",IF(COUNT(INDEX('Staff Review'!$F$8:$F$507,I2130))&lt;&gt;1,"No",IF(AND(INDEX('Staff Review'!$F$8:$F$507,I2130)&gt;=0,MOD(INDEX('Staff Review'!$F$8:$F$507,I2130),1)=0,COUNT(INDEX('Staff Review'!$G$8:$G$507,I2130))=1,INDEX('Staff Review'!$G$8:$G$507,I2130)&gt;0,INDEX('Staff Review'!$G$8:$G$507,I2130)&lt;='Top 25'!$E$5,'Top 25'!$E$5-INDEX('Staff Review'!$G$8:$G$507,I2130)&lt;='Top 25'!$H$5,LEN(INDEX('Staff Review'!$H$8:$H$507,I2130))&gt;0),"Yes","No")))</f>
        <v>No</v>
      </c>
      <c r="AK2130" s="1">
        <f t="shared" si="55"/>
        <v>1</v>
      </c>
      <c r="AL2130" s="1">
        <f t="shared" ca="1" si="56"/>
        <v>1</v>
      </c>
      <c r="AM2130" s="1">
        <f t="shared" si="57"/>
        <v>3310</v>
      </c>
      <c r="AN2130" s="1">
        <f t="shared" si="58"/>
        <v>80</v>
      </c>
      <c r="AO2130">
        <f t="shared" ca="1" si="59"/>
        <v>174</v>
      </c>
      <c r="AP2130" s="105">
        <f ca="1">IF(AND(AL2130=1,OR('Top 25'!$A$10="All",C2130='Top 25'!$A$10),OR('Top 25'!$D$10="All",D2130='Top 25'!$D$10)),1,0)</f>
        <v>0</v>
      </c>
      <c r="AQ2130" s="105" t="str">
        <f ca="1">IF(AP2130=0,"",CHOOSE(MATCH('Top 25'!$G$10,{"Priority score","Economic need","Enrollment","Fresh miles","Nearby resources"},0),T2130,G2130,F2130,K2130,L2130))</f>
        <v/>
      </c>
      <c r="AR2130" s="105" t="str">
        <f ca="1">IF(AP2130=0,"",1+COUNTIFS($AP$2051:$AP$2550,1,$AQ$2051:$AQ$2550,IF('Top 25'!$J$10="Ascending","&lt;","&gt;")&amp;AQ2130)+COUNTIFS($AP$2051:$AP$2550,1,$AQ$2051:$AQ$2550,AQ2130,$W$2051:$W$2550,"&lt;"&amp;W2130))</f>
        <v/>
      </c>
      <c r="AT2130" s="105">
        <f ca="1">IF(AND(AL2130=1,OR(Master_rankableSchools!$A$10="All",C2130=Master_rankableSchools!$A$10),OR(Master_rankableSchools!$D$10="All",D2130=Master_rankableSchools!$D$10)),1,0)</f>
        <v>1</v>
      </c>
      <c r="AU2130" s="105">
        <f ca="1">IF(AT2130=0,"",CHOOSE(MATCH(Master_rankableSchools!$G$10,{"Priority score","Economic need","Enrollment","Fresh miles","Nearby resources"},0),T2130,G2130,F2130,K2130,L2130))</f>
        <v>38</v>
      </c>
      <c r="AV2130" s="105">
        <f ca="1">IF(AT2130=0,"",1+COUNTIFS($AT$2051:$AT$2550,1,$AU$2051:$AU$2550,IF(Master_rankableSchools!$J$10="Ascending","&lt;","&gt;")&amp;AU2130)+COUNTIFS($AT$2051:$AT$2550,1,$AU$2051:$AU$2550,AU2130,$W$2051:$W$2550,"&lt;"&amp;W2130))</f>
        <v>174</v>
      </c>
    </row>
    <row r="2131" spans="1:48" ht="22" customHeight="1">
      <c r="A2131" s="1" t="str">
        <f t="shared" si="30"/>
        <v>3312</v>
      </c>
      <c r="B2131" s="1" t="str">
        <f t="shared" si="31"/>
        <v>Multicultural Academy Charter School</v>
      </c>
      <c r="C2131" s="1" t="str">
        <f t="shared" si="32"/>
        <v>Charter</v>
      </c>
      <c r="D2131" s="1" t="str">
        <f t="shared" si="33"/>
        <v>High</v>
      </c>
      <c r="E2131" s="1" t="str">
        <f t="shared" si="34"/>
        <v>19140</v>
      </c>
      <c r="F2131" s="1">
        <f t="shared" si="35"/>
        <v>261</v>
      </c>
      <c r="G2131" s="1">
        <f t="shared" si="36"/>
        <v>0.68959999999999999</v>
      </c>
      <c r="H2131" s="1" t="str">
        <f t="shared" si="37"/>
        <v>Yes</v>
      </c>
      <c r="I2131" s="1">
        <f>IF(OR(A2131="",COUNTIFS('Staff Review'!$A$8:$A$507,A2131)&lt;&gt;1),0,MATCH(A2131,'Staff Review'!$A$8:$A$507,0))</f>
        <v>202</v>
      </c>
      <c r="J2131" s="1" t="str">
        <f>IF(I2131=0,"No",IF(INDEX('Staff Review'!$C$8:$C$507,I2131)="Yes","Yes","No"))</f>
        <v>No</v>
      </c>
      <c r="K2131" s="1">
        <f ca="1">IF(AI2131="Yes",INDEX('Staff Review'!$D$8:$D$507,I2131),IF(AB2131=0,"",IF(COUNT(INDEX($C$1531:$C$2030,AB2131))=1,INDEX($C$1531:$C$2030,AB2131),"")))</f>
        <v>0.69819959197966086</v>
      </c>
      <c r="L2131" s="1">
        <f>IF(AJ2131="Yes",INDEX('Staff Review'!$F$8:$F$507,I2131),IF(AB2131=0,"",IF(COUNT(INDEX($G$1531:$G$2030,AB2131))=1,INDEX($G$1531:$G$2030,AB2131),"")))</f>
        <v>9</v>
      </c>
      <c r="M2131" s="1" t="str">
        <f t="shared" ca="1" si="38"/>
        <v>Listed</v>
      </c>
      <c r="N2131" s="1" t="str">
        <f t="shared" si="39"/>
        <v>Listed</v>
      </c>
      <c r="O2131" s="1">
        <f t="shared" si="40"/>
        <v>15</v>
      </c>
      <c r="P2131" s="1">
        <f t="shared" ca="1" si="41"/>
        <v>15</v>
      </c>
      <c r="Q2131" s="1">
        <f t="shared" si="42"/>
        <v>0</v>
      </c>
      <c r="R2131" s="1">
        <f t="shared" si="43"/>
        <v>2</v>
      </c>
      <c r="S2131" s="1">
        <f t="shared" ca="1" si="44"/>
        <v>32</v>
      </c>
      <c r="T2131" s="1">
        <f ca="1">IF(OR(COUNT(O2131:R2131)&lt;&gt;4,COUNT('Top 25'!$B$45:$E$45)&lt;&gt;4,MIN('Top 25'!$B$45:$E$45)&lt;0,SUM('Top 25'!$B$45:$E$45)&lt;=0),"",ROUND(85*(O2131/30*'Top 25'!$B$45+P2131/25*'Top 25'!$C$45+Q2131/25*'Top 25'!$D$45+R2131/5*'Top 25'!$E$45)/SUM('Top 25'!$B$45:$E$45),6))</f>
        <v>32</v>
      </c>
      <c r="U2131" s="1" t="str">
        <f t="shared" ca="1" si="45"/>
        <v>Listed</v>
      </c>
      <c r="V2131" s="1" t="str">
        <f ca="1">IF(A2131="","",IF(AK2131&lt;&gt;1,"Duplicate source ID",IF(COUNTIFS('Staff Review'!$A$8:$A$507,A2131)&gt;1,"Duplicate review ID",IF(H2131&lt;&gt;"Yes","Outside scope",IF(J2131="Yes","Already served",IF(NOT(ISNUMBER(T2131)),"Missing data","Candidate"))))))</f>
        <v>Candidate</v>
      </c>
      <c r="W2131" s="1">
        <f t="shared" ca="1" si="46"/>
        <v>249</v>
      </c>
      <c r="X2131" s="1">
        <f t="shared" ca="1" si="47"/>
        <v>243</v>
      </c>
      <c r="Y2131" s="1">
        <f ca="1">IF(AND(H2131="Yes",OR(LEN('School Search'!$B$5)=0,ISNUMBER(SEARCH('School Search'!$B$5,B2131&amp;" "&amp;E2131&amp;" "&amp;A2131))),OR('School Search'!$D$5="All",C2131='School Search'!$D$5),OR('School Search'!$G$5="All eligible",AND('School Search'!$G$5="Not marked served",J2131&lt;&gt;"Yes"),AND('School Search'!$G$5="Missing data",V2131="Missing data"),AND('School Search'!$G$5="Marked served",J2131="Yes"))),1,0)</f>
        <v>1</v>
      </c>
      <c r="Z2131" s="1">
        <f ca="1">IF(Y2131=0,"",COUNTIFS($Y$2051:$Y$2550,1,$AO$2051:$AO$2550,"&lt;"&amp;AO2131)+COUNTIFS($Y$2051:Y2131,1,$AO$2051:AO2131,AO2131))</f>
        <v>249</v>
      </c>
      <c r="AA2131" s="1" t="str">
        <f t="shared" ca="1" si="48"/>
        <v>69% economic need; 0.70 mi fresh access; 9 nearby resources</v>
      </c>
      <c r="AB2131" s="1">
        <f t="shared" si="49"/>
        <v>81</v>
      </c>
      <c r="AC2131" s="1" t="str">
        <f t="shared" si="50"/>
        <v>Save-A-Lot 60138</v>
      </c>
      <c r="AD2131" s="1" t="str">
        <f t="shared" si="51"/>
        <v>4424 N Broad St, Philadelphia, PA, 19140</v>
      </c>
      <c r="AE2131" s="1" t="str">
        <f t="shared" si="52"/>
        <v>3821 N BROAD ST</v>
      </c>
      <c r="AF2131" s="1">
        <f t="shared" si="53"/>
        <v>40.011127250000001</v>
      </c>
      <c r="AG2131" s="1">
        <f t="shared" si="54"/>
        <v>-75.150731230000005</v>
      </c>
      <c r="AH2131" s="1" t="str">
        <f>IF(I2131=0,"Not contacted",IF(INDEX('Staff Review'!$J$8:$J$507,I2131)="","Not contacted",INDEX('Staff Review'!$J$8:$J$507,I2131)))</f>
        <v>Not contacted</v>
      </c>
      <c r="AI2131" s="1" t="str">
        <f ca="1">IF(I2131=0,"No",IF(AND(COUNT(INDEX('Staff Review'!$D$8:$D$507,I2131))=1,INDEX('Staff Review'!$D$8:$D$507,I2131)&gt;=0,COUNT(INDEX('Staff Review'!$E$8:$E$507,I2131))=1,INDEX('Staff Review'!$E$8:$E$507,I2131)&gt;0,INDEX('Staff Review'!$E$8:$E$507,I2131)&lt;='Top 25'!$E$5,'Top 25'!$E$5-INDEX('Staff Review'!$E$8:$E$507,I2131)&lt;='Top 25'!$H$5,LEN(INDEX('Staff Review'!$H$8:$H$507,I2131))&gt;0),"Yes","No"))</f>
        <v>No</v>
      </c>
      <c r="AJ2131" s="1" t="str">
        <f>IF(I2131=0,"No",IF(COUNT(INDEX('Staff Review'!$F$8:$F$507,I2131))&lt;&gt;1,"No",IF(AND(INDEX('Staff Review'!$F$8:$F$507,I2131)&gt;=0,MOD(INDEX('Staff Review'!$F$8:$F$507,I2131),1)=0,COUNT(INDEX('Staff Review'!$G$8:$G$507,I2131))=1,INDEX('Staff Review'!$G$8:$G$507,I2131)&gt;0,INDEX('Staff Review'!$G$8:$G$507,I2131)&lt;='Top 25'!$E$5,'Top 25'!$E$5-INDEX('Staff Review'!$G$8:$G$507,I2131)&lt;='Top 25'!$H$5,LEN(INDEX('Staff Review'!$H$8:$H$507,I2131))&gt;0),"Yes","No")))</f>
        <v>No</v>
      </c>
      <c r="AK2131" s="1">
        <f t="shared" si="55"/>
        <v>1</v>
      </c>
      <c r="AL2131" s="1">
        <f t="shared" ca="1" si="56"/>
        <v>1</v>
      </c>
      <c r="AM2131" s="1">
        <f t="shared" si="57"/>
        <v>3312</v>
      </c>
      <c r="AN2131" s="1">
        <f t="shared" si="58"/>
        <v>81</v>
      </c>
      <c r="AO2131">
        <f t="shared" ca="1" si="59"/>
        <v>249</v>
      </c>
      <c r="AP2131" s="105">
        <f ca="1">IF(AND(AL2131=1,OR('Top 25'!$A$10="All",C2131='Top 25'!$A$10),OR('Top 25'!$D$10="All",D2131='Top 25'!$D$10)),1,0)</f>
        <v>0</v>
      </c>
      <c r="AQ2131" s="105" t="str">
        <f ca="1">IF(AP2131=0,"",CHOOSE(MATCH('Top 25'!$G$10,{"Priority score","Economic need","Enrollment","Fresh miles","Nearby resources"},0),T2131,G2131,F2131,K2131,L2131))</f>
        <v/>
      </c>
      <c r="AR2131" s="105" t="str">
        <f ca="1">IF(AP2131=0,"",1+COUNTIFS($AP$2051:$AP$2550,1,$AQ$2051:$AQ$2550,IF('Top 25'!$J$10="Ascending","&lt;","&gt;")&amp;AQ2131)+COUNTIFS($AP$2051:$AP$2550,1,$AQ$2051:$AQ$2550,AQ2131,$W$2051:$W$2550,"&lt;"&amp;W2131))</f>
        <v/>
      </c>
      <c r="AT2131" s="105">
        <f ca="1">IF(AND(AL2131=1,OR(Master_rankableSchools!$A$10="All",C2131=Master_rankableSchools!$A$10),OR(Master_rankableSchools!$D$10="All",D2131=Master_rankableSchools!$D$10)),1,0)</f>
        <v>1</v>
      </c>
      <c r="AU2131" s="105">
        <f ca="1">IF(AT2131=0,"",CHOOSE(MATCH(Master_rankableSchools!$G$10,{"Priority score","Economic need","Enrollment","Fresh miles","Nearby resources"},0),T2131,G2131,F2131,K2131,L2131))</f>
        <v>32</v>
      </c>
      <c r="AV2131" s="105">
        <f ca="1">IF(AT2131=0,"",1+COUNTIFS($AT$2051:$AT$2550,1,$AU$2051:$AU$2550,IF(Master_rankableSchools!$J$10="Ascending","&lt;","&gt;")&amp;AU2131)+COUNTIFS($AT$2051:$AT$2550,1,$AU$2051:$AU$2550,AU2131,$W$2051:$W$2550,"&lt;"&amp;W2131))</f>
        <v>249</v>
      </c>
    </row>
    <row r="2132" spans="1:48" ht="22" customHeight="1">
      <c r="A2132" s="1" t="str">
        <f t="shared" si="30"/>
        <v>3313</v>
      </c>
      <c r="B2132" s="1" t="str">
        <f t="shared" si="31"/>
        <v>Preparatory Charter School of Mathematics, Science, Technology and Careers</v>
      </c>
      <c r="C2132" s="1" t="str">
        <f t="shared" si="32"/>
        <v>Charter</v>
      </c>
      <c r="D2132" s="1" t="str">
        <f t="shared" si="33"/>
        <v>High</v>
      </c>
      <c r="E2132" s="1" t="str">
        <f t="shared" si="34"/>
        <v>19145</v>
      </c>
      <c r="F2132" s="1">
        <f t="shared" si="35"/>
        <v>590</v>
      </c>
      <c r="G2132" s="1">
        <f t="shared" si="36"/>
        <v>0.75</v>
      </c>
      <c r="H2132" s="1" t="str">
        <f t="shared" si="37"/>
        <v>Yes</v>
      </c>
      <c r="I2132" s="1">
        <f>IF(OR(A2132="",COUNTIFS('Staff Review'!$A$8:$A$507,A2132)&lt;&gt;1),0,MATCH(A2132,'Staff Review'!$A$8:$A$507,0))</f>
        <v>244</v>
      </c>
      <c r="J2132" s="1" t="str">
        <f>IF(I2132=0,"No",IF(INDEX('Staff Review'!$C$8:$C$507,I2132)="Yes","Yes","No"))</f>
        <v>No</v>
      </c>
      <c r="K2132" s="1">
        <f ca="1">IF(AI2132="Yes",INDEX('Staff Review'!$D$8:$D$507,I2132),IF(AB2132=0,"",IF(COUNT(INDEX($C$1531:$C$2030,AB2132))=1,INDEX($C$1531:$C$2030,AB2132),"")))</f>
        <v>0.61145574570213368</v>
      </c>
      <c r="L2132" s="1">
        <f>IF(AJ2132="Yes",INDEX('Staff Review'!$F$8:$F$507,I2132),IF(AB2132=0,"",IF(COUNT(INDEX($G$1531:$G$2030,AB2132))=1,INDEX($G$1531:$G$2030,AB2132),"")))</f>
        <v>10</v>
      </c>
      <c r="M2132" s="1" t="str">
        <f t="shared" ca="1" si="38"/>
        <v>Listed</v>
      </c>
      <c r="N2132" s="1" t="str">
        <f t="shared" si="39"/>
        <v>Listed</v>
      </c>
      <c r="O2132" s="1">
        <f t="shared" si="40"/>
        <v>20</v>
      </c>
      <c r="P2132" s="1">
        <f t="shared" ca="1" si="41"/>
        <v>15</v>
      </c>
      <c r="Q2132" s="1">
        <f t="shared" si="42"/>
        <v>0</v>
      </c>
      <c r="R2132" s="1">
        <f t="shared" si="43"/>
        <v>4</v>
      </c>
      <c r="S2132" s="1">
        <f t="shared" ca="1" si="44"/>
        <v>39</v>
      </c>
      <c r="T2132" s="1">
        <f ca="1">IF(OR(COUNT(O2132:R2132)&lt;&gt;4,COUNT('Top 25'!$B$45:$E$45)&lt;&gt;4,MIN('Top 25'!$B$45:$E$45)&lt;0,SUM('Top 25'!$B$45:$E$45)&lt;=0),"",ROUND(85*(O2132/30*'Top 25'!$B$45+P2132/25*'Top 25'!$C$45+Q2132/25*'Top 25'!$D$45+R2132/5*'Top 25'!$E$45)/SUM('Top 25'!$B$45:$E$45),6))</f>
        <v>39</v>
      </c>
      <c r="U2132" s="1" t="str">
        <f t="shared" ca="1" si="45"/>
        <v>Listed</v>
      </c>
      <c r="V2132" s="1" t="str">
        <f ca="1">IF(A2132="","",IF(AK2132&lt;&gt;1,"Duplicate source ID",IF(COUNTIFS('Staff Review'!$A$8:$A$507,A2132)&gt;1,"Duplicate review ID",IF(H2132&lt;&gt;"Yes","Outside scope",IF(J2132="Yes","Already served",IF(NOT(ISNUMBER(T2132)),"Missing data","Candidate"))))))</f>
        <v>Candidate</v>
      </c>
      <c r="W2132" s="1">
        <f t="shared" ca="1" si="46"/>
        <v>165</v>
      </c>
      <c r="X2132" s="1">
        <f t="shared" ca="1" si="47"/>
        <v>148</v>
      </c>
      <c r="Y2132" s="1">
        <f ca="1">IF(AND(H2132="Yes",OR(LEN('School Search'!$B$5)=0,ISNUMBER(SEARCH('School Search'!$B$5,B2132&amp;" "&amp;E2132&amp;" "&amp;A2132))),OR('School Search'!$D$5="All",C2132='School Search'!$D$5),OR('School Search'!$G$5="All eligible",AND('School Search'!$G$5="Not marked served",J2132&lt;&gt;"Yes"),AND('School Search'!$G$5="Missing data",V2132="Missing data"),AND('School Search'!$G$5="Marked served",J2132="Yes"))),1,0)</f>
        <v>1</v>
      </c>
      <c r="Z2132" s="1">
        <f ca="1">IF(Y2132=0,"",COUNTIFS($Y$2051:$Y$2550,1,$AO$2051:$AO$2550,"&lt;"&amp;AO2132)+COUNTIFS($Y$2051:Y2132,1,$AO$2051:AO2132,AO2132))</f>
        <v>165</v>
      </c>
      <c r="AA2132" s="1" t="str">
        <f t="shared" ca="1" si="48"/>
        <v>75% economic need; 0.61 mi fresh access; 10 nearby resources</v>
      </c>
      <c r="AB2132" s="1">
        <f t="shared" si="49"/>
        <v>82</v>
      </c>
      <c r="AC2132" s="1" t="str">
        <f t="shared" si="50"/>
        <v>Shoprite of Oregon 420</v>
      </c>
      <c r="AD2132" s="1" t="str">
        <f t="shared" si="51"/>
        <v>24th St &amp; Oregon Ave, Philadelphia, PA, 19145</v>
      </c>
      <c r="AE2132" s="1" t="str">
        <f t="shared" si="52"/>
        <v>1928 POINT BREEZE AVE</v>
      </c>
      <c r="AF2132" s="1">
        <f t="shared" si="53"/>
        <v>39.92845355</v>
      </c>
      <c r="AG2132" s="1">
        <f t="shared" si="54"/>
        <v>-75.186656859999999</v>
      </c>
      <c r="AH2132" s="1" t="str">
        <f>IF(I2132=0,"Not contacted",IF(INDEX('Staff Review'!$J$8:$J$507,I2132)="","Not contacted",INDEX('Staff Review'!$J$8:$J$507,I2132)))</f>
        <v>Not contacted</v>
      </c>
      <c r="AI2132" s="1" t="str">
        <f ca="1">IF(I2132=0,"No",IF(AND(COUNT(INDEX('Staff Review'!$D$8:$D$507,I2132))=1,INDEX('Staff Review'!$D$8:$D$507,I2132)&gt;=0,COUNT(INDEX('Staff Review'!$E$8:$E$507,I2132))=1,INDEX('Staff Review'!$E$8:$E$507,I2132)&gt;0,INDEX('Staff Review'!$E$8:$E$507,I2132)&lt;='Top 25'!$E$5,'Top 25'!$E$5-INDEX('Staff Review'!$E$8:$E$507,I2132)&lt;='Top 25'!$H$5,LEN(INDEX('Staff Review'!$H$8:$H$507,I2132))&gt;0),"Yes","No"))</f>
        <v>No</v>
      </c>
      <c r="AJ2132" s="1" t="str">
        <f>IF(I2132=0,"No",IF(COUNT(INDEX('Staff Review'!$F$8:$F$507,I2132))&lt;&gt;1,"No",IF(AND(INDEX('Staff Review'!$F$8:$F$507,I2132)&gt;=0,MOD(INDEX('Staff Review'!$F$8:$F$507,I2132),1)=0,COUNT(INDEX('Staff Review'!$G$8:$G$507,I2132))=1,INDEX('Staff Review'!$G$8:$G$507,I2132)&gt;0,INDEX('Staff Review'!$G$8:$G$507,I2132)&lt;='Top 25'!$E$5,'Top 25'!$E$5-INDEX('Staff Review'!$G$8:$G$507,I2132)&lt;='Top 25'!$H$5,LEN(INDEX('Staff Review'!$H$8:$H$507,I2132))&gt;0),"Yes","No")))</f>
        <v>No</v>
      </c>
      <c r="AK2132" s="1">
        <f t="shared" si="55"/>
        <v>1</v>
      </c>
      <c r="AL2132" s="1">
        <f t="shared" ca="1" si="56"/>
        <v>1</v>
      </c>
      <c r="AM2132" s="1">
        <f t="shared" si="57"/>
        <v>3313</v>
      </c>
      <c r="AN2132" s="1">
        <f t="shared" si="58"/>
        <v>82</v>
      </c>
      <c r="AO2132">
        <f t="shared" ca="1" si="59"/>
        <v>165</v>
      </c>
      <c r="AP2132" s="105">
        <f ca="1">IF(AND(AL2132=1,OR('Top 25'!$A$10="All",C2132='Top 25'!$A$10),OR('Top 25'!$D$10="All",D2132='Top 25'!$D$10)),1,0)</f>
        <v>0</v>
      </c>
      <c r="AQ2132" s="105" t="str">
        <f ca="1">IF(AP2132=0,"",CHOOSE(MATCH('Top 25'!$G$10,{"Priority score","Economic need","Enrollment","Fresh miles","Nearby resources"},0),T2132,G2132,F2132,K2132,L2132))</f>
        <v/>
      </c>
      <c r="AR2132" s="105" t="str">
        <f ca="1">IF(AP2132=0,"",1+COUNTIFS($AP$2051:$AP$2550,1,$AQ$2051:$AQ$2550,IF('Top 25'!$J$10="Ascending","&lt;","&gt;")&amp;AQ2132)+COUNTIFS($AP$2051:$AP$2550,1,$AQ$2051:$AQ$2550,AQ2132,$W$2051:$W$2550,"&lt;"&amp;W2132))</f>
        <v/>
      </c>
      <c r="AT2132" s="105">
        <f ca="1">IF(AND(AL2132=1,OR(Master_rankableSchools!$A$10="All",C2132=Master_rankableSchools!$A$10),OR(Master_rankableSchools!$D$10="All",D2132=Master_rankableSchools!$D$10)),1,0)</f>
        <v>1</v>
      </c>
      <c r="AU2132" s="105">
        <f ca="1">IF(AT2132=0,"",CHOOSE(MATCH(Master_rankableSchools!$G$10,{"Priority score","Economic need","Enrollment","Fresh miles","Nearby resources"},0),T2132,G2132,F2132,K2132,L2132))</f>
        <v>39</v>
      </c>
      <c r="AV2132" s="105">
        <f ca="1">IF(AT2132=0,"",1+COUNTIFS($AT$2051:$AT$2550,1,$AU$2051:$AU$2550,IF(Master_rankableSchools!$J$10="Ascending","&lt;","&gt;")&amp;AU2132)+COUNTIFS($AT$2051:$AT$2550,1,$AU$2051:$AU$2550,AU2132,$W$2051:$W$2550,"&lt;"&amp;W2132))</f>
        <v>165</v>
      </c>
    </row>
    <row r="2133" spans="1:48" ht="22" customHeight="1">
      <c r="A2133" s="1" t="str">
        <f t="shared" si="30"/>
        <v>3314</v>
      </c>
      <c r="B2133" s="1" t="str">
        <f t="shared" si="31"/>
        <v>West Oak Lane Charter School</v>
      </c>
      <c r="C2133" s="1" t="str">
        <f t="shared" si="32"/>
        <v>Charter</v>
      </c>
      <c r="D2133" s="1" t="str">
        <f t="shared" si="33"/>
        <v>Elementary-Middle</v>
      </c>
      <c r="E2133" s="1" t="str">
        <f t="shared" si="34"/>
        <v>19138</v>
      </c>
      <c r="F2133" s="1">
        <f t="shared" si="35"/>
        <v>1007</v>
      </c>
      <c r="G2133" s="1">
        <f t="shared" si="36"/>
        <v>0.9637</v>
      </c>
      <c r="H2133" s="1" t="str">
        <f t="shared" si="37"/>
        <v>Yes</v>
      </c>
      <c r="I2133" s="1">
        <f>IF(OR(A2133="",COUNTIFS('Staff Review'!$A$8:$A$507,A2133)&lt;&gt;1),0,MATCH(A2133,'Staff Review'!$A$8:$A$507,0))</f>
        <v>308</v>
      </c>
      <c r="J2133" s="1" t="str">
        <f>IF(I2133=0,"No",IF(INDEX('Staff Review'!$C$8:$C$507,I2133)="Yes","Yes","No"))</f>
        <v>No</v>
      </c>
      <c r="K2133" s="1">
        <f ca="1">IF(AI2133="Yes",INDEX('Staff Review'!$D$8:$D$507,I2133),IF(AB2133=0,"",IF(COUNT(INDEX($C$1531:$C$2030,AB2133))=1,INDEX($C$1531:$C$2030,AB2133),"")))</f>
        <v>0.78787322910509983</v>
      </c>
      <c r="L2133" s="1">
        <f>IF(AJ2133="Yes",INDEX('Staff Review'!$F$8:$F$507,I2133),IF(AB2133=0,"",IF(COUNT(INDEX($G$1531:$G$2030,AB2133))=1,INDEX($G$1531:$G$2030,AB2133),"")))</f>
        <v>8</v>
      </c>
      <c r="M2133" s="1" t="str">
        <f t="shared" ca="1" si="38"/>
        <v>Listed</v>
      </c>
      <c r="N2133" s="1" t="str">
        <f t="shared" si="39"/>
        <v>Listed</v>
      </c>
      <c r="O2133" s="1">
        <f t="shared" si="40"/>
        <v>30</v>
      </c>
      <c r="P2133" s="1">
        <f t="shared" ca="1" si="41"/>
        <v>20</v>
      </c>
      <c r="Q2133" s="1">
        <f t="shared" si="42"/>
        <v>0</v>
      </c>
      <c r="R2133" s="1">
        <f t="shared" si="43"/>
        <v>5</v>
      </c>
      <c r="S2133" s="1">
        <f t="shared" ca="1" si="44"/>
        <v>55</v>
      </c>
      <c r="T2133" s="1">
        <f ca="1">IF(OR(COUNT(O2133:R2133)&lt;&gt;4,COUNT('Top 25'!$B$45:$E$45)&lt;&gt;4,MIN('Top 25'!$B$45:$E$45)&lt;0,SUM('Top 25'!$B$45:$E$45)&lt;=0),"",ROUND(85*(O2133/30*'Top 25'!$B$45+P2133/25*'Top 25'!$C$45+Q2133/25*'Top 25'!$D$45+R2133/5*'Top 25'!$E$45)/SUM('Top 25'!$B$45:$E$45),6))</f>
        <v>55</v>
      </c>
      <c r="U2133" s="1" t="str">
        <f t="shared" ca="1" si="45"/>
        <v>Listed</v>
      </c>
      <c r="V2133" s="1" t="str">
        <f ca="1">IF(A2133="","",IF(AK2133&lt;&gt;1,"Duplicate source ID",IF(COUNTIFS('Staff Review'!$A$8:$A$507,A2133)&gt;1,"Duplicate review ID",IF(H2133&lt;&gt;"Yes","Outside scope",IF(J2133="Yes","Already served",IF(NOT(ISNUMBER(T2133)),"Missing data","Candidate"))))))</f>
        <v>Candidate</v>
      </c>
      <c r="W2133" s="1">
        <f t="shared" ca="1" si="46"/>
        <v>24</v>
      </c>
      <c r="X2133" s="1">
        <f t="shared" ca="1" si="47"/>
        <v>24</v>
      </c>
      <c r="Y2133" s="1">
        <f ca="1">IF(AND(H2133="Yes",OR(LEN('School Search'!$B$5)=0,ISNUMBER(SEARCH('School Search'!$B$5,B2133&amp;" "&amp;E2133&amp;" "&amp;A2133))),OR('School Search'!$D$5="All",C2133='School Search'!$D$5),OR('School Search'!$G$5="All eligible",AND('School Search'!$G$5="Not marked served",J2133&lt;&gt;"Yes"),AND('School Search'!$G$5="Missing data",V2133="Missing data"),AND('School Search'!$G$5="Marked served",J2133="Yes"))),1,0)</f>
        <v>1</v>
      </c>
      <c r="Z2133" s="1">
        <f ca="1">IF(Y2133=0,"",COUNTIFS($Y$2051:$Y$2550,1,$AO$2051:$AO$2550,"&lt;"&amp;AO2133)+COUNTIFS($Y$2051:Y2133,1,$AO$2051:AO2133,AO2133))</f>
        <v>24</v>
      </c>
      <c r="AA2133" s="1" t="str">
        <f t="shared" ca="1" si="48"/>
        <v>96% economic need; 0.79 mi fresh access; 8 nearby resources</v>
      </c>
      <c r="AB2133" s="1">
        <f t="shared" si="49"/>
        <v>83</v>
      </c>
      <c r="AC2133" s="1" t="str">
        <f t="shared" si="50"/>
        <v>Save A Lot 45141</v>
      </c>
      <c r="AD2133" s="1" t="str">
        <f t="shared" si="51"/>
        <v>6301 Chew Ave, Philadelphia, PA, 19138</v>
      </c>
      <c r="AE2133" s="1" t="str">
        <f t="shared" si="52"/>
        <v>7115 STENTON AVE</v>
      </c>
      <c r="AF2133" s="1">
        <f t="shared" si="53"/>
        <v>40.059363580000003</v>
      </c>
      <c r="AG2133" s="1">
        <f t="shared" si="54"/>
        <v>-75.163637980000004</v>
      </c>
      <c r="AH2133" s="1" t="str">
        <f>IF(I2133=0,"Not contacted",IF(INDEX('Staff Review'!$J$8:$J$507,I2133)="","Not contacted",INDEX('Staff Review'!$J$8:$J$507,I2133)))</f>
        <v>Not contacted</v>
      </c>
      <c r="AI2133" s="1" t="str">
        <f ca="1">IF(I2133=0,"No",IF(AND(COUNT(INDEX('Staff Review'!$D$8:$D$507,I2133))=1,INDEX('Staff Review'!$D$8:$D$507,I2133)&gt;=0,COUNT(INDEX('Staff Review'!$E$8:$E$507,I2133))=1,INDEX('Staff Review'!$E$8:$E$507,I2133)&gt;0,INDEX('Staff Review'!$E$8:$E$507,I2133)&lt;='Top 25'!$E$5,'Top 25'!$E$5-INDEX('Staff Review'!$E$8:$E$507,I2133)&lt;='Top 25'!$H$5,LEN(INDEX('Staff Review'!$H$8:$H$507,I2133))&gt;0),"Yes","No"))</f>
        <v>No</v>
      </c>
      <c r="AJ2133" s="1" t="str">
        <f>IF(I2133=0,"No",IF(COUNT(INDEX('Staff Review'!$F$8:$F$507,I2133))&lt;&gt;1,"No",IF(AND(INDEX('Staff Review'!$F$8:$F$507,I2133)&gt;=0,MOD(INDEX('Staff Review'!$F$8:$F$507,I2133),1)=0,COUNT(INDEX('Staff Review'!$G$8:$G$507,I2133))=1,INDEX('Staff Review'!$G$8:$G$507,I2133)&gt;0,INDEX('Staff Review'!$G$8:$G$507,I2133)&lt;='Top 25'!$E$5,'Top 25'!$E$5-INDEX('Staff Review'!$G$8:$G$507,I2133)&lt;='Top 25'!$H$5,LEN(INDEX('Staff Review'!$H$8:$H$507,I2133))&gt;0),"Yes","No")))</f>
        <v>No</v>
      </c>
      <c r="AK2133" s="1">
        <f t="shared" si="55"/>
        <v>1</v>
      </c>
      <c r="AL2133" s="1">
        <f t="shared" ca="1" si="56"/>
        <v>1</v>
      </c>
      <c r="AM2133" s="1">
        <f t="shared" si="57"/>
        <v>3314</v>
      </c>
      <c r="AN2133" s="1">
        <f t="shared" si="58"/>
        <v>83</v>
      </c>
      <c r="AO2133">
        <f t="shared" ca="1" si="59"/>
        <v>24</v>
      </c>
      <c r="AP2133" s="105">
        <f ca="1">IF(AND(AL2133=1,OR('Top 25'!$A$10="All",C2133='Top 25'!$A$10),OR('Top 25'!$D$10="All",D2133='Top 25'!$D$10)),1,0)</f>
        <v>0</v>
      </c>
      <c r="AQ2133" s="105" t="str">
        <f ca="1">IF(AP2133=0,"",CHOOSE(MATCH('Top 25'!$G$10,{"Priority score","Economic need","Enrollment","Fresh miles","Nearby resources"},0),T2133,G2133,F2133,K2133,L2133))</f>
        <v/>
      </c>
      <c r="AR2133" s="105" t="str">
        <f ca="1">IF(AP2133=0,"",1+COUNTIFS($AP$2051:$AP$2550,1,$AQ$2051:$AQ$2550,IF('Top 25'!$J$10="Ascending","&lt;","&gt;")&amp;AQ2133)+COUNTIFS($AP$2051:$AP$2550,1,$AQ$2051:$AQ$2550,AQ2133,$W$2051:$W$2550,"&lt;"&amp;W2133))</f>
        <v/>
      </c>
      <c r="AT2133" s="105">
        <f ca="1">IF(AND(AL2133=1,OR(Master_rankableSchools!$A$10="All",C2133=Master_rankableSchools!$A$10),OR(Master_rankableSchools!$D$10="All",D2133=Master_rankableSchools!$D$10)),1,0)</f>
        <v>1</v>
      </c>
      <c r="AU2133" s="105">
        <f ca="1">IF(AT2133=0,"",CHOOSE(MATCH(Master_rankableSchools!$G$10,{"Priority score","Economic need","Enrollment","Fresh miles","Nearby resources"},0),T2133,G2133,F2133,K2133,L2133))</f>
        <v>55</v>
      </c>
      <c r="AV2133" s="105">
        <f ca="1">IF(AT2133=0,"",1+COUNTIFS($AT$2051:$AT$2550,1,$AU$2051:$AU$2550,IF(Master_rankableSchools!$J$10="Ascending","&lt;","&gt;")&amp;AU2133)+COUNTIFS($AT$2051:$AT$2550,1,$AU$2051:$AU$2550,AU2133,$W$2051:$W$2550,"&lt;"&amp;W2133))</f>
        <v>24</v>
      </c>
    </row>
    <row r="2134" spans="1:48" ht="22" customHeight="1">
      <c r="A2134" s="1" t="str">
        <f t="shared" si="30"/>
        <v>3315</v>
      </c>
      <c r="B2134" s="1" t="str">
        <f t="shared" si="31"/>
        <v>Alliance For Progress Charter School</v>
      </c>
      <c r="C2134" s="1" t="str">
        <f t="shared" si="32"/>
        <v>Charter</v>
      </c>
      <c r="D2134" s="1" t="str">
        <f t="shared" si="33"/>
        <v>Elementary-Middle</v>
      </c>
      <c r="E2134" s="1" t="str">
        <f t="shared" si="34"/>
        <v>19121</v>
      </c>
      <c r="F2134" s="1">
        <f t="shared" si="35"/>
        <v>616</v>
      </c>
      <c r="G2134" s="1">
        <f t="shared" si="36"/>
        <v>0.92700000000000005</v>
      </c>
      <c r="H2134" s="1" t="str">
        <f t="shared" si="37"/>
        <v>Yes</v>
      </c>
      <c r="I2134" s="1">
        <f>IF(OR(A2134="",COUNTIFS('Staff Review'!$A$8:$A$507,A2134)&lt;&gt;1),0,MATCH(A2134,'Staff Review'!$A$8:$A$507,0))</f>
        <v>15</v>
      </c>
      <c r="J2134" s="1" t="str">
        <f>IF(I2134=0,"No",IF(INDEX('Staff Review'!$C$8:$C$507,I2134)="Yes","Yes","No"))</f>
        <v>No</v>
      </c>
      <c r="K2134" s="1">
        <f ca="1">IF(AI2134="Yes",INDEX('Staff Review'!$D$8:$D$507,I2134),IF(AB2134=0,"",IF(COUNT(INDEX($C$1531:$C$2030,AB2134))=1,INDEX($C$1531:$C$2030,AB2134),"")))</f>
        <v>0.21729732764076798</v>
      </c>
      <c r="L2134" s="1">
        <f>IF(AJ2134="Yes",INDEX('Staff Review'!$F$8:$F$507,I2134),IF(AB2134=0,"",IF(COUNT(INDEX($G$1531:$G$2030,AB2134))=1,INDEX($G$1531:$G$2030,AB2134),"")))</f>
        <v>14</v>
      </c>
      <c r="M2134" s="1" t="str">
        <f t="shared" ca="1" si="38"/>
        <v>Listed</v>
      </c>
      <c r="N2134" s="1" t="str">
        <f t="shared" si="39"/>
        <v>Listed</v>
      </c>
      <c r="O2134" s="1">
        <f t="shared" si="40"/>
        <v>30</v>
      </c>
      <c r="P2134" s="1">
        <f t="shared" ca="1" si="41"/>
        <v>5</v>
      </c>
      <c r="Q2134" s="1">
        <f t="shared" si="42"/>
        <v>0</v>
      </c>
      <c r="R2134" s="1">
        <f t="shared" si="43"/>
        <v>4</v>
      </c>
      <c r="S2134" s="1">
        <f t="shared" ca="1" si="44"/>
        <v>39</v>
      </c>
      <c r="T2134" s="1">
        <f ca="1">IF(OR(COUNT(O2134:R2134)&lt;&gt;4,COUNT('Top 25'!$B$45:$E$45)&lt;&gt;4,MIN('Top 25'!$B$45:$E$45)&lt;0,SUM('Top 25'!$B$45:$E$45)&lt;=0),"",ROUND(85*(O2134/30*'Top 25'!$B$45+P2134/25*'Top 25'!$C$45+Q2134/25*'Top 25'!$D$45+R2134/5*'Top 25'!$E$45)/SUM('Top 25'!$B$45:$E$45),6))</f>
        <v>39</v>
      </c>
      <c r="U2134" s="1" t="str">
        <f t="shared" ca="1" si="45"/>
        <v>Listed</v>
      </c>
      <c r="V2134" s="1" t="str">
        <f ca="1">IF(A2134="","",IF(AK2134&lt;&gt;1,"Duplicate source ID",IF(COUNTIFS('Staff Review'!$A$8:$A$507,A2134)&gt;1,"Duplicate review ID",IF(H2134&lt;&gt;"Yes","Outside scope",IF(J2134="Yes","Already served",IF(NOT(ISNUMBER(T2134)),"Missing data","Candidate"))))))</f>
        <v>Candidate</v>
      </c>
      <c r="W2134" s="1">
        <f t="shared" ca="1" si="46"/>
        <v>149</v>
      </c>
      <c r="X2134" s="1">
        <f t="shared" ca="1" si="47"/>
        <v>148</v>
      </c>
      <c r="Y2134" s="1">
        <f ca="1">IF(AND(H2134="Yes",OR(LEN('School Search'!$B$5)=0,ISNUMBER(SEARCH('School Search'!$B$5,B2134&amp;" "&amp;E2134&amp;" "&amp;A2134))),OR('School Search'!$D$5="All",C2134='School Search'!$D$5),OR('School Search'!$G$5="All eligible",AND('School Search'!$G$5="Not marked served",J2134&lt;&gt;"Yes"),AND('School Search'!$G$5="Missing data",V2134="Missing data"),AND('School Search'!$G$5="Marked served",J2134="Yes"))),1,0)</f>
        <v>1</v>
      </c>
      <c r="Z2134" s="1">
        <f ca="1">IF(Y2134=0,"",COUNTIFS($Y$2051:$Y$2550,1,$AO$2051:$AO$2550,"&lt;"&amp;AO2134)+COUNTIFS($Y$2051:Y2134,1,$AO$2051:AO2134,AO2134))</f>
        <v>149</v>
      </c>
      <c r="AA2134" s="1" t="str">
        <f t="shared" ca="1" si="48"/>
        <v>93% economic need; 0.22 mi fresh access; 14 nearby resources</v>
      </c>
      <c r="AB2134" s="1">
        <f t="shared" si="49"/>
        <v>84</v>
      </c>
      <c r="AC2134" s="1" t="str">
        <f t="shared" si="50"/>
        <v>Grocery Outlet</v>
      </c>
      <c r="AD2134" s="1" t="str">
        <f t="shared" si="51"/>
        <v>2077 Ridge Ave, Philadelphia, PA, 19121</v>
      </c>
      <c r="AE2134" s="1" t="str">
        <f t="shared" si="52"/>
        <v>1722 CECIL B MOORE AVE</v>
      </c>
      <c r="AF2134" s="1">
        <f t="shared" si="53"/>
        <v>39.979731000000001</v>
      </c>
      <c r="AG2134" s="1">
        <f t="shared" si="54"/>
        <v>-75.165470999999997</v>
      </c>
      <c r="AH2134" s="1" t="str">
        <f>IF(I2134=0,"Not contacted",IF(INDEX('Staff Review'!$J$8:$J$507,I2134)="","Not contacted",INDEX('Staff Review'!$J$8:$J$507,I2134)))</f>
        <v>Not contacted</v>
      </c>
      <c r="AI2134" s="1" t="str">
        <f ca="1">IF(I2134=0,"No",IF(AND(COUNT(INDEX('Staff Review'!$D$8:$D$507,I2134))=1,INDEX('Staff Review'!$D$8:$D$507,I2134)&gt;=0,COUNT(INDEX('Staff Review'!$E$8:$E$507,I2134))=1,INDEX('Staff Review'!$E$8:$E$507,I2134)&gt;0,INDEX('Staff Review'!$E$8:$E$507,I2134)&lt;='Top 25'!$E$5,'Top 25'!$E$5-INDEX('Staff Review'!$E$8:$E$507,I2134)&lt;='Top 25'!$H$5,LEN(INDEX('Staff Review'!$H$8:$H$507,I2134))&gt;0),"Yes","No"))</f>
        <v>No</v>
      </c>
      <c r="AJ2134" s="1" t="str">
        <f>IF(I2134=0,"No",IF(COUNT(INDEX('Staff Review'!$F$8:$F$507,I2134))&lt;&gt;1,"No",IF(AND(INDEX('Staff Review'!$F$8:$F$507,I2134)&gt;=0,MOD(INDEX('Staff Review'!$F$8:$F$507,I2134),1)=0,COUNT(INDEX('Staff Review'!$G$8:$G$507,I2134))=1,INDEX('Staff Review'!$G$8:$G$507,I2134)&gt;0,INDEX('Staff Review'!$G$8:$G$507,I2134)&lt;='Top 25'!$E$5,'Top 25'!$E$5-INDEX('Staff Review'!$G$8:$G$507,I2134)&lt;='Top 25'!$H$5,LEN(INDEX('Staff Review'!$H$8:$H$507,I2134))&gt;0),"Yes","No")))</f>
        <v>No</v>
      </c>
      <c r="AK2134" s="1">
        <f t="shared" si="55"/>
        <v>1</v>
      </c>
      <c r="AL2134" s="1">
        <f t="shared" ca="1" si="56"/>
        <v>1</v>
      </c>
      <c r="AM2134" s="1">
        <f t="shared" si="57"/>
        <v>3315</v>
      </c>
      <c r="AN2134" s="1">
        <f t="shared" si="58"/>
        <v>84</v>
      </c>
      <c r="AO2134">
        <f t="shared" ca="1" si="59"/>
        <v>149</v>
      </c>
      <c r="AP2134" s="105">
        <f ca="1">IF(AND(AL2134=1,OR('Top 25'!$A$10="All",C2134='Top 25'!$A$10),OR('Top 25'!$D$10="All",D2134='Top 25'!$D$10)),1,0)</f>
        <v>0</v>
      </c>
      <c r="AQ2134" s="105" t="str">
        <f ca="1">IF(AP2134=0,"",CHOOSE(MATCH('Top 25'!$G$10,{"Priority score","Economic need","Enrollment","Fresh miles","Nearby resources"},0),T2134,G2134,F2134,K2134,L2134))</f>
        <v/>
      </c>
      <c r="AR2134" s="105" t="str">
        <f ca="1">IF(AP2134=0,"",1+COUNTIFS($AP$2051:$AP$2550,1,$AQ$2051:$AQ$2550,IF('Top 25'!$J$10="Ascending","&lt;","&gt;")&amp;AQ2134)+COUNTIFS($AP$2051:$AP$2550,1,$AQ$2051:$AQ$2550,AQ2134,$W$2051:$W$2550,"&lt;"&amp;W2134))</f>
        <v/>
      </c>
      <c r="AT2134" s="105">
        <f ca="1">IF(AND(AL2134=1,OR(Master_rankableSchools!$A$10="All",C2134=Master_rankableSchools!$A$10),OR(Master_rankableSchools!$D$10="All",D2134=Master_rankableSchools!$D$10)),1,0)</f>
        <v>1</v>
      </c>
      <c r="AU2134" s="105">
        <f ca="1">IF(AT2134=0,"",CHOOSE(MATCH(Master_rankableSchools!$G$10,{"Priority score","Economic need","Enrollment","Fresh miles","Nearby resources"},0),T2134,G2134,F2134,K2134,L2134))</f>
        <v>39</v>
      </c>
      <c r="AV2134" s="105">
        <f ca="1">IF(AT2134=0,"",1+COUNTIFS($AT$2051:$AT$2550,1,$AU$2051:$AU$2550,IF(Master_rankableSchools!$J$10="Ascending","&lt;","&gt;")&amp;AU2134)+COUNTIFS($AT$2051:$AT$2550,1,$AU$2051:$AU$2550,AU2134,$W$2051:$W$2550,"&lt;"&amp;W2134))</f>
        <v>149</v>
      </c>
    </row>
    <row r="2135" spans="1:48" ht="22" customHeight="1">
      <c r="A2135" s="1" t="str">
        <f t="shared" si="30"/>
        <v>3318</v>
      </c>
      <c r="B2135" s="1" t="str">
        <f t="shared" si="31"/>
        <v>Freire Charter School</v>
      </c>
      <c r="C2135" s="1" t="str">
        <f t="shared" si="32"/>
        <v>Charter</v>
      </c>
      <c r="D2135" s="1" t="str">
        <f t="shared" si="33"/>
        <v>Middle-High</v>
      </c>
      <c r="E2135" s="1" t="str">
        <f t="shared" si="34"/>
        <v>19103</v>
      </c>
      <c r="F2135" s="1">
        <f t="shared" si="35"/>
        <v>1072</v>
      </c>
      <c r="G2135" s="1">
        <f t="shared" si="36"/>
        <v>0.74880000000000002</v>
      </c>
      <c r="H2135" s="1" t="str">
        <f t="shared" si="37"/>
        <v>Yes</v>
      </c>
      <c r="I2135" s="1">
        <f>IF(OR(A2135="",COUNTIFS('Staff Review'!$A$8:$A$507,A2135)&lt;&gt;1),0,MATCH(A2135,'Staff Review'!$A$8:$A$507,0))</f>
        <v>87</v>
      </c>
      <c r="J2135" s="1" t="str">
        <f>IF(I2135=0,"No",IF(INDEX('Staff Review'!$C$8:$C$507,I2135)="Yes","Yes","No"))</f>
        <v>No</v>
      </c>
      <c r="K2135" s="1">
        <f ca="1">IF(AI2135="Yes",INDEX('Staff Review'!$D$8:$D$507,I2135),IF(AB2135=0,"",IF(COUNT(INDEX($C$1531:$C$2030,AB2135))=1,INDEX($C$1531:$C$2030,AB2135),"")))</f>
        <v>0.13231860273611198</v>
      </c>
      <c r="L2135" s="1">
        <f>IF(AJ2135="Yes",INDEX('Staff Review'!$F$8:$F$507,I2135),IF(AB2135=0,"",IF(COUNT(INDEX($G$1531:$G$2030,AB2135))=1,INDEX($G$1531:$G$2030,AB2135),"")))</f>
        <v>5</v>
      </c>
      <c r="M2135" s="1" t="str">
        <f t="shared" ca="1" si="38"/>
        <v>Listed</v>
      </c>
      <c r="N2135" s="1" t="str">
        <f t="shared" si="39"/>
        <v>Listed</v>
      </c>
      <c r="O2135" s="1">
        <f t="shared" si="40"/>
        <v>20</v>
      </c>
      <c r="P2135" s="1">
        <f t="shared" ca="1" si="41"/>
        <v>5</v>
      </c>
      <c r="Q2135" s="1">
        <f t="shared" si="42"/>
        <v>0</v>
      </c>
      <c r="R2135" s="1">
        <f t="shared" si="43"/>
        <v>5</v>
      </c>
      <c r="S2135" s="1">
        <f t="shared" ca="1" si="44"/>
        <v>30</v>
      </c>
      <c r="T2135" s="1">
        <f ca="1">IF(OR(COUNT(O2135:R2135)&lt;&gt;4,COUNT('Top 25'!$B$45:$E$45)&lt;&gt;4,MIN('Top 25'!$B$45:$E$45)&lt;0,SUM('Top 25'!$B$45:$E$45)&lt;=0),"",ROUND(85*(O2135/30*'Top 25'!$B$45+P2135/25*'Top 25'!$C$45+Q2135/25*'Top 25'!$D$45+R2135/5*'Top 25'!$E$45)/SUM('Top 25'!$B$45:$E$45),6))</f>
        <v>30</v>
      </c>
      <c r="U2135" s="1" t="str">
        <f t="shared" ca="1" si="45"/>
        <v>Listed</v>
      </c>
      <c r="V2135" s="1" t="str">
        <f ca="1">IF(A2135="","",IF(AK2135&lt;&gt;1,"Duplicate source ID",IF(COUNTIFS('Staff Review'!$A$8:$A$507,A2135)&gt;1,"Duplicate review ID",IF(H2135&lt;&gt;"Yes","Outside scope",IF(J2135="Yes","Already served",IF(NOT(ISNUMBER(T2135)),"Missing data","Candidate"))))))</f>
        <v>Candidate</v>
      </c>
      <c r="W2135" s="1">
        <f t="shared" ca="1" si="46"/>
        <v>256</v>
      </c>
      <c r="X2135" s="1">
        <f t="shared" ca="1" si="47"/>
        <v>253</v>
      </c>
      <c r="Y2135" s="1">
        <f ca="1">IF(AND(H2135="Yes",OR(LEN('School Search'!$B$5)=0,ISNUMBER(SEARCH('School Search'!$B$5,B2135&amp;" "&amp;E2135&amp;" "&amp;A2135))),OR('School Search'!$D$5="All",C2135='School Search'!$D$5),OR('School Search'!$G$5="All eligible",AND('School Search'!$G$5="Not marked served",J2135&lt;&gt;"Yes"),AND('School Search'!$G$5="Missing data",V2135="Missing data"),AND('School Search'!$G$5="Marked served",J2135="Yes"))),1,0)</f>
        <v>1</v>
      </c>
      <c r="Z2135" s="1">
        <f ca="1">IF(Y2135=0,"",COUNTIFS($Y$2051:$Y$2550,1,$AO$2051:$AO$2550,"&lt;"&amp;AO2135)+COUNTIFS($Y$2051:Y2135,1,$AO$2051:AO2135,AO2135))</f>
        <v>256</v>
      </c>
      <c r="AA2135" s="1" t="str">
        <f t="shared" ca="1" si="48"/>
        <v>75% economic need; 0.13 mi fresh access; 5 nearby resources</v>
      </c>
      <c r="AB2135" s="1">
        <f t="shared" si="49"/>
        <v>85</v>
      </c>
      <c r="AC2135" s="1" t="str">
        <f t="shared" si="50"/>
        <v>Target 3206</v>
      </c>
      <c r="AD2135" s="1" t="str">
        <f t="shared" si="51"/>
        <v>1900 Chestnut St, Philadelphia, PA, 19103</v>
      </c>
      <c r="AE2135" s="1" t="str">
        <f t="shared" si="52"/>
        <v>2027 CHESTNUT ST</v>
      </c>
      <c r="AF2135" s="1">
        <f t="shared" si="53"/>
        <v>39.952472890000003</v>
      </c>
      <c r="AG2135" s="1">
        <f t="shared" si="54"/>
        <v>-75.174422590000006</v>
      </c>
      <c r="AH2135" s="1" t="str">
        <f>IF(I2135=0,"Not contacted",IF(INDEX('Staff Review'!$J$8:$J$507,I2135)="","Not contacted",INDEX('Staff Review'!$J$8:$J$507,I2135)))</f>
        <v>Not contacted</v>
      </c>
      <c r="AI2135" s="1" t="str">
        <f ca="1">IF(I2135=0,"No",IF(AND(COUNT(INDEX('Staff Review'!$D$8:$D$507,I2135))=1,INDEX('Staff Review'!$D$8:$D$507,I2135)&gt;=0,COUNT(INDEX('Staff Review'!$E$8:$E$507,I2135))=1,INDEX('Staff Review'!$E$8:$E$507,I2135)&gt;0,INDEX('Staff Review'!$E$8:$E$507,I2135)&lt;='Top 25'!$E$5,'Top 25'!$E$5-INDEX('Staff Review'!$E$8:$E$507,I2135)&lt;='Top 25'!$H$5,LEN(INDEX('Staff Review'!$H$8:$H$507,I2135))&gt;0),"Yes","No"))</f>
        <v>No</v>
      </c>
      <c r="AJ2135" s="1" t="str">
        <f>IF(I2135=0,"No",IF(COUNT(INDEX('Staff Review'!$F$8:$F$507,I2135))&lt;&gt;1,"No",IF(AND(INDEX('Staff Review'!$F$8:$F$507,I2135)&gt;=0,MOD(INDEX('Staff Review'!$F$8:$F$507,I2135),1)=0,COUNT(INDEX('Staff Review'!$G$8:$G$507,I2135))=1,INDEX('Staff Review'!$G$8:$G$507,I2135)&gt;0,INDEX('Staff Review'!$G$8:$G$507,I2135)&lt;='Top 25'!$E$5,'Top 25'!$E$5-INDEX('Staff Review'!$G$8:$G$507,I2135)&lt;='Top 25'!$H$5,LEN(INDEX('Staff Review'!$H$8:$H$507,I2135))&gt;0),"Yes","No")))</f>
        <v>No</v>
      </c>
      <c r="AK2135" s="1">
        <f t="shared" si="55"/>
        <v>1</v>
      </c>
      <c r="AL2135" s="1">
        <f t="shared" ca="1" si="56"/>
        <v>1</v>
      </c>
      <c r="AM2135" s="1">
        <f t="shared" si="57"/>
        <v>3318</v>
      </c>
      <c r="AN2135" s="1">
        <f t="shared" si="58"/>
        <v>85</v>
      </c>
      <c r="AO2135">
        <f t="shared" ca="1" si="59"/>
        <v>256</v>
      </c>
      <c r="AP2135" s="105">
        <f ca="1">IF(AND(AL2135=1,OR('Top 25'!$A$10="All",C2135='Top 25'!$A$10),OR('Top 25'!$D$10="All",D2135='Top 25'!$D$10)),1,0)</f>
        <v>0</v>
      </c>
      <c r="AQ2135" s="105" t="str">
        <f ca="1">IF(AP2135=0,"",CHOOSE(MATCH('Top 25'!$G$10,{"Priority score","Economic need","Enrollment","Fresh miles","Nearby resources"},0),T2135,G2135,F2135,K2135,L2135))</f>
        <v/>
      </c>
      <c r="AR2135" s="105" t="str">
        <f ca="1">IF(AP2135=0,"",1+COUNTIFS($AP$2051:$AP$2550,1,$AQ$2051:$AQ$2550,IF('Top 25'!$J$10="Ascending","&lt;","&gt;")&amp;AQ2135)+COUNTIFS($AP$2051:$AP$2550,1,$AQ$2051:$AQ$2550,AQ2135,$W$2051:$W$2550,"&lt;"&amp;W2135))</f>
        <v/>
      </c>
      <c r="AT2135" s="105">
        <f ca="1">IF(AND(AL2135=1,OR(Master_rankableSchools!$A$10="All",C2135=Master_rankableSchools!$A$10),OR(Master_rankableSchools!$D$10="All",D2135=Master_rankableSchools!$D$10)),1,0)</f>
        <v>1</v>
      </c>
      <c r="AU2135" s="105">
        <f ca="1">IF(AT2135=0,"",CHOOSE(MATCH(Master_rankableSchools!$G$10,{"Priority score","Economic need","Enrollment","Fresh miles","Nearby resources"},0),T2135,G2135,F2135,K2135,L2135))</f>
        <v>30</v>
      </c>
      <c r="AV2135" s="105">
        <f ca="1">IF(AT2135=0,"",1+COUNTIFS($AT$2051:$AT$2550,1,$AU$2051:$AU$2550,IF(Master_rankableSchools!$J$10="Ascending","&lt;","&gt;")&amp;AU2135)+COUNTIFS($AT$2051:$AT$2550,1,$AU$2051:$AU$2550,AU2135,$W$2051:$W$2550,"&lt;"&amp;W2135))</f>
        <v>256</v>
      </c>
    </row>
    <row r="2136" spans="1:48" ht="22" customHeight="1">
      <c r="A2136" s="1" t="str">
        <f t="shared" si="30"/>
        <v>3322</v>
      </c>
      <c r="B2136" s="1" t="str">
        <f t="shared" si="31"/>
        <v>Philadelphia Academy Charter School</v>
      </c>
      <c r="C2136" s="1" t="str">
        <f t="shared" si="32"/>
        <v>Charter</v>
      </c>
      <c r="D2136" s="1" t="str">
        <f t="shared" si="33"/>
        <v>Elementary-Middle-High</v>
      </c>
      <c r="E2136" s="1" t="str">
        <f t="shared" si="34"/>
        <v>19116</v>
      </c>
      <c r="F2136" s="1">
        <f t="shared" si="35"/>
        <v>1195</v>
      </c>
      <c r="G2136" s="1">
        <f t="shared" si="36"/>
        <v>0.53879999999999995</v>
      </c>
      <c r="H2136" s="1" t="str">
        <f t="shared" si="37"/>
        <v>Yes</v>
      </c>
      <c r="I2136" s="1">
        <f>IF(OR(A2136="",COUNTIFS('Staff Review'!$A$8:$A$507,A2136)&lt;&gt;1),0,MATCH(A2136,'Staff Review'!$A$8:$A$507,0))</f>
        <v>231</v>
      </c>
      <c r="J2136" s="1" t="str">
        <f>IF(I2136=0,"No",IF(INDEX('Staff Review'!$C$8:$C$507,I2136)="Yes","Yes","No"))</f>
        <v>No</v>
      </c>
      <c r="K2136" s="1">
        <f ca="1">IF(AI2136="Yes",INDEX('Staff Review'!$D$8:$D$507,I2136),IF(AB2136=0,"",IF(COUNT(INDEX($C$1531:$C$2030,AB2136))=1,INDEX($C$1531:$C$2030,AB2136),"")))</f>
        <v>0.15913114827820626</v>
      </c>
      <c r="L2136" s="1">
        <f>IF(AJ2136="Yes",INDEX('Staff Review'!$F$8:$F$507,I2136),IF(AB2136=0,"",IF(COUNT(INDEX($G$1531:$G$2030,AB2136))=1,INDEX($G$1531:$G$2030,AB2136),"")))</f>
        <v>3</v>
      </c>
      <c r="M2136" s="1" t="str">
        <f t="shared" ca="1" si="38"/>
        <v>Listed</v>
      </c>
      <c r="N2136" s="1" t="str">
        <f t="shared" si="39"/>
        <v>Listed</v>
      </c>
      <c r="O2136" s="1">
        <f t="shared" si="40"/>
        <v>10</v>
      </c>
      <c r="P2136" s="1">
        <f t="shared" ca="1" si="41"/>
        <v>5</v>
      </c>
      <c r="Q2136" s="1">
        <f t="shared" si="42"/>
        <v>10</v>
      </c>
      <c r="R2136" s="1">
        <f t="shared" si="43"/>
        <v>5</v>
      </c>
      <c r="S2136" s="1">
        <f t="shared" ca="1" si="44"/>
        <v>30</v>
      </c>
      <c r="T2136" s="1">
        <f ca="1">IF(OR(COUNT(O2136:R2136)&lt;&gt;4,COUNT('Top 25'!$B$45:$E$45)&lt;&gt;4,MIN('Top 25'!$B$45:$E$45)&lt;0,SUM('Top 25'!$B$45:$E$45)&lt;=0),"",ROUND(85*(O2136/30*'Top 25'!$B$45+P2136/25*'Top 25'!$C$45+Q2136/25*'Top 25'!$D$45+R2136/5*'Top 25'!$E$45)/SUM('Top 25'!$B$45:$E$45),6))</f>
        <v>30</v>
      </c>
      <c r="U2136" s="1" t="str">
        <f t="shared" ca="1" si="45"/>
        <v>Listed</v>
      </c>
      <c r="V2136" s="1" t="str">
        <f ca="1">IF(A2136="","",IF(AK2136&lt;&gt;1,"Duplicate source ID",IF(COUNTIFS('Staff Review'!$A$8:$A$507,A2136)&gt;1,"Duplicate review ID",IF(H2136&lt;&gt;"Yes","Outside scope",IF(J2136="Yes","Already served",IF(NOT(ISNUMBER(T2136)),"Missing data","Candidate"))))))</f>
        <v>Candidate</v>
      </c>
      <c r="W2136" s="1">
        <f t="shared" ca="1" si="46"/>
        <v>261</v>
      </c>
      <c r="X2136" s="1">
        <f t="shared" ca="1" si="47"/>
        <v>253</v>
      </c>
      <c r="Y2136" s="1">
        <f ca="1">IF(AND(H2136="Yes",OR(LEN('School Search'!$B$5)=0,ISNUMBER(SEARCH('School Search'!$B$5,B2136&amp;" "&amp;E2136&amp;" "&amp;A2136))),OR('School Search'!$D$5="All",C2136='School Search'!$D$5),OR('School Search'!$G$5="All eligible",AND('School Search'!$G$5="Not marked served",J2136&lt;&gt;"Yes"),AND('School Search'!$G$5="Missing data",V2136="Missing data"),AND('School Search'!$G$5="Marked served",J2136="Yes"))),1,0)</f>
        <v>1</v>
      </c>
      <c r="Z2136" s="1">
        <f ca="1">IF(Y2136=0,"",COUNTIFS($Y$2051:$Y$2550,1,$AO$2051:$AO$2550,"&lt;"&amp;AO2136)+COUNTIFS($Y$2051:Y2136,1,$AO$2051:AO2136,AO2136))</f>
        <v>261</v>
      </c>
      <c r="AA2136" s="1" t="str">
        <f t="shared" ca="1" si="48"/>
        <v>54% economic need; 0.16 mi fresh access; 3 nearby resources</v>
      </c>
      <c r="AB2136" s="1">
        <f t="shared" si="49"/>
        <v>86</v>
      </c>
      <c r="AC2136" s="1" t="str">
        <f t="shared" si="50"/>
        <v>ShopRite of Roosevelt Blvd 532</v>
      </c>
      <c r="AD2136" s="1" t="str">
        <f t="shared" si="51"/>
        <v>11000 Roosevelt Blvd, Philadelphia, PA, 19116</v>
      </c>
      <c r="AE2136" s="1" t="str">
        <f t="shared" si="52"/>
        <v>11000 ROOSEVELT BLVD</v>
      </c>
      <c r="AF2136" s="1">
        <f t="shared" si="53"/>
        <v>40.103584359999999</v>
      </c>
      <c r="AG2136" s="1">
        <f t="shared" si="54"/>
        <v>-75.011093070000001</v>
      </c>
      <c r="AH2136" s="1" t="str">
        <f>IF(I2136=0,"Not contacted",IF(INDEX('Staff Review'!$J$8:$J$507,I2136)="","Not contacted",INDEX('Staff Review'!$J$8:$J$507,I2136)))</f>
        <v>Not contacted</v>
      </c>
      <c r="AI2136" s="1" t="str">
        <f ca="1">IF(I2136=0,"No",IF(AND(COUNT(INDEX('Staff Review'!$D$8:$D$507,I2136))=1,INDEX('Staff Review'!$D$8:$D$507,I2136)&gt;=0,COUNT(INDEX('Staff Review'!$E$8:$E$507,I2136))=1,INDEX('Staff Review'!$E$8:$E$507,I2136)&gt;0,INDEX('Staff Review'!$E$8:$E$507,I2136)&lt;='Top 25'!$E$5,'Top 25'!$E$5-INDEX('Staff Review'!$E$8:$E$507,I2136)&lt;='Top 25'!$H$5,LEN(INDEX('Staff Review'!$H$8:$H$507,I2136))&gt;0),"Yes","No"))</f>
        <v>No</v>
      </c>
      <c r="AJ2136" s="1" t="str">
        <f>IF(I2136=0,"No",IF(COUNT(INDEX('Staff Review'!$F$8:$F$507,I2136))&lt;&gt;1,"No",IF(AND(INDEX('Staff Review'!$F$8:$F$507,I2136)&gt;=0,MOD(INDEX('Staff Review'!$F$8:$F$507,I2136),1)=0,COUNT(INDEX('Staff Review'!$G$8:$G$507,I2136))=1,INDEX('Staff Review'!$G$8:$G$507,I2136)&gt;0,INDEX('Staff Review'!$G$8:$G$507,I2136)&lt;='Top 25'!$E$5,'Top 25'!$E$5-INDEX('Staff Review'!$G$8:$G$507,I2136)&lt;='Top 25'!$H$5,LEN(INDEX('Staff Review'!$H$8:$H$507,I2136))&gt;0),"Yes","No")))</f>
        <v>No</v>
      </c>
      <c r="AK2136" s="1">
        <f t="shared" si="55"/>
        <v>1</v>
      </c>
      <c r="AL2136" s="1">
        <f t="shared" ca="1" si="56"/>
        <v>1</v>
      </c>
      <c r="AM2136" s="1">
        <f t="shared" si="57"/>
        <v>3322</v>
      </c>
      <c r="AN2136" s="1">
        <f t="shared" si="58"/>
        <v>86</v>
      </c>
      <c r="AO2136">
        <f t="shared" ca="1" si="59"/>
        <v>261</v>
      </c>
      <c r="AP2136" s="105">
        <f ca="1">IF(AND(AL2136=1,OR('Top 25'!$A$10="All",C2136='Top 25'!$A$10),OR('Top 25'!$D$10="All",D2136='Top 25'!$D$10)),1,0)</f>
        <v>0</v>
      </c>
      <c r="AQ2136" s="105" t="str">
        <f ca="1">IF(AP2136=0,"",CHOOSE(MATCH('Top 25'!$G$10,{"Priority score","Economic need","Enrollment","Fresh miles","Nearby resources"},0),T2136,G2136,F2136,K2136,L2136))</f>
        <v/>
      </c>
      <c r="AR2136" s="105" t="str">
        <f ca="1">IF(AP2136=0,"",1+COUNTIFS($AP$2051:$AP$2550,1,$AQ$2051:$AQ$2550,IF('Top 25'!$J$10="Ascending","&lt;","&gt;")&amp;AQ2136)+COUNTIFS($AP$2051:$AP$2550,1,$AQ$2051:$AQ$2550,AQ2136,$W$2051:$W$2550,"&lt;"&amp;W2136))</f>
        <v/>
      </c>
      <c r="AT2136" s="105">
        <f ca="1">IF(AND(AL2136=1,OR(Master_rankableSchools!$A$10="All",C2136=Master_rankableSchools!$A$10),OR(Master_rankableSchools!$D$10="All",D2136=Master_rankableSchools!$D$10)),1,0)</f>
        <v>1</v>
      </c>
      <c r="AU2136" s="105">
        <f ca="1">IF(AT2136=0,"",CHOOSE(MATCH(Master_rankableSchools!$G$10,{"Priority score","Economic need","Enrollment","Fresh miles","Nearby resources"},0),T2136,G2136,F2136,K2136,L2136))</f>
        <v>30</v>
      </c>
      <c r="AV2136" s="105">
        <f ca="1">IF(AT2136=0,"",1+COUNTIFS($AT$2051:$AT$2550,1,$AU$2051:$AU$2550,IF(Master_rankableSchools!$J$10="Ascending","&lt;","&gt;")&amp;AU2136)+COUNTIFS($AT$2051:$AT$2550,1,$AU$2051:$AU$2550,AU2136,$W$2051:$W$2550,"&lt;"&amp;W2136))</f>
        <v>261</v>
      </c>
    </row>
    <row r="2137" spans="1:48" ht="22" customHeight="1">
      <c r="A2137" s="1" t="str">
        <f t="shared" si="30"/>
        <v>3323</v>
      </c>
      <c r="B2137" s="1" t="str">
        <f t="shared" si="31"/>
        <v>Mastery Charter School at Hardy Williams</v>
      </c>
      <c r="C2137" s="1" t="str">
        <f t="shared" si="32"/>
        <v>Charter</v>
      </c>
      <c r="D2137" s="1" t="str">
        <f t="shared" si="33"/>
        <v>Elementary-Middle-High</v>
      </c>
      <c r="E2137" s="1" t="str">
        <f t="shared" si="34"/>
        <v>19143</v>
      </c>
      <c r="F2137" s="1">
        <f t="shared" si="35"/>
        <v>1211</v>
      </c>
      <c r="G2137" s="1">
        <f t="shared" si="36"/>
        <v>0.90759999999999996</v>
      </c>
      <c r="H2137" s="1" t="str">
        <f t="shared" si="37"/>
        <v>Yes</v>
      </c>
      <c r="I2137" s="1">
        <f>IF(OR(A2137="",COUNTIFS('Staff Review'!$A$8:$A$507,A2137)&lt;&gt;1),0,MATCH(A2137,'Staff Review'!$A$8:$A$507,0))</f>
        <v>186</v>
      </c>
      <c r="J2137" s="1" t="str">
        <f>IF(I2137=0,"No",IF(INDEX('Staff Review'!$C$8:$C$507,I2137)="Yes","Yes","No"))</f>
        <v>No</v>
      </c>
      <c r="K2137" s="1">
        <f ca="1">IF(AI2137="Yes",INDEX('Staff Review'!$D$8:$D$507,I2137),IF(AB2137=0,"",IF(COUNT(INDEX($C$1531:$C$2030,AB2137))=1,INDEX($C$1531:$C$2030,AB2137),"")))</f>
        <v>0.54181121682101918</v>
      </c>
      <c r="L2137" s="1">
        <f>IF(AJ2137="Yes",INDEX('Staff Review'!$F$8:$F$507,I2137),IF(AB2137=0,"",IF(COUNT(INDEX($G$1531:$G$2030,AB2137))=1,INDEX($G$1531:$G$2030,AB2137),"")))</f>
        <v>10</v>
      </c>
      <c r="M2137" s="1" t="str">
        <f t="shared" ca="1" si="38"/>
        <v>Listed</v>
      </c>
      <c r="N2137" s="1" t="str">
        <f t="shared" si="39"/>
        <v>Listed</v>
      </c>
      <c r="O2137" s="1">
        <f t="shared" si="40"/>
        <v>30</v>
      </c>
      <c r="P2137" s="1">
        <f t="shared" ca="1" si="41"/>
        <v>15</v>
      </c>
      <c r="Q2137" s="1">
        <f t="shared" si="42"/>
        <v>0</v>
      </c>
      <c r="R2137" s="1">
        <f t="shared" si="43"/>
        <v>5</v>
      </c>
      <c r="S2137" s="1">
        <f t="shared" ca="1" si="44"/>
        <v>50</v>
      </c>
      <c r="T2137" s="1">
        <f ca="1">IF(OR(COUNT(O2137:R2137)&lt;&gt;4,COUNT('Top 25'!$B$45:$E$45)&lt;&gt;4,MIN('Top 25'!$B$45:$E$45)&lt;0,SUM('Top 25'!$B$45:$E$45)&lt;=0),"",ROUND(85*(O2137/30*'Top 25'!$B$45+P2137/25*'Top 25'!$C$45+Q2137/25*'Top 25'!$D$45+R2137/5*'Top 25'!$E$45)/SUM('Top 25'!$B$45:$E$45),6))</f>
        <v>50</v>
      </c>
      <c r="U2137" s="1" t="str">
        <f t="shared" ca="1" si="45"/>
        <v>Listed</v>
      </c>
      <c r="V2137" s="1" t="str">
        <f ca="1">IF(A2137="","",IF(AK2137&lt;&gt;1,"Duplicate source ID",IF(COUNTIFS('Staff Review'!$A$8:$A$507,A2137)&gt;1,"Duplicate review ID",IF(H2137&lt;&gt;"Yes","Outside scope",IF(J2137="Yes","Already served",IF(NOT(ISNUMBER(T2137)),"Missing data","Candidate"))))))</f>
        <v>Candidate</v>
      </c>
      <c r="W2137" s="1">
        <f t="shared" ca="1" si="46"/>
        <v>41</v>
      </c>
      <c r="X2137" s="1">
        <f t="shared" ca="1" si="47"/>
        <v>39</v>
      </c>
      <c r="Y2137" s="1">
        <f ca="1">IF(AND(H2137="Yes",OR(LEN('School Search'!$B$5)=0,ISNUMBER(SEARCH('School Search'!$B$5,B2137&amp;" "&amp;E2137&amp;" "&amp;A2137))),OR('School Search'!$D$5="All",C2137='School Search'!$D$5),OR('School Search'!$G$5="All eligible",AND('School Search'!$G$5="Not marked served",J2137&lt;&gt;"Yes"),AND('School Search'!$G$5="Missing data",V2137="Missing data"),AND('School Search'!$G$5="Marked served",J2137="Yes"))),1,0)</f>
        <v>1</v>
      </c>
      <c r="Z2137" s="1">
        <f ca="1">IF(Y2137=0,"",COUNTIFS($Y$2051:$Y$2550,1,$AO$2051:$AO$2550,"&lt;"&amp;AO2137)+COUNTIFS($Y$2051:Y2137,1,$AO$2051:AO2137,AO2137))</f>
        <v>41</v>
      </c>
      <c r="AA2137" s="1" t="str">
        <f t="shared" ca="1" si="48"/>
        <v>91% economic need; 0.54 mi fresh access; 10 nearby resources</v>
      </c>
      <c r="AB2137" s="1">
        <f t="shared" si="49"/>
        <v>87</v>
      </c>
      <c r="AC2137" s="1" t="str">
        <f t="shared" si="50"/>
        <v>Mariposa Food Coop</v>
      </c>
      <c r="AD2137" s="1" t="str">
        <f t="shared" si="51"/>
        <v>4824 Baltimore Ave, Philadelphia, PA, 19143</v>
      </c>
      <c r="AE2137" s="1" t="str">
        <f t="shared" si="52"/>
        <v>5400 WARRINGTON AVE</v>
      </c>
      <c r="AF2137" s="1">
        <f t="shared" si="53"/>
        <v>39.941561999999998</v>
      </c>
      <c r="AG2137" s="1">
        <f t="shared" si="54"/>
        <v>-75.226446999999993</v>
      </c>
      <c r="AH2137" s="1" t="str">
        <f>IF(I2137=0,"Not contacted",IF(INDEX('Staff Review'!$J$8:$J$507,I2137)="","Not contacted",INDEX('Staff Review'!$J$8:$J$507,I2137)))</f>
        <v>Not contacted</v>
      </c>
      <c r="AI2137" s="1" t="str">
        <f ca="1">IF(I2137=0,"No",IF(AND(COUNT(INDEX('Staff Review'!$D$8:$D$507,I2137))=1,INDEX('Staff Review'!$D$8:$D$507,I2137)&gt;=0,COUNT(INDEX('Staff Review'!$E$8:$E$507,I2137))=1,INDEX('Staff Review'!$E$8:$E$507,I2137)&gt;0,INDEX('Staff Review'!$E$8:$E$507,I2137)&lt;='Top 25'!$E$5,'Top 25'!$E$5-INDEX('Staff Review'!$E$8:$E$507,I2137)&lt;='Top 25'!$H$5,LEN(INDEX('Staff Review'!$H$8:$H$507,I2137))&gt;0),"Yes","No"))</f>
        <v>No</v>
      </c>
      <c r="AJ2137" s="1" t="str">
        <f>IF(I2137=0,"No",IF(COUNT(INDEX('Staff Review'!$F$8:$F$507,I2137))&lt;&gt;1,"No",IF(AND(INDEX('Staff Review'!$F$8:$F$507,I2137)&gt;=0,MOD(INDEX('Staff Review'!$F$8:$F$507,I2137),1)=0,COUNT(INDEX('Staff Review'!$G$8:$G$507,I2137))=1,INDEX('Staff Review'!$G$8:$G$507,I2137)&gt;0,INDEX('Staff Review'!$G$8:$G$507,I2137)&lt;='Top 25'!$E$5,'Top 25'!$E$5-INDEX('Staff Review'!$G$8:$G$507,I2137)&lt;='Top 25'!$H$5,LEN(INDEX('Staff Review'!$H$8:$H$507,I2137))&gt;0),"Yes","No")))</f>
        <v>No</v>
      </c>
      <c r="AK2137" s="1">
        <f t="shared" si="55"/>
        <v>1</v>
      </c>
      <c r="AL2137" s="1">
        <f t="shared" ca="1" si="56"/>
        <v>1</v>
      </c>
      <c r="AM2137" s="1">
        <f t="shared" si="57"/>
        <v>3323</v>
      </c>
      <c r="AN2137" s="1">
        <f t="shared" si="58"/>
        <v>87</v>
      </c>
      <c r="AO2137">
        <f t="shared" ca="1" si="59"/>
        <v>41</v>
      </c>
      <c r="AP2137" s="105">
        <f ca="1">IF(AND(AL2137=1,OR('Top 25'!$A$10="All",C2137='Top 25'!$A$10),OR('Top 25'!$D$10="All",D2137='Top 25'!$D$10)),1,0)</f>
        <v>0</v>
      </c>
      <c r="AQ2137" s="105" t="str">
        <f ca="1">IF(AP2137=0,"",CHOOSE(MATCH('Top 25'!$G$10,{"Priority score","Economic need","Enrollment","Fresh miles","Nearby resources"},0),T2137,G2137,F2137,K2137,L2137))</f>
        <v/>
      </c>
      <c r="AR2137" s="105" t="str">
        <f ca="1">IF(AP2137=0,"",1+COUNTIFS($AP$2051:$AP$2550,1,$AQ$2051:$AQ$2550,IF('Top 25'!$J$10="Ascending","&lt;","&gt;")&amp;AQ2137)+COUNTIFS($AP$2051:$AP$2550,1,$AQ$2051:$AQ$2550,AQ2137,$W$2051:$W$2550,"&lt;"&amp;W2137))</f>
        <v/>
      </c>
      <c r="AT2137" s="105">
        <f ca="1">IF(AND(AL2137=1,OR(Master_rankableSchools!$A$10="All",C2137=Master_rankableSchools!$A$10),OR(Master_rankableSchools!$D$10="All",D2137=Master_rankableSchools!$D$10)),1,0)</f>
        <v>1</v>
      </c>
      <c r="AU2137" s="105">
        <f ca="1">IF(AT2137=0,"",CHOOSE(MATCH(Master_rankableSchools!$G$10,{"Priority score","Economic need","Enrollment","Fresh miles","Nearby resources"},0),T2137,G2137,F2137,K2137,L2137))</f>
        <v>50</v>
      </c>
      <c r="AV2137" s="105">
        <f ca="1">IF(AT2137=0,"",1+COUNTIFS($AT$2051:$AT$2550,1,$AU$2051:$AU$2550,IF(Master_rankableSchools!$J$10="Ascending","&lt;","&gt;")&amp;AU2137)+COUNTIFS($AT$2051:$AT$2550,1,$AU$2051:$AU$2550,AU2137,$W$2051:$W$2550,"&lt;"&amp;W2137))</f>
        <v>41</v>
      </c>
    </row>
    <row r="2138" spans="1:48" ht="22" customHeight="1">
      <c r="A2138" s="1" t="str">
        <f t="shared" si="30"/>
        <v>3326</v>
      </c>
      <c r="B2138" s="1" t="str">
        <f t="shared" si="31"/>
        <v>Universal Institute Charter School</v>
      </c>
      <c r="C2138" s="1" t="str">
        <f t="shared" si="32"/>
        <v>Charter</v>
      </c>
      <c r="D2138" s="1" t="str">
        <f t="shared" si="33"/>
        <v>Elementary-Middle</v>
      </c>
      <c r="E2138" s="1" t="str">
        <f t="shared" si="34"/>
        <v>19146</v>
      </c>
      <c r="F2138" s="1">
        <f t="shared" si="35"/>
        <v>565</v>
      </c>
      <c r="G2138" s="1">
        <f t="shared" si="36"/>
        <v>0.80489999999999995</v>
      </c>
      <c r="H2138" s="1" t="str">
        <f t="shared" si="37"/>
        <v>Yes</v>
      </c>
      <c r="I2138" s="1">
        <f>IF(OR(A2138="",COUNTIFS('Staff Review'!$A$8:$A$507,A2138)&lt;&gt;1),0,MATCH(A2138,'Staff Review'!$A$8:$A$507,0))</f>
        <v>302</v>
      </c>
      <c r="J2138" s="1" t="str">
        <f>IF(I2138=0,"No",IF(INDEX('Staff Review'!$C$8:$C$507,I2138)="Yes","Yes","No"))</f>
        <v>No</v>
      </c>
      <c r="K2138" s="1">
        <f ca="1">IF(AI2138="Yes",INDEX('Staff Review'!$D$8:$D$507,I2138),IF(AB2138=0,"",IF(COUNT(INDEX($C$1531:$C$2030,AB2138))=1,INDEX($C$1531:$C$2030,AB2138),"")))</f>
        <v>0.16551476084089259</v>
      </c>
      <c r="L2138" s="1">
        <f>IF(AJ2138="Yes",INDEX('Staff Review'!$F$8:$F$507,I2138),IF(AB2138=0,"",IF(COUNT(INDEX($G$1531:$G$2030,AB2138))=1,INDEX($G$1531:$G$2030,AB2138),"")))</f>
        <v>13</v>
      </c>
      <c r="M2138" s="1" t="str">
        <f t="shared" ca="1" si="38"/>
        <v>Listed</v>
      </c>
      <c r="N2138" s="1" t="str">
        <f t="shared" si="39"/>
        <v>Listed</v>
      </c>
      <c r="O2138" s="1">
        <f t="shared" si="40"/>
        <v>25</v>
      </c>
      <c r="P2138" s="1">
        <f t="shared" ca="1" si="41"/>
        <v>5</v>
      </c>
      <c r="Q2138" s="1">
        <f t="shared" si="42"/>
        <v>0</v>
      </c>
      <c r="R2138" s="1">
        <f t="shared" si="43"/>
        <v>4</v>
      </c>
      <c r="S2138" s="1">
        <f t="shared" ca="1" si="44"/>
        <v>34</v>
      </c>
      <c r="T2138" s="1">
        <f ca="1">IF(OR(COUNT(O2138:R2138)&lt;&gt;4,COUNT('Top 25'!$B$45:$E$45)&lt;&gt;4,MIN('Top 25'!$B$45:$E$45)&lt;0,SUM('Top 25'!$B$45:$E$45)&lt;=0),"",ROUND(85*(O2138/30*'Top 25'!$B$45+P2138/25*'Top 25'!$C$45+Q2138/25*'Top 25'!$D$45+R2138/5*'Top 25'!$E$45)/SUM('Top 25'!$B$45:$E$45),6))</f>
        <v>34</v>
      </c>
      <c r="U2138" s="1" t="str">
        <f t="shared" ca="1" si="45"/>
        <v>Listed</v>
      </c>
      <c r="V2138" s="1" t="str">
        <f ca="1">IF(A2138="","",IF(AK2138&lt;&gt;1,"Duplicate source ID",IF(COUNTIFS('Staff Review'!$A$8:$A$507,A2138)&gt;1,"Duplicate review ID",IF(H2138&lt;&gt;"Yes","Outside scope",IF(J2138="Yes","Already served",IF(NOT(ISNUMBER(T2138)),"Missing data","Candidate"))))))</f>
        <v>Candidate</v>
      </c>
      <c r="W2138" s="1">
        <f t="shared" ca="1" si="46"/>
        <v>228</v>
      </c>
      <c r="X2138" s="1">
        <f t="shared" ca="1" si="47"/>
        <v>221</v>
      </c>
      <c r="Y2138" s="1">
        <f ca="1">IF(AND(H2138="Yes",OR(LEN('School Search'!$B$5)=0,ISNUMBER(SEARCH('School Search'!$B$5,B2138&amp;" "&amp;E2138&amp;" "&amp;A2138))),OR('School Search'!$D$5="All",C2138='School Search'!$D$5),OR('School Search'!$G$5="All eligible",AND('School Search'!$G$5="Not marked served",J2138&lt;&gt;"Yes"),AND('School Search'!$G$5="Missing data",V2138="Missing data"),AND('School Search'!$G$5="Marked served",J2138="Yes"))),1,0)</f>
        <v>1</v>
      </c>
      <c r="Z2138" s="1">
        <f ca="1">IF(Y2138=0,"",COUNTIFS($Y$2051:$Y$2550,1,$AO$2051:$AO$2550,"&lt;"&amp;AO2138)+COUNTIFS($Y$2051:Y2138,1,$AO$2051:AO2138,AO2138))</f>
        <v>228</v>
      </c>
      <c r="AA2138" s="1" t="str">
        <f t="shared" ca="1" si="48"/>
        <v>80% economic need; 0.17 mi fresh access; 13 nearby resources</v>
      </c>
      <c r="AB2138" s="1">
        <f t="shared" si="49"/>
        <v>88</v>
      </c>
      <c r="AC2138" s="1" t="str">
        <f t="shared" si="50"/>
        <v>Sprouts Farmers Market 850</v>
      </c>
      <c r="AD2138" s="1" t="str">
        <f t="shared" si="51"/>
        <v>1000 S Broad St, Philadelphia, PA, 19146</v>
      </c>
      <c r="AE2138" s="1" t="str">
        <f t="shared" si="52"/>
        <v>801 S 15TH ST</v>
      </c>
      <c r="AF2138" s="1">
        <f t="shared" si="53"/>
        <v>39.940930999999999</v>
      </c>
      <c r="AG2138" s="1">
        <f t="shared" si="54"/>
        <v>-75.167940000000002</v>
      </c>
      <c r="AH2138" s="1" t="str">
        <f>IF(I2138=0,"Not contacted",IF(INDEX('Staff Review'!$J$8:$J$507,I2138)="","Not contacted",INDEX('Staff Review'!$J$8:$J$507,I2138)))</f>
        <v>Not contacted</v>
      </c>
      <c r="AI2138" s="1" t="str">
        <f ca="1">IF(I2138=0,"No",IF(AND(COUNT(INDEX('Staff Review'!$D$8:$D$507,I2138))=1,INDEX('Staff Review'!$D$8:$D$507,I2138)&gt;=0,COUNT(INDEX('Staff Review'!$E$8:$E$507,I2138))=1,INDEX('Staff Review'!$E$8:$E$507,I2138)&gt;0,INDEX('Staff Review'!$E$8:$E$507,I2138)&lt;='Top 25'!$E$5,'Top 25'!$E$5-INDEX('Staff Review'!$E$8:$E$507,I2138)&lt;='Top 25'!$H$5,LEN(INDEX('Staff Review'!$H$8:$H$507,I2138))&gt;0),"Yes","No"))</f>
        <v>No</v>
      </c>
      <c r="AJ2138" s="1" t="str">
        <f>IF(I2138=0,"No",IF(COUNT(INDEX('Staff Review'!$F$8:$F$507,I2138))&lt;&gt;1,"No",IF(AND(INDEX('Staff Review'!$F$8:$F$507,I2138)&gt;=0,MOD(INDEX('Staff Review'!$F$8:$F$507,I2138),1)=0,COUNT(INDEX('Staff Review'!$G$8:$G$507,I2138))=1,INDEX('Staff Review'!$G$8:$G$507,I2138)&gt;0,INDEX('Staff Review'!$G$8:$G$507,I2138)&lt;='Top 25'!$E$5,'Top 25'!$E$5-INDEX('Staff Review'!$G$8:$G$507,I2138)&lt;='Top 25'!$H$5,LEN(INDEX('Staff Review'!$H$8:$H$507,I2138))&gt;0),"Yes","No")))</f>
        <v>No</v>
      </c>
      <c r="AK2138" s="1">
        <f t="shared" si="55"/>
        <v>1</v>
      </c>
      <c r="AL2138" s="1">
        <f t="shared" ca="1" si="56"/>
        <v>1</v>
      </c>
      <c r="AM2138" s="1">
        <f t="shared" si="57"/>
        <v>3326</v>
      </c>
      <c r="AN2138" s="1">
        <f t="shared" si="58"/>
        <v>88</v>
      </c>
      <c r="AO2138">
        <f t="shared" ca="1" si="59"/>
        <v>228</v>
      </c>
      <c r="AP2138" s="105">
        <f ca="1">IF(AND(AL2138=1,OR('Top 25'!$A$10="All",C2138='Top 25'!$A$10),OR('Top 25'!$D$10="All",D2138='Top 25'!$D$10)),1,0)</f>
        <v>0</v>
      </c>
      <c r="AQ2138" s="105" t="str">
        <f ca="1">IF(AP2138=0,"",CHOOSE(MATCH('Top 25'!$G$10,{"Priority score","Economic need","Enrollment","Fresh miles","Nearby resources"},0),T2138,G2138,F2138,K2138,L2138))</f>
        <v/>
      </c>
      <c r="AR2138" s="105" t="str">
        <f ca="1">IF(AP2138=0,"",1+COUNTIFS($AP$2051:$AP$2550,1,$AQ$2051:$AQ$2550,IF('Top 25'!$J$10="Ascending","&lt;","&gt;")&amp;AQ2138)+COUNTIFS($AP$2051:$AP$2550,1,$AQ$2051:$AQ$2550,AQ2138,$W$2051:$W$2550,"&lt;"&amp;W2138))</f>
        <v/>
      </c>
      <c r="AT2138" s="105">
        <f ca="1">IF(AND(AL2138=1,OR(Master_rankableSchools!$A$10="All",C2138=Master_rankableSchools!$A$10),OR(Master_rankableSchools!$D$10="All",D2138=Master_rankableSchools!$D$10)),1,0)</f>
        <v>1</v>
      </c>
      <c r="AU2138" s="105">
        <f ca="1">IF(AT2138=0,"",CHOOSE(MATCH(Master_rankableSchools!$G$10,{"Priority score","Economic need","Enrollment","Fresh miles","Nearby resources"},0),T2138,G2138,F2138,K2138,L2138))</f>
        <v>34</v>
      </c>
      <c r="AV2138" s="105">
        <f ca="1">IF(AT2138=0,"",1+COUNTIFS($AT$2051:$AT$2550,1,$AU$2051:$AU$2550,IF(Master_rankableSchools!$J$10="Ascending","&lt;","&gt;")&amp;AU2138)+COUNTIFS($AT$2051:$AT$2550,1,$AU$2051:$AU$2550,AU2138,$W$2051:$W$2550,"&lt;"&amp;W2138))</f>
        <v>228</v>
      </c>
    </row>
    <row r="2139" spans="1:48" ht="22" customHeight="1">
      <c r="A2139" s="1" t="str">
        <f t="shared" si="30"/>
        <v>3328</v>
      </c>
      <c r="B2139" s="1" t="str">
        <f t="shared" si="31"/>
        <v>Mathematics, Science, and Technology Community Charter School (MaST)</v>
      </c>
      <c r="C2139" s="1" t="str">
        <f t="shared" si="32"/>
        <v>Charter</v>
      </c>
      <c r="D2139" s="1" t="str">
        <f t="shared" si="33"/>
        <v>Elementary-Middle-High</v>
      </c>
      <c r="E2139" s="1" t="str">
        <f t="shared" si="34"/>
        <v>19116</v>
      </c>
      <c r="F2139" s="1">
        <f t="shared" si="35"/>
        <v>1486</v>
      </c>
      <c r="G2139" s="1">
        <f t="shared" si="36"/>
        <v>0.41120000000000001</v>
      </c>
      <c r="H2139" s="1" t="str">
        <f t="shared" si="37"/>
        <v>Yes</v>
      </c>
      <c r="I2139" s="1">
        <f>IF(OR(A2139="",COUNTIFS('Staff Review'!$A$8:$A$507,A2139)&lt;&gt;1),0,MATCH(A2139,'Staff Review'!$A$8:$A$507,0))</f>
        <v>196</v>
      </c>
      <c r="J2139" s="1" t="str">
        <f>IF(I2139=0,"No",IF(INDEX('Staff Review'!$C$8:$C$507,I2139)="Yes","Yes","No"))</f>
        <v>No</v>
      </c>
      <c r="K2139" s="1">
        <f ca="1">IF(AI2139="Yes",INDEX('Staff Review'!$D$8:$D$507,I2139),IF(AB2139=0,"",IF(COUNT(INDEX($C$1531:$C$2030,AB2139))=1,INDEX($C$1531:$C$2030,AB2139),"")))</f>
        <v>0.51504147697237534</v>
      </c>
      <c r="L2139" s="1">
        <f>IF(AJ2139="Yes",INDEX('Staff Review'!$F$8:$F$507,I2139),IF(AB2139=0,"",IF(COUNT(INDEX($G$1531:$G$2030,AB2139))=1,INDEX($G$1531:$G$2030,AB2139),"")))</f>
        <v>1</v>
      </c>
      <c r="M2139" s="1" t="str">
        <f t="shared" ca="1" si="38"/>
        <v>Listed</v>
      </c>
      <c r="N2139" s="1" t="str">
        <f t="shared" si="39"/>
        <v>Listed</v>
      </c>
      <c r="O2139" s="1">
        <f t="shared" si="40"/>
        <v>5</v>
      </c>
      <c r="P2139" s="1">
        <f t="shared" ca="1" si="41"/>
        <v>15</v>
      </c>
      <c r="Q2139" s="1">
        <f t="shared" si="42"/>
        <v>20</v>
      </c>
      <c r="R2139" s="1">
        <f t="shared" si="43"/>
        <v>5</v>
      </c>
      <c r="S2139" s="1">
        <f t="shared" ca="1" si="44"/>
        <v>45</v>
      </c>
      <c r="T2139" s="1">
        <f ca="1">IF(OR(COUNT(O2139:R2139)&lt;&gt;4,COUNT('Top 25'!$B$45:$E$45)&lt;&gt;4,MIN('Top 25'!$B$45:$E$45)&lt;0,SUM('Top 25'!$B$45:$E$45)&lt;=0),"",ROUND(85*(O2139/30*'Top 25'!$B$45+P2139/25*'Top 25'!$C$45+Q2139/25*'Top 25'!$D$45+R2139/5*'Top 25'!$E$45)/SUM('Top 25'!$B$45:$E$45),6))</f>
        <v>45</v>
      </c>
      <c r="U2139" s="1" t="str">
        <f t="shared" ca="1" si="45"/>
        <v>Listed</v>
      </c>
      <c r="V2139" s="1" t="str">
        <f ca="1">IF(A2139="","",IF(AK2139&lt;&gt;1,"Duplicate source ID",IF(COUNTIFS('Staff Review'!$A$8:$A$507,A2139)&gt;1,"Duplicate review ID",IF(H2139&lt;&gt;"Yes","Outside scope",IF(J2139="Yes","Already served",IF(NOT(ISNUMBER(T2139)),"Missing data","Candidate"))))))</f>
        <v>Candidate</v>
      </c>
      <c r="W2139" s="1">
        <f t="shared" ca="1" si="46"/>
        <v>80</v>
      </c>
      <c r="X2139" s="1">
        <f t="shared" ca="1" si="47"/>
        <v>74</v>
      </c>
      <c r="Y2139" s="1">
        <f ca="1">IF(AND(H2139="Yes",OR(LEN('School Search'!$B$5)=0,ISNUMBER(SEARCH('School Search'!$B$5,B2139&amp;" "&amp;E2139&amp;" "&amp;A2139))),OR('School Search'!$D$5="All",C2139='School Search'!$D$5),OR('School Search'!$G$5="All eligible",AND('School Search'!$G$5="Not marked served",J2139&lt;&gt;"Yes"),AND('School Search'!$G$5="Missing data",V2139="Missing data"),AND('School Search'!$G$5="Marked served",J2139="Yes"))),1,0)</f>
        <v>1</v>
      </c>
      <c r="Z2139" s="1">
        <f ca="1">IF(Y2139=0,"",COUNTIFS($Y$2051:$Y$2550,1,$AO$2051:$AO$2550,"&lt;"&amp;AO2139)+COUNTIFS($Y$2051:Y2139,1,$AO$2051:AO2139,AO2139))</f>
        <v>80</v>
      </c>
      <c r="AA2139" s="1" t="str">
        <f t="shared" ca="1" si="48"/>
        <v>41% economic need; 0.52 mi fresh access; 1 nearby resources</v>
      </c>
      <c r="AB2139" s="1">
        <f t="shared" si="49"/>
        <v>89</v>
      </c>
      <c r="AC2139" s="1" t="str">
        <f t="shared" si="50"/>
        <v>ALDI 60191</v>
      </c>
      <c r="AD2139" s="1" t="str">
        <f t="shared" si="51"/>
        <v>12002 Roosevelt Blvd, Philadelphia, PA, 19116</v>
      </c>
      <c r="AE2139" s="1" t="str">
        <f t="shared" si="52"/>
        <v>1800 BYBERRY RD</v>
      </c>
      <c r="AF2139" s="1">
        <f t="shared" si="53"/>
        <v>40.113832000000002</v>
      </c>
      <c r="AG2139" s="1">
        <f t="shared" si="54"/>
        <v>-75.005657999999997</v>
      </c>
      <c r="AH2139" s="1" t="str">
        <f>IF(I2139=0,"Not contacted",IF(INDEX('Staff Review'!$J$8:$J$507,I2139)="","Not contacted",INDEX('Staff Review'!$J$8:$J$507,I2139)))</f>
        <v>Not contacted</v>
      </c>
      <c r="AI2139" s="1" t="str">
        <f ca="1">IF(I2139=0,"No",IF(AND(COUNT(INDEX('Staff Review'!$D$8:$D$507,I2139))=1,INDEX('Staff Review'!$D$8:$D$507,I2139)&gt;=0,COUNT(INDEX('Staff Review'!$E$8:$E$507,I2139))=1,INDEX('Staff Review'!$E$8:$E$507,I2139)&gt;0,INDEX('Staff Review'!$E$8:$E$507,I2139)&lt;='Top 25'!$E$5,'Top 25'!$E$5-INDEX('Staff Review'!$E$8:$E$507,I2139)&lt;='Top 25'!$H$5,LEN(INDEX('Staff Review'!$H$8:$H$507,I2139))&gt;0),"Yes","No"))</f>
        <v>No</v>
      </c>
      <c r="AJ2139" s="1" t="str">
        <f>IF(I2139=0,"No",IF(COUNT(INDEX('Staff Review'!$F$8:$F$507,I2139))&lt;&gt;1,"No",IF(AND(INDEX('Staff Review'!$F$8:$F$507,I2139)&gt;=0,MOD(INDEX('Staff Review'!$F$8:$F$507,I2139),1)=0,COUNT(INDEX('Staff Review'!$G$8:$G$507,I2139))=1,INDEX('Staff Review'!$G$8:$G$507,I2139)&gt;0,INDEX('Staff Review'!$G$8:$G$507,I2139)&lt;='Top 25'!$E$5,'Top 25'!$E$5-INDEX('Staff Review'!$G$8:$G$507,I2139)&lt;='Top 25'!$H$5,LEN(INDEX('Staff Review'!$H$8:$H$507,I2139))&gt;0),"Yes","No")))</f>
        <v>No</v>
      </c>
      <c r="AK2139" s="1">
        <f t="shared" si="55"/>
        <v>1</v>
      </c>
      <c r="AL2139" s="1">
        <f t="shared" ca="1" si="56"/>
        <v>1</v>
      </c>
      <c r="AM2139" s="1">
        <f t="shared" si="57"/>
        <v>3328</v>
      </c>
      <c r="AN2139" s="1">
        <f t="shared" si="58"/>
        <v>89</v>
      </c>
      <c r="AO2139">
        <f t="shared" ca="1" si="59"/>
        <v>80</v>
      </c>
      <c r="AP2139" s="105">
        <f ca="1">IF(AND(AL2139=1,OR('Top 25'!$A$10="All",C2139='Top 25'!$A$10),OR('Top 25'!$D$10="All",D2139='Top 25'!$D$10)),1,0)</f>
        <v>0</v>
      </c>
      <c r="AQ2139" s="105" t="str">
        <f ca="1">IF(AP2139=0,"",CHOOSE(MATCH('Top 25'!$G$10,{"Priority score","Economic need","Enrollment","Fresh miles","Nearby resources"},0),T2139,G2139,F2139,K2139,L2139))</f>
        <v/>
      </c>
      <c r="AR2139" s="105" t="str">
        <f ca="1">IF(AP2139=0,"",1+COUNTIFS($AP$2051:$AP$2550,1,$AQ$2051:$AQ$2550,IF('Top 25'!$J$10="Ascending","&lt;","&gt;")&amp;AQ2139)+COUNTIFS($AP$2051:$AP$2550,1,$AQ$2051:$AQ$2550,AQ2139,$W$2051:$W$2550,"&lt;"&amp;W2139))</f>
        <v/>
      </c>
      <c r="AT2139" s="105">
        <f ca="1">IF(AND(AL2139=1,OR(Master_rankableSchools!$A$10="All",C2139=Master_rankableSchools!$A$10),OR(Master_rankableSchools!$D$10="All",D2139=Master_rankableSchools!$D$10)),1,0)</f>
        <v>1</v>
      </c>
      <c r="AU2139" s="105">
        <f ca="1">IF(AT2139=0,"",CHOOSE(MATCH(Master_rankableSchools!$G$10,{"Priority score","Economic need","Enrollment","Fresh miles","Nearby resources"},0),T2139,G2139,F2139,K2139,L2139))</f>
        <v>45</v>
      </c>
      <c r="AV2139" s="105">
        <f ca="1">IF(AT2139=0,"",1+COUNTIFS($AT$2051:$AT$2550,1,$AU$2051:$AU$2550,IF(Master_rankableSchools!$J$10="Ascending","&lt;","&gt;")&amp;AU2139)+COUNTIFS($AT$2051:$AT$2550,1,$AU$2051:$AU$2550,AU2139,$W$2051:$W$2550,"&lt;"&amp;W2139))</f>
        <v>80</v>
      </c>
    </row>
    <row r="2140" spans="1:48" ht="22" customHeight="1">
      <c r="A2140" s="1" t="str">
        <f t="shared" si="30"/>
        <v>3329</v>
      </c>
      <c r="B2140" s="1" t="str">
        <f t="shared" si="31"/>
        <v>Young Scholars Charter School</v>
      </c>
      <c r="C2140" s="1" t="str">
        <f t="shared" si="32"/>
        <v>Charter</v>
      </c>
      <c r="D2140" s="1" t="str">
        <f t="shared" si="33"/>
        <v>Middle</v>
      </c>
      <c r="E2140" s="1" t="str">
        <f t="shared" si="34"/>
        <v>19123</v>
      </c>
      <c r="F2140" s="1">
        <f t="shared" si="35"/>
        <v>285</v>
      </c>
      <c r="G2140" s="1">
        <f t="shared" si="36"/>
        <v>0.92849999999999999</v>
      </c>
      <c r="H2140" s="1" t="str">
        <f t="shared" si="37"/>
        <v>Yes</v>
      </c>
      <c r="I2140" s="1">
        <f>IF(OR(A2140="",COUNTIFS('Staff Review'!$A$8:$A$507,A2140)&lt;&gt;1),0,MATCH(A2140,'Staff Review'!$A$8:$A$507,0))</f>
        <v>328</v>
      </c>
      <c r="J2140" s="1" t="str">
        <f>IF(I2140=0,"No",IF(INDEX('Staff Review'!$C$8:$C$507,I2140)="Yes","Yes","No"))</f>
        <v>No</v>
      </c>
      <c r="K2140" s="1">
        <f ca="1">IF(AI2140="Yes",INDEX('Staff Review'!$D$8:$D$507,I2140),IF(AB2140=0,"",IF(COUNT(INDEX($C$1531:$C$2030,AB2140))=1,INDEX($C$1531:$C$2030,AB2140),"")))</f>
        <v>0.40122889962049074</v>
      </c>
      <c r="L2140" s="1">
        <f>IF(AJ2140="Yes",INDEX('Staff Review'!$F$8:$F$507,I2140),IF(AB2140=0,"",IF(COUNT(INDEX($G$1531:$G$2030,AB2140))=1,INDEX($G$1531:$G$2030,AB2140),"")))</f>
        <v>11</v>
      </c>
      <c r="M2140" s="1" t="str">
        <f t="shared" ca="1" si="38"/>
        <v>Listed</v>
      </c>
      <c r="N2140" s="1" t="str">
        <f t="shared" si="39"/>
        <v>Listed</v>
      </c>
      <c r="O2140" s="1">
        <f t="shared" si="40"/>
        <v>30</v>
      </c>
      <c r="P2140" s="1">
        <f t="shared" ca="1" si="41"/>
        <v>10</v>
      </c>
      <c r="Q2140" s="1">
        <f t="shared" si="42"/>
        <v>0</v>
      </c>
      <c r="R2140" s="1">
        <f t="shared" si="43"/>
        <v>2</v>
      </c>
      <c r="S2140" s="1">
        <f t="shared" ca="1" si="44"/>
        <v>42</v>
      </c>
      <c r="T2140" s="1">
        <f ca="1">IF(OR(COUNT(O2140:R2140)&lt;&gt;4,COUNT('Top 25'!$B$45:$E$45)&lt;&gt;4,MIN('Top 25'!$B$45:$E$45)&lt;0,SUM('Top 25'!$B$45:$E$45)&lt;=0),"",ROUND(85*(O2140/30*'Top 25'!$B$45+P2140/25*'Top 25'!$C$45+Q2140/25*'Top 25'!$D$45+R2140/5*'Top 25'!$E$45)/SUM('Top 25'!$B$45:$E$45),6))</f>
        <v>42</v>
      </c>
      <c r="U2140" s="1" t="str">
        <f t="shared" ca="1" si="45"/>
        <v>Listed</v>
      </c>
      <c r="V2140" s="1" t="str">
        <f ca="1">IF(A2140="","",IF(AK2140&lt;&gt;1,"Duplicate source ID",IF(COUNTIFS('Staff Review'!$A$8:$A$507,A2140)&gt;1,"Duplicate review ID",IF(H2140&lt;&gt;"Yes","Outside scope",IF(J2140="Yes","Already served",IF(NOT(ISNUMBER(T2140)),"Missing data","Candidate"))))))</f>
        <v>Candidate</v>
      </c>
      <c r="W2140" s="1">
        <f t="shared" ca="1" si="46"/>
        <v>104</v>
      </c>
      <c r="X2140" s="1">
        <f t="shared" ca="1" si="47"/>
        <v>101</v>
      </c>
      <c r="Y2140" s="1">
        <f ca="1">IF(AND(H2140="Yes",OR(LEN('School Search'!$B$5)=0,ISNUMBER(SEARCH('School Search'!$B$5,B2140&amp;" "&amp;E2140&amp;" "&amp;A2140))),OR('School Search'!$D$5="All",C2140='School Search'!$D$5),OR('School Search'!$G$5="All eligible",AND('School Search'!$G$5="Not marked served",J2140&lt;&gt;"Yes"),AND('School Search'!$G$5="Missing data",V2140="Missing data"),AND('School Search'!$G$5="Marked served",J2140="Yes"))),1,0)</f>
        <v>1</v>
      </c>
      <c r="Z2140" s="1">
        <f ca="1">IF(Y2140=0,"",COUNTIFS($Y$2051:$Y$2550,1,$AO$2051:$AO$2550,"&lt;"&amp;AO2140)+COUNTIFS($Y$2051:Y2140,1,$AO$2051:AO2140,AO2140))</f>
        <v>104</v>
      </c>
      <c r="AA2140" s="1" t="str">
        <f t="shared" ca="1" si="48"/>
        <v>93% economic need; 0.40 mi fresh access; 11 nearby resources</v>
      </c>
      <c r="AB2140" s="1">
        <f t="shared" si="49"/>
        <v>90</v>
      </c>
      <c r="AC2140" s="1" t="str">
        <f t="shared" si="50"/>
        <v>Giant Heirloom Market 6552</v>
      </c>
      <c r="AD2140" s="1" t="str">
        <f t="shared" si="51"/>
        <v>1004 N 2nd St, Philadelphia, PA, 19123</v>
      </c>
      <c r="AE2140" s="1" t="str">
        <f t="shared" si="52"/>
        <v>900 N MARSHALL ST</v>
      </c>
      <c r="AF2140" s="1">
        <f t="shared" si="53"/>
        <v>39.967346589999998</v>
      </c>
      <c r="AG2140" s="1">
        <f t="shared" si="54"/>
        <v>-75.147996610000007</v>
      </c>
      <c r="AH2140" s="1" t="str">
        <f>IF(I2140=0,"Not contacted",IF(INDEX('Staff Review'!$J$8:$J$507,I2140)="","Not contacted",INDEX('Staff Review'!$J$8:$J$507,I2140)))</f>
        <v>Not contacted</v>
      </c>
      <c r="AI2140" s="1" t="str">
        <f ca="1">IF(I2140=0,"No",IF(AND(COUNT(INDEX('Staff Review'!$D$8:$D$507,I2140))=1,INDEX('Staff Review'!$D$8:$D$507,I2140)&gt;=0,COUNT(INDEX('Staff Review'!$E$8:$E$507,I2140))=1,INDEX('Staff Review'!$E$8:$E$507,I2140)&gt;0,INDEX('Staff Review'!$E$8:$E$507,I2140)&lt;='Top 25'!$E$5,'Top 25'!$E$5-INDEX('Staff Review'!$E$8:$E$507,I2140)&lt;='Top 25'!$H$5,LEN(INDEX('Staff Review'!$H$8:$H$507,I2140))&gt;0),"Yes","No"))</f>
        <v>No</v>
      </c>
      <c r="AJ2140" s="1" t="str">
        <f>IF(I2140=0,"No",IF(COUNT(INDEX('Staff Review'!$F$8:$F$507,I2140))&lt;&gt;1,"No",IF(AND(INDEX('Staff Review'!$F$8:$F$507,I2140)&gt;=0,MOD(INDEX('Staff Review'!$F$8:$F$507,I2140),1)=0,COUNT(INDEX('Staff Review'!$G$8:$G$507,I2140))=1,INDEX('Staff Review'!$G$8:$G$507,I2140)&gt;0,INDEX('Staff Review'!$G$8:$G$507,I2140)&lt;='Top 25'!$E$5,'Top 25'!$E$5-INDEX('Staff Review'!$G$8:$G$507,I2140)&lt;='Top 25'!$H$5,LEN(INDEX('Staff Review'!$H$8:$H$507,I2140))&gt;0),"Yes","No")))</f>
        <v>No</v>
      </c>
      <c r="AK2140" s="1">
        <f t="shared" si="55"/>
        <v>1</v>
      </c>
      <c r="AL2140" s="1">
        <f t="shared" ca="1" si="56"/>
        <v>1</v>
      </c>
      <c r="AM2140" s="1">
        <f t="shared" si="57"/>
        <v>3329</v>
      </c>
      <c r="AN2140" s="1">
        <f t="shared" si="58"/>
        <v>90</v>
      </c>
      <c r="AO2140">
        <f t="shared" ca="1" si="59"/>
        <v>104</v>
      </c>
      <c r="AP2140" s="105">
        <f ca="1">IF(AND(AL2140=1,OR('Top 25'!$A$10="All",C2140='Top 25'!$A$10),OR('Top 25'!$D$10="All",D2140='Top 25'!$D$10)),1,0)</f>
        <v>0</v>
      </c>
      <c r="AQ2140" s="105" t="str">
        <f ca="1">IF(AP2140=0,"",CHOOSE(MATCH('Top 25'!$G$10,{"Priority score","Economic need","Enrollment","Fresh miles","Nearby resources"},0),T2140,G2140,F2140,K2140,L2140))</f>
        <v/>
      </c>
      <c r="AR2140" s="105" t="str">
        <f ca="1">IF(AP2140=0,"",1+COUNTIFS($AP$2051:$AP$2550,1,$AQ$2051:$AQ$2550,IF('Top 25'!$J$10="Ascending","&lt;","&gt;")&amp;AQ2140)+COUNTIFS($AP$2051:$AP$2550,1,$AQ$2051:$AQ$2550,AQ2140,$W$2051:$W$2550,"&lt;"&amp;W2140))</f>
        <v/>
      </c>
      <c r="AT2140" s="105">
        <f ca="1">IF(AND(AL2140=1,OR(Master_rankableSchools!$A$10="All",C2140=Master_rankableSchools!$A$10),OR(Master_rankableSchools!$D$10="All",D2140=Master_rankableSchools!$D$10)),1,0)</f>
        <v>1</v>
      </c>
      <c r="AU2140" s="105">
        <f ca="1">IF(AT2140=0,"",CHOOSE(MATCH(Master_rankableSchools!$G$10,{"Priority score","Economic need","Enrollment","Fresh miles","Nearby resources"},0),T2140,G2140,F2140,K2140,L2140))</f>
        <v>42</v>
      </c>
      <c r="AV2140" s="105">
        <f ca="1">IF(AT2140=0,"",1+COUNTIFS($AT$2051:$AT$2550,1,$AU$2051:$AU$2550,IF(Master_rankableSchools!$J$10="Ascending","&lt;","&gt;")&amp;AU2140)+COUNTIFS($AT$2051:$AT$2550,1,$AU$2051:$AU$2550,AU2140,$W$2051:$W$2550,"&lt;"&amp;W2140))</f>
        <v>104</v>
      </c>
    </row>
    <row r="2141" spans="1:48" ht="22" customHeight="1">
      <c r="A2141" s="1" t="str">
        <f t="shared" si="30"/>
        <v>3331</v>
      </c>
      <c r="B2141" s="1" t="str">
        <f t="shared" si="31"/>
        <v>Franklin Towne Charter High School</v>
      </c>
      <c r="C2141" s="1" t="str">
        <f t="shared" si="32"/>
        <v>Charter</v>
      </c>
      <c r="D2141" s="1" t="str">
        <f t="shared" si="33"/>
        <v>High</v>
      </c>
      <c r="E2141" s="1" t="str">
        <f t="shared" si="34"/>
        <v>19137</v>
      </c>
      <c r="F2141" s="1">
        <f t="shared" si="35"/>
        <v>1306</v>
      </c>
      <c r="G2141" s="1">
        <f t="shared" si="36"/>
        <v>0.60709999999999997</v>
      </c>
      <c r="H2141" s="1" t="str">
        <f t="shared" si="37"/>
        <v>Yes</v>
      </c>
      <c r="I2141" s="1">
        <f>IF(OR(A2141="",COUNTIFS('Staff Review'!$A$8:$A$507,A2141)&lt;&gt;1),0,MATCH(A2141,'Staff Review'!$A$8:$A$507,0))</f>
        <v>86</v>
      </c>
      <c r="J2141" s="1" t="str">
        <f>IF(I2141=0,"No",IF(INDEX('Staff Review'!$C$8:$C$507,I2141)="Yes","Yes","No"))</f>
        <v>No</v>
      </c>
      <c r="K2141" s="1">
        <f ca="1">IF(AI2141="Yes",INDEX('Staff Review'!$D$8:$D$507,I2141),IF(AB2141=0,"",IF(COUNT(INDEX($C$1531:$C$2030,AB2141))=1,INDEX($C$1531:$C$2030,AB2141),"")))</f>
        <v>0.30525046391309263</v>
      </c>
      <c r="L2141" s="1">
        <f>IF(AJ2141="Yes",INDEX('Staff Review'!$F$8:$F$507,I2141),IF(AB2141=0,"",IF(COUNT(INDEX($G$1531:$G$2030,AB2141))=1,INDEX($G$1531:$G$2030,AB2141),"")))</f>
        <v>4</v>
      </c>
      <c r="M2141" s="1" t="str">
        <f t="shared" ca="1" si="38"/>
        <v>Listed</v>
      </c>
      <c r="N2141" s="1" t="str">
        <f t="shared" si="39"/>
        <v>Listed</v>
      </c>
      <c r="O2141" s="1">
        <f t="shared" si="40"/>
        <v>15</v>
      </c>
      <c r="P2141" s="1">
        <f t="shared" ca="1" si="41"/>
        <v>10</v>
      </c>
      <c r="Q2141" s="1">
        <f t="shared" si="42"/>
        <v>5</v>
      </c>
      <c r="R2141" s="1">
        <f t="shared" si="43"/>
        <v>5</v>
      </c>
      <c r="S2141" s="1">
        <f t="shared" ca="1" si="44"/>
        <v>35</v>
      </c>
      <c r="T2141" s="1">
        <f ca="1">IF(OR(COUNT(O2141:R2141)&lt;&gt;4,COUNT('Top 25'!$B$45:$E$45)&lt;&gt;4,MIN('Top 25'!$B$45:$E$45)&lt;0,SUM('Top 25'!$B$45:$E$45)&lt;=0),"",ROUND(85*(O2141/30*'Top 25'!$B$45+P2141/25*'Top 25'!$C$45+Q2141/25*'Top 25'!$D$45+R2141/5*'Top 25'!$E$45)/SUM('Top 25'!$B$45:$E$45),6))</f>
        <v>35</v>
      </c>
      <c r="U2141" s="1" t="str">
        <f t="shared" ca="1" si="45"/>
        <v>Listed</v>
      </c>
      <c r="V2141" s="1" t="str">
        <f ca="1">IF(A2141="","",IF(AK2141&lt;&gt;1,"Duplicate source ID",IF(COUNTIFS('Staff Review'!$A$8:$A$507,A2141)&gt;1,"Duplicate review ID",IF(H2141&lt;&gt;"Yes","Outside scope",IF(J2141="Yes","Already served",IF(NOT(ISNUMBER(T2141)),"Missing data","Candidate"))))))</f>
        <v>Candidate</v>
      </c>
      <c r="W2141" s="1">
        <f t="shared" ca="1" si="46"/>
        <v>218</v>
      </c>
      <c r="X2141" s="1">
        <f t="shared" ca="1" si="47"/>
        <v>210</v>
      </c>
      <c r="Y2141" s="1">
        <f ca="1">IF(AND(H2141="Yes",OR(LEN('School Search'!$B$5)=0,ISNUMBER(SEARCH('School Search'!$B$5,B2141&amp;" "&amp;E2141&amp;" "&amp;A2141))),OR('School Search'!$D$5="All",C2141='School Search'!$D$5),OR('School Search'!$G$5="All eligible",AND('School Search'!$G$5="Not marked served",J2141&lt;&gt;"Yes"),AND('School Search'!$G$5="Missing data",V2141="Missing data"),AND('School Search'!$G$5="Marked served",J2141="Yes"))),1,0)</f>
        <v>1</v>
      </c>
      <c r="Z2141" s="1">
        <f ca="1">IF(Y2141=0,"",COUNTIFS($Y$2051:$Y$2550,1,$AO$2051:$AO$2550,"&lt;"&amp;AO2141)+COUNTIFS($Y$2051:Y2141,1,$AO$2051:AO2141,AO2141))</f>
        <v>218</v>
      </c>
      <c r="AA2141" s="1" t="str">
        <f t="shared" ca="1" si="48"/>
        <v>61% economic need; 0.31 mi fresh access; 4 nearby resources</v>
      </c>
      <c r="AB2141" s="1">
        <f t="shared" si="49"/>
        <v>91</v>
      </c>
      <c r="AC2141" s="1" t="str">
        <f t="shared" si="50"/>
        <v>ShopRite of Bridge and Harbison 495</v>
      </c>
      <c r="AD2141" s="1" t="str">
        <f t="shared" si="51"/>
        <v>5597 Tulip St, Philadelphia, PA, 19124</v>
      </c>
      <c r="AE2141" s="1" t="str">
        <f t="shared" si="52"/>
        <v>5301 TACONY ST</v>
      </c>
      <c r="AF2141" s="1">
        <f t="shared" si="53"/>
        <v>40.007337</v>
      </c>
      <c r="AG2141" s="1">
        <f t="shared" si="54"/>
        <v>-75.066610999999995</v>
      </c>
      <c r="AH2141" s="1" t="str">
        <f>IF(I2141=0,"Not contacted",IF(INDEX('Staff Review'!$J$8:$J$507,I2141)="","Not contacted",INDEX('Staff Review'!$J$8:$J$507,I2141)))</f>
        <v>Not contacted</v>
      </c>
      <c r="AI2141" s="1" t="str">
        <f ca="1">IF(I2141=0,"No",IF(AND(COUNT(INDEX('Staff Review'!$D$8:$D$507,I2141))=1,INDEX('Staff Review'!$D$8:$D$507,I2141)&gt;=0,COUNT(INDEX('Staff Review'!$E$8:$E$507,I2141))=1,INDEX('Staff Review'!$E$8:$E$507,I2141)&gt;0,INDEX('Staff Review'!$E$8:$E$507,I2141)&lt;='Top 25'!$E$5,'Top 25'!$E$5-INDEX('Staff Review'!$E$8:$E$507,I2141)&lt;='Top 25'!$H$5,LEN(INDEX('Staff Review'!$H$8:$H$507,I2141))&gt;0),"Yes","No"))</f>
        <v>No</v>
      </c>
      <c r="AJ2141" s="1" t="str">
        <f>IF(I2141=0,"No",IF(COUNT(INDEX('Staff Review'!$F$8:$F$507,I2141))&lt;&gt;1,"No",IF(AND(INDEX('Staff Review'!$F$8:$F$507,I2141)&gt;=0,MOD(INDEX('Staff Review'!$F$8:$F$507,I2141),1)=0,COUNT(INDEX('Staff Review'!$G$8:$G$507,I2141))=1,INDEX('Staff Review'!$G$8:$G$507,I2141)&gt;0,INDEX('Staff Review'!$G$8:$G$507,I2141)&lt;='Top 25'!$E$5,'Top 25'!$E$5-INDEX('Staff Review'!$G$8:$G$507,I2141)&lt;='Top 25'!$H$5,LEN(INDEX('Staff Review'!$H$8:$H$507,I2141))&gt;0),"Yes","No")))</f>
        <v>No</v>
      </c>
      <c r="AK2141" s="1">
        <f t="shared" si="55"/>
        <v>1</v>
      </c>
      <c r="AL2141" s="1">
        <f t="shared" ca="1" si="56"/>
        <v>1</v>
      </c>
      <c r="AM2141" s="1">
        <f t="shared" si="57"/>
        <v>3331</v>
      </c>
      <c r="AN2141" s="1">
        <f t="shared" si="58"/>
        <v>91</v>
      </c>
      <c r="AO2141">
        <f t="shared" ca="1" si="59"/>
        <v>218</v>
      </c>
      <c r="AP2141" s="105">
        <f ca="1">IF(AND(AL2141=1,OR('Top 25'!$A$10="All",C2141='Top 25'!$A$10),OR('Top 25'!$D$10="All",D2141='Top 25'!$D$10)),1,0)</f>
        <v>0</v>
      </c>
      <c r="AQ2141" s="105" t="str">
        <f ca="1">IF(AP2141=0,"",CHOOSE(MATCH('Top 25'!$G$10,{"Priority score","Economic need","Enrollment","Fresh miles","Nearby resources"},0),T2141,G2141,F2141,K2141,L2141))</f>
        <v/>
      </c>
      <c r="AR2141" s="105" t="str">
        <f ca="1">IF(AP2141=0,"",1+COUNTIFS($AP$2051:$AP$2550,1,$AQ$2051:$AQ$2550,IF('Top 25'!$J$10="Ascending","&lt;","&gt;")&amp;AQ2141)+COUNTIFS($AP$2051:$AP$2550,1,$AQ$2051:$AQ$2550,AQ2141,$W$2051:$W$2550,"&lt;"&amp;W2141))</f>
        <v/>
      </c>
      <c r="AT2141" s="105">
        <f ca="1">IF(AND(AL2141=1,OR(Master_rankableSchools!$A$10="All",C2141=Master_rankableSchools!$A$10),OR(Master_rankableSchools!$D$10="All",D2141=Master_rankableSchools!$D$10)),1,0)</f>
        <v>1</v>
      </c>
      <c r="AU2141" s="105">
        <f ca="1">IF(AT2141=0,"",CHOOSE(MATCH(Master_rankableSchools!$G$10,{"Priority score","Economic need","Enrollment","Fresh miles","Nearby resources"},0),T2141,G2141,F2141,K2141,L2141))</f>
        <v>35</v>
      </c>
      <c r="AV2141" s="105">
        <f ca="1">IF(AT2141=0,"",1+COUNTIFS($AT$2051:$AT$2550,1,$AU$2051:$AU$2550,IF(Master_rankableSchools!$J$10="Ascending","&lt;","&gt;")&amp;AU2141)+COUNTIFS($AT$2051:$AT$2550,1,$AU$2051:$AU$2550,AU2141,$W$2051:$W$2550,"&lt;"&amp;W2141))</f>
        <v>218</v>
      </c>
    </row>
    <row r="2142" spans="1:48" ht="22" customHeight="1">
      <c r="A2142" s="1" t="str">
        <f t="shared" si="30"/>
        <v>3332</v>
      </c>
      <c r="B2142" s="1" t="str">
        <f t="shared" si="31"/>
        <v>Mariana Bracetti Academy Charter School</v>
      </c>
      <c r="C2142" s="1" t="str">
        <f t="shared" si="32"/>
        <v>Charter</v>
      </c>
      <c r="D2142" s="1" t="str">
        <f t="shared" si="33"/>
        <v>Elementary-Middle-High</v>
      </c>
      <c r="E2142" s="1" t="str">
        <f t="shared" si="34"/>
        <v>19124</v>
      </c>
      <c r="F2142" s="1">
        <f t="shared" si="35"/>
        <v>1520</v>
      </c>
      <c r="G2142" s="1">
        <f t="shared" si="36"/>
        <v>0.82220000000000004</v>
      </c>
      <c r="H2142" s="1" t="str">
        <f t="shared" si="37"/>
        <v>Yes</v>
      </c>
      <c r="I2142" s="1">
        <f>IF(OR(A2142="",COUNTIFS('Staff Review'!$A$8:$A$507,A2142)&lt;&gt;1),0,MATCH(A2142,'Staff Review'!$A$8:$A$507,0))</f>
        <v>174</v>
      </c>
      <c r="J2142" s="1" t="str">
        <f>IF(I2142=0,"No",IF(INDEX('Staff Review'!$C$8:$C$507,I2142)="Yes","Yes","No"))</f>
        <v>No</v>
      </c>
      <c r="K2142" s="1">
        <f ca="1">IF(AI2142="Yes",INDEX('Staff Review'!$D$8:$D$507,I2142),IF(AB2142=0,"",IF(COUNT(INDEX($C$1531:$C$2030,AB2142))=1,INDEX($C$1531:$C$2030,AB2142),"")))</f>
        <v>0.25781245256366847</v>
      </c>
      <c r="L2142" s="1">
        <f>IF(AJ2142="Yes",INDEX('Staff Review'!$F$8:$F$507,I2142),IF(AB2142=0,"",IF(COUNT(INDEX($G$1531:$G$2030,AB2142))=1,INDEX($G$1531:$G$2030,AB2142),"")))</f>
        <v>9</v>
      </c>
      <c r="M2142" s="1" t="str">
        <f t="shared" ca="1" si="38"/>
        <v>Listed</v>
      </c>
      <c r="N2142" s="1" t="str">
        <f t="shared" si="39"/>
        <v>Listed</v>
      </c>
      <c r="O2142" s="1">
        <f t="shared" si="40"/>
        <v>25</v>
      </c>
      <c r="P2142" s="1">
        <f t="shared" ca="1" si="41"/>
        <v>10</v>
      </c>
      <c r="Q2142" s="1">
        <f t="shared" si="42"/>
        <v>0</v>
      </c>
      <c r="R2142" s="1">
        <f t="shared" si="43"/>
        <v>5</v>
      </c>
      <c r="S2142" s="1">
        <f t="shared" ca="1" si="44"/>
        <v>40</v>
      </c>
      <c r="T2142" s="1">
        <f ca="1">IF(OR(COUNT(O2142:R2142)&lt;&gt;4,COUNT('Top 25'!$B$45:$E$45)&lt;&gt;4,MIN('Top 25'!$B$45:$E$45)&lt;0,SUM('Top 25'!$B$45:$E$45)&lt;=0),"",ROUND(85*(O2142/30*'Top 25'!$B$45+P2142/25*'Top 25'!$C$45+Q2142/25*'Top 25'!$D$45+R2142/5*'Top 25'!$E$45)/SUM('Top 25'!$B$45:$E$45),6))</f>
        <v>40</v>
      </c>
      <c r="U2142" s="1" t="str">
        <f t="shared" ca="1" si="45"/>
        <v>Listed</v>
      </c>
      <c r="V2142" s="1" t="str">
        <f ca="1">IF(A2142="","",IF(AK2142&lt;&gt;1,"Duplicate source ID",IF(COUNTIFS('Staff Review'!$A$8:$A$507,A2142)&gt;1,"Duplicate review ID",IF(H2142&lt;&gt;"Yes","Outside scope",IF(J2142="Yes","Already served",IF(NOT(ISNUMBER(T2142)),"Missing data","Candidate"))))))</f>
        <v>Candidate</v>
      </c>
      <c r="W2142" s="1">
        <f t="shared" ca="1" si="46"/>
        <v>141</v>
      </c>
      <c r="X2142" s="1">
        <f t="shared" ca="1" si="47"/>
        <v>133</v>
      </c>
      <c r="Y2142" s="1">
        <f ca="1">IF(AND(H2142="Yes",OR(LEN('School Search'!$B$5)=0,ISNUMBER(SEARCH('School Search'!$B$5,B2142&amp;" "&amp;E2142&amp;" "&amp;A2142))),OR('School Search'!$D$5="All",C2142='School Search'!$D$5),OR('School Search'!$G$5="All eligible",AND('School Search'!$G$5="Not marked served",J2142&lt;&gt;"Yes"),AND('School Search'!$G$5="Missing data",V2142="Missing data"),AND('School Search'!$G$5="Marked served",J2142="Yes"))),1,0)</f>
        <v>1</v>
      </c>
      <c r="Z2142" s="1">
        <f ca="1">IF(Y2142=0,"",COUNTIFS($Y$2051:$Y$2550,1,$AO$2051:$AO$2550,"&lt;"&amp;AO2142)+COUNTIFS($Y$2051:Y2142,1,$AO$2051:AO2142,AO2142))</f>
        <v>141</v>
      </c>
      <c r="AA2142" s="1" t="str">
        <f t="shared" ca="1" si="48"/>
        <v>82% economic need; 0.26 mi fresh access; 9 nearby resources</v>
      </c>
      <c r="AB2142" s="1">
        <f t="shared" si="49"/>
        <v>92</v>
      </c>
      <c r="AC2142" s="1" t="str">
        <f t="shared" si="50"/>
        <v>ALDI 60039 60039</v>
      </c>
      <c r="AD2142" s="1" t="str">
        <f t="shared" si="51"/>
        <v>3975 Castor Ave, Philadelphia, PA, 19124</v>
      </c>
      <c r="AE2142" s="1" t="str">
        <f t="shared" si="52"/>
        <v>1840 TORRESDALE AVE</v>
      </c>
      <c r="AF2142" s="1">
        <f t="shared" si="53"/>
        <v>40.005757000000003</v>
      </c>
      <c r="AG2142" s="1">
        <f t="shared" si="54"/>
        <v>-75.094145999999995</v>
      </c>
      <c r="AH2142" s="1" t="str">
        <f>IF(I2142=0,"Not contacted",IF(INDEX('Staff Review'!$J$8:$J$507,I2142)="","Not contacted",INDEX('Staff Review'!$J$8:$J$507,I2142)))</f>
        <v>Not contacted</v>
      </c>
      <c r="AI2142" s="1" t="str">
        <f ca="1">IF(I2142=0,"No",IF(AND(COUNT(INDEX('Staff Review'!$D$8:$D$507,I2142))=1,INDEX('Staff Review'!$D$8:$D$507,I2142)&gt;=0,COUNT(INDEX('Staff Review'!$E$8:$E$507,I2142))=1,INDEX('Staff Review'!$E$8:$E$507,I2142)&gt;0,INDEX('Staff Review'!$E$8:$E$507,I2142)&lt;='Top 25'!$E$5,'Top 25'!$E$5-INDEX('Staff Review'!$E$8:$E$507,I2142)&lt;='Top 25'!$H$5,LEN(INDEX('Staff Review'!$H$8:$H$507,I2142))&gt;0),"Yes","No"))</f>
        <v>No</v>
      </c>
      <c r="AJ2142" s="1" t="str">
        <f>IF(I2142=0,"No",IF(COUNT(INDEX('Staff Review'!$F$8:$F$507,I2142))&lt;&gt;1,"No",IF(AND(INDEX('Staff Review'!$F$8:$F$507,I2142)&gt;=0,MOD(INDEX('Staff Review'!$F$8:$F$507,I2142),1)=0,COUNT(INDEX('Staff Review'!$G$8:$G$507,I2142))=1,INDEX('Staff Review'!$G$8:$G$507,I2142)&gt;0,INDEX('Staff Review'!$G$8:$G$507,I2142)&lt;='Top 25'!$E$5,'Top 25'!$E$5-INDEX('Staff Review'!$G$8:$G$507,I2142)&lt;='Top 25'!$H$5,LEN(INDEX('Staff Review'!$H$8:$H$507,I2142))&gt;0),"Yes","No")))</f>
        <v>No</v>
      </c>
      <c r="AK2142" s="1">
        <f t="shared" si="55"/>
        <v>1</v>
      </c>
      <c r="AL2142" s="1">
        <f t="shared" ca="1" si="56"/>
        <v>1</v>
      </c>
      <c r="AM2142" s="1">
        <f t="shared" si="57"/>
        <v>3332</v>
      </c>
      <c r="AN2142" s="1">
        <f t="shared" si="58"/>
        <v>92</v>
      </c>
      <c r="AO2142">
        <f t="shared" ca="1" si="59"/>
        <v>141</v>
      </c>
      <c r="AP2142" s="105">
        <f ca="1">IF(AND(AL2142=1,OR('Top 25'!$A$10="All",C2142='Top 25'!$A$10),OR('Top 25'!$D$10="All",D2142='Top 25'!$D$10)),1,0)</f>
        <v>0</v>
      </c>
      <c r="AQ2142" s="105" t="str">
        <f ca="1">IF(AP2142=0,"",CHOOSE(MATCH('Top 25'!$G$10,{"Priority score","Economic need","Enrollment","Fresh miles","Nearby resources"},0),T2142,G2142,F2142,K2142,L2142))</f>
        <v/>
      </c>
      <c r="AR2142" s="105" t="str">
        <f ca="1">IF(AP2142=0,"",1+COUNTIFS($AP$2051:$AP$2550,1,$AQ$2051:$AQ$2550,IF('Top 25'!$J$10="Ascending","&lt;","&gt;")&amp;AQ2142)+COUNTIFS($AP$2051:$AP$2550,1,$AQ$2051:$AQ$2550,AQ2142,$W$2051:$W$2550,"&lt;"&amp;W2142))</f>
        <v/>
      </c>
      <c r="AT2142" s="105">
        <f ca="1">IF(AND(AL2142=1,OR(Master_rankableSchools!$A$10="All",C2142=Master_rankableSchools!$A$10),OR(Master_rankableSchools!$D$10="All",D2142=Master_rankableSchools!$D$10)),1,0)</f>
        <v>1</v>
      </c>
      <c r="AU2142" s="105">
        <f ca="1">IF(AT2142=0,"",CHOOSE(MATCH(Master_rankableSchools!$G$10,{"Priority score","Economic need","Enrollment","Fresh miles","Nearby resources"},0),T2142,G2142,F2142,K2142,L2142))</f>
        <v>40</v>
      </c>
      <c r="AV2142" s="105">
        <f ca="1">IF(AT2142=0,"",1+COUNTIFS($AT$2051:$AT$2550,1,$AU$2051:$AU$2550,IF(Master_rankableSchools!$J$10="Ascending","&lt;","&gt;")&amp;AU2142)+COUNTIFS($AT$2051:$AT$2550,1,$AU$2051:$AU$2550,AU2142,$W$2051:$W$2550,"&lt;"&amp;W2142))</f>
        <v>141</v>
      </c>
    </row>
    <row r="2143" spans="1:48" ht="22" customHeight="1">
      <c r="A2143" s="1" t="str">
        <f t="shared" si="30"/>
        <v>3333</v>
      </c>
      <c r="B2143" s="1" t="str">
        <f t="shared" si="31"/>
        <v>Esperanza Academy Charter School</v>
      </c>
      <c r="C2143" s="1" t="str">
        <f t="shared" si="32"/>
        <v>Charter</v>
      </c>
      <c r="D2143" s="1" t="str">
        <f t="shared" si="33"/>
        <v>Elementary-Middle-High</v>
      </c>
      <c r="E2143" s="1" t="str">
        <f t="shared" si="34"/>
        <v>19140</v>
      </c>
      <c r="F2143" s="1">
        <f t="shared" si="35"/>
        <v>2246</v>
      </c>
      <c r="G2143" s="1">
        <f t="shared" si="36"/>
        <v>0.86819999999999997</v>
      </c>
      <c r="H2143" s="1" t="str">
        <f t="shared" si="37"/>
        <v>Yes</v>
      </c>
      <c r="I2143" s="1">
        <f>IF(OR(A2143="",COUNTIFS('Staff Review'!$A$8:$A$507,A2143)&lt;&gt;1),0,MATCH(A2143,'Staff Review'!$A$8:$A$507,0))</f>
        <v>64</v>
      </c>
      <c r="J2143" s="1" t="str">
        <f>IF(I2143=0,"No",IF(INDEX('Staff Review'!$C$8:$C$507,I2143)="Yes","Yes","No"))</f>
        <v>No</v>
      </c>
      <c r="K2143" s="1">
        <f ca="1">IF(AI2143="Yes",INDEX('Staff Review'!$D$8:$D$507,I2143),IF(AB2143=0,"",IF(COUNT(INDEX($C$1531:$C$2030,AB2143))=1,INDEX($C$1531:$C$2030,AB2143),"")))</f>
        <v>0.22184891602670467</v>
      </c>
      <c r="L2143" s="1">
        <f>IF(AJ2143="Yes",INDEX('Staff Review'!$F$8:$F$507,I2143),IF(AB2143=0,"",IF(COUNT(INDEX($G$1531:$G$2030,AB2143))=1,INDEX($G$1531:$G$2030,AB2143),"")))</f>
        <v>10</v>
      </c>
      <c r="M2143" s="1" t="str">
        <f t="shared" ca="1" si="38"/>
        <v>Listed</v>
      </c>
      <c r="N2143" s="1" t="str">
        <f t="shared" si="39"/>
        <v>Listed</v>
      </c>
      <c r="O2143" s="1">
        <f t="shared" si="40"/>
        <v>25</v>
      </c>
      <c r="P2143" s="1">
        <f t="shared" ca="1" si="41"/>
        <v>5</v>
      </c>
      <c r="Q2143" s="1">
        <f t="shared" si="42"/>
        <v>0</v>
      </c>
      <c r="R2143" s="1">
        <f t="shared" si="43"/>
        <v>5</v>
      </c>
      <c r="S2143" s="1">
        <f t="shared" ca="1" si="44"/>
        <v>35</v>
      </c>
      <c r="T2143" s="1">
        <f ca="1">IF(OR(COUNT(O2143:R2143)&lt;&gt;4,COUNT('Top 25'!$B$45:$E$45)&lt;&gt;4,MIN('Top 25'!$B$45:$E$45)&lt;0,SUM('Top 25'!$B$45:$E$45)&lt;=0),"",ROUND(85*(O2143/30*'Top 25'!$B$45+P2143/25*'Top 25'!$C$45+Q2143/25*'Top 25'!$D$45+R2143/5*'Top 25'!$E$45)/SUM('Top 25'!$B$45:$E$45),6))</f>
        <v>35</v>
      </c>
      <c r="U2143" s="1" t="str">
        <f t="shared" ca="1" si="45"/>
        <v>Listed</v>
      </c>
      <c r="V2143" s="1" t="str">
        <f ca="1">IF(A2143="","",IF(AK2143&lt;&gt;1,"Duplicate source ID",IF(COUNTIFS('Staff Review'!$A$8:$A$507,A2143)&gt;1,"Duplicate review ID",IF(H2143&lt;&gt;"Yes","Outside scope",IF(J2143="Yes","Already served",IF(NOT(ISNUMBER(T2143)),"Missing data","Candidate"))))))</f>
        <v>Candidate</v>
      </c>
      <c r="W2143" s="1">
        <f t="shared" ca="1" si="46"/>
        <v>210</v>
      </c>
      <c r="X2143" s="1">
        <f t="shared" ca="1" si="47"/>
        <v>210</v>
      </c>
      <c r="Y2143" s="1">
        <f ca="1">IF(AND(H2143="Yes",OR(LEN('School Search'!$B$5)=0,ISNUMBER(SEARCH('School Search'!$B$5,B2143&amp;" "&amp;E2143&amp;" "&amp;A2143))),OR('School Search'!$D$5="All",C2143='School Search'!$D$5),OR('School Search'!$G$5="All eligible",AND('School Search'!$G$5="Not marked served",J2143&lt;&gt;"Yes"),AND('School Search'!$G$5="Missing data",V2143="Missing data"),AND('School Search'!$G$5="Marked served",J2143="Yes"))),1,0)</f>
        <v>1</v>
      </c>
      <c r="Z2143" s="1">
        <f ca="1">IF(Y2143=0,"",COUNTIFS($Y$2051:$Y$2550,1,$AO$2051:$AO$2550,"&lt;"&amp;AO2143)+COUNTIFS($Y$2051:Y2143,1,$AO$2051:AO2143,AO2143))</f>
        <v>210</v>
      </c>
      <c r="AA2143" s="1" t="str">
        <f t="shared" ca="1" si="48"/>
        <v>87% economic need; 0.22 mi fresh access; 10 nearby resources</v>
      </c>
      <c r="AB2143" s="1">
        <f t="shared" si="49"/>
        <v>93</v>
      </c>
      <c r="AC2143" s="1" t="str">
        <f t="shared" si="50"/>
        <v>COUSINS SUPERMARKET INC. #2</v>
      </c>
      <c r="AD2143" s="1" t="str">
        <f t="shared" si="51"/>
        <v>4037 N 5th St, Philadelphia, PA, 19140</v>
      </c>
      <c r="AE2143" s="1" t="str">
        <f t="shared" si="52"/>
        <v>301 W HUNTING PARK AVE</v>
      </c>
      <c r="AF2143" s="1">
        <f t="shared" si="53"/>
        <v>40.01478539</v>
      </c>
      <c r="AG2143" s="1">
        <f t="shared" si="54"/>
        <v>-75.132323959999994</v>
      </c>
      <c r="AH2143" s="1" t="str">
        <f>IF(I2143=0,"Not contacted",IF(INDEX('Staff Review'!$J$8:$J$507,I2143)="","Not contacted",INDEX('Staff Review'!$J$8:$J$507,I2143)))</f>
        <v>Not contacted</v>
      </c>
      <c r="AI2143" s="1" t="str">
        <f ca="1">IF(I2143=0,"No",IF(AND(COUNT(INDEX('Staff Review'!$D$8:$D$507,I2143))=1,INDEX('Staff Review'!$D$8:$D$507,I2143)&gt;=0,COUNT(INDEX('Staff Review'!$E$8:$E$507,I2143))=1,INDEX('Staff Review'!$E$8:$E$507,I2143)&gt;0,INDEX('Staff Review'!$E$8:$E$507,I2143)&lt;='Top 25'!$E$5,'Top 25'!$E$5-INDEX('Staff Review'!$E$8:$E$507,I2143)&lt;='Top 25'!$H$5,LEN(INDEX('Staff Review'!$H$8:$H$507,I2143))&gt;0),"Yes","No"))</f>
        <v>No</v>
      </c>
      <c r="AJ2143" s="1" t="str">
        <f>IF(I2143=0,"No",IF(COUNT(INDEX('Staff Review'!$F$8:$F$507,I2143))&lt;&gt;1,"No",IF(AND(INDEX('Staff Review'!$F$8:$F$507,I2143)&gt;=0,MOD(INDEX('Staff Review'!$F$8:$F$507,I2143),1)=0,COUNT(INDEX('Staff Review'!$G$8:$G$507,I2143))=1,INDEX('Staff Review'!$G$8:$G$507,I2143)&gt;0,INDEX('Staff Review'!$G$8:$G$507,I2143)&lt;='Top 25'!$E$5,'Top 25'!$E$5-INDEX('Staff Review'!$G$8:$G$507,I2143)&lt;='Top 25'!$H$5,LEN(INDEX('Staff Review'!$H$8:$H$507,I2143))&gt;0),"Yes","No")))</f>
        <v>No</v>
      </c>
      <c r="AK2143" s="1">
        <f t="shared" si="55"/>
        <v>1</v>
      </c>
      <c r="AL2143" s="1">
        <f t="shared" ca="1" si="56"/>
        <v>1</v>
      </c>
      <c r="AM2143" s="1">
        <f t="shared" si="57"/>
        <v>3333</v>
      </c>
      <c r="AN2143" s="1">
        <f t="shared" si="58"/>
        <v>93</v>
      </c>
      <c r="AO2143">
        <f t="shared" ca="1" si="59"/>
        <v>210</v>
      </c>
      <c r="AP2143" s="105">
        <f ca="1">IF(AND(AL2143=1,OR('Top 25'!$A$10="All",C2143='Top 25'!$A$10),OR('Top 25'!$D$10="All",D2143='Top 25'!$D$10)),1,0)</f>
        <v>0</v>
      </c>
      <c r="AQ2143" s="105" t="str">
        <f ca="1">IF(AP2143=0,"",CHOOSE(MATCH('Top 25'!$G$10,{"Priority score","Economic need","Enrollment","Fresh miles","Nearby resources"},0),T2143,G2143,F2143,K2143,L2143))</f>
        <v/>
      </c>
      <c r="AR2143" s="105" t="str">
        <f ca="1">IF(AP2143=0,"",1+COUNTIFS($AP$2051:$AP$2550,1,$AQ$2051:$AQ$2550,IF('Top 25'!$J$10="Ascending","&lt;","&gt;")&amp;AQ2143)+COUNTIFS($AP$2051:$AP$2550,1,$AQ$2051:$AQ$2550,AQ2143,$W$2051:$W$2550,"&lt;"&amp;W2143))</f>
        <v/>
      </c>
      <c r="AT2143" s="105">
        <f ca="1">IF(AND(AL2143=1,OR(Master_rankableSchools!$A$10="All",C2143=Master_rankableSchools!$A$10),OR(Master_rankableSchools!$D$10="All",D2143=Master_rankableSchools!$D$10)),1,0)</f>
        <v>1</v>
      </c>
      <c r="AU2143" s="105">
        <f ca="1">IF(AT2143=0,"",CHOOSE(MATCH(Master_rankableSchools!$G$10,{"Priority score","Economic need","Enrollment","Fresh miles","Nearby resources"},0),T2143,G2143,F2143,K2143,L2143))</f>
        <v>35</v>
      </c>
      <c r="AV2143" s="105">
        <f ca="1">IF(AT2143=0,"",1+COUNTIFS($AT$2051:$AT$2550,1,$AU$2051:$AU$2550,IF(Master_rankableSchools!$J$10="Ascending","&lt;","&gt;")&amp;AU2143)+COUNTIFS($AT$2051:$AT$2550,1,$AU$2051:$AU$2550,AU2143,$W$2051:$W$2550,"&lt;"&amp;W2143))</f>
        <v>210</v>
      </c>
    </row>
    <row r="2144" spans="1:48" ht="22" customHeight="1">
      <c r="A2144" s="1" t="str">
        <f t="shared" si="30"/>
        <v>3334</v>
      </c>
      <c r="B2144" s="1" t="str">
        <f t="shared" si="31"/>
        <v>New Foundations Charter School</v>
      </c>
      <c r="C2144" s="1" t="str">
        <f t="shared" si="32"/>
        <v>Charter</v>
      </c>
      <c r="D2144" s="1" t="str">
        <f t="shared" si="33"/>
        <v>Elementary-Middle-High</v>
      </c>
      <c r="E2144" s="1" t="str">
        <f t="shared" si="34"/>
        <v>19136</v>
      </c>
      <c r="F2144" s="1">
        <f t="shared" si="35"/>
        <v>1538</v>
      </c>
      <c r="G2144" s="1">
        <f t="shared" si="36"/>
        <v>0.70840000000000003</v>
      </c>
      <c r="H2144" s="1" t="str">
        <f t="shared" si="37"/>
        <v>Yes</v>
      </c>
      <c r="I2144" s="1">
        <f>IF(OR(A2144="",COUNTIFS('Staff Review'!$A$8:$A$507,A2144)&lt;&gt;1),0,MATCH(A2144,'Staff Review'!$A$8:$A$507,0))</f>
        <v>204</v>
      </c>
      <c r="J2144" s="1" t="str">
        <f>IF(I2144=0,"No",IF(INDEX('Staff Review'!$C$8:$C$507,I2144)="Yes","Yes","No"))</f>
        <v>No</v>
      </c>
      <c r="K2144" s="1">
        <f ca="1">IF(AI2144="Yes",INDEX('Staff Review'!$D$8:$D$507,I2144),IF(AB2144=0,"",IF(COUNT(INDEX($C$1531:$C$2030,AB2144))=1,INDEX($C$1531:$C$2030,AB2144),"")))</f>
        <v>1.3873237300055541</v>
      </c>
      <c r="L2144" s="1">
        <f>IF(AJ2144="Yes",INDEX('Staff Review'!$F$8:$F$507,I2144),IF(AB2144=0,"",IF(COUNT(INDEX($G$1531:$G$2030,AB2144))=1,INDEX($G$1531:$G$2030,AB2144),"")))</f>
        <v>2</v>
      </c>
      <c r="M2144" s="1" t="str">
        <f t="shared" ca="1" si="38"/>
        <v>Listed</v>
      </c>
      <c r="N2144" s="1" t="str">
        <f t="shared" si="39"/>
        <v>Listed</v>
      </c>
      <c r="O2144" s="1">
        <f t="shared" si="40"/>
        <v>20</v>
      </c>
      <c r="P2144" s="1">
        <f t="shared" ca="1" si="41"/>
        <v>25</v>
      </c>
      <c r="Q2144" s="1">
        <f t="shared" si="42"/>
        <v>15</v>
      </c>
      <c r="R2144" s="1">
        <f t="shared" si="43"/>
        <v>5</v>
      </c>
      <c r="S2144" s="1">
        <f t="shared" ca="1" si="44"/>
        <v>65</v>
      </c>
      <c r="T2144" s="1">
        <f ca="1">IF(OR(COUNT(O2144:R2144)&lt;&gt;4,COUNT('Top 25'!$B$45:$E$45)&lt;&gt;4,MIN('Top 25'!$B$45:$E$45)&lt;0,SUM('Top 25'!$B$45:$E$45)&lt;=0),"",ROUND(85*(O2144/30*'Top 25'!$B$45+P2144/25*'Top 25'!$C$45+Q2144/25*'Top 25'!$D$45+R2144/5*'Top 25'!$E$45)/SUM('Top 25'!$B$45:$E$45),6))</f>
        <v>65</v>
      </c>
      <c r="U2144" s="1" t="str">
        <f t="shared" ca="1" si="45"/>
        <v>Listed</v>
      </c>
      <c r="V2144" s="1" t="str">
        <f ca="1">IF(A2144="","",IF(AK2144&lt;&gt;1,"Duplicate source ID",IF(COUNTIFS('Staff Review'!$A$8:$A$507,A2144)&gt;1,"Duplicate review ID",IF(H2144&lt;&gt;"Yes","Outside scope",IF(J2144="Yes","Already served",IF(NOT(ISNUMBER(T2144)),"Missing data","Candidate"))))))</f>
        <v>Candidate</v>
      </c>
      <c r="W2144" s="1">
        <f t="shared" ca="1" si="46"/>
        <v>3</v>
      </c>
      <c r="X2144" s="1">
        <f t="shared" ca="1" si="47"/>
        <v>3</v>
      </c>
      <c r="Y2144" s="1">
        <f ca="1">IF(AND(H2144="Yes",OR(LEN('School Search'!$B$5)=0,ISNUMBER(SEARCH('School Search'!$B$5,B2144&amp;" "&amp;E2144&amp;" "&amp;A2144))),OR('School Search'!$D$5="All",C2144='School Search'!$D$5),OR('School Search'!$G$5="All eligible",AND('School Search'!$G$5="Not marked served",J2144&lt;&gt;"Yes"),AND('School Search'!$G$5="Missing data",V2144="Missing data"),AND('School Search'!$G$5="Marked served",J2144="Yes"))),1,0)</f>
        <v>1</v>
      </c>
      <c r="Z2144" s="1">
        <f ca="1">IF(Y2144=0,"",COUNTIFS($Y$2051:$Y$2550,1,$AO$2051:$AO$2550,"&lt;"&amp;AO2144)+COUNTIFS($Y$2051:Y2144,1,$AO$2051:AO2144,AO2144))</f>
        <v>3</v>
      </c>
      <c r="AA2144" s="1" t="str">
        <f t="shared" ca="1" si="48"/>
        <v>71% economic need; 1.39 mi fresh access; 2 nearby resources</v>
      </c>
      <c r="AB2144" s="1">
        <f t="shared" si="49"/>
        <v>94</v>
      </c>
      <c r="AC2144" s="1" t="str">
        <f t="shared" si="50"/>
        <v>SAVE-A-LOT 60132</v>
      </c>
      <c r="AD2144" s="1" t="str">
        <f t="shared" si="51"/>
        <v>6801 Frankford Ave, Philadelphia, PA, 19135</v>
      </c>
      <c r="AE2144" s="1" t="str">
        <f t="shared" si="52"/>
        <v>8001 TORRESDALE AVE</v>
      </c>
      <c r="AF2144" s="1">
        <f t="shared" si="53"/>
        <v>40.035069999999997</v>
      </c>
      <c r="AG2144" s="1">
        <f t="shared" si="54"/>
        <v>-75.024186999999998</v>
      </c>
      <c r="AH2144" s="1" t="str">
        <f>IF(I2144=0,"Not contacted",IF(INDEX('Staff Review'!$J$8:$J$507,I2144)="","Not contacted",INDEX('Staff Review'!$J$8:$J$507,I2144)))</f>
        <v>Not contacted</v>
      </c>
      <c r="AI2144" s="1" t="str">
        <f ca="1">IF(I2144=0,"No",IF(AND(COUNT(INDEX('Staff Review'!$D$8:$D$507,I2144))=1,INDEX('Staff Review'!$D$8:$D$507,I2144)&gt;=0,COUNT(INDEX('Staff Review'!$E$8:$E$507,I2144))=1,INDEX('Staff Review'!$E$8:$E$507,I2144)&gt;0,INDEX('Staff Review'!$E$8:$E$507,I2144)&lt;='Top 25'!$E$5,'Top 25'!$E$5-INDEX('Staff Review'!$E$8:$E$507,I2144)&lt;='Top 25'!$H$5,LEN(INDEX('Staff Review'!$H$8:$H$507,I2144))&gt;0),"Yes","No"))</f>
        <v>No</v>
      </c>
      <c r="AJ2144" s="1" t="str">
        <f>IF(I2144=0,"No",IF(COUNT(INDEX('Staff Review'!$F$8:$F$507,I2144))&lt;&gt;1,"No",IF(AND(INDEX('Staff Review'!$F$8:$F$507,I2144)&gt;=0,MOD(INDEX('Staff Review'!$F$8:$F$507,I2144),1)=0,COUNT(INDEX('Staff Review'!$G$8:$G$507,I2144))=1,INDEX('Staff Review'!$G$8:$G$507,I2144)&gt;0,INDEX('Staff Review'!$G$8:$G$507,I2144)&lt;='Top 25'!$E$5,'Top 25'!$E$5-INDEX('Staff Review'!$G$8:$G$507,I2144)&lt;='Top 25'!$H$5,LEN(INDEX('Staff Review'!$H$8:$H$507,I2144))&gt;0),"Yes","No")))</f>
        <v>No</v>
      </c>
      <c r="AK2144" s="1">
        <f t="shared" si="55"/>
        <v>1</v>
      </c>
      <c r="AL2144" s="1">
        <f t="shared" ca="1" si="56"/>
        <v>1</v>
      </c>
      <c r="AM2144" s="1">
        <f t="shared" si="57"/>
        <v>3334</v>
      </c>
      <c r="AN2144" s="1">
        <f t="shared" si="58"/>
        <v>94</v>
      </c>
      <c r="AO2144">
        <f t="shared" ca="1" si="59"/>
        <v>3</v>
      </c>
      <c r="AP2144" s="105">
        <f ca="1">IF(AND(AL2144=1,OR('Top 25'!$A$10="All",C2144='Top 25'!$A$10),OR('Top 25'!$D$10="All",D2144='Top 25'!$D$10)),1,0)</f>
        <v>0</v>
      </c>
      <c r="AQ2144" s="105" t="str">
        <f ca="1">IF(AP2144=0,"",CHOOSE(MATCH('Top 25'!$G$10,{"Priority score","Economic need","Enrollment","Fresh miles","Nearby resources"},0),T2144,G2144,F2144,K2144,L2144))</f>
        <v/>
      </c>
      <c r="AR2144" s="105" t="str">
        <f ca="1">IF(AP2144=0,"",1+COUNTIFS($AP$2051:$AP$2550,1,$AQ$2051:$AQ$2550,IF('Top 25'!$J$10="Ascending","&lt;","&gt;")&amp;AQ2144)+COUNTIFS($AP$2051:$AP$2550,1,$AQ$2051:$AQ$2550,AQ2144,$W$2051:$W$2550,"&lt;"&amp;W2144))</f>
        <v/>
      </c>
      <c r="AT2144" s="105">
        <f ca="1">IF(AND(AL2144=1,OR(Master_rankableSchools!$A$10="All",C2144=Master_rankableSchools!$A$10),OR(Master_rankableSchools!$D$10="All",D2144=Master_rankableSchools!$D$10)),1,0)</f>
        <v>1</v>
      </c>
      <c r="AU2144" s="105">
        <f ca="1">IF(AT2144=0,"",CHOOSE(MATCH(Master_rankableSchools!$G$10,{"Priority score","Economic need","Enrollment","Fresh miles","Nearby resources"},0),T2144,G2144,F2144,K2144,L2144))</f>
        <v>65</v>
      </c>
      <c r="AV2144" s="105">
        <f ca="1">IF(AT2144=0,"",1+COUNTIFS($AT$2051:$AT$2550,1,$AU$2051:$AU$2550,IF(Master_rankableSchools!$J$10="Ascending","&lt;","&gt;")&amp;AU2144)+COUNTIFS($AT$2051:$AT$2550,1,$AU$2051:$AU$2550,AU2144,$W$2051:$W$2550,"&lt;"&amp;W2144))</f>
        <v>3</v>
      </c>
    </row>
    <row r="2145" spans="1:48" ht="22" customHeight="1">
      <c r="A2145" s="1" t="str">
        <f t="shared" si="30"/>
        <v>3335</v>
      </c>
      <c r="B2145" s="1" t="str">
        <f t="shared" si="31"/>
        <v>People for People Charter School</v>
      </c>
      <c r="C2145" s="1" t="str">
        <f t="shared" si="32"/>
        <v>Charter</v>
      </c>
      <c r="D2145" s="1" t="str">
        <f t="shared" si="33"/>
        <v>Elementary-Middle-High</v>
      </c>
      <c r="E2145" s="1" t="str">
        <f t="shared" si="34"/>
        <v>19130</v>
      </c>
      <c r="F2145" s="1">
        <f t="shared" si="35"/>
        <v>556</v>
      </c>
      <c r="G2145" s="1">
        <f t="shared" si="36"/>
        <v>0.99809999999999999</v>
      </c>
      <c r="H2145" s="1" t="str">
        <f t="shared" si="37"/>
        <v>Yes</v>
      </c>
      <c r="I2145" s="1">
        <f>IF(OR(A2145="",COUNTIFS('Staff Review'!$A$8:$A$507,A2145)&lt;&gt;1),0,MATCH(A2145,'Staff Review'!$A$8:$A$507,0))</f>
        <v>230</v>
      </c>
      <c r="J2145" s="1" t="str">
        <f>IF(I2145=0,"No",IF(INDEX('Staff Review'!$C$8:$C$507,I2145)="Yes","Yes","No"))</f>
        <v>No</v>
      </c>
      <c r="K2145" s="1">
        <f ca="1">IF(AI2145="Yes",INDEX('Staff Review'!$D$8:$D$507,I2145),IF(AB2145=0,"",IF(COUNT(INDEX($C$1531:$C$2030,AB2145))=1,INDEX($C$1531:$C$2030,AB2145),"")))</f>
        <v>0.1443955007665691</v>
      </c>
      <c r="L2145" s="1">
        <f>IF(AJ2145="Yes",INDEX('Staff Review'!$F$8:$F$507,I2145),IF(AB2145=0,"",IF(COUNT(INDEX($G$1531:$G$2030,AB2145))=1,INDEX($G$1531:$G$2030,AB2145),"")))</f>
        <v>11</v>
      </c>
      <c r="M2145" s="1" t="str">
        <f t="shared" ca="1" si="38"/>
        <v>Listed</v>
      </c>
      <c r="N2145" s="1" t="str">
        <f t="shared" si="39"/>
        <v>Listed</v>
      </c>
      <c r="O2145" s="1">
        <f t="shared" si="40"/>
        <v>30</v>
      </c>
      <c r="P2145" s="1">
        <f t="shared" ca="1" si="41"/>
        <v>5</v>
      </c>
      <c r="Q2145" s="1">
        <f t="shared" si="42"/>
        <v>0</v>
      </c>
      <c r="R2145" s="1">
        <f t="shared" si="43"/>
        <v>4</v>
      </c>
      <c r="S2145" s="1">
        <f t="shared" ca="1" si="44"/>
        <v>39</v>
      </c>
      <c r="T2145" s="1">
        <f ca="1">IF(OR(COUNT(O2145:R2145)&lt;&gt;4,COUNT('Top 25'!$B$45:$E$45)&lt;&gt;4,MIN('Top 25'!$B$45:$E$45)&lt;0,SUM('Top 25'!$B$45:$E$45)&lt;=0),"",ROUND(85*(O2145/30*'Top 25'!$B$45+P2145/25*'Top 25'!$C$45+Q2145/25*'Top 25'!$D$45+R2145/5*'Top 25'!$E$45)/SUM('Top 25'!$B$45:$E$45),6))</f>
        <v>39</v>
      </c>
      <c r="U2145" s="1" t="str">
        <f t="shared" ca="1" si="45"/>
        <v>Listed</v>
      </c>
      <c r="V2145" s="1" t="str">
        <f ca="1">IF(A2145="","",IF(AK2145&lt;&gt;1,"Duplicate source ID",IF(COUNTIFS('Staff Review'!$A$8:$A$507,A2145)&gt;1,"Duplicate review ID",IF(H2145&lt;&gt;"Yes","Outside scope",IF(J2145="Yes","Already served",IF(NOT(ISNUMBER(T2145)),"Missing data","Candidate"))))))</f>
        <v>Candidate</v>
      </c>
      <c r="W2145" s="1">
        <f t="shared" ca="1" si="46"/>
        <v>148</v>
      </c>
      <c r="X2145" s="1">
        <f t="shared" ca="1" si="47"/>
        <v>148</v>
      </c>
      <c r="Y2145" s="1">
        <f ca="1">IF(AND(H2145="Yes",OR(LEN('School Search'!$B$5)=0,ISNUMBER(SEARCH('School Search'!$B$5,B2145&amp;" "&amp;E2145&amp;" "&amp;A2145))),OR('School Search'!$D$5="All",C2145='School Search'!$D$5),OR('School Search'!$G$5="All eligible",AND('School Search'!$G$5="Not marked served",J2145&lt;&gt;"Yes"),AND('School Search'!$G$5="Missing data",V2145="Missing data"),AND('School Search'!$G$5="Marked served",J2145="Yes"))),1,0)</f>
        <v>1</v>
      </c>
      <c r="Z2145" s="1">
        <f ca="1">IF(Y2145=0,"",COUNTIFS($Y$2051:$Y$2550,1,$AO$2051:$AO$2550,"&lt;"&amp;AO2145)+COUNTIFS($Y$2051:Y2145,1,$AO$2051:AO2145,AO2145))</f>
        <v>148</v>
      </c>
      <c r="AA2145" s="1" t="str">
        <f t="shared" ca="1" si="48"/>
        <v>100% economic need; 0.14 mi fresh access; 11 nearby resources</v>
      </c>
      <c r="AB2145" s="1">
        <f t="shared" si="49"/>
        <v>95</v>
      </c>
      <c r="AC2145" s="1" t="str">
        <f t="shared" si="50"/>
        <v>Aldi 60169</v>
      </c>
      <c r="AD2145" s="1" t="str">
        <f t="shared" si="51"/>
        <v>1300 Fairmount Ave, Philadelphia, PA, 19123</v>
      </c>
      <c r="AE2145" s="1" t="str">
        <f t="shared" si="52"/>
        <v>800 N BROAD ST</v>
      </c>
      <c r="AF2145" s="1">
        <f t="shared" si="53"/>
        <v>39.968101410000003</v>
      </c>
      <c r="AG2145" s="1">
        <f t="shared" si="54"/>
        <v>-75.16067477</v>
      </c>
      <c r="AH2145" s="1" t="str">
        <f>IF(I2145=0,"Not contacted",IF(INDEX('Staff Review'!$J$8:$J$507,I2145)="","Not contacted",INDEX('Staff Review'!$J$8:$J$507,I2145)))</f>
        <v>Not contacted</v>
      </c>
      <c r="AI2145" s="1" t="str">
        <f ca="1">IF(I2145=0,"No",IF(AND(COUNT(INDEX('Staff Review'!$D$8:$D$507,I2145))=1,INDEX('Staff Review'!$D$8:$D$507,I2145)&gt;=0,COUNT(INDEX('Staff Review'!$E$8:$E$507,I2145))=1,INDEX('Staff Review'!$E$8:$E$507,I2145)&gt;0,INDEX('Staff Review'!$E$8:$E$507,I2145)&lt;='Top 25'!$E$5,'Top 25'!$E$5-INDEX('Staff Review'!$E$8:$E$507,I2145)&lt;='Top 25'!$H$5,LEN(INDEX('Staff Review'!$H$8:$H$507,I2145))&gt;0),"Yes","No"))</f>
        <v>No</v>
      </c>
      <c r="AJ2145" s="1" t="str">
        <f>IF(I2145=0,"No",IF(COUNT(INDEX('Staff Review'!$F$8:$F$507,I2145))&lt;&gt;1,"No",IF(AND(INDEX('Staff Review'!$F$8:$F$507,I2145)&gt;=0,MOD(INDEX('Staff Review'!$F$8:$F$507,I2145),1)=0,COUNT(INDEX('Staff Review'!$G$8:$G$507,I2145))=1,INDEX('Staff Review'!$G$8:$G$507,I2145)&gt;0,INDEX('Staff Review'!$G$8:$G$507,I2145)&lt;='Top 25'!$E$5,'Top 25'!$E$5-INDEX('Staff Review'!$G$8:$G$507,I2145)&lt;='Top 25'!$H$5,LEN(INDEX('Staff Review'!$H$8:$H$507,I2145))&gt;0),"Yes","No")))</f>
        <v>No</v>
      </c>
      <c r="AK2145" s="1">
        <f t="shared" si="55"/>
        <v>1</v>
      </c>
      <c r="AL2145" s="1">
        <f t="shared" ca="1" si="56"/>
        <v>1</v>
      </c>
      <c r="AM2145" s="1">
        <f t="shared" si="57"/>
        <v>3335</v>
      </c>
      <c r="AN2145" s="1">
        <f t="shared" si="58"/>
        <v>95</v>
      </c>
      <c r="AO2145">
        <f t="shared" ca="1" si="59"/>
        <v>148</v>
      </c>
      <c r="AP2145" s="105">
        <f ca="1">IF(AND(AL2145=1,OR('Top 25'!$A$10="All",C2145='Top 25'!$A$10),OR('Top 25'!$D$10="All",D2145='Top 25'!$D$10)),1,0)</f>
        <v>0</v>
      </c>
      <c r="AQ2145" s="105" t="str">
        <f ca="1">IF(AP2145=0,"",CHOOSE(MATCH('Top 25'!$G$10,{"Priority score","Economic need","Enrollment","Fresh miles","Nearby resources"},0),T2145,G2145,F2145,K2145,L2145))</f>
        <v/>
      </c>
      <c r="AR2145" s="105" t="str">
        <f ca="1">IF(AP2145=0,"",1+COUNTIFS($AP$2051:$AP$2550,1,$AQ$2051:$AQ$2550,IF('Top 25'!$J$10="Ascending","&lt;","&gt;")&amp;AQ2145)+COUNTIFS($AP$2051:$AP$2550,1,$AQ$2051:$AQ$2550,AQ2145,$W$2051:$W$2550,"&lt;"&amp;W2145))</f>
        <v/>
      </c>
      <c r="AT2145" s="105">
        <f ca="1">IF(AND(AL2145=1,OR(Master_rankableSchools!$A$10="All",C2145=Master_rankableSchools!$A$10),OR(Master_rankableSchools!$D$10="All",D2145=Master_rankableSchools!$D$10)),1,0)</f>
        <v>1</v>
      </c>
      <c r="AU2145" s="105">
        <f ca="1">IF(AT2145=0,"",CHOOSE(MATCH(Master_rankableSchools!$G$10,{"Priority score","Economic need","Enrollment","Fresh miles","Nearby resources"},0),T2145,G2145,F2145,K2145,L2145))</f>
        <v>39</v>
      </c>
      <c r="AV2145" s="105">
        <f ca="1">IF(AT2145=0,"",1+COUNTIFS($AT$2051:$AT$2550,1,$AU$2051:$AU$2550,IF(Master_rankableSchools!$J$10="Ascending","&lt;","&gt;")&amp;AU2145)+COUNTIFS($AT$2051:$AT$2550,1,$AU$2051:$AU$2550,AU2145,$W$2051:$W$2550,"&lt;"&amp;W2145))</f>
        <v>148</v>
      </c>
    </row>
    <row r="2146" spans="1:48" ht="22" customHeight="1">
      <c r="A2146" s="1" t="str">
        <f t="shared" si="30"/>
        <v>3336</v>
      </c>
      <c r="B2146" s="1" t="str">
        <f t="shared" si="31"/>
        <v>Philadelphia Performing Arts Charter School</v>
      </c>
      <c r="C2146" s="1" t="str">
        <f t="shared" si="32"/>
        <v>Charter</v>
      </c>
      <c r="D2146" s="1" t="str">
        <f t="shared" si="33"/>
        <v>Elementary-Middle-High</v>
      </c>
      <c r="E2146" s="1" t="str">
        <f t="shared" si="34"/>
        <v>19145</v>
      </c>
      <c r="F2146" s="1">
        <f t="shared" si="35"/>
        <v>2484</v>
      </c>
      <c r="G2146" s="1">
        <f t="shared" si="36"/>
        <v>0.63009999999999999</v>
      </c>
      <c r="H2146" s="1" t="str">
        <f t="shared" si="37"/>
        <v>Yes</v>
      </c>
      <c r="I2146" s="1">
        <f>IF(OR(A2146="",COUNTIFS('Staff Review'!$A$8:$A$507,A2146)&lt;&gt;1),0,MATCH(A2146,'Staff Review'!$A$8:$A$507,0))</f>
        <v>241</v>
      </c>
      <c r="J2146" s="1" t="str">
        <f>IF(I2146=0,"No",IF(INDEX('Staff Review'!$C$8:$C$507,I2146)="Yes","Yes","No"))</f>
        <v>No</v>
      </c>
      <c r="K2146" s="1">
        <f ca="1">IF(AI2146="Yes",INDEX('Staff Review'!$D$8:$D$507,I2146),IF(AB2146=0,"",IF(COUNT(INDEX($C$1531:$C$2030,AB2146))=1,INDEX($C$1531:$C$2030,AB2146),"")))</f>
        <v>0.46247214304635692</v>
      </c>
      <c r="L2146" s="1">
        <f>IF(AJ2146="Yes",INDEX('Staff Review'!$F$8:$F$507,I2146),IF(AB2146=0,"",IF(COUNT(INDEX($G$1531:$G$2030,AB2146))=1,INDEX($G$1531:$G$2030,AB2146),"")))</f>
        <v>5</v>
      </c>
      <c r="M2146" s="1" t="str">
        <f t="shared" ca="1" si="38"/>
        <v>Listed</v>
      </c>
      <c r="N2146" s="1" t="str">
        <f t="shared" si="39"/>
        <v>Listed</v>
      </c>
      <c r="O2146" s="1">
        <f t="shared" si="40"/>
        <v>15</v>
      </c>
      <c r="P2146" s="1">
        <f t="shared" ca="1" si="41"/>
        <v>10</v>
      </c>
      <c r="Q2146" s="1">
        <f t="shared" si="42"/>
        <v>0</v>
      </c>
      <c r="R2146" s="1">
        <f t="shared" si="43"/>
        <v>5</v>
      </c>
      <c r="S2146" s="1">
        <f t="shared" ca="1" si="44"/>
        <v>30</v>
      </c>
      <c r="T2146" s="1">
        <f ca="1">IF(OR(COUNT(O2146:R2146)&lt;&gt;4,COUNT('Top 25'!$B$45:$E$45)&lt;&gt;4,MIN('Top 25'!$B$45:$E$45)&lt;0,SUM('Top 25'!$B$45:$E$45)&lt;=0),"",ROUND(85*(O2146/30*'Top 25'!$B$45+P2146/25*'Top 25'!$C$45+Q2146/25*'Top 25'!$D$45+R2146/5*'Top 25'!$E$45)/SUM('Top 25'!$B$45:$E$45),6))</f>
        <v>30</v>
      </c>
      <c r="U2146" s="1" t="str">
        <f t="shared" ca="1" si="45"/>
        <v>Listed</v>
      </c>
      <c r="V2146" s="1" t="str">
        <f ca="1">IF(A2146="","",IF(AK2146&lt;&gt;1,"Duplicate source ID",IF(COUNTIFS('Staff Review'!$A$8:$A$507,A2146)&gt;1,"Duplicate review ID",IF(H2146&lt;&gt;"Yes","Outside scope",IF(J2146="Yes","Already served",IF(NOT(ISNUMBER(T2146)),"Missing data","Candidate"))))))</f>
        <v>Candidate</v>
      </c>
      <c r="W2146" s="1">
        <f t="shared" ca="1" si="46"/>
        <v>259</v>
      </c>
      <c r="X2146" s="1">
        <f t="shared" ca="1" si="47"/>
        <v>253</v>
      </c>
      <c r="Y2146" s="1">
        <f ca="1">IF(AND(H2146="Yes",OR(LEN('School Search'!$B$5)=0,ISNUMBER(SEARCH('School Search'!$B$5,B2146&amp;" "&amp;E2146&amp;" "&amp;A2146))),OR('School Search'!$D$5="All",C2146='School Search'!$D$5),OR('School Search'!$G$5="All eligible",AND('School Search'!$G$5="Not marked served",J2146&lt;&gt;"Yes"),AND('School Search'!$G$5="Missing data",V2146="Missing data"),AND('School Search'!$G$5="Marked served",J2146="Yes"))),1,0)</f>
        <v>1</v>
      </c>
      <c r="Z2146" s="1">
        <f ca="1">IF(Y2146=0,"",COUNTIFS($Y$2051:$Y$2550,1,$AO$2051:$AO$2550,"&lt;"&amp;AO2146)+COUNTIFS($Y$2051:Y2146,1,$AO$2051:AO2146,AO2146))</f>
        <v>259</v>
      </c>
      <c r="AA2146" s="1" t="str">
        <f t="shared" ca="1" si="48"/>
        <v>63% economic need; 0.46 mi fresh access; 5 nearby resources</v>
      </c>
      <c r="AB2146" s="1">
        <f t="shared" si="49"/>
        <v>96</v>
      </c>
      <c r="AC2146" s="1" t="str">
        <f t="shared" si="50"/>
        <v>ACME 4715</v>
      </c>
      <c r="AD2146" s="1" t="str">
        <f t="shared" si="51"/>
        <v>1901 Johnston St, Philadelphia, PA, 19145</v>
      </c>
      <c r="AE2146" s="1" t="str">
        <f t="shared" si="52"/>
        <v>2600 S BROAD ST</v>
      </c>
      <c r="AF2146" s="1">
        <f t="shared" si="53"/>
        <v>39.917776619999998</v>
      </c>
      <c r="AG2146" s="1">
        <f t="shared" si="54"/>
        <v>-75.171665770000004</v>
      </c>
      <c r="AH2146" s="1" t="str">
        <f>IF(I2146=0,"Not contacted",IF(INDEX('Staff Review'!$J$8:$J$507,I2146)="","Not contacted",INDEX('Staff Review'!$J$8:$J$507,I2146)))</f>
        <v>Not contacted</v>
      </c>
      <c r="AI2146" s="1" t="str">
        <f ca="1">IF(I2146=0,"No",IF(AND(COUNT(INDEX('Staff Review'!$D$8:$D$507,I2146))=1,INDEX('Staff Review'!$D$8:$D$507,I2146)&gt;=0,COUNT(INDEX('Staff Review'!$E$8:$E$507,I2146))=1,INDEX('Staff Review'!$E$8:$E$507,I2146)&gt;0,INDEX('Staff Review'!$E$8:$E$507,I2146)&lt;='Top 25'!$E$5,'Top 25'!$E$5-INDEX('Staff Review'!$E$8:$E$507,I2146)&lt;='Top 25'!$H$5,LEN(INDEX('Staff Review'!$H$8:$H$507,I2146))&gt;0),"Yes","No"))</f>
        <v>No</v>
      </c>
      <c r="AJ2146" s="1" t="str">
        <f>IF(I2146=0,"No",IF(COUNT(INDEX('Staff Review'!$F$8:$F$507,I2146))&lt;&gt;1,"No",IF(AND(INDEX('Staff Review'!$F$8:$F$507,I2146)&gt;=0,MOD(INDEX('Staff Review'!$F$8:$F$507,I2146),1)=0,COUNT(INDEX('Staff Review'!$G$8:$G$507,I2146))=1,INDEX('Staff Review'!$G$8:$G$507,I2146)&gt;0,INDEX('Staff Review'!$G$8:$G$507,I2146)&lt;='Top 25'!$E$5,'Top 25'!$E$5-INDEX('Staff Review'!$G$8:$G$507,I2146)&lt;='Top 25'!$H$5,LEN(INDEX('Staff Review'!$H$8:$H$507,I2146))&gt;0),"Yes","No")))</f>
        <v>No</v>
      </c>
      <c r="AK2146" s="1">
        <f t="shared" si="55"/>
        <v>1</v>
      </c>
      <c r="AL2146" s="1">
        <f t="shared" ca="1" si="56"/>
        <v>1</v>
      </c>
      <c r="AM2146" s="1">
        <f t="shared" si="57"/>
        <v>3336</v>
      </c>
      <c r="AN2146" s="1">
        <f t="shared" si="58"/>
        <v>96</v>
      </c>
      <c r="AO2146">
        <f t="shared" ca="1" si="59"/>
        <v>259</v>
      </c>
      <c r="AP2146" s="105">
        <f ca="1">IF(AND(AL2146=1,OR('Top 25'!$A$10="All",C2146='Top 25'!$A$10),OR('Top 25'!$D$10="All",D2146='Top 25'!$D$10)),1,0)</f>
        <v>0</v>
      </c>
      <c r="AQ2146" s="105" t="str">
        <f ca="1">IF(AP2146=0,"",CHOOSE(MATCH('Top 25'!$G$10,{"Priority score","Economic need","Enrollment","Fresh miles","Nearby resources"},0),T2146,G2146,F2146,K2146,L2146))</f>
        <v/>
      </c>
      <c r="AR2146" s="105" t="str">
        <f ca="1">IF(AP2146=0,"",1+COUNTIFS($AP$2051:$AP$2550,1,$AQ$2051:$AQ$2550,IF('Top 25'!$J$10="Ascending","&lt;","&gt;")&amp;AQ2146)+COUNTIFS($AP$2051:$AP$2550,1,$AQ$2051:$AQ$2550,AQ2146,$W$2051:$W$2550,"&lt;"&amp;W2146))</f>
        <v/>
      </c>
      <c r="AT2146" s="105">
        <f ca="1">IF(AND(AL2146=1,OR(Master_rankableSchools!$A$10="All",C2146=Master_rankableSchools!$A$10),OR(Master_rankableSchools!$D$10="All",D2146=Master_rankableSchools!$D$10)),1,0)</f>
        <v>1</v>
      </c>
      <c r="AU2146" s="105">
        <f ca="1">IF(AT2146=0,"",CHOOSE(MATCH(Master_rankableSchools!$G$10,{"Priority score","Economic need","Enrollment","Fresh miles","Nearby resources"},0),T2146,G2146,F2146,K2146,L2146))</f>
        <v>30</v>
      </c>
      <c r="AV2146" s="105">
        <f ca="1">IF(AT2146=0,"",1+COUNTIFS($AT$2051:$AT$2550,1,$AU$2051:$AU$2550,IF(Master_rankableSchools!$J$10="Ascending","&lt;","&gt;")&amp;AU2146)+COUNTIFS($AT$2051:$AT$2550,1,$AU$2051:$AU$2550,AU2146,$W$2051:$W$2550,"&lt;"&amp;W2146))</f>
        <v>259</v>
      </c>
    </row>
    <row r="2147" spans="1:48" ht="22" customHeight="1">
      <c r="A2147" s="1" t="str">
        <f t="shared" si="30"/>
        <v>3337</v>
      </c>
      <c r="B2147" s="1" t="str">
        <f t="shared" si="31"/>
        <v>Global Leadership Academy Charter School</v>
      </c>
      <c r="C2147" s="1" t="str">
        <f t="shared" si="32"/>
        <v>Charter</v>
      </c>
      <c r="D2147" s="1" t="str">
        <f t="shared" si="33"/>
        <v>Elementary-Middle</v>
      </c>
      <c r="E2147" s="1" t="str">
        <f t="shared" si="34"/>
        <v>19131</v>
      </c>
      <c r="F2147" s="1">
        <f t="shared" si="35"/>
        <v>704</v>
      </c>
      <c r="G2147" s="1">
        <f t="shared" si="36"/>
        <v>0.73319999999999996</v>
      </c>
      <c r="H2147" s="1" t="str">
        <f t="shared" si="37"/>
        <v>Yes</v>
      </c>
      <c r="I2147" s="1">
        <f>IF(OR(A2147="",COUNTIFS('Staff Review'!$A$8:$A$507,A2147)&lt;&gt;1),0,MATCH(A2147,'Staff Review'!$A$8:$A$507,0))</f>
        <v>100</v>
      </c>
      <c r="J2147" s="1" t="str">
        <f>IF(I2147=0,"No",IF(INDEX('Staff Review'!$C$8:$C$507,I2147)="Yes","Yes","No"))</f>
        <v>No</v>
      </c>
      <c r="K2147" s="1">
        <f ca="1">IF(AI2147="Yes",INDEX('Staff Review'!$D$8:$D$507,I2147),IF(AB2147=0,"",IF(COUNT(INDEX($C$1531:$C$2030,AB2147))=1,INDEX($C$1531:$C$2030,AB2147),"")))</f>
        <v>0.3658513855331566</v>
      </c>
      <c r="L2147" s="1">
        <f>IF(AJ2147="Yes",INDEX('Staff Review'!$F$8:$F$507,I2147),IF(AB2147=0,"",IF(COUNT(INDEX($G$1531:$G$2030,AB2147))=1,INDEX($G$1531:$G$2030,AB2147),"")))</f>
        <v>9</v>
      </c>
      <c r="M2147" s="1" t="str">
        <f t="shared" ca="1" si="38"/>
        <v>Listed</v>
      </c>
      <c r="N2147" s="1" t="str">
        <f t="shared" si="39"/>
        <v>Listed</v>
      </c>
      <c r="O2147" s="1">
        <f t="shared" si="40"/>
        <v>20</v>
      </c>
      <c r="P2147" s="1">
        <f t="shared" ca="1" si="41"/>
        <v>10</v>
      </c>
      <c r="Q2147" s="1">
        <f t="shared" si="42"/>
        <v>0</v>
      </c>
      <c r="R2147" s="1">
        <f t="shared" si="43"/>
        <v>5</v>
      </c>
      <c r="S2147" s="1">
        <f t="shared" ca="1" si="44"/>
        <v>35</v>
      </c>
      <c r="T2147" s="1">
        <f ca="1">IF(OR(COUNT(O2147:R2147)&lt;&gt;4,COUNT('Top 25'!$B$45:$E$45)&lt;&gt;4,MIN('Top 25'!$B$45:$E$45)&lt;0,SUM('Top 25'!$B$45:$E$45)&lt;=0),"",ROUND(85*(O2147/30*'Top 25'!$B$45+P2147/25*'Top 25'!$C$45+Q2147/25*'Top 25'!$D$45+R2147/5*'Top 25'!$E$45)/SUM('Top 25'!$B$45:$E$45),6))</f>
        <v>35</v>
      </c>
      <c r="U2147" s="1" t="str">
        <f t="shared" ca="1" si="45"/>
        <v>Listed</v>
      </c>
      <c r="V2147" s="1" t="str">
        <f ca="1">IF(A2147="","",IF(AK2147&lt;&gt;1,"Duplicate source ID",IF(COUNTIFS('Staff Review'!$A$8:$A$507,A2147)&gt;1,"Duplicate review ID",IF(H2147&lt;&gt;"Yes","Outside scope",IF(J2147="Yes","Already served",IF(NOT(ISNUMBER(T2147)),"Missing data","Candidate"))))))</f>
        <v>Candidate</v>
      </c>
      <c r="W2147" s="1">
        <f t="shared" ca="1" si="46"/>
        <v>215</v>
      </c>
      <c r="X2147" s="1">
        <f t="shared" ca="1" si="47"/>
        <v>210</v>
      </c>
      <c r="Y2147" s="1">
        <f ca="1">IF(AND(H2147="Yes",OR(LEN('School Search'!$B$5)=0,ISNUMBER(SEARCH('School Search'!$B$5,B2147&amp;" "&amp;E2147&amp;" "&amp;A2147))),OR('School Search'!$D$5="All",C2147='School Search'!$D$5),OR('School Search'!$G$5="All eligible",AND('School Search'!$G$5="Not marked served",J2147&lt;&gt;"Yes"),AND('School Search'!$G$5="Missing data",V2147="Missing data"),AND('School Search'!$G$5="Marked served",J2147="Yes"))),1,0)</f>
        <v>1</v>
      </c>
      <c r="Z2147" s="1">
        <f ca="1">IF(Y2147=0,"",COUNTIFS($Y$2051:$Y$2550,1,$AO$2051:$AO$2550,"&lt;"&amp;AO2147)+COUNTIFS($Y$2051:Y2147,1,$AO$2051:AO2147,AO2147))</f>
        <v>215</v>
      </c>
      <c r="AA2147" s="1" t="str">
        <f t="shared" ca="1" si="48"/>
        <v>73% economic need; 0.37 mi fresh access; 9 nearby resources</v>
      </c>
      <c r="AB2147" s="1">
        <f t="shared" si="49"/>
        <v>97</v>
      </c>
      <c r="AC2147" s="1" t="str">
        <f t="shared" si="50"/>
        <v>Cousin's Fresh Market 2 Inc</v>
      </c>
      <c r="AD2147" s="1" t="str">
        <f t="shared" si="51"/>
        <v>5429 W Girard Ave, Philadelphia, PA, 19131</v>
      </c>
      <c r="AE2147" s="1" t="str">
        <f t="shared" si="52"/>
        <v>4601 W GIRARD AVE</v>
      </c>
      <c r="AF2147" s="1">
        <f t="shared" si="53"/>
        <v>39.973359530000003</v>
      </c>
      <c r="AG2147" s="1">
        <f t="shared" si="54"/>
        <v>-75.215435200000002</v>
      </c>
      <c r="AH2147" s="1" t="str">
        <f>IF(I2147=0,"Not contacted",IF(INDEX('Staff Review'!$J$8:$J$507,I2147)="","Not contacted",INDEX('Staff Review'!$J$8:$J$507,I2147)))</f>
        <v>Not contacted</v>
      </c>
      <c r="AI2147" s="1" t="str">
        <f ca="1">IF(I2147=0,"No",IF(AND(COUNT(INDEX('Staff Review'!$D$8:$D$507,I2147))=1,INDEX('Staff Review'!$D$8:$D$507,I2147)&gt;=0,COUNT(INDEX('Staff Review'!$E$8:$E$507,I2147))=1,INDEX('Staff Review'!$E$8:$E$507,I2147)&gt;0,INDEX('Staff Review'!$E$8:$E$507,I2147)&lt;='Top 25'!$E$5,'Top 25'!$E$5-INDEX('Staff Review'!$E$8:$E$507,I2147)&lt;='Top 25'!$H$5,LEN(INDEX('Staff Review'!$H$8:$H$507,I2147))&gt;0),"Yes","No"))</f>
        <v>No</v>
      </c>
      <c r="AJ2147" s="1" t="str">
        <f>IF(I2147=0,"No",IF(COUNT(INDEX('Staff Review'!$F$8:$F$507,I2147))&lt;&gt;1,"No",IF(AND(INDEX('Staff Review'!$F$8:$F$507,I2147)&gt;=0,MOD(INDEX('Staff Review'!$F$8:$F$507,I2147),1)=0,COUNT(INDEX('Staff Review'!$G$8:$G$507,I2147))=1,INDEX('Staff Review'!$G$8:$G$507,I2147)&gt;0,INDEX('Staff Review'!$G$8:$G$507,I2147)&lt;='Top 25'!$E$5,'Top 25'!$E$5-INDEX('Staff Review'!$G$8:$G$507,I2147)&lt;='Top 25'!$H$5,LEN(INDEX('Staff Review'!$H$8:$H$507,I2147))&gt;0),"Yes","No")))</f>
        <v>No</v>
      </c>
      <c r="AK2147" s="1">
        <f t="shared" si="55"/>
        <v>1</v>
      </c>
      <c r="AL2147" s="1">
        <f t="shared" ca="1" si="56"/>
        <v>1</v>
      </c>
      <c r="AM2147" s="1">
        <f t="shared" si="57"/>
        <v>3337</v>
      </c>
      <c r="AN2147" s="1">
        <f t="shared" si="58"/>
        <v>97</v>
      </c>
      <c r="AO2147">
        <f t="shared" ca="1" si="59"/>
        <v>215</v>
      </c>
      <c r="AP2147" s="105">
        <f ca="1">IF(AND(AL2147=1,OR('Top 25'!$A$10="All",C2147='Top 25'!$A$10),OR('Top 25'!$D$10="All",D2147='Top 25'!$D$10)),1,0)</f>
        <v>0</v>
      </c>
      <c r="AQ2147" s="105" t="str">
        <f ca="1">IF(AP2147=0,"",CHOOSE(MATCH('Top 25'!$G$10,{"Priority score","Economic need","Enrollment","Fresh miles","Nearby resources"},0),T2147,G2147,F2147,K2147,L2147))</f>
        <v/>
      </c>
      <c r="AR2147" s="105" t="str">
        <f ca="1">IF(AP2147=0,"",1+COUNTIFS($AP$2051:$AP$2550,1,$AQ$2051:$AQ$2550,IF('Top 25'!$J$10="Ascending","&lt;","&gt;")&amp;AQ2147)+COUNTIFS($AP$2051:$AP$2550,1,$AQ$2051:$AQ$2550,AQ2147,$W$2051:$W$2550,"&lt;"&amp;W2147))</f>
        <v/>
      </c>
      <c r="AT2147" s="105">
        <f ca="1">IF(AND(AL2147=1,OR(Master_rankableSchools!$A$10="All",C2147=Master_rankableSchools!$A$10),OR(Master_rankableSchools!$D$10="All",D2147=Master_rankableSchools!$D$10)),1,0)</f>
        <v>1</v>
      </c>
      <c r="AU2147" s="105">
        <f ca="1">IF(AT2147=0,"",CHOOSE(MATCH(Master_rankableSchools!$G$10,{"Priority score","Economic need","Enrollment","Fresh miles","Nearby resources"},0),T2147,G2147,F2147,K2147,L2147))</f>
        <v>35</v>
      </c>
      <c r="AV2147" s="105">
        <f ca="1">IF(AT2147=0,"",1+COUNTIFS($AT$2051:$AT$2550,1,$AU$2051:$AU$2550,IF(Master_rankableSchools!$J$10="Ascending","&lt;","&gt;")&amp;AU2147)+COUNTIFS($AT$2051:$AT$2550,1,$AU$2051:$AU$2550,AU2147,$W$2051:$W$2550,"&lt;"&amp;W2147))</f>
        <v>215</v>
      </c>
    </row>
    <row r="2148" spans="1:48" ht="22" customHeight="1">
      <c r="A2148" s="1" t="str">
        <f t="shared" si="30"/>
        <v>3341</v>
      </c>
      <c r="B2148" s="1" t="str">
        <f t="shared" si="31"/>
        <v>Independence Charter School</v>
      </c>
      <c r="C2148" s="1" t="str">
        <f t="shared" si="32"/>
        <v>Charter</v>
      </c>
      <c r="D2148" s="1" t="str">
        <f t="shared" si="33"/>
        <v>Elementary-Middle</v>
      </c>
      <c r="E2148" s="1" t="str">
        <f t="shared" si="34"/>
        <v>19146</v>
      </c>
      <c r="F2148" s="1">
        <f t="shared" si="35"/>
        <v>815</v>
      </c>
      <c r="G2148" s="1">
        <f t="shared" si="36"/>
        <v>0.54649999999999999</v>
      </c>
      <c r="H2148" s="1" t="str">
        <f t="shared" si="37"/>
        <v>Yes</v>
      </c>
      <c r="I2148" s="1">
        <f>IF(OR(A2148="",COUNTIFS('Staff Review'!$A$8:$A$507,A2148)&lt;&gt;1),0,MATCH(A2148,'Staff Review'!$A$8:$A$507,0))</f>
        <v>121</v>
      </c>
      <c r="J2148" s="1" t="str">
        <f>IF(I2148=0,"No",IF(INDEX('Staff Review'!$C$8:$C$507,I2148)="Yes","Yes","No"))</f>
        <v>No</v>
      </c>
      <c r="K2148" s="1">
        <f ca="1">IF(AI2148="Yes",INDEX('Staff Review'!$D$8:$D$507,I2148),IF(AB2148=0,"",IF(COUNT(INDEX($C$1531:$C$2030,AB2148))=1,INDEX($C$1531:$C$2030,AB2148),"")))</f>
        <v>0.20679124402661642</v>
      </c>
      <c r="L2148" s="1">
        <f>IF(AJ2148="Yes",INDEX('Staff Review'!$F$8:$F$507,I2148),IF(AB2148=0,"",IF(COUNT(INDEX($G$1531:$G$2030,AB2148))=1,INDEX($G$1531:$G$2030,AB2148),"")))</f>
        <v>10</v>
      </c>
      <c r="M2148" s="1" t="str">
        <f t="shared" ca="1" si="38"/>
        <v>Listed</v>
      </c>
      <c r="N2148" s="1" t="str">
        <f t="shared" si="39"/>
        <v>Listed</v>
      </c>
      <c r="O2148" s="1">
        <f t="shared" si="40"/>
        <v>10</v>
      </c>
      <c r="P2148" s="1">
        <f t="shared" ca="1" si="41"/>
        <v>5</v>
      </c>
      <c r="Q2148" s="1">
        <f t="shared" si="42"/>
        <v>0</v>
      </c>
      <c r="R2148" s="1">
        <f t="shared" si="43"/>
        <v>5</v>
      </c>
      <c r="S2148" s="1">
        <f t="shared" ca="1" si="44"/>
        <v>20</v>
      </c>
      <c r="T2148" s="1">
        <f ca="1">IF(OR(COUNT(O2148:R2148)&lt;&gt;4,COUNT('Top 25'!$B$45:$E$45)&lt;&gt;4,MIN('Top 25'!$B$45:$E$45)&lt;0,SUM('Top 25'!$B$45:$E$45)&lt;=0),"",ROUND(85*(O2148/30*'Top 25'!$B$45+P2148/25*'Top 25'!$C$45+Q2148/25*'Top 25'!$D$45+R2148/5*'Top 25'!$E$45)/SUM('Top 25'!$B$45:$E$45),6))</f>
        <v>20</v>
      </c>
      <c r="U2148" s="1" t="str">
        <f t="shared" ca="1" si="45"/>
        <v>Listed</v>
      </c>
      <c r="V2148" s="1" t="str">
        <f ca="1">IF(A2148="","",IF(AK2148&lt;&gt;1,"Duplicate source ID",IF(COUNTIFS('Staff Review'!$A$8:$A$507,A2148)&gt;1,"Duplicate review ID",IF(H2148&lt;&gt;"Yes","Outside scope",IF(J2148="Yes","Already served",IF(NOT(ISNUMBER(T2148)),"Missing data","Candidate"))))))</f>
        <v>Candidate</v>
      </c>
      <c r="W2148" s="1">
        <f t="shared" ca="1" si="46"/>
        <v>280</v>
      </c>
      <c r="X2148" s="1">
        <f t="shared" ca="1" si="47"/>
        <v>279</v>
      </c>
      <c r="Y2148" s="1">
        <f ca="1">IF(AND(H2148="Yes",OR(LEN('School Search'!$B$5)=0,ISNUMBER(SEARCH('School Search'!$B$5,B2148&amp;" "&amp;E2148&amp;" "&amp;A2148))),OR('School Search'!$D$5="All",C2148='School Search'!$D$5),OR('School Search'!$G$5="All eligible",AND('School Search'!$G$5="Not marked served",J2148&lt;&gt;"Yes"),AND('School Search'!$G$5="Missing data",V2148="Missing data"),AND('School Search'!$G$5="Marked served",J2148="Yes"))),1,0)</f>
        <v>1</v>
      </c>
      <c r="Z2148" s="1">
        <f ca="1">IF(Y2148=0,"",COUNTIFS($Y$2051:$Y$2550,1,$AO$2051:$AO$2550,"&lt;"&amp;AO2148)+COUNTIFS($Y$2051:Y2148,1,$AO$2051:AO2148,AO2148))</f>
        <v>280</v>
      </c>
      <c r="AA2148" s="1" t="str">
        <f t="shared" ca="1" si="48"/>
        <v>55% economic need; 0.21 mi fresh access; 10 nearby resources</v>
      </c>
      <c r="AB2148" s="1">
        <f t="shared" si="49"/>
        <v>98</v>
      </c>
      <c r="AC2148" s="1" t="str">
        <f t="shared" si="50"/>
        <v>Rittenhouse Market</v>
      </c>
      <c r="AD2148" s="1" t="str">
        <f t="shared" si="51"/>
        <v>1733 Spruce St, Philadelphia, PA, 19103</v>
      </c>
      <c r="AE2148" s="1" t="str">
        <f t="shared" si="52"/>
        <v>1600 LOMBARD ST</v>
      </c>
      <c r="AF2148" s="1">
        <f t="shared" si="53"/>
        <v>39.944966819999998</v>
      </c>
      <c r="AG2148" s="1">
        <f t="shared" si="54"/>
        <v>-75.168555979999994</v>
      </c>
      <c r="AH2148" s="1" t="str">
        <f>IF(I2148=0,"Not contacted",IF(INDEX('Staff Review'!$J$8:$J$507,I2148)="","Not contacted",INDEX('Staff Review'!$J$8:$J$507,I2148)))</f>
        <v>Not contacted</v>
      </c>
      <c r="AI2148" s="1" t="str">
        <f ca="1">IF(I2148=0,"No",IF(AND(COUNT(INDEX('Staff Review'!$D$8:$D$507,I2148))=1,INDEX('Staff Review'!$D$8:$D$507,I2148)&gt;=0,COUNT(INDEX('Staff Review'!$E$8:$E$507,I2148))=1,INDEX('Staff Review'!$E$8:$E$507,I2148)&gt;0,INDEX('Staff Review'!$E$8:$E$507,I2148)&lt;='Top 25'!$E$5,'Top 25'!$E$5-INDEX('Staff Review'!$E$8:$E$507,I2148)&lt;='Top 25'!$H$5,LEN(INDEX('Staff Review'!$H$8:$H$507,I2148))&gt;0),"Yes","No"))</f>
        <v>No</v>
      </c>
      <c r="AJ2148" s="1" t="str">
        <f>IF(I2148=0,"No",IF(COUNT(INDEX('Staff Review'!$F$8:$F$507,I2148))&lt;&gt;1,"No",IF(AND(INDEX('Staff Review'!$F$8:$F$507,I2148)&gt;=0,MOD(INDEX('Staff Review'!$F$8:$F$507,I2148),1)=0,COUNT(INDEX('Staff Review'!$G$8:$G$507,I2148))=1,INDEX('Staff Review'!$G$8:$G$507,I2148)&gt;0,INDEX('Staff Review'!$G$8:$G$507,I2148)&lt;='Top 25'!$E$5,'Top 25'!$E$5-INDEX('Staff Review'!$G$8:$G$507,I2148)&lt;='Top 25'!$H$5,LEN(INDEX('Staff Review'!$H$8:$H$507,I2148))&gt;0),"Yes","No")))</f>
        <v>No</v>
      </c>
      <c r="AK2148" s="1">
        <f t="shared" si="55"/>
        <v>1</v>
      </c>
      <c r="AL2148" s="1">
        <f t="shared" ca="1" si="56"/>
        <v>1</v>
      </c>
      <c r="AM2148" s="1">
        <f t="shared" si="57"/>
        <v>3341</v>
      </c>
      <c r="AN2148" s="1">
        <f t="shared" si="58"/>
        <v>98</v>
      </c>
      <c r="AO2148">
        <f t="shared" ca="1" si="59"/>
        <v>280</v>
      </c>
      <c r="AP2148" s="105">
        <f ca="1">IF(AND(AL2148=1,OR('Top 25'!$A$10="All",C2148='Top 25'!$A$10),OR('Top 25'!$D$10="All",D2148='Top 25'!$D$10)),1,0)</f>
        <v>0</v>
      </c>
      <c r="AQ2148" s="105" t="str">
        <f ca="1">IF(AP2148=0,"",CHOOSE(MATCH('Top 25'!$G$10,{"Priority score","Economic need","Enrollment","Fresh miles","Nearby resources"},0),T2148,G2148,F2148,K2148,L2148))</f>
        <v/>
      </c>
      <c r="AR2148" s="105" t="str">
        <f ca="1">IF(AP2148=0,"",1+COUNTIFS($AP$2051:$AP$2550,1,$AQ$2051:$AQ$2550,IF('Top 25'!$J$10="Ascending","&lt;","&gt;")&amp;AQ2148)+COUNTIFS($AP$2051:$AP$2550,1,$AQ$2051:$AQ$2550,AQ2148,$W$2051:$W$2550,"&lt;"&amp;W2148))</f>
        <v/>
      </c>
      <c r="AT2148" s="105">
        <f ca="1">IF(AND(AL2148=1,OR(Master_rankableSchools!$A$10="All",C2148=Master_rankableSchools!$A$10),OR(Master_rankableSchools!$D$10="All",D2148=Master_rankableSchools!$D$10)),1,0)</f>
        <v>1</v>
      </c>
      <c r="AU2148" s="105">
        <f ca="1">IF(AT2148=0,"",CHOOSE(MATCH(Master_rankableSchools!$G$10,{"Priority score","Economic need","Enrollment","Fresh miles","Nearby resources"},0),T2148,G2148,F2148,K2148,L2148))</f>
        <v>20</v>
      </c>
      <c r="AV2148" s="105">
        <f ca="1">IF(AT2148=0,"",1+COUNTIFS($AT$2051:$AT$2550,1,$AU$2051:$AU$2550,IF(Master_rankableSchools!$J$10="Ascending","&lt;","&gt;")&amp;AU2148)+COUNTIFS($AT$2051:$AT$2550,1,$AU$2051:$AU$2550,AU2148,$W$2051:$W$2550,"&lt;"&amp;W2148))</f>
        <v>280</v>
      </c>
    </row>
    <row r="2149" spans="1:48" ht="22" customHeight="1">
      <c r="A2149" s="1" t="str">
        <f t="shared" si="30"/>
        <v>3353</v>
      </c>
      <c r="B2149" s="1" t="str">
        <f t="shared" si="31"/>
        <v>KIPP DuBois Charter School</v>
      </c>
      <c r="C2149" s="1" t="str">
        <f t="shared" si="32"/>
        <v>Charter</v>
      </c>
      <c r="D2149" s="1" t="str">
        <f t="shared" si="33"/>
        <v>High</v>
      </c>
      <c r="E2149" s="1" t="str">
        <f t="shared" si="34"/>
        <v>19131</v>
      </c>
      <c r="F2149" s="1">
        <f t="shared" si="35"/>
        <v>504</v>
      </c>
      <c r="G2149" s="1">
        <f t="shared" si="36"/>
        <v>0.59640000000000004</v>
      </c>
      <c r="H2149" s="1" t="str">
        <f t="shared" si="37"/>
        <v>Yes</v>
      </c>
      <c r="I2149" s="1">
        <f>IF(OR(A2149="",COUNTIFS('Staff Review'!$A$8:$A$507,A2149)&lt;&gt;1),0,MATCH(A2149,'Staff Review'!$A$8:$A$507,0))</f>
        <v>161</v>
      </c>
      <c r="J2149" s="1" t="str">
        <f>IF(I2149=0,"No",IF(INDEX('Staff Review'!$C$8:$C$507,I2149)="Yes","Yes","No"))</f>
        <v>No</v>
      </c>
      <c r="K2149" s="1">
        <f ca="1">IF(AI2149="Yes",INDEX('Staff Review'!$D$8:$D$507,I2149),IF(AB2149=0,"",IF(COUNT(INDEX($C$1531:$C$2030,AB2149))=1,INDEX($C$1531:$C$2030,AB2149),"")))</f>
        <v>0.25382886535158589</v>
      </c>
      <c r="L2149" s="1">
        <f>IF(AJ2149="Yes",INDEX('Staff Review'!$F$8:$F$507,I2149),IF(AB2149=0,"",IF(COUNT(INDEX($G$1531:$G$2030,AB2149))=1,INDEX($G$1531:$G$2030,AB2149),"")))</f>
        <v>5</v>
      </c>
      <c r="M2149" s="1" t="str">
        <f t="shared" ca="1" si="38"/>
        <v>Listed</v>
      </c>
      <c r="N2149" s="1" t="str">
        <f t="shared" si="39"/>
        <v>Listed</v>
      </c>
      <c r="O2149" s="1">
        <f t="shared" si="40"/>
        <v>10</v>
      </c>
      <c r="P2149" s="1">
        <f t="shared" ca="1" si="41"/>
        <v>10</v>
      </c>
      <c r="Q2149" s="1">
        <f t="shared" si="42"/>
        <v>0</v>
      </c>
      <c r="R2149" s="1">
        <f t="shared" si="43"/>
        <v>4</v>
      </c>
      <c r="S2149" s="1">
        <f t="shared" ca="1" si="44"/>
        <v>24</v>
      </c>
      <c r="T2149" s="1">
        <f ca="1">IF(OR(COUNT(O2149:R2149)&lt;&gt;4,COUNT('Top 25'!$B$45:$E$45)&lt;&gt;4,MIN('Top 25'!$B$45:$E$45)&lt;0,SUM('Top 25'!$B$45:$E$45)&lt;=0),"",ROUND(85*(O2149/30*'Top 25'!$B$45+P2149/25*'Top 25'!$C$45+Q2149/25*'Top 25'!$D$45+R2149/5*'Top 25'!$E$45)/SUM('Top 25'!$B$45:$E$45),6))</f>
        <v>24</v>
      </c>
      <c r="U2149" s="1" t="str">
        <f t="shared" ca="1" si="45"/>
        <v>Listed</v>
      </c>
      <c r="V2149" s="1" t="str">
        <f ca="1">IF(A2149="","",IF(AK2149&lt;&gt;1,"Duplicate source ID",IF(COUNTIFS('Staff Review'!$A$8:$A$507,A2149)&gt;1,"Duplicate review ID",IF(H2149&lt;&gt;"Yes","Outside scope",IF(J2149="Yes","Already served",IF(NOT(ISNUMBER(T2149)),"Missing data","Candidate"))))))</f>
        <v>Candidate</v>
      </c>
      <c r="W2149" s="1">
        <f t="shared" ca="1" si="46"/>
        <v>272</v>
      </c>
      <c r="X2149" s="1">
        <f t="shared" ca="1" si="47"/>
        <v>272</v>
      </c>
      <c r="Y2149" s="1">
        <f ca="1">IF(AND(H2149="Yes",OR(LEN('School Search'!$B$5)=0,ISNUMBER(SEARCH('School Search'!$B$5,B2149&amp;" "&amp;E2149&amp;" "&amp;A2149))),OR('School Search'!$D$5="All",C2149='School Search'!$D$5),OR('School Search'!$G$5="All eligible",AND('School Search'!$G$5="Not marked served",J2149&lt;&gt;"Yes"),AND('School Search'!$G$5="Missing data",V2149="Missing data"),AND('School Search'!$G$5="Marked served",J2149="Yes"))),1,0)</f>
        <v>1</v>
      </c>
      <c r="Z2149" s="1">
        <f ca="1">IF(Y2149=0,"",COUNTIFS($Y$2051:$Y$2550,1,$AO$2051:$AO$2550,"&lt;"&amp;AO2149)+COUNTIFS($Y$2051:Y2149,1,$AO$2051:AO2149,AO2149))</f>
        <v>272</v>
      </c>
      <c r="AA2149" s="1" t="str">
        <f t="shared" ca="1" si="48"/>
        <v>60% economic need; 0.25 mi fresh access; 5 nearby resources</v>
      </c>
      <c r="AB2149" s="1">
        <f t="shared" si="49"/>
        <v>99</v>
      </c>
      <c r="AC2149" s="1" t="str">
        <f t="shared" si="50"/>
        <v>Shoprite of Parkside 419</v>
      </c>
      <c r="AD2149" s="1" t="str">
        <f t="shared" si="51"/>
        <v>1575 N 52nd St, Philadelphia, PA, 19131</v>
      </c>
      <c r="AE2149" s="1" t="str">
        <f t="shared" si="52"/>
        <v>5070 PARKSIDE AVE</v>
      </c>
      <c r="AF2149" s="1">
        <f t="shared" si="53"/>
        <v>39.98043019</v>
      </c>
      <c r="AG2149" s="1">
        <f t="shared" si="54"/>
        <v>-75.220850319999997</v>
      </c>
      <c r="AH2149" s="1" t="str">
        <f>IF(I2149=0,"Not contacted",IF(INDEX('Staff Review'!$J$8:$J$507,I2149)="","Not contacted",INDEX('Staff Review'!$J$8:$J$507,I2149)))</f>
        <v>Not contacted</v>
      </c>
      <c r="AI2149" s="1" t="str">
        <f ca="1">IF(I2149=0,"No",IF(AND(COUNT(INDEX('Staff Review'!$D$8:$D$507,I2149))=1,INDEX('Staff Review'!$D$8:$D$507,I2149)&gt;=0,COUNT(INDEX('Staff Review'!$E$8:$E$507,I2149))=1,INDEX('Staff Review'!$E$8:$E$507,I2149)&gt;0,INDEX('Staff Review'!$E$8:$E$507,I2149)&lt;='Top 25'!$E$5,'Top 25'!$E$5-INDEX('Staff Review'!$E$8:$E$507,I2149)&lt;='Top 25'!$H$5,LEN(INDEX('Staff Review'!$H$8:$H$507,I2149))&gt;0),"Yes","No"))</f>
        <v>No</v>
      </c>
      <c r="AJ2149" s="1" t="str">
        <f>IF(I2149=0,"No",IF(COUNT(INDEX('Staff Review'!$F$8:$F$507,I2149))&lt;&gt;1,"No",IF(AND(INDEX('Staff Review'!$F$8:$F$507,I2149)&gt;=0,MOD(INDEX('Staff Review'!$F$8:$F$507,I2149),1)=0,COUNT(INDEX('Staff Review'!$G$8:$G$507,I2149))=1,INDEX('Staff Review'!$G$8:$G$507,I2149)&gt;0,INDEX('Staff Review'!$G$8:$G$507,I2149)&lt;='Top 25'!$E$5,'Top 25'!$E$5-INDEX('Staff Review'!$G$8:$G$507,I2149)&lt;='Top 25'!$H$5,LEN(INDEX('Staff Review'!$H$8:$H$507,I2149))&gt;0),"Yes","No")))</f>
        <v>No</v>
      </c>
      <c r="AK2149" s="1">
        <f t="shared" si="55"/>
        <v>1</v>
      </c>
      <c r="AL2149" s="1">
        <f t="shared" ca="1" si="56"/>
        <v>1</v>
      </c>
      <c r="AM2149" s="1">
        <f t="shared" si="57"/>
        <v>3353</v>
      </c>
      <c r="AN2149" s="1">
        <f t="shared" si="58"/>
        <v>99</v>
      </c>
      <c r="AO2149">
        <f t="shared" ca="1" si="59"/>
        <v>272</v>
      </c>
      <c r="AP2149" s="105">
        <f ca="1">IF(AND(AL2149=1,OR('Top 25'!$A$10="All",C2149='Top 25'!$A$10),OR('Top 25'!$D$10="All",D2149='Top 25'!$D$10)),1,0)</f>
        <v>0</v>
      </c>
      <c r="AQ2149" s="105" t="str">
        <f ca="1">IF(AP2149=0,"",CHOOSE(MATCH('Top 25'!$G$10,{"Priority score","Economic need","Enrollment","Fresh miles","Nearby resources"},0),T2149,G2149,F2149,K2149,L2149))</f>
        <v/>
      </c>
      <c r="AR2149" s="105" t="str">
        <f ca="1">IF(AP2149=0,"",1+COUNTIFS($AP$2051:$AP$2550,1,$AQ$2051:$AQ$2550,IF('Top 25'!$J$10="Ascending","&lt;","&gt;")&amp;AQ2149)+COUNTIFS($AP$2051:$AP$2550,1,$AQ$2051:$AQ$2550,AQ2149,$W$2051:$W$2550,"&lt;"&amp;W2149))</f>
        <v/>
      </c>
      <c r="AT2149" s="105">
        <f ca="1">IF(AND(AL2149=1,OR(Master_rankableSchools!$A$10="All",C2149=Master_rankableSchools!$A$10),OR(Master_rankableSchools!$D$10="All",D2149=Master_rankableSchools!$D$10)),1,0)</f>
        <v>1</v>
      </c>
      <c r="AU2149" s="105">
        <f ca="1">IF(AT2149=0,"",CHOOSE(MATCH(Master_rankableSchools!$G$10,{"Priority score","Economic need","Enrollment","Fresh miles","Nearby resources"},0),T2149,G2149,F2149,K2149,L2149))</f>
        <v>24</v>
      </c>
      <c r="AV2149" s="105">
        <f ca="1">IF(AT2149=0,"",1+COUNTIFS($AT$2051:$AT$2550,1,$AU$2051:$AU$2550,IF(Master_rankableSchools!$J$10="Ascending","&lt;","&gt;")&amp;AU2149)+COUNTIFS($AT$2051:$AT$2550,1,$AU$2051:$AU$2550,AU2149,$W$2051:$W$2550,"&lt;"&amp;W2149))</f>
        <v>272</v>
      </c>
    </row>
    <row r="2150" spans="1:48" ht="22" customHeight="1">
      <c r="A2150" s="1" t="str">
        <f t="shared" si="30"/>
        <v>3357</v>
      </c>
      <c r="B2150" s="1" t="str">
        <f t="shared" si="31"/>
        <v>West Philadelphia Achievement Charter School</v>
      </c>
      <c r="C2150" s="1" t="str">
        <f t="shared" si="32"/>
        <v>Charter</v>
      </c>
      <c r="D2150" s="1" t="str">
        <f t="shared" si="33"/>
        <v>Elementary</v>
      </c>
      <c r="E2150" s="1" t="str">
        <f t="shared" si="34"/>
        <v>19151</v>
      </c>
      <c r="F2150" s="1">
        <f t="shared" si="35"/>
        <v>613</v>
      </c>
      <c r="G2150" s="1">
        <f t="shared" si="36"/>
        <v>1</v>
      </c>
      <c r="H2150" s="1" t="str">
        <f t="shared" si="37"/>
        <v>Yes</v>
      </c>
      <c r="I2150" s="1">
        <f>IF(OR(A2150="",COUNTIFS('Staff Review'!$A$8:$A$507,A2150)&lt;&gt;1),0,MATCH(A2150,'Staff Review'!$A$8:$A$507,0))</f>
        <v>309</v>
      </c>
      <c r="J2150" s="1" t="str">
        <f>IF(I2150=0,"No",IF(INDEX('Staff Review'!$C$8:$C$507,I2150)="Yes","Yes","No"))</f>
        <v>No</v>
      </c>
      <c r="K2150" s="1">
        <f ca="1">IF(AI2150="Yes",INDEX('Staff Review'!$D$8:$D$507,I2150),IF(AB2150=0,"",IF(COUNT(INDEX($C$1531:$C$2030,AB2150))=1,INDEX($C$1531:$C$2030,AB2150),"")))</f>
        <v>0.52753063504001518</v>
      </c>
      <c r="L2150" s="1">
        <f>IF(AJ2150="Yes",INDEX('Staff Review'!$F$8:$F$507,I2150),IF(AB2150=0,"",IF(COUNT(INDEX($G$1531:$G$2030,AB2150))=1,INDEX($G$1531:$G$2030,AB2150),"")))</f>
        <v>7</v>
      </c>
      <c r="M2150" s="1" t="str">
        <f t="shared" ca="1" si="38"/>
        <v>Listed</v>
      </c>
      <c r="N2150" s="1" t="str">
        <f t="shared" si="39"/>
        <v>Listed</v>
      </c>
      <c r="O2150" s="1">
        <f t="shared" si="40"/>
        <v>30</v>
      </c>
      <c r="P2150" s="1">
        <f t="shared" ca="1" si="41"/>
        <v>15</v>
      </c>
      <c r="Q2150" s="1">
        <f t="shared" si="42"/>
        <v>0</v>
      </c>
      <c r="R2150" s="1">
        <f t="shared" si="43"/>
        <v>4</v>
      </c>
      <c r="S2150" s="1">
        <f t="shared" ca="1" si="44"/>
        <v>49</v>
      </c>
      <c r="T2150" s="1">
        <f ca="1">IF(OR(COUNT(O2150:R2150)&lt;&gt;4,COUNT('Top 25'!$B$45:$E$45)&lt;&gt;4,MIN('Top 25'!$B$45:$E$45)&lt;0,SUM('Top 25'!$B$45:$E$45)&lt;=0),"",ROUND(85*(O2150/30*'Top 25'!$B$45+P2150/25*'Top 25'!$C$45+Q2150/25*'Top 25'!$D$45+R2150/5*'Top 25'!$E$45)/SUM('Top 25'!$B$45:$E$45),6))</f>
        <v>49</v>
      </c>
      <c r="U2150" s="1" t="str">
        <f t="shared" ca="1" si="45"/>
        <v>Listed</v>
      </c>
      <c r="V2150" s="1" t="str">
        <f ca="1">IF(A2150="","",IF(AK2150&lt;&gt;1,"Duplicate source ID",IF(COUNTIFS('Staff Review'!$A$8:$A$507,A2150)&gt;1,"Duplicate review ID",IF(H2150&lt;&gt;"Yes","Outside scope",IF(J2150="Yes","Already served",IF(NOT(ISNUMBER(T2150)),"Missing data","Candidate"))))))</f>
        <v>Candidate</v>
      </c>
      <c r="W2150" s="1">
        <f t="shared" ca="1" si="46"/>
        <v>46</v>
      </c>
      <c r="X2150" s="1">
        <f t="shared" ca="1" si="47"/>
        <v>46</v>
      </c>
      <c r="Y2150" s="1">
        <f ca="1">IF(AND(H2150="Yes",OR(LEN('School Search'!$B$5)=0,ISNUMBER(SEARCH('School Search'!$B$5,B2150&amp;" "&amp;E2150&amp;" "&amp;A2150))),OR('School Search'!$D$5="All",C2150='School Search'!$D$5),OR('School Search'!$G$5="All eligible",AND('School Search'!$G$5="Not marked served",J2150&lt;&gt;"Yes"),AND('School Search'!$G$5="Missing data",V2150="Missing data"),AND('School Search'!$G$5="Marked served",J2150="Yes"))),1,0)</f>
        <v>1</v>
      </c>
      <c r="Z2150" s="1">
        <f ca="1">IF(Y2150=0,"",COUNTIFS($Y$2051:$Y$2550,1,$AO$2051:$AO$2550,"&lt;"&amp;AO2150)+COUNTIFS($Y$2051:Y2150,1,$AO$2051:AO2150,AO2150))</f>
        <v>46</v>
      </c>
      <c r="AA2150" s="1" t="str">
        <f t="shared" ca="1" si="48"/>
        <v>100% economic need; 0.53 mi fresh access; 7 nearby resources</v>
      </c>
      <c r="AB2150" s="1">
        <f t="shared" si="49"/>
        <v>100</v>
      </c>
      <c r="AC2150" s="1" t="str">
        <f t="shared" si="50"/>
        <v>Al Aqsa Supermarket</v>
      </c>
      <c r="AD2150" s="1" t="str">
        <f t="shared" si="51"/>
        <v>6501 Market St, Upper Darby, PA, 19082</v>
      </c>
      <c r="AE2150" s="1" t="str">
        <f t="shared" si="52"/>
        <v>6701 CALLOWHILL ST</v>
      </c>
      <c r="AF2150" s="1">
        <f t="shared" si="53"/>
        <v>39.970666999999999</v>
      </c>
      <c r="AG2150" s="1">
        <f t="shared" si="54"/>
        <v>-75.254110999999995</v>
      </c>
      <c r="AH2150" s="1" t="str">
        <f>IF(I2150=0,"Not contacted",IF(INDEX('Staff Review'!$J$8:$J$507,I2150)="","Not contacted",INDEX('Staff Review'!$J$8:$J$507,I2150)))</f>
        <v>Not contacted</v>
      </c>
      <c r="AI2150" s="1" t="str">
        <f ca="1">IF(I2150=0,"No",IF(AND(COUNT(INDEX('Staff Review'!$D$8:$D$507,I2150))=1,INDEX('Staff Review'!$D$8:$D$507,I2150)&gt;=0,COUNT(INDEX('Staff Review'!$E$8:$E$507,I2150))=1,INDEX('Staff Review'!$E$8:$E$507,I2150)&gt;0,INDEX('Staff Review'!$E$8:$E$507,I2150)&lt;='Top 25'!$E$5,'Top 25'!$E$5-INDEX('Staff Review'!$E$8:$E$507,I2150)&lt;='Top 25'!$H$5,LEN(INDEX('Staff Review'!$H$8:$H$507,I2150))&gt;0),"Yes","No"))</f>
        <v>No</v>
      </c>
      <c r="AJ2150" s="1" t="str">
        <f>IF(I2150=0,"No",IF(COUNT(INDEX('Staff Review'!$F$8:$F$507,I2150))&lt;&gt;1,"No",IF(AND(INDEX('Staff Review'!$F$8:$F$507,I2150)&gt;=0,MOD(INDEX('Staff Review'!$F$8:$F$507,I2150),1)=0,COUNT(INDEX('Staff Review'!$G$8:$G$507,I2150))=1,INDEX('Staff Review'!$G$8:$G$507,I2150)&gt;0,INDEX('Staff Review'!$G$8:$G$507,I2150)&lt;='Top 25'!$E$5,'Top 25'!$E$5-INDEX('Staff Review'!$G$8:$G$507,I2150)&lt;='Top 25'!$H$5,LEN(INDEX('Staff Review'!$H$8:$H$507,I2150))&gt;0),"Yes","No")))</f>
        <v>No</v>
      </c>
      <c r="AK2150" s="1">
        <f t="shared" si="55"/>
        <v>1</v>
      </c>
      <c r="AL2150" s="1">
        <f t="shared" ca="1" si="56"/>
        <v>1</v>
      </c>
      <c r="AM2150" s="1">
        <f t="shared" si="57"/>
        <v>3357</v>
      </c>
      <c r="AN2150" s="1">
        <f t="shared" si="58"/>
        <v>100</v>
      </c>
      <c r="AO2150">
        <f t="shared" ca="1" si="59"/>
        <v>46</v>
      </c>
      <c r="AP2150" s="105">
        <f ca="1">IF(AND(AL2150=1,OR('Top 25'!$A$10="All",C2150='Top 25'!$A$10),OR('Top 25'!$D$10="All",D2150='Top 25'!$D$10)),1,0)</f>
        <v>0</v>
      </c>
      <c r="AQ2150" s="105" t="str">
        <f ca="1">IF(AP2150=0,"",CHOOSE(MATCH('Top 25'!$G$10,{"Priority score","Economic need","Enrollment","Fresh miles","Nearby resources"},0),T2150,G2150,F2150,K2150,L2150))</f>
        <v/>
      </c>
      <c r="AR2150" s="105" t="str">
        <f ca="1">IF(AP2150=0,"",1+COUNTIFS($AP$2051:$AP$2550,1,$AQ$2051:$AQ$2550,IF('Top 25'!$J$10="Ascending","&lt;","&gt;")&amp;AQ2150)+COUNTIFS($AP$2051:$AP$2550,1,$AQ$2051:$AQ$2550,AQ2150,$W$2051:$W$2550,"&lt;"&amp;W2150))</f>
        <v/>
      </c>
      <c r="AT2150" s="105">
        <f ca="1">IF(AND(AL2150=1,OR(Master_rankableSchools!$A$10="All",C2150=Master_rankableSchools!$A$10),OR(Master_rankableSchools!$D$10="All",D2150=Master_rankableSchools!$D$10)),1,0)</f>
        <v>1</v>
      </c>
      <c r="AU2150" s="105">
        <f ca="1">IF(AT2150=0,"",CHOOSE(MATCH(Master_rankableSchools!$G$10,{"Priority score","Economic need","Enrollment","Fresh miles","Nearby resources"},0),T2150,G2150,F2150,K2150,L2150))</f>
        <v>49</v>
      </c>
      <c r="AV2150" s="105">
        <f ca="1">IF(AT2150=0,"",1+COUNTIFS($AT$2051:$AT$2550,1,$AU$2051:$AU$2550,IF(Master_rankableSchools!$J$10="Ascending","&lt;","&gt;")&amp;AU2150)+COUNTIFS($AT$2051:$AT$2550,1,$AU$2051:$AU$2550,AU2150,$W$2051:$W$2550,"&lt;"&amp;W2150))</f>
        <v>46</v>
      </c>
    </row>
    <row r="2151" spans="1:48" ht="22" customHeight="1">
      <c r="A2151" s="1" t="str">
        <f t="shared" si="30"/>
        <v>3358</v>
      </c>
      <c r="B2151" s="1" t="str">
        <f t="shared" si="31"/>
        <v>Philadelphia Electrical and Technology Charter High School</v>
      </c>
      <c r="C2151" s="1" t="str">
        <f t="shared" si="32"/>
        <v>Charter</v>
      </c>
      <c r="D2151" s="1" t="str">
        <f t="shared" si="33"/>
        <v>High</v>
      </c>
      <c r="E2151" s="1" t="str">
        <f t="shared" si="34"/>
        <v>19103</v>
      </c>
      <c r="F2151" s="1">
        <f t="shared" si="35"/>
        <v>627</v>
      </c>
      <c r="G2151" s="1">
        <f t="shared" si="36"/>
        <v>0.87090000000000001</v>
      </c>
      <c r="H2151" s="1" t="str">
        <f t="shared" si="37"/>
        <v>Yes</v>
      </c>
      <c r="I2151" s="1">
        <f>IF(OR(A2151="",COUNTIFS('Staff Review'!$A$8:$A$507,A2151)&lt;&gt;1),0,MATCH(A2151,'Staff Review'!$A$8:$A$507,0))</f>
        <v>233</v>
      </c>
      <c r="J2151" s="1" t="str">
        <f>IF(I2151=0,"No",IF(INDEX('Staff Review'!$C$8:$C$507,I2151)="Yes","Yes","No"))</f>
        <v>No</v>
      </c>
      <c r="K2151" s="1">
        <f ca="1">IF(AI2151="Yes",INDEX('Staff Review'!$D$8:$D$507,I2151),IF(AB2151=0,"",IF(COUNT(INDEX($C$1531:$C$2030,AB2151))=1,INDEX($C$1531:$C$2030,AB2151),"")))</f>
        <v>0.34797554224224214</v>
      </c>
      <c r="L2151" s="1">
        <f>IF(AJ2151="Yes",INDEX('Staff Review'!$F$8:$F$507,I2151),IF(AB2151=0,"",IF(COUNT(INDEX($G$1531:$G$2030,AB2151))=1,INDEX($G$1531:$G$2030,AB2151),"")))</f>
        <v>7</v>
      </c>
      <c r="M2151" s="1" t="str">
        <f t="shared" ca="1" si="38"/>
        <v>Listed</v>
      </c>
      <c r="N2151" s="1" t="str">
        <f t="shared" si="39"/>
        <v>Listed</v>
      </c>
      <c r="O2151" s="1">
        <f t="shared" si="40"/>
        <v>25</v>
      </c>
      <c r="P2151" s="1">
        <f t="shared" ca="1" si="41"/>
        <v>10</v>
      </c>
      <c r="Q2151" s="1">
        <f t="shared" si="42"/>
        <v>0</v>
      </c>
      <c r="R2151" s="1">
        <f t="shared" si="43"/>
        <v>4</v>
      </c>
      <c r="S2151" s="1">
        <f t="shared" ca="1" si="44"/>
        <v>39</v>
      </c>
      <c r="T2151" s="1">
        <f ca="1">IF(OR(COUNT(O2151:R2151)&lt;&gt;4,COUNT('Top 25'!$B$45:$E$45)&lt;&gt;4,MIN('Top 25'!$B$45:$E$45)&lt;0,SUM('Top 25'!$B$45:$E$45)&lt;=0),"",ROUND(85*(O2151/30*'Top 25'!$B$45+P2151/25*'Top 25'!$C$45+Q2151/25*'Top 25'!$D$45+R2151/5*'Top 25'!$E$45)/SUM('Top 25'!$B$45:$E$45),6))</f>
        <v>39</v>
      </c>
      <c r="U2151" s="1" t="str">
        <f t="shared" ca="1" si="45"/>
        <v>Listed</v>
      </c>
      <c r="V2151" s="1" t="str">
        <f ca="1">IF(A2151="","",IF(AK2151&lt;&gt;1,"Duplicate source ID",IF(COUNTIFS('Staff Review'!$A$8:$A$507,A2151)&gt;1,"Duplicate review ID",IF(H2151&lt;&gt;"Yes","Outside scope",IF(J2151="Yes","Already served",IF(NOT(ISNUMBER(T2151)),"Missing data","Candidate"))))))</f>
        <v>Candidate</v>
      </c>
      <c r="W2151" s="1">
        <f t="shared" ca="1" si="46"/>
        <v>152</v>
      </c>
      <c r="X2151" s="1">
        <f t="shared" ca="1" si="47"/>
        <v>148</v>
      </c>
      <c r="Y2151" s="1">
        <f ca="1">IF(AND(H2151="Yes",OR(LEN('School Search'!$B$5)=0,ISNUMBER(SEARCH('School Search'!$B$5,B2151&amp;" "&amp;E2151&amp;" "&amp;A2151))),OR('School Search'!$D$5="All",C2151='School Search'!$D$5),OR('School Search'!$G$5="All eligible",AND('School Search'!$G$5="Not marked served",J2151&lt;&gt;"Yes"),AND('School Search'!$G$5="Missing data",V2151="Missing data"),AND('School Search'!$G$5="Marked served",J2151="Yes"))),1,0)</f>
        <v>1</v>
      </c>
      <c r="Z2151" s="1">
        <f ca="1">IF(Y2151=0,"",COUNTIFS($Y$2051:$Y$2550,1,$AO$2051:$AO$2550,"&lt;"&amp;AO2151)+COUNTIFS($Y$2051:Y2151,1,$AO$2051:AO2151,AO2151))</f>
        <v>152</v>
      </c>
      <c r="AA2151" s="1" t="str">
        <f t="shared" ca="1" si="48"/>
        <v>87% economic need; 0.35 mi fresh access; 7 nearby resources</v>
      </c>
      <c r="AB2151" s="1">
        <f t="shared" si="49"/>
        <v>101</v>
      </c>
      <c r="AC2151" s="1" t="str">
        <f t="shared" si="50"/>
        <v>Trader Joe's 618</v>
      </c>
      <c r="AD2151" s="1" t="str">
        <f t="shared" si="51"/>
        <v>1324 Arch St, Philadelphia, PA, 19107</v>
      </c>
      <c r="AE2151" s="1" t="str">
        <f t="shared" si="52"/>
        <v>1709 BENJAMIN FRANKLIN PKWY</v>
      </c>
      <c r="AF2151" s="1">
        <f t="shared" si="53"/>
        <v>39.956658900000001</v>
      </c>
      <c r="AG2151" s="1">
        <f t="shared" si="54"/>
        <v>-75.168172900000002</v>
      </c>
      <c r="AH2151" s="1" t="str">
        <f>IF(I2151=0,"Not contacted",IF(INDEX('Staff Review'!$J$8:$J$507,I2151)="","Not contacted",INDEX('Staff Review'!$J$8:$J$507,I2151)))</f>
        <v>Not contacted</v>
      </c>
      <c r="AI2151" s="1" t="str">
        <f ca="1">IF(I2151=0,"No",IF(AND(COUNT(INDEX('Staff Review'!$D$8:$D$507,I2151))=1,INDEX('Staff Review'!$D$8:$D$507,I2151)&gt;=0,COUNT(INDEX('Staff Review'!$E$8:$E$507,I2151))=1,INDEX('Staff Review'!$E$8:$E$507,I2151)&gt;0,INDEX('Staff Review'!$E$8:$E$507,I2151)&lt;='Top 25'!$E$5,'Top 25'!$E$5-INDEX('Staff Review'!$E$8:$E$507,I2151)&lt;='Top 25'!$H$5,LEN(INDEX('Staff Review'!$H$8:$H$507,I2151))&gt;0),"Yes","No"))</f>
        <v>No</v>
      </c>
      <c r="AJ2151" s="1" t="str">
        <f>IF(I2151=0,"No",IF(COUNT(INDEX('Staff Review'!$F$8:$F$507,I2151))&lt;&gt;1,"No",IF(AND(INDEX('Staff Review'!$F$8:$F$507,I2151)&gt;=0,MOD(INDEX('Staff Review'!$F$8:$F$507,I2151),1)=0,COUNT(INDEX('Staff Review'!$G$8:$G$507,I2151))=1,INDEX('Staff Review'!$G$8:$G$507,I2151)&gt;0,INDEX('Staff Review'!$G$8:$G$507,I2151)&lt;='Top 25'!$E$5,'Top 25'!$E$5-INDEX('Staff Review'!$G$8:$G$507,I2151)&lt;='Top 25'!$H$5,LEN(INDEX('Staff Review'!$H$8:$H$507,I2151))&gt;0),"Yes","No")))</f>
        <v>No</v>
      </c>
      <c r="AK2151" s="1">
        <f t="shared" si="55"/>
        <v>1</v>
      </c>
      <c r="AL2151" s="1">
        <f t="shared" ca="1" si="56"/>
        <v>1</v>
      </c>
      <c r="AM2151" s="1">
        <f t="shared" si="57"/>
        <v>3358</v>
      </c>
      <c r="AN2151" s="1">
        <f t="shared" si="58"/>
        <v>101</v>
      </c>
      <c r="AO2151">
        <f t="shared" ca="1" si="59"/>
        <v>152</v>
      </c>
      <c r="AP2151" s="105">
        <f ca="1">IF(AND(AL2151=1,OR('Top 25'!$A$10="All",C2151='Top 25'!$A$10),OR('Top 25'!$D$10="All",D2151='Top 25'!$D$10)),1,0)</f>
        <v>0</v>
      </c>
      <c r="AQ2151" s="105" t="str">
        <f ca="1">IF(AP2151=0,"",CHOOSE(MATCH('Top 25'!$G$10,{"Priority score","Economic need","Enrollment","Fresh miles","Nearby resources"},0),T2151,G2151,F2151,K2151,L2151))</f>
        <v/>
      </c>
      <c r="AR2151" s="105" t="str">
        <f ca="1">IF(AP2151=0,"",1+COUNTIFS($AP$2051:$AP$2550,1,$AQ$2051:$AQ$2550,IF('Top 25'!$J$10="Ascending","&lt;","&gt;")&amp;AQ2151)+COUNTIFS($AP$2051:$AP$2550,1,$AQ$2051:$AQ$2550,AQ2151,$W$2051:$W$2550,"&lt;"&amp;W2151))</f>
        <v/>
      </c>
      <c r="AT2151" s="105">
        <f ca="1">IF(AND(AL2151=1,OR(Master_rankableSchools!$A$10="All",C2151=Master_rankableSchools!$A$10),OR(Master_rankableSchools!$D$10="All",D2151=Master_rankableSchools!$D$10)),1,0)</f>
        <v>1</v>
      </c>
      <c r="AU2151" s="105">
        <f ca="1">IF(AT2151=0,"",CHOOSE(MATCH(Master_rankableSchools!$G$10,{"Priority score","Economic need","Enrollment","Fresh miles","Nearby resources"},0),T2151,G2151,F2151,K2151,L2151))</f>
        <v>39</v>
      </c>
      <c r="AV2151" s="105">
        <f ca="1">IF(AT2151=0,"",1+COUNTIFS($AT$2051:$AT$2550,1,$AU$2051:$AU$2550,IF(Master_rankableSchools!$J$10="Ascending","&lt;","&gt;")&amp;AU2151)+COUNTIFS($AT$2051:$AT$2550,1,$AU$2051:$AU$2550,AU2151,$W$2051:$W$2550,"&lt;"&amp;W2151))</f>
        <v>152</v>
      </c>
    </row>
    <row r="2152" spans="1:48" ht="22" customHeight="1">
      <c r="A2152" s="1" t="str">
        <f t="shared" si="30"/>
        <v>3359</v>
      </c>
      <c r="B2152" s="1" t="str">
        <f t="shared" si="31"/>
        <v>Richard Allen Preparatory Charter School</v>
      </c>
      <c r="C2152" s="1" t="str">
        <f t="shared" si="32"/>
        <v>Charter</v>
      </c>
      <c r="D2152" s="1" t="str">
        <f t="shared" si="33"/>
        <v>Middle</v>
      </c>
      <c r="E2152" s="1" t="str">
        <f t="shared" si="34"/>
        <v>19143</v>
      </c>
      <c r="F2152" s="1">
        <f t="shared" si="35"/>
        <v>309</v>
      </c>
      <c r="G2152" s="1">
        <f t="shared" si="36"/>
        <v>1</v>
      </c>
      <c r="H2152" s="1" t="str">
        <f t="shared" si="37"/>
        <v>Yes</v>
      </c>
      <c r="I2152" s="1">
        <f>IF(OR(A2152="",COUNTIFS('Staff Review'!$A$8:$A$507,A2152)&lt;&gt;1),0,MATCH(A2152,'Staff Review'!$A$8:$A$507,0))</f>
        <v>248</v>
      </c>
      <c r="J2152" s="1" t="str">
        <f>IF(I2152=0,"No",IF(INDEX('Staff Review'!$C$8:$C$507,I2152)="Yes","Yes","No"))</f>
        <v>No</v>
      </c>
      <c r="K2152" s="1">
        <f ca="1">IF(AI2152="Yes",INDEX('Staff Review'!$D$8:$D$507,I2152),IF(AB2152=0,"",IF(COUNT(INDEX($C$1531:$C$2030,AB2152))=1,INDEX($C$1531:$C$2030,AB2152),"")))</f>
        <v>0.41092523794122804</v>
      </c>
      <c r="L2152" s="1">
        <f>IF(AJ2152="Yes",INDEX('Staff Review'!$F$8:$F$507,I2152),IF(AB2152=0,"",IF(COUNT(INDEX($G$1531:$G$2030,AB2152))=1,INDEX($G$1531:$G$2030,AB2152),"")))</f>
        <v>7</v>
      </c>
      <c r="M2152" s="1" t="str">
        <f t="shared" ca="1" si="38"/>
        <v>Listed</v>
      </c>
      <c r="N2152" s="1" t="str">
        <f t="shared" si="39"/>
        <v>Listed</v>
      </c>
      <c r="O2152" s="1">
        <f t="shared" si="40"/>
        <v>30</v>
      </c>
      <c r="P2152" s="1">
        <f t="shared" ca="1" si="41"/>
        <v>10</v>
      </c>
      <c r="Q2152" s="1">
        <f t="shared" si="42"/>
        <v>0</v>
      </c>
      <c r="R2152" s="1">
        <f t="shared" si="43"/>
        <v>2</v>
      </c>
      <c r="S2152" s="1">
        <f t="shared" ca="1" si="44"/>
        <v>42</v>
      </c>
      <c r="T2152" s="1">
        <f ca="1">IF(OR(COUNT(O2152:R2152)&lt;&gt;4,COUNT('Top 25'!$B$45:$E$45)&lt;&gt;4,MIN('Top 25'!$B$45:$E$45)&lt;0,SUM('Top 25'!$B$45:$E$45)&lt;=0),"",ROUND(85*(O2152/30*'Top 25'!$B$45+P2152/25*'Top 25'!$C$45+Q2152/25*'Top 25'!$D$45+R2152/5*'Top 25'!$E$45)/SUM('Top 25'!$B$45:$E$45),6))</f>
        <v>42</v>
      </c>
      <c r="U2152" s="1" t="str">
        <f t="shared" ca="1" si="45"/>
        <v>Listed</v>
      </c>
      <c r="V2152" s="1" t="str">
        <f ca="1">IF(A2152="","",IF(AK2152&lt;&gt;1,"Duplicate source ID",IF(COUNTIFS('Staff Review'!$A$8:$A$507,A2152)&gt;1,"Duplicate review ID",IF(H2152&lt;&gt;"Yes","Outside scope",IF(J2152="Yes","Already served",IF(NOT(ISNUMBER(T2152)),"Missing data","Candidate"))))))</f>
        <v>Candidate</v>
      </c>
      <c r="W2152" s="1">
        <f t="shared" ca="1" si="46"/>
        <v>101</v>
      </c>
      <c r="X2152" s="1">
        <f t="shared" ca="1" si="47"/>
        <v>101</v>
      </c>
      <c r="Y2152" s="1">
        <f ca="1">IF(AND(H2152="Yes",OR(LEN('School Search'!$B$5)=0,ISNUMBER(SEARCH('School Search'!$B$5,B2152&amp;" "&amp;E2152&amp;" "&amp;A2152))),OR('School Search'!$D$5="All",C2152='School Search'!$D$5),OR('School Search'!$G$5="All eligible",AND('School Search'!$G$5="Not marked served",J2152&lt;&gt;"Yes"),AND('School Search'!$G$5="Missing data",V2152="Missing data"),AND('School Search'!$G$5="Marked served",J2152="Yes"))),1,0)</f>
        <v>1</v>
      </c>
      <c r="Z2152" s="1">
        <f ca="1">IF(Y2152=0,"",COUNTIFS($Y$2051:$Y$2550,1,$AO$2051:$AO$2550,"&lt;"&amp;AO2152)+COUNTIFS($Y$2051:Y2152,1,$AO$2051:AO2152,AO2152))</f>
        <v>101</v>
      </c>
      <c r="AA2152" s="1" t="str">
        <f t="shared" ca="1" si="48"/>
        <v>100% economic need; 0.41 mi fresh access; 7 nearby resources</v>
      </c>
      <c r="AB2152" s="1">
        <f t="shared" si="49"/>
        <v>102</v>
      </c>
      <c r="AC2152" s="1" t="str">
        <f t="shared" si="50"/>
        <v>SAVE-A-LOT 60135</v>
      </c>
      <c r="AD2152" s="1" t="str">
        <f t="shared" si="51"/>
        <v>5800 Woodland Ave, Philadelphia, PA, 19143</v>
      </c>
      <c r="AE2152" s="1" t="str">
        <f t="shared" si="52"/>
        <v>2601 S 58TH ST</v>
      </c>
      <c r="AF2152" s="1">
        <f t="shared" si="53"/>
        <v>39.928091870000003</v>
      </c>
      <c r="AG2152" s="1">
        <f t="shared" si="54"/>
        <v>-75.219267430000002</v>
      </c>
      <c r="AH2152" s="1" t="str">
        <f>IF(I2152=0,"Not contacted",IF(INDEX('Staff Review'!$J$8:$J$507,I2152)="","Not contacted",INDEX('Staff Review'!$J$8:$J$507,I2152)))</f>
        <v>Not contacted</v>
      </c>
      <c r="AI2152" s="1" t="str">
        <f ca="1">IF(I2152=0,"No",IF(AND(COUNT(INDEX('Staff Review'!$D$8:$D$507,I2152))=1,INDEX('Staff Review'!$D$8:$D$507,I2152)&gt;=0,COUNT(INDEX('Staff Review'!$E$8:$E$507,I2152))=1,INDEX('Staff Review'!$E$8:$E$507,I2152)&gt;0,INDEX('Staff Review'!$E$8:$E$507,I2152)&lt;='Top 25'!$E$5,'Top 25'!$E$5-INDEX('Staff Review'!$E$8:$E$507,I2152)&lt;='Top 25'!$H$5,LEN(INDEX('Staff Review'!$H$8:$H$507,I2152))&gt;0),"Yes","No"))</f>
        <v>No</v>
      </c>
      <c r="AJ2152" s="1" t="str">
        <f>IF(I2152=0,"No",IF(COUNT(INDEX('Staff Review'!$F$8:$F$507,I2152))&lt;&gt;1,"No",IF(AND(INDEX('Staff Review'!$F$8:$F$507,I2152)&gt;=0,MOD(INDEX('Staff Review'!$F$8:$F$507,I2152),1)=0,COUNT(INDEX('Staff Review'!$G$8:$G$507,I2152))=1,INDEX('Staff Review'!$G$8:$G$507,I2152)&gt;0,INDEX('Staff Review'!$G$8:$G$507,I2152)&lt;='Top 25'!$E$5,'Top 25'!$E$5-INDEX('Staff Review'!$G$8:$G$507,I2152)&lt;='Top 25'!$H$5,LEN(INDEX('Staff Review'!$H$8:$H$507,I2152))&gt;0),"Yes","No")))</f>
        <v>No</v>
      </c>
      <c r="AK2152" s="1">
        <f t="shared" si="55"/>
        <v>1</v>
      </c>
      <c r="AL2152" s="1">
        <f t="shared" ca="1" si="56"/>
        <v>1</v>
      </c>
      <c r="AM2152" s="1">
        <f t="shared" si="57"/>
        <v>3359</v>
      </c>
      <c r="AN2152" s="1">
        <f t="shared" si="58"/>
        <v>102</v>
      </c>
      <c r="AO2152">
        <f t="shared" ca="1" si="59"/>
        <v>101</v>
      </c>
      <c r="AP2152" s="105">
        <f ca="1">IF(AND(AL2152=1,OR('Top 25'!$A$10="All",C2152='Top 25'!$A$10),OR('Top 25'!$D$10="All",D2152='Top 25'!$D$10)),1,0)</f>
        <v>0</v>
      </c>
      <c r="AQ2152" s="105" t="str">
        <f ca="1">IF(AP2152=0,"",CHOOSE(MATCH('Top 25'!$G$10,{"Priority score","Economic need","Enrollment","Fresh miles","Nearby resources"},0),T2152,G2152,F2152,K2152,L2152))</f>
        <v/>
      </c>
      <c r="AR2152" s="105" t="str">
        <f ca="1">IF(AP2152=0,"",1+COUNTIFS($AP$2051:$AP$2550,1,$AQ$2051:$AQ$2550,IF('Top 25'!$J$10="Ascending","&lt;","&gt;")&amp;AQ2152)+COUNTIFS($AP$2051:$AP$2550,1,$AQ$2051:$AQ$2550,AQ2152,$W$2051:$W$2550,"&lt;"&amp;W2152))</f>
        <v/>
      </c>
      <c r="AT2152" s="105">
        <f ca="1">IF(AND(AL2152=1,OR(Master_rankableSchools!$A$10="All",C2152=Master_rankableSchools!$A$10),OR(Master_rankableSchools!$D$10="All",D2152=Master_rankableSchools!$D$10)),1,0)</f>
        <v>1</v>
      </c>
      <c r="AU2152" s="105">
        <f ca="1">IF(AT2152=0,"",CHOOSE(MATCH(Master_rankableSchools!$G$10,{"Priority score","Economic need","Enrollment","Fresh miles","Nearby resources"},0),T2152,G2152,F2152,K2152,L2152))</f>
        <v>42</v>
      </c>
      <c r="AV2152" s="105">
        <f ca="1">IF(AT2152=0,"",1+COUNTIFS($AT$2051:$AT$2550,1,$AU$2051:$AU$2550,IF(Master_rankableSchools!$J$10="Ascending","&lt;","&gt;")&amp;AU2152)+COUNTIFS($AT$2051:$AT$2550,1,$AU$2051:$AU$2550,AU2152,$W$2051:$W$2550,"&lt;"&amp;W2152))</f>
        <v>101</v>
      </c>
    </row>
    <row r="2153" spans="1:48" ht="22" customHeight="1">
      <c r="A2153" s="1" t="str">
        <f t="shared" si="30"/>
        <v>3360</v>
      </c>
      <c r="B2153" s="1" t="str">
        <f t="shared" si="31"/>
        <v>Russell Byers Charter School</v>
      </c>
      <c r="C2153" s="1" t="str">
        <f t="shared" si="32"/>
        <v>Charter</v>
      </c>
      <c r="D2153" s="1" t="str">
        <f t="shared" si="33"/>
        <v>Elementary-Middle</v>
      </c>
      <c r="E2153" s="1" t="str">
        <f t="shared" si="34"/>
        <v>19103</v>
      </c>
      <c r="F2153" s="1">
        <f t="shared" si="35"/>
        <v>681</v>
      </c>
      <c r="G2153" s="1">
        <f t="shared" si="36"/>
        <v>0.97470000000000001</v>
      </c>
      <c r="H2153" s="1" t="str">
        <f t="shared" si="37"/>
        <v>Yes</v>
      </c>
      <c r="I2153" s="1">
        <f>IF(OR(A2153="",COUNTIFS('Staff Review'!$A$8:$A$507,A2153)&lt;&gt;1),0,MATCH(A2153,'Staff Review'!$A$8:$A$507,0))</f>
        <v>257</v>
      </c>
      <c r="J2153" s="1" t="str">
        <f>IF(I2153=0,"No",IF(INDEX('Staff Review'!$C$8:$C$507,I2153)="Yes","Yes","No"))</f>
        <v>No</v>
      </c>
      <c r="K2153" s="1">
        <f ca="1">IF(AI2153="Yes",INDEX('Staff Review'!$D$8:$D$507,I2153),IF(AB2153=0,"",IF(COUNT(INDEX($C$1531:$C$2030,AB2153))=1,INDEX($C$1531:$C$2030,AB2153),"")))</f>
        <v>0.28034979991197007</v>
      </c>
      <c r="L2153" s="1">
        <f>IF(AJ2153="Yes",INDEX('Staff Review'!$F$8:$F$507,I2153),IF(AB2153=0,"",IF(COUNT(INDEX($G$1531:$G$2030,AB2153))=1,INDEX($G$1531:$G$2030,AB2153),"")))</f>
        <v>5</v>
      </c>
      <c r="M2153" s="1" t="str">
        <f t="shared" ca="1" si="38"/>
        <v>Listed</v>
      </c>
      <c r="N2153" s="1" t="str">
        <f t="shared" si="39"/>
        <v>Listed</v>
      </c>
      <c r="O2153" s="1">
        <f t="shared" si="40"/>
        <v>30</v>
      </c>
      <c r="P2153" s="1">
        <f t="shared" ca="1" si="41"/>
        <v>10</v>
      </c>
      <c r="Q2153" s="1">
        <f t="shared" si="42"/>
        <v>0</v>
      </c>
      <c r="R2153" s="1">
        <f t="shared" si="43"/>
        <v>4</v>
      </c>
      <c r="S2153" s="1">
        <f t="shared" ca="1" si="44"/>
        <v>44</v>
      </c>
      <c r="T2153" s="1">
        <f ca="1">IF(OR(COUNT(O2153:R2153)&lt;&gt;4,COUNT('Top 25'!$B$45:$E$45)&lt;&gt;4,MIN('Top 25'!$B$45:$E$45)&lt;0,SUM('Top 25'!$B$45:$E$45)&lt;=0),"",ROUND(85*(O2153/30*'Top 25'!$B$45+P2153/25*'Top 25'!$C$45+Q2153/25*'Top 25'!$D$45+R2153/5*'Top 25'!$E$45)/SUM('Top 25'!$B$45:$E$45),6))</f>
        <v>44</v>
      </c>
      <c r="U2153" s="1" t="str">
        <f t="shared" ca="1" si="45"/>
        <v>Listed</v>
      </c>
      <c r="V2153" s="1" t="str">
        <f ca="1">IF(A2153="","",IF(AK2153&lt;&gt;1,"Duplicate source ID",IF(COUNTIFS('Staff Review'!$A$8:$A$507,A2153)&gt;1,"Duplicate review ID",IF(H2153&lt;&gt;"Yes","Outside scope",IF(J2153="Yes","Already served",IF(NOT(ISNUMBER(T2153)),"Missing data","Candidate"))))))</f>
        <v>Candidate</v>
      </c>
      <c r="W2153" s="1">
        <f t="shared" ca="1" si="46"/>
        <v>83</v>
      </c>
      <c r="X2153" s="1">
        <f t="shared" ca="1" si="47"/>
        <v>81</v>
      </c>
      <c r="Y2153" s="1">
        <f ca="1">IF(AND(H2153="Yes",OR(LEN('School Search'!$B$5)=0,ISNUMBER(SEARCH('School Search'!$B$5,B2153&amp;" "&amp;E2153&amp;" "&amp;A2153))),OR('School Search'!$D$5="All",C2153='School Search'!$D$5),OR('School Search'!$G$5="All eligible",AND('School Search'!$G$5="Not marked served",J2153&lt;&gt;"Yes"),AND('School Search'!$G$5="Missing data",V2153="Missing data"),AND('School Search'!$G$5="Marked served",J2153="Yes"))),1,0)</f>
        <v>1</v>
      </c>
      <c r="Z2153" s="1">
        <f ca="1">IF(Y2153=0,"",COUNTIFS($Y$2051:$Y$2550,1,$AO$2051:$AO$2550,"&lt;"&amp;AO2153)+COUNTIFS($Y$2051:Y2153,1,$AO$2051:AO2153,AO2153))</f>
        <v>83</v>
      </c>
      <c r="AA2153" s="1" t="str">
        <f t="shared" ca="1" si="48"/>
        <v>97% economic need; 0.28 mi fresh access; 5 nearby resources</v>
      </c>
      <c r="AB2153" s="1">
        <f t="shared" si="49"/>
        <v>103</v>
      </c>
      <c r="AC2153" s="1" t="str">
        <f t="shared" si="50"/>
        <v>Trader Joe's 634</v>
      </c>
      <c r="AD2153" s="1" t="str">
        <f t="shared" si="51"/>
        <v>2121 Market St, Philadelphia, PA, 19103</v>
      </c>
      <c r="AE2153" s="1" t="str">
        <f t="shared" si="52"/>
        <v>1911 ARCH ST</v>
      </c>
      <c r="AF2153" s="1">
        <f t="shared" si="53"/>
        <v>39.955949220000001</v>
      </c>
      <c r="AG2153" s="1">
        <f t="shared" si="54"/>
        <v>-75.171550640000007</v>
      </c>
      <c r="AH2153" s="1" t="str">
        <f>IF(I2153=0,"Not contacted",IF(INDEX('Staff Review'!$J$8:$J$507,I2153)="","Not contacted",INDEX('Staff Review'!$J$8:$J$507,I2153)))</f>
        <v>Not contacted</v>
      </c>
      <c r="AI2153" s="1" t="str">
        <f ca="1">IF(I2153=0,"No",IF(AND(COUNT(INDEX('Staff Review'!$D$8:$D$507,I2153))=1,INDEX('Staff Review'!$D$8:$D$507,I2153)&gt;=0,COUNT(INDEX('Staff Review'!$E$8:$E$507,I2153))=1,INDEX('Staff Review'!$E$8:$E$507,I2153)&gt;0,INDEX('Staff Review'!$E$8:$E$507,I2153)&lt;='Top 25'!$E$5,'Top 25'!$E$5-INDEX('Staff Review'!$E$8:$E$507,I2153)&lt;='Top 25'!$H$5,LEN(INDEX('Staff Review'!$H$8:$H$507,I2153))&gt;0),"Yes","No"))</f>
        <v>No</v>
      </c>
      <c r="AJ2153" s="1" t="str">
        <f>IF(I2153=0,"No",IF(COUNT(INDEX('Staff Review'!$F$8:$F$507,I2153))&lt;&gt;1,"No",IF(AND(INDEX('Staff Review'!$F$8:$F$507,I2153)&gt;=0,MOD(INDEX('Staff Review'!$F$8:$F$507,I2153),1)=0,COUNT(INDEX('Staff Review'!$G$8:$G$507,I2153))=1,INDEX('Staff Review'!$G$8:$G$507,I2153)&gt;0,INDEX('Staff Review'!$G$8:$G$507,I2153)&lt;='Top 25'!$E$5,'Top 25'!$E$5-INDEX('Staff Review'!$G$8:$G$507,I2153)&lt;='Top 25'!$H$5,LEN(INDEX('Staff Review'!$H$8:$H$507,I2153))&gt;0),"Yes","No")))</f>
        <v>No</v>
      </c>
      <c r="AK2153" s="1">
        <f t="shared" si="55"/>
        <v>1</v>
      </c>
      <c r="AL2153" s="1">
        <f t="shared" ca="1" si="56"/>
        <v>1</v>
      </c>
      <c r="AM2153" s="1">
        <f t="shared" si="57"/>
        <v>3360</v>
      </c>
      <c r="AN2153" s="1">
        <f t="shared" si="58"/>
        <v>103</v>
      </c>
      <c r="AO2153">
        <f t="shared" ca="1" si="59"/>
        <v>83</v>
      </c>
      <c r="AP2153" s="105">
        <f ca="1">IF(AND(AL2153=1,OR('Top 25'!$A$10="All",C2153='Top 25'!$A$10),OR('Top 25'!$D$10="All",D2153='Top 25'!$D$10)),1,0)</f>
        <v>0</v>
      </c>
      <c r="AQ2153" s="105" t="str">
        <f ca="1">IF(AP2153=0,"",CHOOSE(MATCH('Top 25'!$G$10,{"Priority score","Economic need","Enrollment","Fresh miles","Nearby resources"},0),T2153,G2153,F2153,K2153,L2153))</f>
        <v/>
      </c>
      <c r="AR2153" s="105" t="str">
        <f ca="1">IF(AP2153=0,"",1+COUNTIFS($AP$2051:$AP$2550,1,$AQ$2051:$AQ$2550,IF('Top 25'!$J$10="Ascending","&lt;","&gt;")&amp;AQ2153)+COUNTIFS($AP$2051:$AP$2550,1,$AQ$2051:$AQ$2550,AQ2153,$W$2051:$W$2550,"&lt;"&amp;W2153))</f>
        <v/>
      </c>
      <c r="AT2153" s="105">
        <f ca="1">IF(AND(AL2153=1,OR(Master_rankableSchools!$A$10="All",C2153=Master_rankableSchools!$A$10),OR(Master_rankableSchools!$D$10="All",D2153=Master_rankableSchools!$D$10)),1,0)</f>
        <v>1</v>
      </c>
      <c r="AU2153" s="105">
        <f ca="1">IF(AT2153=0,"",CHOOSE(MATCH(Master_rankableSchools!$G$10,{"Priority score","Economic need","Enrollment","Fresh miles","Nearby resources"},0),T2153,G2153,F2153,K2153,L2153))</f>
        <v>44</v>
      </c>
      <c r="AV2153" s="105">
        <f ca="1">IF(AT2153=0,"",1+COUNTIFS($AT$2051:$AT$2550,1,$AU$2051:$AU$2550,IF(Master_rankableSchools!$J$10="Ascending","&lt;","&gt;")&amp;AU2153)+COUNTIFS($AT$2051:$AT$2550,1,$AU$2051:$AU$2550,AU2153,$W$2051:$W$2550,"&lt;"&amp;W2153))</f>
        <v>83</v>
      </c>
    </row>
    <row r="2154" spans="1:48" ht="22" customHeight="1">
      <c r="A2154" s="1" t="str">
        <f t="shared" si="30"/>
        <v>3361</v>
      </c>
      <c r="B2154" s="1" t="str">
        <f t="shared" si="31"/>
        <v>Mastery Charter High School</v>
      </c>
      <c r="C2154" s="1" t="str">
        <f t="shared" si="32"/>
        <v>Charter</v>
      </c>
      <c r="D2154" s="1" t="str">
        <f t="shared" si="33"/>
        <v>Middle-High</v>
      </c>
      <c r="E2154" s="1" t="str">
        <f t="shared" si="34"/>
        <v>19106</v>
      </c>
      <c r="F2154" s="1">
        <f t="shared" si="35"/>
        <v>614</v>
      </c>
      <c r="G2154" s="1">
        <f t="shared" si="36"/>
        <v>0.8921</v>
      </c>
      <c r="H2154" s="1" t="str">
        <f t="shared" si="37"/>
        <v>Yes</v>
      </c>
      <c r="I2154" s="1">
        <f>IF(OR(A2154="",COUNTIFS('Staff Review'!$A$8:$A$507,A2154)&lt;&gt;1),0,MATCH(A2154,'Staff Review'!$A$8:$A$507,0))</f>
        <v>181</v>
      </c>
      <c r="J2154" s="1" t="str">
        <f>IF(I2154=0,"No",IF(INDEX('Staff Review'!$C$8:$C$507,I2154)="Yes","Yes","No"))</f>
        <v>No</v>
      </c>
      <c r="K2154" s="1">
        <f ca="1">IF(AI2154="Yes",INDEX('Staff Review'!$D$8:$D$507,I2154),IF(AB2154=0,"",IF(COUNT(INDEX($C$1531:$C$2030,AB2154))=1,INDEX($C$1531:$C$2030,AB2154),"")))</f>
        <v>0.32748912729383622</v>
      </c>
      <c r="L2154" s="1">
        <f>IF(AJ2154="Yes",INDEX('Staff Review'!$F$8:$F$507,I2154),IF(AB2154=0,"",IF(COUNT(INDEX($G$1531:$G$2030,AB2154))=1,INDEX($G$1531:$G$2030,AB2154),"")))</f>
        <v>3</v>
      </c>
      <c r="M2154" s="1" t="str">
        <f t="shared" ca="1" si="38"/>
        <v>Listed</v>
      </c>
      <c r="N2154" s="1" t="str">
        <f t="shared" si="39"/>
        <v>Listed</v>
      </c>
      <c r="O2154" s="1">
        <f t="shared" si="40"/>
        <v>25</v>
      </c>
      <c r="P2154" s="1">
        <f t="shared" ca="1" si="41"/>
        <v>10</v>
      </c>
      <c r="Q2154" s="1">
        <f t="shared" si="42"/>
        <v>10</v>
      </c>
      <c r="R2154" s="1">
        <f t="shared" si="43"/>
        <v>4</v>
      </c>
      <c r="S2154" s="1">
        <f t="shared" ca="1" si="44"/>
        <v>49</v>
      </c>
      <c r="T2154" s="1">
        <f ca="1">IF(OR(COUNT(O2154:R2154)&lt;&gt;4,COUNT('Top 25'!$B$45:$E$45)&lt;&gt;4,MIN('Top 25'!$B$45:$E$45)&lt;0,SUM('Top 25'!$B$45:$E$45)&lt;=0),"",ROUND(85*(O2154/30*'Top 25'!$B$45+P2154/25*'Top 25'!$C$45+Q2154/25*'Top 25'!$D$45+R2154/5*'Top 25'!$E$45)/SUM('Top 25'!$B$45:$E$45),6))</f>
        <v>49</v>
      </c>
      <c r="U2154" s="1" t="str">
        <f t="shared" ca="1" si="45"/>
        <v>Listed</v>
      </c>
      <c r="V2154" s="1" t="str">
        <f ca="1">IF(A2154="","",IF(AK2154&lt;&gt;1,"Duplicate source ID",IF(COUNTIFS('Staff Review'!$A$8:$A$507,A2154)&gt;1,"Duplicate review ID",IF(H2154&lt;&gt;"Yes","Outside scope",IF(J2154="Yes","Already served",IF(NOT(ISNUMBER(T2154)),"Missing data","Candidate"))))))</f>
        <v>Candidate</v>
      </c>
      <c r="W2154" s="1">
        <f t="shared" ca="1" si="46"/>
        <v>49</v>
      </c>
      <c r="X2154" s="1">
        <f t="shared" ca="1" si="47"/>
        <v>46</v>
      </c>
      <c r="Y2154" s="1">
        <f ca="1">IF(AND(H2154="Yes",OR(LEN('School Search'!$B$5)=0,ISNUMBER(SEARCH('School Search'!$B$5,B2154&amp;" "&amp;E2154&amp;" "&amp;A2154))),OR('School Search'!$D$5="All",C2154='School Search'!$D$5),OR('School Search'!$G$5="All eligible",AND('School Search'!$G$5="Not marked served",J2154&lt;&gt;"Yes"),AND('School Search'!$G$5="Missing data",V2154="Missing data"),AND('School Search'!$G$5="Marked served",J2154="Yes"))),1,0)</f>
        <v>1</v>
      </c>
      <c r="Z2154" s="1">
        <f ca="1">IF(Y2154=0,"",COUNTIFS($Y$2051:$Y$2550,1,$AO$2051:$AO$2550,"&lt;"&amp;AO2154)+COUNTIFS($Y$2051:Y2154,1,$AO$2051:AO2154,AO2154))</f>
        <v>49</v>
      </c>
      <c r="AA2154" s="1" t="str">
        <f t="shared" ca="1" si="48"/>
        <v>89% economic need; 0.33 mi fresh access; 3 nearby resources</v>
      </c>
      <c r="AB2154" s="1">
        <f t="shared" si="49"/>
        <v>104</v>
      </c>
      <c r="AC2154" s="1" t="str">
        <f t="shared" si="50"/>
        <v>Riverwards Produce</v>
      </c>
      <c r="AD2154" s="1" t="str">
        <f t="shared" si="51"/>
        <v>146 N Bread St, Philadelphia, PA, 19106</v>
      </c>
      <c r="AE2154" s="1" t="str">
        <f t="shared" si="52"/>
        <v>35 S 4TH ST</v>
      </c>
      <c r="AF2154" s="1">
        <f t="shared" si="53"/>
        <v>39.949505790000003</v>
      </c>
      <c r="AG2154" s="1">
        <f t="shared" si="54"/>
        <v>-75.147347760000002</v>
      </c>
      <c r="AH2154" s="1" t="str">
        <f>IF(I2154=0,"Not contacted",IF(INDEX('Staff Review'!$J$8:$J$507,I2154)="","Not contacted",INDEX('Staff Review'!$J$8:$J$507,I2154)))</f>
        <v>Not contacted</v>
      </c>
      <c r="AI2154" s="1" t="str">
        <f ca="1">IF(I2154=0,"No",IF(AND(COUNT(INDEX('Staff Review'!$D$8:$D$507,I2154))=1,INDEX('Staff Review'!$D$8:$D$507,I2154)&gt;=0,COUNT(INDEX('Staff Review'!$E$8:$E$507,I2154))=1,INDEX('Staff Review'!$E$8:$E$507,I2154)&gt;0,INDEX('Staff Review'!$E$8:$E$507,I2154)&lt;='Top 25'!$E$5,'Top 25'!$E$5-INDEX('Staff Review'!$E$8:$E$507,I2154)&lt;='Top 25'!$H$5,LEN(INDEX('Staff Review'!$H$8:$H$507,I2154))&gt;0),"Yes","No"))</f>
        <v>No</v>
      </c>
      <c r="AJ2154" s="1" t="str">
        <f>IF(I2154=0,"No",IF(COUNT(INDEX('Staff Review'!$F$8:$F$507,I2154))&lt;&gt;1,"No",IF(AND(INDEX('Staff Review'!$F$8:$F$507,I2154)&gt;=0,MOD(INDEX('Staff Review'!$F$8:$F$507,I2154),1)=0,COUNT(INDEX('Staff Review'!$G$8:$G$507,I2154))=1,INDEX('Staff Review'!$G$8:$G$507,I2154)&gt;0,INDEX('Staff Review'!$G$8:$G$507,I2154)&lt;='Top 25'!$E$5,'Top 25'!$E$5-INDEX('Staff Review'!$G$8:$G$507,I2154)&lt;='Top 25'!$H$5,LEN(INDEX('Staff Review'!$H$8:$H$507,I2154))&gt;0),"Yes","No")))</f>
        <v>No</v>
      </c>
      <c r="AK2154" s="1">
        <f t="shared" si="55"/>
        <v>1</v>
      </c>
      <c r="AL2154" s="1">
        <f t="shared" ca="1" si="56"/>
        <v>1</v>
      </c>
      <c r="AM2154" s="1">
        <f t="shared" si="57"/>
        <v>3361</v>
      </c>
      <c r="AN2154" s="1">
        <f t="shared" si="58"/>
        <v>104</v>
      </c>
      <c r="AO2154">
        <f t="shared" ca="1" si="59"/>
        <v>49</v>
      </c>
      <c r="AP2154" s="105">
        <f ca="1">IF(AND(AL2154=1,OR('Top 25'!$A$10="All",C2154='Top 25'!$A$10),OR('Top 25'!$D$10="All",D2154='Top 25'!$D$10)),1,0)</f>
        <v>0</v>
      </c>
      <c r="AQ2154" s="105" t="str">
        <f ca="1">IF(AP2154=0,"",CHOOSE(MATCH('Top 25'!$G$10,{"Priority score","Economic need","Enrollment","Fresh miles","Nearby resources"},0),T2154,G2154,F2154,K2154,L2154))</f>
        <v/>
      </c>
      <c r="AR2154" s="105" t="str">
        <f ca="1">IF(AP2154=0,"",1+COUNTIFS($AP$2051:$AP$2550,1,$AQ$2051:$AQ$2550,IF('Top 25'!$J$10="Ascending","&lt;","&gt;")&amp;AQ2154)+COUNTIFS($AP$2051:$AP$2550,1,$AQ$2051:$AQ$2550,AQ2154,$W$2051:$W$2550,"&lt;"&amp;W2154))</f>
        <v/>
      </c>
      <c r="AT2154" s="105">
        <f ca="1">IF(AND(AL2154=1,OR(Master_rankableSchools!$A$10="All",C2154=Master_rankableSchools!$A$10),OR(Master_rankableSchools!$D$10="All",D2154=Master_rankableSchools!$D$10)),1,0)</f>
        <v>1</v>
      </c>
      <c r="AU2154" s="105">
        <f ca="1">IF(AT2154=0,"",CHOOSE(MATCH(Master_rankableSchools!$G$10,{"Priority score","Economic need","Enrollment","Fresh miles","Nearby resources"},0),T2154,G2154,F2154,K2154,L2154))</f>
        <v>49</v>
      </c>
      <c r="AV2154" s="105">
        <f ca="1">IF(AT2154=0,"",1+COUNTIFS($AT$2051:$AT$2550,1,$AU$2051:$AU$2550,IF(Master_rankableSchools!$J$10="Ascending","&lt;","&gt;")&amp;AU2154)+COUNTIFS($AT$2051:$AT$2550,1,$AU$2051:$AU$2550,AU2154,$W$2051:$W$2550,"&lt;"&amp;W2154))</f>
        <v>49</v>
      </c>
    </row>
    <row r="2155" spans="1:48" ht="22" customHeight="1">
      <c r="A2155" s="1" t="str">
        <f t="shared" si="30"/>
        <v>3362</v>
      </c>
      <c r="B2155" s="1" t="str">
        <f t="shared" si="31"/>
        <v>Wissahickon Charter School</v>
      </c>
      <c r="C2155" s="1" t="str">
        <f t="shared" si="32"/>
        <v>Charter</v>
      </c>
      <c r="D2155" s="1" t="str">
        <f t="shared" si="33"/>
        <v>Elementary-Middle</v>
      </c>
      <c r="E2155" s="1" t="str">
        <f t="shared" si="34"/>
        <v>19144</v>
      </c>
      <c r="F2155" s="1">
        <f t="shared" si="35"/>
        <v>998</v>
      </c>
      <c r="G2155" s="1">
        <f t="shared" si="36"/>
        <v>0.72950000000000004</v>
      </c>
      <c r="H2155" s="1" t="str">
        <f t="shared" si="37"/>
        <v>Yes</v>
      </c>
      <c r="I2155" s="1">
        <f>IF(OR(A2155="",COUNTIFS('Staff Review'!$A$8:$A$507,A2155)&lt;&gt;1),0,MATCH(A2155,'Staff Review'!$A$8:$A$507,0))</f>
        <v>326</v>
      </c>
      <c r="J2155" s="1" t="str">
        <f>IF(I2155=0,"No",IF(INDEX('Staff Review'!$C$8:$C$507,I2155)="Yes","Yes","No"))</f>
        <v>No</v>
      </c>
      <c r="K2155" s="1">
        <f ca="1">IF(AI2155="Yes",INDEX('Staff Review'!$D$8:$D$507,I2155),IF(AB2155=0,"",IF(COUNT(INDEX($C$1531:$C$2030,AB2155))=1,INDEX($C$1531:$C$2030,AB2155),"")))</f>
        <v>0.30447532178112002</v>
      </c>
      <c r="L2155" s="1">
        <f>IF(AJ2155="Yes",INDEX('Staff Review'!$F$8:$F$507,I2155),IF(AB2155=0,"",IF(COUNT(INDEX($G$1531:$G$2030,AB2155))=1,INDEX($G$1531:$G$2030,AB2155),"")))</f>
        <v>4</v>
      </c>
      <c r="M2155" s="1" t="str">
        <f t="shared" ca="1" si="38"/>
        <v>Listed</v>
      </c>
      <c r="N2155" s="1" t="str">
        <f t="shared" si="39"/>
        <v>Listed</v>
      </c>
      <c r="O2155" s="1">
        <f t="shared" si="40"/>
        <v>20</v>
      </c>
      <c r="P2155" s="1">
        <f t="shared" ca="1" si="41"/>
        <v>10</v>
      </c>
      <c r="Q2155" s="1">
        <f t="shared" si="42"/>
        <v>5</v>
      </c>
      <c r="R2155" s="1">
        <f t="shared" si="43"/>
        <v>5</v>
      </c>
      <c r="S2155" s="1">
        <f t="shared" ca="1" si="44"/>
        <v>40</v>
      </c>
      <c r="T2155" s="1">
        <f ca="1">IF(OR(COUNT(O2155:R2155)&lt;&gt;4,COUNT('Top 25'!$B$45:$E$45)&lt;&gt;4,MIN('Top 25'!$B$45:$E$45)&lt;0,SUM('Top 25'!$B$45:$E$45)&lt;=0),"",ROUND(85*(O2155/30*'Top 25'!$B$45+P2155/25*'Top 25'!$C$45+Q2155/25*'Top 25'!$D$45+R2155/5*'Top 25'!$E$45)/SUM('Top 25'!$B$45:$E$45),6))</f>
        <v>40</v>
      </c>
      <c r="U2155" s="1" t="str">
        <f t="shared" ca="1" si="45"/>
        <v>Listed</v>
      </c>
      <c r="V2155" s="1" t="str">
        <f ca="1">IF(A2155="","",IF(AK2155&lt;&gt;1,"Duplicate source ID",IF(COUNTIFS('Staff Review'!$A$8:$A$507,A2155)&gt;1,"Duplicate review ID",IF(H2155&lt;&gt;"Yes","Outside scope",IF(J2155="Yes","Already served",IF(NOT(ISNUMBER(T2155)),"Missing data","Candidate"))))))</f>
        <v>Candidate</v>
      </c>
      <c r="W2155" s="1">
        <f t="shared" ca="1" si="46"/>
        <v>147</v>
      </c>
      <c r="X2155" s="1">
        <f t="shared" ca="1" si="47"/>
        <v>133</v>
      </c>
      <c r="Y2155" s="1">
        <f ca="1">IF(AND(H2155="Yes",OR(LEN('School Search'!$B$5)=0,ISNUMBER(SEARCH('School Search'!$B$5,B2155&amp;" "&amp;E2155&amp;" "&amp;A2155))),OR('School Search'!$D$5="All",C2155='School Search'!$D$5),OR('School Search'!$G$5="All eligible",AND('School Search'!$G$5="Not marked served",J2155&lt;&gt;"Yes"),AND('School Search'!$G$5="Missing data",V2155="Missing data"),AND('School Search'!$G$5="Marked served",J2155="Yes"))),1,0)</f>
        <v>1</v>
      </c>
      <c r="Z2155" s="1">
        <f ca="1">IF(Y2155=0,"",COUNTIFS($Y$2051:$Y$2550,1,$AO$2051:$AO$2550,"&lt;"&amp;AO2155)+COUNTIFS($Y$2051:Y2155,1,$AO$2051:AO2155,AO2155))</f>
        <v>147</v>
      </c>
      <c r="AA2155" s="1" t="str">
        <f t="shared" ca="1" si="48"/>
        <v>73% economic need; 0.30 mi fresh access; 4 nearby resources</v>
      </c>
      <c r="AB2155" s="1">
        <f t="shared" si="49"/>
        <v>105</v>
      </c>
      <c r="AC2155" s="1" t="str">
        <f t="shared" si="50"/>
        <v>Shoprite of Fox Street 430</v>
      </c>
      <c r="AD2155" s="1" t="str">
        <f t="shared" si="51"/>
        <v>2800 Fox Street, Philadelphia, PA, 19129</v>
      </c>
      <c r="AE2155" s="1" t="str">
        <f t="shared" si="52"/>
        <v>4700 WISSAHICKON AVE</v>
      </c>
      <c r="AF2155" s="1">
        <f t="shared" si="53"/>
        <v>40.015372460000002</v>
      </c>
      <c r="AG2155" s="1">
        <f t="shared" si="54"/>
        <v>-75.174053470000004</v>
      </c>
      <c r="AH2155" s="1" t="str">
        <f>IF(I2155=0,"Not contacted",IF(INDEX('Staff Review'!$J$8:$J$507,I2155)="","Not contacted",INDEX('Staff Review'!$J$8:$J$507,I2155)))</f>
        <v>Not contacted</v>
      </c>
      <c r="AI2155" s="1" t="str">
        <f ca="1">IF(I2155=0,"No",IF(AND(COUNT(INDEX('Staff Review'!$D$8:$D$507,I2155))=1,INDEX('Staff Review'!$D$8:$D$507,I2155)&gt;=0,COUNT(INDEX('Staff Review'!$E$8:$E$507,I2155))=1,INDEX('Staff Review'!$E$8:$E$507,I2155)&gt;0,INDEX('Staff Review'!$E$8:$E$507,I2155)&lt;='Top 25'!$E$5,'Top 25'!$E$5-INDEX('Staff Review'!$E$8:$E$507,I2155)&lt;='Top 25'!$H$5,LEN(INDEX('Staff Review'!$H$8:$H$507,I2155))&gt;0),"Yes","No"))</f>
        <v>No</v>
      </c>
      <c r="AJ2155" s="1" t="str">
        <f>IF(I2155=0,"No",IF(COUNT(INDEX('Staff Review'!$F$8:$F$507,I2155))&lt;&gt;1,"No",IF(AND(INDEX('Staff Review'!$F$8:$F$507,I2155)&gt;=0,MOD(INDEX('Staff Review'!$F$8:$F$507,I2155),1)=0,COUNT(INDEX('Staff Review'!$G$8:$G$507,I2155))=1,INDEX('Staff Review'!$G$8:$G$507,I2155)&gt;0,INDEX('Staff Review'!$G$8:$G$507,I2155)&lt;='Top 25'!$E$5,'Top 25'!$E$5-INDEX('Staff Review'!$G$8:$G$507,I2155)&lt;='Top 25'!$H$5,LEN(INDEX('Staff Review'!$H$8:$H$507,I2155))&gt;0),"Yes","No")))</f>
        <v>No</v>
      </c>
      <c r="AK2155" s="1">
        <f t="shared" si="55"/>
        <v>1</v>
      </c>
      <c r="AL2155" s="1">
        <f t="shared" ca="1" si="56"/>
        <v>1</v>
      </c>
      <c r="AM2155" s="1">
        <f t="shared" si="57"/>
        <v>3362</v>
      </c>
      <c r="AN2155" s="1">
        <f t="shared" si="58"/>
        <v>105</v>
      </c>
      <c r="AO2155">
        <f t="shared" ca="1" si="59"/>
        <v>147</v>
      </c>
      <c r="AP2155" s="105">
        <f ca="1">IF(AND(AL2155=1,OR('Top 25'!$A$10="All",C2155='Top 25'!$A$10),OR('Top 25'!$D$10="All",D2155='Top 25'!$D$10)),1,0)</f>
        <v>0</v>
      </c>
      <c r="AQ2155" s="105" t="str">
        <f ca="1">IF(AP2155=0,"",CHOOSE(MATCH('Top 25'!$G$10,{"Priority score","Economic need","Enrollment","Fresh miles","Nearby resources"},0),T2155,G2155,F2155,K2155,L2155))</f>
        <v/>
      </c>
      <c r="AR2155" s="105" t="str">
        <f ca="1">IF(AP2155=0,"",1+COUNTIFS($AP$2051:$AP$2550,1,$AQ$2051:$AQ$2550,IF('Top 25'!$J$10="Ascending","&lt;","&gt;")&amp;AQ2155)+COUNTIFS($AP$2051:$AP$2550,1,$AQ$2051:$AQ$2550,AQ2155,$W$2051:$W$2550,"&lt;"&amp;W2155))</f>
        <v/>
      </c>
      <c r="AT2155" s="105">
        <f ca="1">IF(AND(AL2155=1,OR(Master_rankableSchools!$A$10="All",C2155=Master_rankableSchools!$A$10),OR(Master_rankableSchools!$D$10="All",D2155=Master_rankableSchools!$D$10)),1,0)</f>
        <v>1</v>
      </c>
      <c r="AU2155" s="105">
        <f ca="1">IF(AT2155=0,"",CHOOSE(MATCH(Master_rankableSchools!$G$10,{"Priority score","Economic need","Enrollment","Fresh miles","Nearby resources"},0),T2155,G2155,F2155,K2155,L2155))</f>
        <v>40</v>
      </c>
      <c r="AV2155" s="105">
        <f ca="1">IF(AT2155=0,"",1+COUNTIFS($AT$2051:$AT$2550,1,$AU$2051:$AU$2550,IF(Master_rankableSchools!$J$10="Ascending","&lt;","&gt;")&amp;AU2155)+COUNTIFS($AT$2051:$AT$2550,1,$AU$2051:$AU$2550,AU2155,$W$2051:$W$2550,"&lt;"&amp;W2155))</f>
        <v>147</v>
      </c>
    </row>
    <row r="2156" spans="1:48" ht="22" customHeight="1">
      <c r="A2156" s="1" t="str">
        <f t="shared" si="30"/>
        <v>3364</v>
      </c>
      <c r="B2156" s="1" t="str">
        <f t="shared" si="31"/>
        <v>First Philadelphia Preparatory Charter School</v>
      </c>
      <c r="C2156" s="1" t="str">
        <f t="shared" si="32"/>
        <v>Charter</v>
      </c>
      <c r="D2156" s="1" t="str">
        <f t="shared" si="33"/>
        <v>Elementary-Middle-High</v>
      </c>
      <c r="E2156" s="1" t="str">
        <f t="shared" si="34"/>
        <v>19124</v>
      </c>
      <c r="F2156" s="1">
        <f t="shared" si="35"/>
        <v>1880</v>
      </c>
      <c r="G2156" s="1">
        <f t="shared" si="36"/>
        <v>0.79779999999999995</v>
      </c>
      <c r="H2156" s="1" t="str">
        <f t="shared" si="37"/>
        <v>Yes</v>
      </c>
      <c r="I2156" s="1">
        <f>IF(OR(A2156="",COUNTIFS('Staff Review'!$A$8:$A$507,A2156)&lt;&gt;1),0,MATCH(A2156,'Staff Review'!$A$8:$A$507,0))</f>
        <v>75</v>
      </c>
      <c r="J2156" s="1" t="str">
        <f>IF(I2156=0,"No",IF(INDEX('Staff Review'!$C$8:$C$507,I2156)="Yes","Yes","No"))</f>
        <v>No</v>
      </c>
      <c r="K2156" s="1">
        <f ca="1">IF(AI2156="Yes",INDEX('Staff Review'!$D$8:$D$507,I2156),IF(AB2156=0,"",IF(COUNT(INDEX($C$1531:$C$2030,AB2156))=1,INDEX($C$1531:$C$2030,AB2156),"")))</f>
        <v>0.75178174201665049</v>
      </c>
      <c r="L2156" s="1">
        <f>IF(AJ2156="Yes",INDEX('Staff Review'!$F$8:$F$507,I2156),IF(AB2156=0,"",IF(COUNT(INDEX($G$1531:$G$2030,AB2156))=1,INDEX($G$1531:$G$2030,AB2156),"")))</f>
        <v>7</v>
      </c>
      <c r="M2156" s="1" t="str">
        <f t="shared" ca="1" si="38"/>
        <v>Listed</v>
      </c>
      <c r="N2156" s="1" t="str">
        <f t="shared" si="39"/>
        <v>Listed</v>
      </c>
      <c r="O2156" s="1">
        <f t="shared" si="40"/>
        <v>20</v>
      </c>
      <c r="P2156" s="1">
        <f t="shared" ca="1" si="41"/>
        <v>20</v>
      </c>
      <c r="Q2156" s="1">
        <f t="shared" si="42"/>
        <v>0</v>
      </c>
      <c r="R2156" s="1">
        <f t="shared" si="43"/>
        <v>5</v>
      </c>
      <c r="S2156" s="1">
        <f t="shared" ca="1" si="44"/>
        <v>45</v>
      </c>
      <c r="T2156" s="1">
        <f ca="1">IF(OR(COUNT(O2156:R2156)&lt;&gt;4,COUNT('Top 25'!$B$45:$E$45)&lt;&gt;4,MIN('Top 25'!$B$45:$E$45)&lt;0,SUM('Top 25'!$B$45:$E$45)&lt;=0),"",ROUND(85*(O2156/30*'Top 25'!$B$45+P2156/25*'Top 25'!$C$45+Q2156/25*'Top 25'!$D$45+R2156/5*'Top 25'!$E$45)/SUM('Top 25'!$B$45:$E$45),6))</f>
        <v>45</v>
      </c>
      <c r="U2156" s="1" t="str">
        <f t="shared" ca="1" si="45"/>
        <v>Listed</v>
      </c>
      <c r="V2156" s="1" t="str">
        <f ca="1">IF(A2156="","",IF(AK2156&lt;&gt;1,"Duplicate source ID",IF(COUNTIFS('Staff Review'!$A$8:$A$507,A2156)&gt;1,"Duplicate review ID",IF(H2156&lt;&gt;"Yes","Outside scope",IF(J2156="Yes","Already served",IF(NOT(ISNUMBER(T2156)),"Missing data","Candidate"))))))</f>
        <v>Candidate</v>
      </c>
      <c r="W2156" s="1">
        <f t="shared" ca="1" si="46"/>
        <v>76</v>
      </c>
      <c r="X2156" s="1">
        <f t="shared" ca="1" si="47"/>
        <v>74</v>
      </c>
      <c r="Y2156" s="1">
        <f ca="1">IF(AND(H2156="Yes",OR(LEN('School Search'!$B$5)=0,ISNUMBER(SEARCH('School Search'!$B$5,B2156&amp;" "&amp;E2156&amp;" "&amp;A2156))),OR('School Search'!$D$5="All",C2156='School Search'!$D$5),OR('School Search'!$G$5="All eligible",AND('School Search'!$G$5="Not marked served",J2156&lt;&gt;"Yes"),AND('School Search'!$G$5="Missing data",V2156="Missing data"),AND('School Search'!$G$5="Marked served",J2156="Yes"))),1,0)</f>
        <v>1</v>
      </c>
      <c r="Z2156" s="1">
        <f ca="1">IF(Y2156=0,"",COUNTIFS($Y$2051:$Y$2550,1,$AO$2051:$AO$2550,"&lt;"&amp;AO2156)+COUNTIFS($Y$2051:Y2156,1,$AO$2051:AO2156,AO2156))</f>
        <v>76</v>
      </c>
      <c r="AA2156" s="1" t="str">
        <f t="shared" ca="1" si="48"/>
        <v>80% economic need; 0.75 mi fresh access; 7 nearby resources</v>
      </c>
      <c r="AB2156" s="1">
        <f t="shared" si="49"/>
        <v>106</v>
      </c>
      <c r="AC2156" s="1" t="str">
        <f t="shared" si="50"/>
        <v>Walmart 5891</v>
      </c>
      <c r="AD2156" s="1" t="str">
        <f t="shared" si="51"/>
        <v>2200 Wheatsheaf Ln, Philadelphia, PA, 19137</v>
      </c>
      <c r="AE2156" s="1" t="str">
        <f t="shared" si="52"/>
        <v>4300 TACONY ST</v>
      </c>
      <c r="AF2156" s="1">
        <f t="shared" si="53"/>
        <v>40.007199909999997</v>
      </c>
      <c r="AG2156" s="1">
        <f t="shared" si="54"/>
        <v>-75.08240619</v>
      </c>
      <c r="AH2156" s="1" t="str">
        <f>IF(I2156=0,"Not contacted",IF(INDEX('Staff Review'!$J$8:$J$507,I2156)="","Not contacted",INDEX('Staff Review'!$J$8:$J$507,I2156)))</f>
        <v>Not contacted</v>
      </c>
      <c r="AI2156" s="1" t="str">
        <f ca="1">IF(I2156=0,"No",IF(AND(COUNT(INDEX('Staff Review'!$D$8:$D$507,I2156))=1,INDEX('Staff Review'!$D$8:$D$507,I2156)&gt;=0,COUNT(INDEX('Staff Review'!$E$8:$E$507,I2156))=1,INDEX('Staff Review'!$E$8:$E$507,I2156)&gt;0,INDEX('Staff Review'!$E$8:$E$507,I2156)&lt;='Top 25'!$E$5,'Top 25'!$E$5-INDEX('Staff Review'!$E$8:$E$507,I2156)&lt;='Top 25'!$H$5,LEN(INDEX('Staff Review'!$H$8:$H$507,I2156))&gt;0),"Yes","No"))</f>
        <v>No</v>
      </c>
      <c r="AJ2156" s="1" t="str">
        <f>IF(I2156=0,"No",IF(COUNT(INDEX('Staff Review'!$F$8:$F$507,I2156))&lt;&gt;1,"No",IF(AND(INDEX('Staff Review'!$F$8:$F$507,I2156)&gt;=0,MOD(INDEX('Staff Review'!$F$8:$F$507,I2156),1)=0,COUNT(INDEX('Staff Review'!$G$8:$G$507,I2156))=1,INDEX('Staff Review'!$G$8:$G$507,I2156)&gt;0,INDEX('Staff Review'!$G$8:$G$507,I2156)&lt;='Top 25'!$E$5,'Top 25'!$E$5-INDEX('Staff Review'!$G$8:$G$507,I2156)&lt;='Top 25'!$H$5,LEN(INDEX('Staff Review'!$H$8:$H$507,I2156))&gt;0),"Yes","No")))</f>
        <v>No</v>
      </c>
      <c r="AK2156" s="1">
        <f t="shared" si="55"/>
        <v>1</v>
      </c>
      <c r="AL2156" s="1">
        <f t="shared" ca="1" si="56"/>
        <v>1</v>
      </c>
      <c r="AM2156" s="1">
        <f t="shared" si="57"/>
        <v>3364</v>
      </c>
      <c r="AN2156" s="1">
        <f t="shared" si="58"/>
        <v>106</v>
      </c>
      <c r="AO2156">
        <f t="shared" ca="1" si="59"/>
        <v>76</v>
      </c>
      <c r="AP2156" s="105">
        <f ca="1">IF(AND(AL2156=1,OR('Top 25'!$A$10="All",C2156='Top 25'!$A$10),OR('Top 25'!$D$10="All",D2156='Top 25'!$D$10)),1,0)</f>
        <v>0</v>
      </c>
      <c r="AQ2156" s="105" t="str">
        <f ca="1">IF(AP2156=0,"",CHOOSE(MATCH('Top 25'!$G$10,{"Priority score","Economic need","Enrollment","Fresh miles","Nearby resources"},0),T2156,G2156,F2156,K2156,L2156))</f>
        <v/>
      </c>
      <c r="AR2156" s="105" t="str">
        <f ca="1">IF(AP2156=0,"",1+COUNTIFS($AP$2051:$AP$2550,1,$AQ$2051:$AQ$2550,IF('Top 25'!$J$10="Ascending","&lt;","&gt;")&amp;AQ2156)+COUNTIFS($AP$2051:$AP$2550,1,$AQ$2051:$AQ$2550,AQ2156,$W$2051:$W$2550,"&lt;"&amp;W2156))</f>
        <v/>
      </c>
      <c r="AT2156" s="105">
        <f ca="1">IF(AND(AL2156=1,OR(Master_rankableSchools!$A$10="All",C2156=Master_rankableSchools!$A$10),OR(Master_rankableSchools!$D$10="All",D2156=Master_rankableSchools!$D$10)),1,0)</f>
        <v>1</v>
      </c>
      <c r="AU2156" s="105">
        <f ca="1">IF(AT2156=0,"",CHOOSE(MATCH(Master_rankableSchools!$G$10,{"Priority score","Economic need","Enrollment","Fresh miles","Nearby resources"},0),T2156,G2156,F2156,K2156,L2156))</f>
        <v>45</v>
      </c>
      <c r="AV2156" s="105">
        <f ca="1">IF(AT2156=0,"",1+COUNTIFS($AT$2051:$AT$2550,1,$AU$2051:$AU$2550,IF(Master_rankableSchools!$J$10="Ascending","&lt;","&gt;")&amp;AU2156)+COUNTIFS($AT$2051:$AT$2550,1,$AU$2051:$AU$2550,AU2156,$W$2051:$W$2550,"&lt;"&amp;W2156))</f>
        <v>76</v>
      </c>
    </row>
    <row r="2157" spans="1:48" ht="22" customHeight="1">
      <c r="A2157" s="1" t="str">
        <f t="shared" si="30"/>
        <v>3365</v>
      </c>
      <c r="B2157" s="1" t="str">
        <f t="shared" si="31"/>
        <v>Green Woods Charter School</v>
      </c>
      <c r="C2157" s="1" t="str">
        <f t="shared" si="32"/>
        <v>Charter</v>
      </c>
      <c r="D2157" s="1" t="str">
        <f t="shared" si="33"/>
        <v>Elementary-Middle</v>
      </c>
      <c r="E2157" s="1" t="str">
        <f t="shared" si="34"/>
        <v>19128</v>
      </c>
      <c r="F2157" s="1">
        <f t="shared" si="35"/>
        <v>716</v>
      </c>
      <c r="G2157" s="1">
        <f t="shared" si="36"/>
        <v>0.32290000000000002</v>
      </c>
      <c r="H2157" s="1" t="str">
        <f t="shared" si="37"/>
        <v>Yes</v>
      </c>
      <c r="I2157" s="1">
        <f>IF(OR(A2157="",COUNTIFS('Staff Review'!$A$8:$A$507,A2157)&lt;&gt;1),0,MATCH(A2157,'Staff Review'!$A$8:$A$507,0))</f>
        <v>103</v>
      </c>
      <c r="J2157" s="1" t="str">
        <f>IF(I2157=0,"No",IF(INDEX('Staff Review'!$C$8:$C$507,I2157)="Yes","Yes","No"))</f>
        <v>No</v>
      </c>
      <c r="K2157" s="1">
        <f ca="1">IF(AI2157="Yes",INDEX('Staff Review'!$D$8:$D$507,I2157),IF(AB2157=0,"",IF(COUNT(INDEX($C$1531:$C$2030,AB2157))=1,INDEX($C$1531:$C$2030,AB2157),"")))</f>
        <v>0.13618843029652308</v>
      </c>
      <c r="L2157" s="1">
        <f>IF(AJ2157="Yes",INDEX('Staff Review'!$F$8:$F$507,I2157),IF(AB2157=0,"",IF(COUNT(INDEX($G$1531:$G$2030,AB2157))=1,INDEX($G$1531:$G$2030,AB2157),"")))</f>
        <v>0</v>
      </c>
      <c r="M2157" s="1" t="str">
        <f t="shared" ca="1" si="38"/>
        <v>Listed</v>
      </c>
      <c r="N2157" s="1" t="str">
        <f t="shared" si="39"/>
        <v>Listed</v>
      </c>
      <c r="O2157" s="1">
        <f t="shared" si="40"/>
        <v>0</v>
      </c>
      <c r="P2157" s="1">
        <f t="shared" ca="1" si="41"/>
        <v>5</v>
      </c>
      <c r="Q2157" s="1">
        <f t="shared" si="42"/>
        <v>25</v>
      </c>
      <c r="R2157" s="1">
        <f t="shared" si="43"/>
        <v>5</v>
      </c>
      <c r="S2157" s="1">
        <f t="shared" ca="1" si="44"/>
        <v>35</v>
      </c>
      <c r="T2157" s="1">
        <f ca="1">IF(OR(COUNT(O2157:R2157)&lt;&gt;4,COUNT('Top 25'!$B$45:$E$45)&lt;&gt;4,MIN('Top 25'!$B$45:$E$45)&lt;0,SUM('Top 25'!$B$45:$E$45)&lt;=0),"",ROUND(85*(O2157/30*'Top 25'!$B$45+P2157/25*'Top 25'!$C$45+Q2157/25*'Top 25'!$D$45+R2157/5*'Top 25'!$E$45)/SUM('Top 25'!$B$45:$E$45),6))</f>
        <v>35</v>
      </c>
      <c r="U2157" s="1" t="str">
        <f t="shared" ca="1" si="45"/>
        <v>Listed</v>
      </c>
      <c r="V2157" s="1" t="str">
        <f ca="1">IF(A2157="","",IF(AK2157&lt;&gt;1,"Duplicate source ID",IF(COUNTIFS('Staff Review'!$A$8:$A$507,A2157)&gt;1,"Duplicate review ID",IF(H2157&lt;&gt;"Yes","Outside scope",IF(J2157="Yes","Already served",IF(NOT(ISNUMBER(T2157)),"Missing data","Candidate"))))))</f>
        <v>Candidate</v>
      </c>
      <c r="W2157" s="1">
        <f t="shared" ca="1" si="46"/>
        <v>220</v>
      </c>
      <c r="X2157" s="1">
        <f t="shared" ca="1" si="47"/>
        <v>210</v>
      </c>
      <c r="Y2157" s="1">
        <f ca="1">IF(AND(H2157="Yes",OR(LEN('School Search'!$B$5)=0,ISNUMBER(SEARCH('School Search'!$B$5,B2157&amp;" "&amp;E2157&amp;" "&amp;A2157))),OR('School Search'!$D$5="All",C2157='School Search'!$D$5),OR('School Search'!$G$5="All eligible",AND('School Search'!$G$5="Not marked served",J2157&lt;&gt;"Yes"),AND('School Search'!$G$5="Missing data",V2157="Missing data"),AND('School Search'!$G$5="Marked served",J2157="Yes"))),1,0)</f>
        <v>1</v>
      </c>
      <c r="Z2157" s="1">
        <f ca="1">IF(Y2157=0,"",COUNTIFS($Y$2051:$Y$2550,1,$AO$2051:$AO$2550,"&lt;"&amp;AO2157)+COUNTIFS($Y$2051:Y2157,1,$AO$2051:AO2157,AO2157))</f>
        <v>220</v>
      </c>
      <c r="AA2157" s="1" t="str">
        <f t="shared" ca="1" si="48"/>
        <v>32% economic need; 0.14 mi fresh access; 0 nearby resources</v>
      </c>
      <c r="AB2157" s="1">
        <f t="shared" si="49"/>
        <v>107</v>
      </c>
      <c r="AC2157" s="1" t="str">
        <f t="shared" si="50"/>
        <v>Target 3247</v>
      </c>
      <c r="AD2157" s="1" t="str">
        <f t="shared" si="51"/>
        <v>7162 Ridge Ave, Philadelphia, PA, 19128</v>
      </c>
      <c r="AE2157" s="1" t="str">
        <f t="shared" si="52"/>
        <v>468 DOMINO LN</v>
      </c>
      <c r="AF2157" s="1">
        <f t="shared" si="53"/>
        <v>40.044163779999998</v>
      </c>
      <c r="AG2157" s="1">
        <f t="shared" si="54"/>
        <v>-75.233858519999998</v>
      </c>
      <c r="AH2157" s="1" t="str">
        <f>IF(I2157=0,"Not contacted",IF(INDEX('Staff Review'!$J$8:$J$507,I2157)="","Not contacted",INDEX('Staff Review'!$J$8:$J$507,I2157)))</f>
        <v>Not contacted</v>
      </c>
      <c r="AI2157" s="1" t="str">
        <f ca="1">IF(I2157=0,"No",IF(AND(COUNT(INDEX('Staff Review'!$D$8:$D$507,I2157))=1,INDEX('Staff Review'!$D$8:$D$507,I2157)&gt;=0,COUNT(INDEX('Staff Review'!$E$8:$E$507,I2157))=1,INDEX('Staff Review'!$E$8:$E$507,I2157)&gt;0,INDEX('Staff Review'!$E$8:$E$507,I2157)&lt;='Top 25'!$E$5,'Top 25'!$E$5-INDEX('Staff Review'!$E$8:$E$507,I2157)&lt;='Top 25'!$H$5,LEN(INDEX('Staff Review'!$H$8:$H$507,I2157))&gt;0),"Yes","No"))</f>
        <v>No</v>
      </c>
      <c r="AJ2157" s="1" t="str">
        <f>IF(I2157=0,"No",IF(COUNT(INDEX('Staff Review'!$F$8:$F$507,I2157))&lt;&gt;1,"No",IF(AND(INDEX('Staff Review'!$F$8:$F$507,I2157)&gt;=0,MOD(INDEX('Staff Review'!$F$8:$F$507,I2157),1)=0,COUNT(INDEX('Staff Review'!$G$8:$G$507,I2157))=1,INDEX('Staff Review'!$G$8:$G$507,I2157)&gt;0,INDEX('Staff Review'!$G$8:$G$507,I2157)&lt;='Top 25'!$E$5,'Top 25'!$E$5-INDEX('Staff Review'!$G$8:$G$507,I2157)&lt;='Top 25'!$H$5,LEN(INDEX('Staff Review'!$H$8:$H$507,I2157))&gt;0),"Yes","No")))</f>
        <v>No</v>
      </c>
      <c r="AK2157" s="1">
        <f t="shared" si="55"/>
        <v>1</v>
      </c>
      <c r="AL2157" s="1">
        <f t="shared" ca="1" si="56"/>
        <v>1</v>
      </c>
      <c r="AM2157" s="1">
        <f t="shared" si="57"/>
        <v>3365</v>
      </c>
      <c r="AN2157" s="1">
        <f t="shared" si="58"/>
        <v>107</v>
      </c>
      <c r="AO2157">
        <f t="shared" ca="1" si="59"/>
        <v>220</v>
      </c>
      <c r="AP2157" s="105">
        <f ca="1">IF(AND(AL2157=1,OR('Top 25'!$A$10="All",C2157='Top 25'!$A$10),OR('Top 25'!$D$10="All",D2157='Top 25'!$D$10)),1,0)</f>
        <v>0</v>
      </c>
      <c r="AQ2157" s="105" t="str">
        <f ca="1">IF(AP2157=0,"",CHOOSE(MATCH('Top 25'!$G$10,{"Priority score","Economic need","Enrollment","Fresh miles","Nearby resources"},0),T2157,G2157,F2157,K2157,L2157))</f>
        <v/>
      </c>
      <c r="AR2157" s="105" t="str">
        <f ca="1">IF(AP2157=0,"",1+COUNTIFS($AP$2051:$AP$2550,1,$AQ$2051:$AQ$2550,IF('Top 25'!$J$10="Ascending","&lt;","&gt;")&amp;AQ2157)+COUNTIFS($AP$2051:$AP$2550,1,$AQ$2051:$AQ$2550,AQ2157,$W$2051:$W$2550,"&lt;"&amp;W2157))</f>
        <v/>
      </c>
      <c r="AT2157" s="105">
        <f ca="1">IF(AND(AL2157=1,OR(Master_rankableSchools!$A$10="All",C2157=Master_rankableSchools!$A$10),OR(Master_rankableSchools!$D$10="All",D2157=Master_rankableSchools!$D$10)),1,0)</f>
        <v>1</v>
      </c>
      <c r="AU2157" s="105">
        <f ca="1">IF(AT2157=0,"",CHOOSE(MATCH(Master_rankableSchools!$G$10,{"Priority score","Economic need","Enrollment","Fresh miles","Nearby resources"},0),T2157,G2157,F2157,K2157,L2157))</f>
        <v>35</v>
      </c>
      <c r="AV2157" s="105">
        <f ca="1">IF(AT2157=0,"",1+COUNTIFS($AT$2051:$AT$2550,1,$AU$2051:$AU$2550,IF(Master_rankableSchools!$J$10="Ascending","&lt;","&gt;")&amp;AU2157)+COUNTIFS($AT$2051:$AT$2550,1,$AU$2051:$AU$2550,AU2157,$W$2051:$W$2550,"&lt;"&amp;W2157))</f>
        <v>220</v>
      </c>
    </row>
    <row r="2158" spans="1:48" ht="22" customHeight="1">
      <c r="A2158" s="1" t="str">
        <f t="shared" si="30"/>
        <v>3366</v>
      </c>
      <c r="B2158" s="1" t="str">
        <f t="shared" si="31"/>
        <v>Maritime Academy Charter School</v>
      </c>
      <c r="C2158" s="1" t="str">
        <f t="shared" si="32"/>
        <v>Charter</v>
      </c>
      <c r="D2158" s="1" t="str">
        <f t="shared" si="33"/>
        <v>Elementary-Middle-High</v>
      </c>
      <c r="E2158" s="1" t="str">
        <f t="shared" si="34"/>
        <v>19137</v>
      </c>
      <c r="F2158" s="1">
        <f t="shared" si="35"/>
        <v>833</v>
      </c>
      <c r="G2158" s="1">
        <f t="shared" si="36"/>
        <v>0.88280000000000003</v>
      </c>
      <c r="H2158" s="1" t="str">
        <f t="shared" si="37"/>
        <v>Yes</v>
      </c>
      <c r="I2158" s="1">
        <f>IF(OR(A2158="",COUNTIFS('Staff Review'!$A$8:$A$507,A2158)&lt;&gt;1),0,MATCH(A2158,'Staff Review'!$A$8:$A$507,0))</f>
        <v>175</v>
      </c>
      <c r="J2158" s="1" t="str">
        <f>IF(I2158=0,"No",IF(INDEX('Staff Review'!$C$8:$C$507,I2158)="Yes","Yes","No"))</f>
        <v>No</v>
      </c>
      <c r="K2158" s="1">
        <f ca="1">IF(AI2158="Yes",INDEX('Staff Review'!$D$8:$D$507,I2158),IF(AB2158=0,"",IF(COUNT(INDEX($C$1531:$C$2030,AB2158))=1,INDEX($C$1531:$C$2030,AB2158),"")))</f>
        <v>0.27346367730613097</v>
      </c>
      <c r="L2158" s="1">
        <f>IF(AJ2158="Yes",INDEX('Staff Review'!$F$8:$F$507,I2158),IF(AB2158=0,"",IF(COUNT(INDEX($G$1531:$G$2030,AB2158))=1,INDEX($G$1531:$G$2030,AB2158),"")))</f>
        <v>6</v>
      </c>
      <c r="M2158" s="1" t="str">
        <f t="shared" ca="1" si="38"/>
        <v>Listed</v>
      </c>
      <c r="N2158" s="1" t="str">
        <f t="shared" si="39"/>
        <v>Listed</v>
      </c>
      <c r="O2158" s="1">
        <f t="shared" si="40"/>
        <v>25</v>
      </c>
      <c r="P2158" s="1">
        <f t="shared" ca="1" si="41"/>
        <v>10</v>
      </c>
      <c r="Q2158" s="1">
        <f t="shared" si="42"/>
        <v>0</v>
      </c>
      <c r="R2158" s="1">
        <f t="shared" si="43"/>
        <v>5</v>
      </c>
      <c r="S2158" s="1">
        <f t="shared" ca="1" si="44"/>
        <v>40</v>
      </c>
      <c r="T2158" s="1">
        <f ca="1">IF(OR(COUNT(O2158:R2158)&lt;&gt;4,COUNT('Top 25'!$B$45:$E$45)&lt;&gt;4,MIN('Top 25'!$B$45:$E$45)&lt;0,SUM('Top 25'!$B$45:$E$45)&lt;=0),"",ROUND(85*(O2158/30*'Top 25'!$B$45+P2158/25*'Top 25'!$C$45+Q2158/25*'Top 25'!$D$45+R2158/5*'Top 25'!$E$45)/SUM('Top 25'!$B$45:$E$45),6))</f>
        <v>40</v>
      </c>
      <c r="U2158" s="1" t="str">
        <f t="shared" ca="1" si="45"/>
        <v>Listed</v>
      </c>
      <c r="V2158" s="1" t="str">
        <f ca="1">IF(A2158="","",IF(AK2158&lt;&gt;1,"Duplicate source ID",IF(COUNTIFS('Staff Review'!$A$8:$A$507,A2158)&gt;1,"Duplicate review ID",IF(H2158&lt;&gt;"Yes","Outside scope",IF(J2158="Yes","Already served",IF(NOT(ISNUMBER(T2158)),"Missing data","Candidate"))))))</f>
        <v>Candidate</v>
      </c>
      <c r="W2158" s="1">
        <f t="shared" ca="1" si="46"/>
        <v>135</v>
      </c>
      <c r="X2158" s="1">
        <f t="shared" ca="1" si="47"/>
        <v>133</v>
      </c>
      <c r="Y2158" s="1">
        <f ca="1">IF(AND(H2158="Yes",OR(LEN('School Search'!$B$5)=0,ISNUMBER(SEARCH('School Search'!$B$5,B2158&amp;" "&amp;E2158&amp;" "&amp;A2158))),OR('School Search'!$D$5="All",C2158='School Search'!$D$5),OR('School Search'!$G$5="All eligible",AND('School Search'!$G$5="Not marked served",J2158&lt;&gt;"Yes"),AND('School Search'!$G$5="Missing data",V2158="Missing data"),AND('School Search'!$G$5="Marked served",J2158="Yes"))),1,0)</f>
        <v>1</v>
      </c>
      <c r="Z2158" s="1">
        <f ca="1">IF(Y2158=0,"",COUNTIFS($Y$2051:$Y$2550,1,$AO$2051:$AO$2550,"&lt;"&amp;AO2158)+COUNTIFS($Y$2051:Y2158,1,$AO$2051:AO2158,AO2158))</f>
        <v>135</v>
      </c>
      <c r="AA2158" s="1" t="str">
        <f t="shared" ca="1" si="48"/>
        <v>88% economic need; 0.27 mi fresh access; 6 nearby resources</v>
      </c>
      <c r="AB2158" s="1">
        <f t="shared" si="49"/>
        <v>108</v>
      </c>
      <c r="AC2158" s="1" t="str">
        <f t="shared" si="50"/>
        <v>ShopRite of Bridge and Harbison 495</v>
      </c>
      <c r="AD2158" s="1" t="str">
        <f t="shared" si="51"/>
        <v>5597 Tulip St, Philadelphia, PA, 19124</v>
      </c>
      <c r="AE2158" s="1" t="str">
        <f t="shared" si="52"/>
        <v>2275 BRIDGE ST</v>
      </c>
      <c r="AF2158" s="1">
        <f t="shared" si="53"/>
        <v>40.007862000000003</v>
      </c>
      <c r="AG2158" s="1">
        <f t="shared" si="54"/>
        <v>-75.068318000000005</v>
      </c>
      <c r="AH2158" s="1" t="str">
        <f>IF(I2158=0,"Not contacted",IF(INDEX('Staff Review'!$J$8:$J$507,I2158)="","Not contacted",INDEX('Staff Review'!$J$8:$J$507,I2158)))</f>
        <v>Not contacted</v>
      </c>
      <c r="AI2158" s="1" t="str">
        <f ca="1">IF(I2158=0,"No",IF(AND(COUNT(INDEX('Staff Review'!$D$8:$D$507,I2158))=1,INDEX('Staff Review'!$D$8:$D$507,I2158)&gt;=0,COUNT(INDEX('Staff Review'!$E$8:$E$507,I2158))=1,INDEX('Staff Review'!$E$8:$E$507,I2158)&gt;0,INDEX('Staff Review'!$E$8:$E$507,I2158)&lt;='Top 25'!$E$5,'Top 25'!$E$5-INDEX('Staff Review'!$E$8:$E$507,I2158)&lt;='Top 25'!$H$5,LEN(INDEX('Staff Review'!$H$8:$H$507,I2158))&gt;0),"Yes","No"))</f>
        <v>No</v>
      </c>
      <c r="AJ2158" s="1" t="str">
        <f>IF(I2158=0,"No",IF(COUNT(INDEX('Staff Review'!$F$8:$F$507,I2158))&lt;&gt;1,"No",IF(AND(INDEX('Staff Review'!$F$8:$F$507,I2158)&gt;=0,MOD(INDEX('Staff Review'!$F$8:$F$507,I2158),1)=0,COUNT(INDEX('Staff Review'!$G$8:$G$507,I2158))=1,INDEX('Staff Review'!$G$8:$G$507,I2158)&gt;0,INDEX('Staff Review'!$G$8:$G$507,I2158)&lt;='Top 25'!$E$5,'Top 25'!$E$5-INDEX('Staff Review'!$G$8:$G$507,I2158)&lt;='Top 25'!$H$5,LEN(INDEX('Staff Review'!$H$8:$H$507,I2158))&gt;0),"Yes","No")))</f>
        <v>No</v>
      </c>
      <c r="AK2158" s="1">
        <f t="shared" si="55"/>
        <v>1</v>
      </c>
      <c r="AL2158" s="1">
        <f t="shared" ca="1" si="56"/>
        <v>1</v>
      </c>
      <c r="AM2158" s="1">
        <f t="shared" si="57"/>
        <v>3366</v>
      </c>
      <c r="AN2158" s="1">
        <f t="shared" si="58"/>
        <v>108</v>
      </c>
      <c r="AO2158">
        <f t="shared" ca="1" si="59"/>
        <v>135</v>
      </c>
      <c r="AP2158" s="105">
        <f ca="1">IF(AND(AL2158=1,OR('Top 25'!$A$10="All",C2158='Top 25'!$A$10),OR('Top 25'!$D$10="All",D2158='Top 25'!$D$10)),1,0)</f>
        <v>0</v>
      </c>
      <c r="AQ2158" s="105" t="str">
        <f ca="1">IF(AP2158=0,"",CHOOSE(MATCH('Top 25'!$G$10,{"Priority score","Economic need","Enrollment","Fresh miles","Nearby resources"},0),T2158,G2158,F2158,K2158,L2158))</f>
        <v/>
      </c>
      <c r="AR2158" s="105" t="str">
        <f ca="1">IF(AP2158=0,"",1+COUNTIFS($AP$2051:$AP$2550,1,$AQ$2051:$AQ$2550,IF('Top 25'!$J$10="Ascending","&lt;","&gt;")&amp;AQ2158)+COUNTIFS($AP$2051:$AP$2550,1,$AQ$2051:$AQ$2550,AQ2158,$W$2051:$W$2550,"&lt;"&amp;W2158))</f>
        <v/>
      </c>
      <c r="AT2158" s="105">
        <f ca="1">IF(AND(AL2158=1,OR(Master_rankableSchools!$A$10="All",C2158=Master_rankableSchools!$A$10),OR(Master_rankableSchools!$D$10="All",D2158=Master_rankableSchools!$D$10)),1,0)</f>
        <v>1</v>
      </c>
      <c r="AU2158" s="105">
        <f ca="1">IF(AT2158=0,"",CHOOSE(MATCH(Master_rankableSchools!$G$10,{"Priority score","Economic need","Enrollment","Fresh miles","Nearby resources"},0),T2158,G2158,F2158,K2158,L2158))</f>
        <v>40</v>
      </c>
      <c r="AV2158" s="105">
        <f ca="1">IF(AT2158=0,"",1+COUNTIFS($AT$2051:$AT$2550,1,$AU$2051:$AU$2550,IF(Master_rankableSchools!$J$10="Ascending","&lt;","&gt;")&amp;AU2158)+COUNTIFS($AT$2051:$AT$2550,1,$AU$2051:$AU$2550,AU2158,$W$2051:$W$2550,"&lt;"&amp;W2158))</f>
        <v>135</v>
      </c>
    </row>
    <row r="2159" spans="1:48" ht="22" customHeight="1">
      <c r="A2159" s="1" t="str">
        <f t="shared" si="30"/>
        <v>3368</v>
      </c>
      <c r="B2159" s="1" t="str">
        <f t="shared" si="31"/>
        <v>Belmont Elementary Charter School</v>
      </c>
      <c r="C2159" s="1" t="str">
        <f t="shared" si="32"/>
        <v>Charter</v>
      </c>
      <c r="D2159" s="1" t="str">
        <f t="shared" si="33"/>
        <v>Elementary-Middle-High</v>
      </c>
      <c r="E2159" s="1" t="str">
        <f t="shared" si="34"/>
        <v>19104</v>
      </c>
      <c r="F2159" s="1">
        <f t="shared" si="35"/>
        <v>928</v>
      </c>
      <c r="G2159" s="1">
        <f t="shared" si="36"/>
        <v>0.78810000000000002</v>
      </c>
      <c r="H2159" s="1" t="str">
        <f t="shared" si="37"/>
        <v>Yes</v>
      </c>
      <c r="I2159" s="1">
        <f>IF(OR(A2159="",COUNTIFS('Staff Review'!$A$8:$A$507,A2159)&lt;&gt;1),0,MATCH(A2159,'Staff Review'!$A$8:$A$507,0))</f>
        <v>28</v>
      </c>
      <c r="J2159" s="1" t="str">
        <f>IF(I2159=0,"No",IF(INDEX('Staff Review'!$C$8:$C$507,I2159)="Yes","Yes","No"))</f>
        <v>No</v>
      </c>
      <c r="K2159" s="1">
        <f ca="1">IF(AI2159="Yes",INDEX('Staff Review'!$D$8:$D$507,I2159),IF(AB2159=0,"",IF(COUNT(INDEX($C$1531:$C$2030,AB2159))=1,INDEX($C$1531:$C$2030,AB2159),"")))</f>
        <v>0.68388717926855458</v>
      </c>
      <c r="L2159" s="1">
        <f>IF(AJ2159="Yes",INDEX('Staff Review'!$F$8:$F$507,I2159),IF(AB2159=0,"",IF(COUNT(INDEX($G$1531:$G$2030,AB2159))=1,INDEX($G$1531:$G$2030,AB2159),"")))</f>
        <v>12</v>
      </c>
      <c r="M2159" s="1" t="str">
        <f t="shared" ca="1" si="38"/>
        <v>Listed</v>
      </c>
      <c r="N2159" s="1" t="str">
        <f t="shared" si="39"/>
        <v>Listed</v>
      </c>
      <c r="O2159" s="1">
        <f t="shared" si="40"/>
        <v>20</v>
      </c>
      <c r="P2159" s="1">
        <f t="shared" ca="1" si="41"/>
        <v>15</v>
      </c>
      <c r="Q2159" s="1">
        <f t="shared" si="42"/>
        <v>0</v>
      </c>
      <c r="R2159" s="1">
        <f t="shared" si="43"/>
        <v>5</v>
      </c>
      <c r="S2159" s="1">
        <f t="shared" ca="1" si="44"/>
        <v>40</v>
      </c>
      <c r="T2159" s="1">
        <f ca="1">IF(OR(COUNT(O2159:R2159)&lt;&gt;4,COUNT('Top 25'!$B$45:$E$45)&lt;&gt;4,MIN('Top 25'!$B$45:$E$45)&lt;0,SUM('Top 25'!$B$45:$E$45)&lt;=0),"",ROUND(85*(O2159/30*'Top 25'!$B$45+P2159/25*'Top 25'!$C$45+Q2159/25*'Top 25'!$D$45+R2159/5*'Top 25'!$E$45)/SUM('Top 25'!$B$45:$E$45),6))</f>
        <v>40</v>
      </c>
      <c r="U2159" s="1" t="str">
        <f t="shared" ca="1" si="45"/>
        <v>Listed</v>
      </c>
      <c r="V2159" s="1" t="str">
        <f ca="1">IF(A2159="","",IF(AK2159&lt;&gt;1,"Duplicate source ID",IF(COUNTIFS('Staff Review'!$A$8:$A$507,A2159)&gt;1,"Duplicate review ID",IF(H2159&lt;&gt;"Yes","Outside scope",IF(J2159="Yes","Already served",IF(NOT(ISNUMBER(T2159)),"Missing data","Candidate"))))))</f>
        <v>Candidate</v>
      </c>
      <c r="W2159" s="1">
        <f t="shared" ca="1" si="46"/>
        <v>143</v>
      </c>
      <c r="X2159" s="1">
        <f t="shared" ca="1" si="47"/>
        <v>133</v>
      </c>
      <c r="Y2159" s="1">
        <f ca="1">IF(AND(H2159="Yes",OR(LEN('School Search'!$B$5)=0,ISNUMBER(SEARCH('School Search'!$B$5,B2159&amp;" "&amp;E2159&amp;" "&amp;A2159))),OR('School Search'!$D$5="All",C2159='School Search'!$D$5),OR('School Search'!$G$5="All eligible",AND('School Search'!$G$5="Not marked served",J2159&lt;&gt;"Yes"),AND('School Search'!$G$5="Missing data",V2159="Missing data"),AND('School Search'!$G$5="Marked served",J2159="Yes"))),1,0)</f>
        <v>1</v>
      </c>
      <c r="Z2159" s="1">
        <f ca="1">IF(Y2159=0,"",COUNTIFS($Y$2051:$Y$2550,1,$AO$2051:$AO$2550,"&lt;"&amp;AO2159)+COUNTIFS($Y$2051:Y2159,1,$AO$2051:AO2159,AO2159))</f>
        <v>143</v>
      </c>
      <c r="AA2159" s="1" t="str">
        <f t="shared" ca="1" si="48"/>
        <v>79% economic need; 0.68 mi fresh access; 12 nearby resources</v>
      </c>
      <c r="AB2159" s="1">
        <f t="shared" si="49"/>
        <v>109</v>
      </c>
      <c r="AC2159" s="1" t="str">
        <f t="shared" si="50"/>
        <v>ALDI 54</v>
      </c>
      <c r="AD2159" s="1" t="str">
        <f t="shared" si="51"/>
        <v>4421 Market St, Philadelphia, PA, 19104</v>
      </c>
      <c r="AE2159" s="1" t="str">
        <f t="shared" si="52"/>
        <v>4030 BROWN ST</v>
      </c>
      <c r="AF2159" s="1">
        <f t="shared" si="53"/>
        <v>39.966964840000003</v>
      </c>
      <c r="AG2159" s="1">
        <f t="shared" si="54"/>
        <v>-75.204870929999998</v>
      </c>
      <c r="AH2159" s="1" t="str">
        <f>IF(I2159=0,"Not contacted",IF(INDEX('Staff Review'!$J$8:$J$507,I2159)="","Not contacted",INDEX('Staff Review'!$J$8:$J$507,I2159)))</f>
        <v>Not contacted</v>
      </c>
      <c r="AI2159" s="1" t="str">
        <f ca="1">IF(I2159=0,"No",IF(AND(COUNT(INDEX('Staff Review'!$D$8:$D$507,I2159))=1,INDEX('Staff Review'!$D$8:$D$507,I2159)&gt;=0,COUNT(INDEX('Staff Review'!$E$8:$E$507,I2159))=1,INDEX('Staff Review'!$E$8:$E$507,I2159)&gt;0,INDEX('Staff Review'!$E$8:$E$507,I2159)&lt;='Top 25'!$E$5,'Top 25'!$E$5-INDEX('Staff Review'!$E$8:$E$507,I2159)&lt;='Top 25'!$H$5,LEN(INDEX('Staff Review'!$H$8:$H$507,I2159))&gt;0),"Yes","No"))</f>
        <v>No</v>
      </c>
      <c r="AJ2159" s="1" t="str">
        <f>IF(I2159=0,"No",IF(COUNT(INDEX('Staff Review'!$F$8:$F$507,I2159))&lt;&gt;1,"No",IF(AND(INDEX('Staff Review'!$F$8:$F$507,I2159)&gt;=0,MOD(INDEX('Staff Review'!$F$8:$F$507,I2159),1)=0,COUNT(INDEX('Staff Review'!$G$8:$G$507,I2159))=1,INDEX('Staff Review'!$G$8:$G$507,I2159)&gt;0,INDEX('Staff Review'!$G$8:$G$507,I2159)&lt;='Top 25'!$E$5,'Top 25'!$E$5-INDEX('Staff Review'!$G$8:$G$507,I2159)&lt;='Top 25'!$H$5,LEN(INDEX('Staff Review'!$H$8:$H$507,I2159))&gt;0),"Yes","No")))</f>
        <v>No</v>
      </c>
      <c r="AK2159" s="1">
        <f t="shared" si="55"/>
        <v>1</v>
      </c>
      <c r="AL2159" s="1">
        <f t="shared" ca="1" si="56"/>
        <v>1</v>
      </c>
      <c r="AM2159" s="1">
        <f t="shared" si="57"/>
        <v>3368</v>
      </c>
      <c r="AN2159" s="1">
        <f t="shared" si="58"/>
        <v>109</v>
      </c>
      <c r="AO2159">
        <f t="shared" ca="1" si="59"/>
        <v>143</v>
      </c>
      <c r="AP2159" s="105">
        <f ca="1">IF(AND(AL2159=1,OR('Top 25'!$A$10="All",C2159='Top 25'!$A$10),OR('Top 25'!$D$10="All",D2159='Top 25'!$D$10)),1,0)</f>
        <v>0</v>
      </c>
      <c r="AQ2159" s="105" t="str">
        <f ca="1">IF(AP2159=0,"",CHOOSE(MATCH('Top 25'!$G$10,{"Priority score","Economic need","Enrollment","Fresh miles","Nearby resources"},0),T2159,G2159,F2159,K2159,L2159))</f>
        <v/>
      </c>
      <c r="AR2159" s="105" t="str">
        <f ca="1">IF(AP2159=0,"",1+COUNTIFS($AP$2051:$AP$2550,1,$AQ$2051:$AQ$2550,IF('Top 25'!$J$10="Ascending","&lt;","&gt;")&amp;AQ2159)+COUNTIFS($AP$2051:$AP$2550,1,$AQ$2051:$AQ$2550,AQ2159,$W$2051:$W$2550,"&lt;"&amp;W2159))</f>
        <v/>
      </c>
      <c r="AT2159" s="105">
        <f ca="1">IF(AND(AL2159=1,OR(Master_rankableSchools!$A$10="All",C2159=Master_rankableSchools!$A$10),OR(Master_rankableSchools!$D$10="All",D2159=Master_rankableSchools!$D$10)),1,0)</f>
        <v>1</v>
      </c>
      <c r="AU2159" s="105">
        <f ca="1">IF(AT2159=0,"",CHOOSE(MATCH(Master_rankableSchools!$G$10,{"Priority score","Economic need","Enrollment","Fresh miles","Nearby resources"},0),T2159,G2159,F2159,K2159,L2159))</f>
        <v>40</v>
      </c>
      <c r="AV2159" s="105">
        <f ca="1">IF(AT2159=0,"",1+COUNTIFS($AT$2051:$AT$2550,1,$AU$2051:$AU$2550,IF(Master_rankableSchools!$J$10="Ascending","&lt;","&gt;")&amp;AU2159)+COUNTIFS($AT$2051:$AT$2550,1,$AU$2051:$AU$2550,AU2159,$W$2051:$W$2550,"&lt;"&amp;W2159))</f>
        <v>143</v>
      </c>
    </row>
    <row r="2160" spans="1:48" ht="22" customHeight="1">
      <c r="A2160" s="1" t="str">
        <f t="shared" si="30"/>
        <v>3370</v>
      </c>
      <c r="B2160" s="1" t="str">
        <f t="shared" si="31"/>
        <v>KIPP Philadelphia Charter School</v>
      </c>
      <c r="C2160" s="1" t="str">
        <f t="shared" si="32"/>
        <v>Charter</v>
      </c>
      <c r="D2160" s="1" t="str">
        <f t="shared" si="33"/>
        <v>Elementary-Middle</v>
      </c>
      <c r="E2160" s="1" t="str">
        <f t="shared" si="34"/>
        <v>19132</v>
      </c>
      <c r="F2160" s="1">
        <f t="shared" si="35"/>
        <v>845</v>
      </c>
      <c r="G2160" s="1">
        <f t="shared" si="36"/>
        <v>0.6643</v>
      </c>
      <c r="H2160" s="1" t="str">
        <f t="shared" si="37"/>
        <v>Yes</v>
      </c>
      <c r="I2160" s="1">
        <f>IF(OR(A2160="",COUNTIFS('Staff Review'!$A$8:$A$507,A2160)&lt;&gt;1),0,MATCH(A2160,'Staff Review'!$A$8:$A$507,0))</f>
        <v>164</v>
      </c>
      <c r="J2160" s="1" t="str">
        <f>IF(I2160=0,"No",IF(INDEX('Staff Review'!$C$8:$C$507,I2160)="Yes","Yes","No"))</f>
        <v>No</v>
      </c>
      <c r="K2160" s="1">
        <f ca="1">IF(AI2160="Yes",INDEX('Staff Review'!$D$8:$D$507,I2160),IF(AB2160=0,"",IF(COUNT(INDEX($C$1531:$C$2030,AB2160))=1,INDEX($C$1531:$C$2030,AB2160),"")))</f>
        <v>0.4278518155031602</v>
      </c>
      <c r="L2160" s="1">
        <f>IF(AJ2160="Yes",INDEX('Staff Review'!$F$8:$F$507,I2160),IF(AB2160=0,"",IF(COUNT(INDEX($G$1531:$G$2030,AB2160))=1,INDEX($G$1531:$G$2030,AB2160),"")))</f>
        <v>8</v>
      </c>
      <c r="M2160" s="1" t="str">
        <f t="shared" ca="1" si="38"/>
        <v>Listed</v>
      </c>
      <c r="N2160" s="1" t="str">
        <f t="shared" si="39"/>
        <v>Listed</v>
      </c>
      <c r="O2160" s="1">
        <f t="shared" si="40"/>
        <v>15</v>
      </c>
      <c r="P2160" s="1">
        <f t="shared" ca="1" si="41"/>
        <v>10</v>
      </c>
      <c r="Q2160" s="1">
        <f t="shared" si="42"/>
        <v>0</v>
      </c>
      <c r="R2160" s="1">
        <f t="shared" si="43"/>
        <v>5</v>
      </c>
      <c r="S2160" s="1">
        <f t="shared" ca="1" si="44"/>
        <v>30</v>
      </c>
      <c r="T2160" s="1">
        <f ca="1">IF(OR(COUNT(O2160:R2160)&lt;&gt;4,COUNT('Top 25'!$B$45:$E$45)&lt;&gt;4,MIN('Top 25'!$B$45:$E$45)&lt;0,SUM('Top 25'!$B$45:$E$45)&lt;=0),"",ROUND(85*(O2160/30*'Top 25'!$B$45+P2160/25*'Top 25'!$C$45+Q2160/25*'Top 25'!$D$45+R2160/5*'Top 25'!$E$45)/SUM('Top 25'!$B$45:$E$45),6))</f>
        <v>30</v>
      </c>
      <c r="U2160" s="1" t="str">
        <f t="shared" ca="1" si="45"/>
        <v>Listed</v>
      </c>
      <c r="V2160" s="1" t="str">
        <f ca="1">IF(A2160="","",IF(AK2160&lt;&gt;1,"Duplicate source ID",IF(COUNTIFS('Staff Review'!$A$8:$A$507,A2160)&gt;1,"Duplicate review ID",IF(H2160&lt;&gt;"Yes","Outside scope",IF(J2160="Yes","Already served",IF(NOT(ISNUMBER(T2160)),"Missing data","Candidate"))))))</f>
        <v>Candidate</v>
      </c>
      <c r="W2160" s="1">
        <f t="shared" ca="1" si="46"/>
        <v>257</v>
      </c>
      <c r="X2160" s="1">
        <f t="shared" ca="1" si="47"/>
        <v>253</v>
      </c>
      <c r="Y2160" s="1">
        <f ca="1">IF(AND(H2160="Yes",OR(LEN('School Search'!$B$5)=0,ISNUMBER(SEARCH('School Search'!$B$5,B2160&amp;" "&amp;E2160&amp;" "&amp;A2160))),OR('School Search'!$D$5="All",C2160='School Search'!$D$5),OR('School Search'!$G$5="All eligible",AND('School Search'!$G$5="Not marked served",J2160&lt;&gt;"Yes"),AND('School Search'!$G$5="Missing data",V2160="Missing data"),AND('School Search'!$G$5="Marked served",J2160="Yes"))),1,0)</f>
        <v>1</v>
      </c>
      <c r="Z2160" s="1">
        <f ca="1">IF(Y2160=0,"",COUNTIFS($Y$2051:$Y$2550,1,$AO$2051:$AO$2550,"&lt;"&amp;AO2160)+COUNTIFS($Y$2051:Y2160,1,$AO$2051:AO2160,AO2160))</f>
        <v>257</v>
      </c>
      <c r="AA2160" s="1" t="str">
        <f t="shared" ca="1" si="48"/>
        <v>66% economic need; 0.43 mi fresh access; 8 nearby resources</v>
      </c>
      <c r="AB2160" s="1">
        <f t="shared" si="49"/>
        <v>110</v>
      </c>
      <c r="AC2160" s="1" t="str">
        <f t="shared" si="50"/>
        <v>Shop Mark Supermarket</v>
      </c>
      <c r="AD2160" s="1" t="str">
        <f t="shared" si="51"/>
        <v>2522 W Lehigh Ave, Philadelphia, PA, 19132</v>
      </c>
      <c r="AE2160" s="1" t="str">
        <f t="shared" si="52"/>
        <v>2600 W CLEARFIELD ST</v>
      </c>
      <c r="AF2160" s="1">
        <f t="shared" si="53"/>
        <v>40.002304799999997</v>
      </c>
      <c r="AG2160" s="1">
        <f t="shared" si="54"/>
        <v>-75.173609499999998</v>
      </c>
      <c r="AH2160" s="1" t="str">
        <f>IF(I2160=0,"Not contacted",IF(INDEX('Staff Review'!$J$8:$J$507,I2160)="","Not contacted",INDEX('Staff Review'!$J$8:$J$507,I2160)))</f>
        <v>Not contacted</v>
      </c>
      <c r="AI2160" s="1" t="str">
        <f ca="1">IF(I2160=0,"No",IF(AND(COUNT(INDEX('Staff Review'!$D$8:$D$507,I2160))=1,INDEX('Staff Review'!$D$8:$D$507,I2160)&gt;=0,COUNT(INDEX('Staff Review'!$E$8:$E$507,I2160))=1,INDEX('Staff Review'!$E$8:$E$507,I2160)&gt;0,INDEX('Staff Review'!$E$8:$E$507,I2160)&lt;='Top 25'!$E$5,'Top 25'!$E$5-INDEX('Staff Review'!$E$8:$E$507,I2160)&lt;='Top 25'!$H$5,LEN(INDEX('Staff Review'!$H$8:$H$507,I2160))&gt;0),"Yes","No"))</f>
        <v>No</v>
      </c>
      <c r="AJ2160" s="1" t="str">
        <f>IF(I2160=0,"No",IF(COUNT(INDEX('Staff Review'!$F$8:$F$507,I2160))&lt;&gt;1,"No",IF(AND(INDEX('Staff Review'!$F$8:$F$507,I2160)&gt;=0,MOD(INDEX('Staff Review'!$F$8:$F$507,I2160),1)=0,COUNT(INDEX('Staff Review'!$G$8:$G$507,I2160))=1,INDEX('Staff Review'!$G$8:$G$507,I2160)&gt;0,INDEX('Staff Review'!$G$8:$G$507,I2160)&lt;='Top 25'!$E$5,'Top 25'!$E$5-INDEX('Staff Review'!$G$8:$G$507,I2160)&lt;='Top 25'!$H$5,LEN(INDEX('Staff Review'!$H$8:$H$507,I2160))&gt;0),"Yes","No")))</f>
        <v>No</v>
      </c>
      <c r="AK2160" s="1">
        <f t="shared" si="55"/>
        <v>1</v>
      </c>
      <c r="AL2160" s="1">
        <f t="shared" ca="1" si="56"/>
        <v>1</v>
      </c>
      <c r="AM2160" s="1">
        <f t="shared" si="57"/>
        <v>3370</v>
      </c>
      <c r="AN2160" s="1">
        <f t="shared" si="58"/>
        <v>110</v>
      </c>
      <c r="AO2160">
        <f t="shared" ca="1" si="59"/>
        <v>257</v>
      </c>
      <c r="AP2160" s="105">
        <f ca="1">IF(AND(AL2160=1,OR('Top 25'!$A$10="All",C2160='Top 25'!$A$10),OR('Top 25'!$D$10="All",D2160='Top 25'!$D$10)),1,0)</f>
        <v>0</v>
      </c>
      <c r="AQ2160" s="105" t="str">
        <f ca="1">IF(AP2160=0,"",CHOOSE(MATCH('Top 25'!$G$10,{"Priority score","Economic need","Enrollment","Fresh miles","Nearby resources"},0),T2160,G2160,F2160,K2160,L2160))</f>
        <v/>
      </c>
      <c r="AR2160" s="105" t="str">
        <f ca="1">IF(AP2160=0,"",1+COUNTIFS($AP$2051:$AP$2550,1,$AQ$2051:$AQ$2550,IF('Top 25'!$J$10="Ascending","&lt;","&gt;")&amp;AQ2160)+COUNTIFS($AP$2051:$AP$2550,1,$AQ$2051:$AQ$2550,AQ2160,$W$2051:$W$2550,"&lt;"&amp;W2160))</f>
        <v/>
      </c>
      <c r="AT2160" s="105">
        <f ca="1">IF(AND(AL2160=1,OR(Master_rankableSchools!$A$10="All",C2160=Master_rankableSchools!$A$10),OR(Master_rankableSchools!$D$10="All",D2160=Master_rankableSchools!$D$10)),1,0)</f>
        <v>1</v>
      </c>
      <c r="AU2160" s="105">
        <f ca="1">IF(AT2160=0,"",CHOOSE(MATCH(Master_rankableSchools!$G$10,{"Priority score","Economic need","Enrollment","Fresh miles","Nearby resources"},0),T2160,G2160,F2160,K2160,L2160))</f>
        <v>30</v>
      </c>
      <c r="AV2160" s="105">
        <f ca="1">IF(AT2160=0,"",1+COUNTIFS($AT$2051:$AT$2550,1,$AU$2051:$AU$2550,IF(Master_rankableSchools!$J$10="Ascending","&lt;","&gt;")&amp;AU2160)+COUNTIFS($AT$2051:$AT$2550,1,$AU$2051:$AU$2550,AU2160,$W$2051:$W$2550,"&lt;"&amp;W2160))</f>
        <v>257</v>
      </c>
    </row>
    <row r="2161" spans="1:48" ht="22" customHeight="1">
      <c r="A2161" s="1" t="str">
        <f t="shared" si="30"/>
        <v>3372</v>
      </c>
      <c r="B2161" s="1" t="str">
        <f t="shared" si="31"/>
        <v>The Jacquelyn Y. Kelley Discovery Charter School</v>
      </c>
      <c r="C2161" s="1" t="str">
        <f t="shared" si="32"/>
        <v>Charter</v>
      </c>
      <c r="D2161" s="1" t="str">
        <f t="shared" si="33"/>
        <v>Elementary-Middle</v>
      </c>
      <c r="E2161" s="1" t="str">
        <f t="shared" si="34"/>
        <v>19131</v>
      </c>
      <c r="F2161" s="1">
        <f t="shared" si="35"/>
        <v>641</v>
      </c>
      <c r="G2161" s="1">
        <f t="shared" si="36"/>
        <v>0.77859999999999996</v>
      </c>
      <c r="H2161" s="1" t="str">
        <f t="shared" si="37"/>
        <v>Yes</v>
      </c>
      <c r="I2161" s="1">
        <f>IF(OR(A2161="",COUNTIFS('Staff Review'!$A$8:$A$507,A2161)&lt;&gt;1),0,MATCH(A2161,'Staff Review'!$A$8:$A$507,0))</f>
        <v>285</v>
      </c>
      <c r="J2161" s="1" t="str">
        <f>IF(I2161=0,"No",IF(INDEX('Staff Review'!$C$8:$C$507,I2161)="Yes","Yes","No"))</f>
        <v>No</v>
      </c>
      <c r="K2161" s="1">
        <f ca="1">IF(AI2161="Yes",INDEX('Staff Review'!$D$8:$D$507,I2161),IF(AB2161=0,"",IF(COUNT(INDEX($C$1531:$C$2030,AB2161))=1,INDEX($C$1531:$C$2030,AB2161),"")))</f>
        <v>0.59571185515035929</v>
      </c>
      <c r="L2161" s="1">
        <f>IF(AJ2161="Yes",INDEX('Staff Review'!$F$8:$F$507,I2161),IF(AB2161=0,"",IF(COUNT(INDEX($G$1531:$G$2030,AB2161))=1,INDEX($G$1531:$G$2030,AB2161),"")))</f>
        <v>6</v>
      </c>
      <c r="M2161" s="1" t="str">
        <f t="shared" ca="1" si="38"/>
        <v>Listed</v>
      </c>
      <c r="N2161" s="1" t="str">
        <f t="shared" si="39"/>
        <v>Listed</v>
      </c>
      <c r="O2161" s="1">
        <f t="shared" si="40"/>
        <v>20</v>
      </c>
      <c r="P2161" s="1">
        <f t="shared" ca="1" si="41"/>
        <v>15</v>
      </c>
      <c r="Q2161" s="1">
        <f t="shared" si="42"/>
        <v>0</v>
      </c>
      <c r="R2161" s="1">
        <f t="shared" si="43"/>
        <v>4</v>
      </c>
      <c r="S2161" s="1">
        <f t="shared" ca="1" si="44"/>
        <v>39</v>
      </c>
      <c r="T2161" s="1">
        <f ca="1">IF(OR(COUNT(O2161:R2161)&lt;&gt;4,COUNT('Top 25'!$B$45:$E$45)&lt;&gt;4,MIN('Top 25'!$B$45:$E$45)&lt;0,SUM('Top 25'!$B$45:$E$45)&lt;=0),"",ROUND(85*(O2161/30*'Top 25'!$B$45+P2161/25*'Top 25'!$C$45+Q2161/25*'Top 25'!$D$45+R2161/5*'Top 25'!$E$45)/SUM('Top 25'!$B$45:$E$45),6))</f>
        <v>39</v>
      </c>
      <c r="U2161" s="1" t="str">
        <f t="shared" ca="1" si="45"/>
        <v>Listed</v>
      </c>
      <c r="V2161" s="1" t="str">
        <f ca="1">IF(A2161="","",IF(AK2161&lt;&gt;1,"Duplicate source ID",IF(COUNTIFS('Staff Review'!$A$8:$A$507,A2161)&gt;1,"Duplicate review ID",IF(H2161&lt;&gt;"Yes","Outside scope",IF(J2161="Yes","Already served",IF(NOT(ISNUMBER(T2161)),"Missing data","Candidate"))))))</f>
        <v>Candidate</v>
      </c>
      <c r="W2161" s="1">
        <f t="shared" ca="1" si="46"/>
        <v>163</v>
      </c>
      <c r="X2161" s="1">
        <f t="shared" ca="1" si="47"/>
        <v>148</v>
      </c>
      <c r="Y2161" s="1">
        <f ca="1">IF(AND(H2161="Yes",OR(LEN('School Search'!$B$5)=0,ISNUMBER(SEARCH('School Search'!$B$5,B2161&amp;" "&amp;E2161&amp;" "&amp;A2161))),OR('School Search'!$D$5="All",C2161='School Search'!$D$5),OR('School Search'!$G$5="All eligible",AND('School Search'!$G$5="Not marked served",J2161&lt;&gt;"Yes"),AND('School Search'!$G$5="Missing data",V2161="Missing data"),AND('School Search'!$G$5="Marked served",J2161="Yes"))),1,0)</f>
        <v>1</v>
      </c>
      <c r="Z2161" s="1">
        <f ca="1">IF(Y2161=0,"",COUNTIFS($Y$2051:$Y$2550,1,$AO$2051:$AO$2550,"&lt;"&amp;AO2161)+COUNTIFS($Y$2051:Y2161,1,$AO$2051:AO2161,AO2161))</f>
        <v>163</v>
      </c>
      <c r="AA2161" s="1" t="str">
        <f t="shared" ca="1" si="48"/>
        <v>78% economic need; 0.60 mi fresh access; 6 nearby resources</v>
      </c>
      <c r="AB2161" s="1">
        <f t="shared" si="49"/>
        <v>111</v>
      </c>
      <c r="AC2161" s="1" t="str">
        <f t="shared" si="50"/>
        <v>Cousin's Fresh Market 2 Inc</v>
      </c>
      <c r="AD2161" s="1" t="str">
        <f t="shared" si="51"/>
        <v>5429 W Girard Ave, Philadelphia, PA, 19131</v>
      </c>
      <c r="AE2161" s="1" t="str">
        <f t="shared" si="52"/>
        <v>4700 PARKSIDE AVE</v>
      </c>
      <c r="AF2161" s="1">
        <f t="shared" si="53"/>
        <v>39.977708229999998</v>
      </c>
      <c r="AG2161" s="1">
        <f t="shared" si="54"/>
        <v>-75.213504850000007</v>
      </c>
      <c r="AH2161" s="1" t="str">
        <f>IF(I2161=0,"Not contacted",IF(INDEX('Staff Review'!$J$8:$J$507,I2161)="","Not contacted",INDEX('Staff Review'!$J$8:$J$507,I2161)))</f>
        <v>Not contacted</v>
      </c>
      <c r="AI2161" s="1" t="str">
        <f ca="1">IF(I2161=0,"No",IF(AND(COUNT(INDEX('Staff Review'!$D$8:$D$507,I2161))=1,INDEX('Staff Review'!$D$8:$D$507,I2161)&gt;=0,COUNT(INDEX('Staff Review'!$E$8:$E$507,I2161))=1,INDEX('Staff Review'!$E$8:$E$507,I2161)&gt;0,INDEX('Staff Review'!$E$8:$E$507,I2161)&lt;='Top 25'!$E$5,'Top 25'!$E$5-INDEX('Staff Review'!$E$8:$E$507,I2161)&lt;='Top 25'!$H$5,LEN(INDEX('Staff Review'!$H$8:$H$507,I2161))&gt;0),"Yes","No"))</f>
        <v>No</v>
      </c>
      <c r="AJ2161" s="1" t="str">
        <f>IF(I2161=0,"No",IF(COUNT(INDEX('Staff Review'!$F$8:$F$507,I2161))&lt;&gt;1,"No",IF(AND(INDEX('Staff Review'!$F$8:$F$507,I2161)&gt;=0,MOD(INDEX('Staff Review'!$F$8:$F$507,I2161),1)=0,COUNT(INDEX('Staff Review'!$G$8:$G$507,I2161))=1,INDEX('Staff Review'!$G$8:$G$507,I2161)&gt;0,INDEX('Staff Review'!$G$8:$G$507,I2161)&lt;='Top 25'!$E$5,'Top 25'!$E$5-INDEX('Staff Review'!$G$8:$G$507,I2161)&lt;='Top 25'!$H$5,LEN(INDEX('Staff Review'!$H$8:$H$507,I2161))&gt;0),"Yes","No")))</f>
        <v>No</v>
      </c>
      <c r="AK2161" s="1">
        <f t="shared" si="55"/>
        <v>1</v>
      </c>
      <c r="AL2161" s="1">
        <f t="shared" ca="1" si="56"/>
        <v>1</v>
      </c>
      <c r="AM2161" s="1">
        <f t="shared" si="57"/>
        <v>3372</v>
      </c>
      <c r="AN2161" s="1">
        <f t="shared" si="58"/>
        <v>111</v>
      </c>
      <c r="AO2161">
        <f t="shared" ca="1" si="59"/>
        <v>163</v>
      </c>
      <c r="AP2161" s="105">
        <f ca="1">IF(AND(AL2161=1,OR('Top 25'!$A$10="All",C2161='Top 25'!$A$10),OR('Top 25'!$D$10="All",D2161='Top 25'!$D$10)),1,0)</f>
        <v>0</v>
      </c>
      <c r="AQ2161" s="105" t="str">
        <f ca="1">IF(AP2161=0,"",CHOOSE(MATCH('Top 25'!$G$10,{"Priority score","Economic need","Enrollment","Fresh miles","Nearby resources"},0),T2161,G2161,F2161,K2161,L2161))</f>
        <v/>
      </c>
      <c r="AR2161" s="105" t="str">
        <f ca="1">IF(AP2161=0,"",1+COUNTIFS($AP$2051:$AP$2550,1,$AQ$2051:$AQ$2550,IF('Top 25'!$J$10="Ascending","&lt;","&gt;")&amp;AQ2161)+COUNTIFS($AP$2051:$AP$2550,1,$AQ$2051:$AQ$2550,AQ2161,$W$2051:$W$2550,"&lt;"&amp;W2161))</f>
        <v/>
      </c>
      <c r="AT2161" s="105">
        <f ca="1">IF(AND(AL2161=1,OR(Master_rankableSchools!$A$10="All",C2161=Master_rankableSchools!$A$10),OR(Master_rankableSchools!$D$10="All",D2161=Master_rankableSchools!$D$10)),1,0)</f>
        <v>1</v>
      </c>
      <c r="AU2161" s="105">
        <f ca="1">IF(AT2161=0,"",CHOOSE(MATCH(Master_rankableSchools!$G$10,{"Priority score","Economic need","Enrollment","Fresh miles","Nearby resources"},0),T2161,G2161,F2161,K2161,L2161))</f>
        <v>39</v>
      </c>
      <c r="AV2161" s="105">
        <f ca="1">IF(AT2161=0,"",1+COUNTIFS($AT$2051:$AT$2550,1,$AU$2051:$AU$2550,IF(Master_rankableSchools!$J$10="Ascending","&lt;","&gt;")&amp;AU2161)+COUNTIFS($AT$2051:$AT$2550,1,$AU$2051:$AU$2550,AU2161,$W$2051:$W$2550,"&lt;"&amp;W2161))</f>
        <v>163</v>
      </c>
    </row>
    <row r="2162" spans="1:48" ht="22" customHeight="1">
      <c r="A2162" s="1" t="str">
        <f t="shared" si="30"/>
        <v>3378</v>
      </c>
      <c r="B2162" s="1" t="str">
        <f t="shared" si="31"/>
        <v>Philadelphia Montessori Charter School</v>
      </c>
      <c r="C2162" s="1" t="str">
        <f t="shared" si="32"/>
        <v>Charter</v>
      </c>
      <c r="D2162" s="1" t="str">
        <f t="shared" si="33"/>
        <v>Elementary</v>
      </c>
      <c r="E2162" s="1" t="str">
        <f t="shared" si="34"/>
        <v>19142</v>
      </c>
      <c r="F2162" s="1">
        <f t="shared" si="35"/>
        <v>249</v>
      </c>
      <c r="G2162" s="1">
        <f t="shared" si="36"/>
        <v>0.67059999999999997</v>
      </c>
      <c r="H2162" s="1" t="str">
        <f t="shared" si="37"/>
        <v>Yes</v>
      </c>
      <c r="I2162" s="1">
        <f>IF(OR(A2162="",COUNTIFS('Staff Review'!$A$8:$A$507,A2162)&lt;&gt;1),0,MATCH(A2162,'Staff Review'!$A$8:$A$507,0))</f>
        <v>240</v>
      </c>
      <c r="J2162" s="1" t="str">
        <f>IF(I2162=0,"No",IF(INDEX('Staff Review'!$C$8:$C$507,I2162)="Yes","Yes","No"))</f>
        <v>No</v>
      </c>
      <c r="K2162" s="1">
        <f ca="1">IF(AI2162="Yes",INDEX('Staff Review'!$D$8:$D$507,I2162),IF(AB2162=0,"",IF(COUNT(INDEX($C$1531:$C$2030,AB2162))=1,INDEX($C$1531:$C$2030,AB2162),"")))</f>
        <v>0.91191315893029967</v>
      </c>
      <c r="L2162" s="1">
        <f>IF(AJ2162="Yes",INDEX('Staff Review'!$F$8:$F$507,I2162),IF(AB2162=0,"",IF(COUNT(INDEX($G$1531:$G$2030,AB2162))=1,INDEX($G$1531:$G$2030,AB2162),"")))</f>
        <v>1</v>
      </c>
      <c r="M2162" s="1" t="str">
        <f t="shared" ca="1" si="38"/>
        <v>Listed</v>
      </c>
      <c r="N2162" s="1" t="str">
        <f t="shared" si="39"/>
        <v>Listed</v>
      </c>
      <c r="O2162" s="1">
        <f t="shared" si="40"/>
        <v>15</v>
      </c>
      <c r="P2162" s="1">
        <f t="shared" ca="1" si="41"/>
        <v>20</v>
      </c>
      <c r="Q2162" s="1">
        <f t="shared" si="42"/>
        <v>20</v>
      </c>
      <c r="R2162" s="1">
        <f t="shared" si="43"/>
        <v>2</v>
      </c>
      <c r="S2162" s="1">
        <f t="shared" ca="1" si="44"/>
        <v>57</v>
      </c>
      <c r="T2162" s="1">
        <f ca="1">IF(OR(COUNT(O2162:R2162)&lt;&gt;4,COUNT('Top 25'!$B$45:$E$45)&lt;&gt;4,MIN('Top 25'!$B$45:$E$45)&lt;0,SUM('Top 25'!$B$45:$E$45)&lt;=0),"",ROUND(85*(O2162/30*'Top 25'!$B$45+P2162/25*'Top 25'!$C$45+Q2162/25*'Top 25'!$D$45+R2162/5*'Top 25'!$E$45)/SUM('Top 25'!$B$45:$E$45),6))</f>
        <v>57</v>
      </c>
      <c r="U2162" s="1" t="str">
        <f t="shared" ca="1" si="45"/>
        <v>Listed</v>
      </c>
      <c r="V2162" s="1" t="str">
        <f ca="1">IF(A2162="","",IF(AK2162&lt;&gt;1,"Duplicate source ID",IF(COUNTIFS('Staff Review'!$A$8:$A$507,A2162)&gt;1,"Duplicate review ID",IF(H2162&lt;&gt;"Yes","Outside scope",IF(J2162="Yes","Already served",IF(NOT(ISNUMBER(T2162)),"Missing data","Candidate"))))))</f>
        <v>Candidate</v>
      </c>
      <c r="W2162" s="1">
        <f t="shared" ca="1" si="46"/>
        <v>23</v>
      </c>
      <c r="X2162" s="1">
        <f t="shared" ca="1" si="47"/>
        <v>20</v>
      </c>
      <c r="Y2162" s="1">
        <f ca="1">IF(AND(H2162="Yes",OR(LEN('School Search'!$B$5)=0,ISNUMBER(SEARCH('School Search'!$B$5,B2162&amp;" "&amp;E2162&amp;" "&amp;A2162))),OR('School Search'!$D$5="All",C2162='School Search'!$D$5),OR('School Search'!$G$5="All eligible",AND('School Search'!$G$5="Not marked served",J2162&lt;&gt;"Yes"),AND('School Search'!$G$5="Missing data",V2162="Missing data"),AND('School Search'!$G$5="Marked served",J2162="Yes"))),1,0)</f>
        <v>1</v>
      </c>
      <c r="Z2162" s="1">
        <f ca="1">IF(Y2162=0,"",COUNTIFS($Y$2051:$Y$2550,1,$AO$2051:$AO$2550,"&lt;"&amp;AO2162)+COUNTIFS($Y$2051:Y2162,1,$AO$2051:AO2162,AO2162))</f>
        <v>23</v>
      </c>
      <c r="AA2162" s="1" t="str">
        <f t="shared" ca="1" si="48"/>
        <v>67% economic need; 0.91 mi fresh access; 1 nearby resources</v>
      </c>
      <c r="AB2162" s="1">
        <f t="shared" si="49"/>
        <v>112</v>
      </c>
      <c r="AC2162" s="1" t="str">
        <f t="shared" si="50"/>
        <v>Cousin's Fresh Market Inc</v>
      </c>
      <c r="AD2162" s="1" t="str">
        <f t="shared" si="51"/>
        <v>6411 Woodland Ave, Philadelphia, PA, 19142</v>
      </c>
      <c r="AE2162" s="1" t="str">
        <f t="shared" si="52"/>
        <v>2227 ISLAND RD</v>
      </c>
      <c r="AF2162" s="1">
        <f t="shared" si="53"/>
        <v>39.916564370000003</v>
      </c>
      <c r="AG2162" s="1">
        <f t="shared" si="54"/>
        <v>-75.245153270000003</v>
      </c>
      <c r="AH2162" s="1" t="str">
        <f>IF(I2162=0,"Not contacted",IF(INDEX('Staff Review'!$J$8:$J$507,I2162)="","Not contacted",INDEX('Staff Review'!$J$8:$J$507,I2162)))</f>
        <v>Not contacted</v>
      </c>
      <c r="AI2162" s="1" t="str">
        <f ca="1">IF(I2162=0,"No",IF(AND(COUNT(INDEX('Staff Review'!$D$8:$D$507,I2162))=1,INDEX('Staff Review'!$D$8:$D$507,I2162)&gt;=0,COUNT(INDEX('Staff Review'!$E$8:$E$507,I2162))=1,INDEX('Staff Review'!$E$8:$E$507,I2162)&gt;0,INDEX('Staff Review'!$E$8:$E$507,I2162)&lt;='Top 25'!$E$5,'Top 25'!$E$5-INDEX('Staff Review'!$E$8:$E$507,I2162)&lt;='Top 25'!$H$5,LEN(INDEX('Staff Review'!$H$8:$H$507,I2162))&gt;0),"Yes","No"))</f>
        <v>No</v>
      </c>
      <c r="AJ2162" s="1" t="str">
        <f>IF(I2162=0,"No",IF(COUNT(INDEX('Staff Review'!$F$8:$F$507,I2162))&lt;&gt;1,"No",IF(AND(INDEX('Staff Review'!$F$8:$F$507,I2162)&gt;=0,MOD(INDEX('Staff Review'!$F$8:$F$507,I2162),1)=0,COUNT(INDEX('Staff Review'!$G$8:$G$507,I2162))=1,INDEX('Staff Review'!$G$8:$G$507,I2162)&gt;0,INDEX('Staff Review'!$G$8:$G$507,I2162)&lt;='Top 25'!$E$5,'Top 25'!$E$5-INDEX('Staff Review'!$G$8:$G$507,I2162)&lt;='Top 25'!$H$5,LEN(INDEX('Staff Review'!$H$8:$H$507,I2162))&gt;0),"Yes","No")))</f>
        <v>No</v>
      </c>
      <c r="AK2162" s="1">
        <f t="shared" si="55"/>
        <v>1</v>
      </c>
      <c r="AL2162" s="1">
        <f t="shared" ca="1" si="56"/>
        <v>1</v>
      </c>
      <c r="AM2162" s="1">
        <f t="shared" si="57"/>
        <v>3378</v>
      </c>
      <c r="AN2162" s="1">
        <f t="shared" si="58"/>
        <v>112</v>
      </c>
      <c r="AO2162">
        <f t="shared" ca="1" si="59"/>
        <v>23</v>
      </c>
      <c r="AP2162" s="105">
        <f ca="1">IF(AND(AL2162=1,OR('Top 25'!$A$10="All",C2162='Top 25'!$A$10),OR('Top 25'!$D$10="All",D2162='Top 25'!$D$10)),1,0)</f>
        <v>0</v>
      </c>
      <c r="AQ2162" s="105" t="str">
        <f ca="1">IF(AP2162=0,"",CHOOSE(MATCH('Top 25'!$G$10,{"Priority score","Economic need","Enrollment","Fresh miles","Nearby resources"},0),T2162,G2162,F2162,K2162,L2162))</f>
        <v/>
      </c>
      <c r="AR2162" s="105" t="str">
        <f ca="1">IF(AP2162=0,"",1+COUNTIFS($AP$2051:$AP$2550,1,$AQ$2051:$AQ$2550,IF('Top 25'!$J$10="Ascending","&lt;","&gt;")&amp;AQ2162)+COUNTIFS($AP$2051:$AP$2550,1,$AQ$2051:$AQ$2550,AQ2162,$W$2051:$W$2550,"&lt;"&amp;W2162))</f>
        <v/>
      </c>
      <c r="AT2162" s="105">
        <f ca="1">IF(AND(AL2162=1,OR(Master_rankableSchools!$A$10="All",C2162=Master_rankableSchools!$A$10),OR(Master_rankableSchools!$D$10="All",D2162=Master_rankableSchools!$D$10)),1,0)</f>
        <v>1</v>
      </c>
      <c r="AU2162" s="105">
        <f ca="1">IF(AT2162=0,"",CHOOSE(MATCH(Master_rankableSchools!$G$10,{"Priority score","Economic need","Enrollment","Fresh miles","Nearby resources"},0),T2162,G2162,F2162,K2162,L2162))</f>
        <v>57</v>
      </c>
      <c r="AV2162" s="105">
        <f ca="1">IF(AT2162=0,"",1+COUNTIFS($AT$2051:$AT$2550,1,$AU$2051:$AU$2550,IF(Master_rankableSchools!$J$10="Ascending","&lt;","&gt;")&amp;AU2162)+COUNTIFS($AT$2051:$AT$2550,1,$AU$2051:$AU$2550,AU2162,$W$2051:$W$2550,"&lt;"&amp;W2162))</f>
        <v>23</v>
      </c>
    </row>
    <row r="2163" spans="1:48" ht="22" customHeight="1">
      <c r="A2163" s="1" t="str">
        <f t="shared" si="30"/>
        <v>3379</v>
      </c>
      <c r="B2163" s="1" t="str">
        <f t="shared" si="31"/>
        <v>Ad Prima Charter School</v>
      </c>
      <c r="C2163" s="1" t="str">
        <f t="shared" si="32"/>
        <v>Charter</v>
      </c>
      <c r="D2163" s="1" t="str">
        <f t="shared" si="33"/>
        <v>Elementary-Middle</v>
      </c>
      <c r="E2163" s="1" t="str">
        <f t="shared" si="34"/>
        <v>19151</v>
      </c>
      <c r="F2163" s="1">
        <f t="shared" si="35"/>
        <v>617</v>
      </c>
      <c r="G2163" s="1">
        <f t="shared" si="36"/>
        <v>0.9274</v>
      </c>
      <c r="H2163" s="1" t="str">
        <f t="shared" si="37"/>
        <v>Yes</v>
      </c>
      <c r="I2163" s="1">
        <f>IF(OR(A2163="",COUNTIFS('Staff Review'!$A$8:$A$507,A2163)&lt;&gt;1),0,MATCH(A2163,'Staff Review'!$A$8:$A$507,0))</f>
        <v>8</v>
      </c>
      <c r="J2163" s="1" t="str">
        <f>IF(I2163=0,"No",IF(INDEX('Staff Review'!$C$8:$C$507,I2163)="Yes","Yes","No"))</f>
        <v>No</v>
      </c>
      <c r="K2163" s="1">
        <f ca="1">IF(AI2163="Yes",INDEX('Staff Review'!$D$8:$D$507,I2163),IF(AB2163=0,"",IF(COUNT(INDEX($C$1531:$C$2030,AB2163))=1,INDEX($C$1531:$C$2030,AB2163),"")))</f>
        <v>1.2644636123923818</v>
      </c>
      <c r="L2163" s="1">
        <f>IF(AJ2163="Yes",INDEX('Staff Review'!$F$8:$F$507,I2163),IF(AB2163=0,"",IF(COUNT(INDEX($G$1531:$G$2030,AB2163))=1,INDEX($G$1531:$G$2030,AB2163),"")))</f>
        <v>4</v>
      </c>
      <c r="M2163" s="1" t="str">
        <f t="shared" ca="1" si="38"/>
        <v>Listed</v>
      </c>
      <c r="N2163" s="1" t="str">
        <f t="shared" si="39"/>
        <v>Listed</v>
      </c>
      <c r="O2163" s="1">
        <f t="shared" si="40"/>
        <v>30</v>
      </c>
      <c r="P2163" s="1">
        <f t="shared" ca="1" si="41"/>
        <v>25</v>
      </c>
      <c r="Q2163" s="1">
        <f t="shared" si="42"/>
        <v>5</v>
      </c>
      <c r="R2163" s="1">
        <f t="shared" si="43"/>
        <v>4</v>
      </c>
      <c r="S2163" s="1">
        <f t="shared" ca="1" si="44"/>
        <v>64</v>
      </c>
      <c r="T2163" s="1">
        <f ca="1">IF(OR(COUNT(O2163:R2163)&lt;&gt;4,COUNT('Top 25'!$B$45:$E$45)&lt;&gt;4,MIN('Top 25'!$B$45:$E$45)&lt;0,SUM('Top 25'!$B$45:$E$45)&lt;=0),"",ROUND(85*(O2163/30*'Top 25'!$B$45+P2163/25*'Top 25'!$C$45+Q2163/25*'Top 25'!$D$45+R2163/5*'Top 25'!$E$45)/SUM('Top 25'!$B$45:$E$45),6))</f>
        <v>64</v>
      </c>
      <c r="U2163" s="1" t="str">
        <f t="shared" ca="1" si="45"/>
        <v>Listed</v>
      </c>
      <c r="V2163" s="1" t="str">
        <f ca="1">IF(A2163="","",IF(AK2163&lt;&gt;1,"Duplicate source ID",IF(COUNTIFS('Staff Review'!$A$8:$A$507,A2163)&gt;1,"Duplicate review ID",IF(H2163&lt;&gt;"Yes","Outside scope",IF(J2163="Yes","Already served",IF(NOT(ISNUMBER(T2163)),"Missing data","Candidate"))))))</f>
        <v>Candidate</v>
      </c>
      <c r="W2163" s="1">
        <f t="shared" ca="1" si="46"/>
        <v>5</v>
      </c>
      <c r="X2163" s="1">
        <f t="shared" ca="1" si="47"/>
        <v>4</v>
      </c>
      <c r="Y2163" s="1">
        <f ca="1">IF(AND(H2163="Yes",OR(LEN('School Search'!$B$5)=0,ISNUMBER(SEARCH('School Search'!$B$5,B2163&amp;" "&amp;E2163&amp;" "&amp;A2163))),OR('School Search'!$D$5="All",C2163='School Search'!$D$5),OR('School Search'!$G$5="All eligible",AND('School Search'!$G$5="Not marked served",J2163&lt;&gt;"Yes"),AND('School Search'!$G$5="Missing data",V2163="Missing data"),AND('School Search'!$G$5="Marked served",J2163="Yes"))),1,0)</f>
        <v>1</v>
      </c>
      <c r="Z2163" s="1">
        <f ca="1">IF(Y2163=0,"",COUNTIFS($Y$2051:$Y$2550,1,$AO$2051:$AO$2550,"&lt;"&amp;AO2163)+COUNTIFS($Y$2051:Y2163,1,$AO$2051:AO2163,AO2163))</f>
        <v>5</v>
      </c>
      <c r="AA2163" s="1" t="str">
        <f t="shared" ca="1" si="48"/>
        <v>93% economic need; 1.26 mi fresh access; 4 nearby resources</v>
      </c>
      <c r="AB2163" s="1">
        <f t="shared" si="49"/>
        <v>113</v>
      </c>
      <c r="AC2163" s="1" t="str">
        <f t="shared" si="50"/>
        <v>Shoprite of Parkside 419</v>
      </c>
      <c r="AD2163" s="1" t="str">
        <f t="shared" si="51"/>
        <v>1575 N 52nd St, Philadelphia, PA, 19131</v>
      </c>
      <c r="AE2163" s="1" t="str">
        <f t="shared" si="52"/>
        <v>1922 N 63RD ST</v>
      </c>
      <c r="AF2163" s="1">
        <f t="shared" si="53"/>
        <v>39.984296000000001</v>
      </c>
      <c r="AG2163" s="1">
        <f t="shared" si="54"/>
        <v>-75.247860000000003</v>
      </c>
      <c r="AH2163" s="1" t="str">
        <f>IF(I2163=0,"Not contacted",IF(INDEX('Staff Review'!$J$8:$J$507,I2163)="","Not contacted",INDEX('Staff Review'!$J$8:$J$507,I2163)))</f>
        <v>Not contacted</v>
      </c>
      <c r="AI2163" s="1" t="str">
        <f ca="1">IF(I2163=0,"No",IF(AND(COUNT(INDEX('Staff Review'!$D$8:$D$507,I2163))=1,INDEX('Staff Review'!$D$8:$D$507,I2163)&gt;=0,COUNT(INDEX('Staff Review'!$E$8:$E$507,I2163))=1,INDEX('Staff Review'!$E$8:$E$507,I2163)&gt;0,INDEX('Staff Review'!$E$8:$E$507,I2163)&lt;='Top 25'!$E$5,'Top 25'!$E$5-INDEX('Staff Review'!$E$8:$E$507,I2163)&lt;='Top 25'!$H$5,LEN(INDEX('Staff Review'!$H$8:$H$507,I2163))&gt;0),"Yes","No"))</f>
        <v>No</v>
      </c>
      <c r="AJ2163" s="1" t="str">
        <f>IF(I2163=0,"No",IF(COUNT(INDEX('Staff Review'!$F$8:$F$507,I2163))&lt;&gt;1,"No",IF(AND(INDEX('Staff Review'!$F$8:$F$507,I2163)&gt;=0,MOD(INDEX('Staff Review'!$F$8:$F$507,I2163),1)=0,COUNT(INDEX('Staff Review'!$G$8:$G$507,I2163))=1,INDEX('Staff Review'!$G$8:$G$507,I2163)&gt;0,INDEX('Staff Review'!$G$8:$G$507,I2163)&lt;='Top 25'!$E$5,'Top 25'!$E$5-INDEX('Staff Review'!$G$8:$G$507,I2163)&lt;='Top 25'!$H$5,LEN(INDEX('Staff Review'!$H$8:$H$507,I2163))&gt;0),"Yes","No")))</f>
        <v>No</v>
      </c>
      <c r="AK2163" s="1">
        <f t="shared" si="55"/>
        <v>1</v>
      </c>
      <c r="AL2163" s="1">
        <f t="shared" ca="1" si="56"/>
        <v>1</v>
      </c>
      <c r="AM2163" s="1">
        <f t="shared" si="57"/>
        <v>3379</v>
      </c>
      <c r="AN2163" s="1">
        <f t="shared" si="58"/>
        <v>113</v>
      </c>
      <c r="AO2163">
        <f t="shared" ca="1" si="59"/>
        <v>5</v>
      </c>
      <c r="AP2163" s="105">
        <f ca="1">IF(AND(AL2163=1,OR('Top 25'!$A$10="All",C2163='Top 25'!$A$10),OR('Top 25'!$D$10="All",D2163='Top 25'!$D$10)),1,0)</f>
        <v>0</v>
      </c>
      <c r="AQ2163" s="105" t="str">
        <f ca="1">IF(AP2163=0,"",CHOOSE(MATCH('Top 25'!$G$10,{"Priority score","Economic need","Enrollment","Fresh miles","Nearby resources"},0),T2163,G2163,F2163,K2163,L2163))</f>
        <v/>
      </c>
      <c r="AR2163" s="105" t="str">
        <f ca="1">IF(AP2163=0,"",1+COUNTIFS($AP$2051:$AP$2550,1,$AQ$2051:$AQ$2550,IF('Top 25'!$J$10="Ascending","&lt;","&gt;")&amp;AQ2163)+COUNTIFS($AP$2051:$AP$2550,1,$AQ$2051:$AQ$2550,AQ2163,$W$2051:$W$2550,"&lt;"&amp;W2163))</f>
        <v/>
      </c>
      <c r="AT2163" s="105">
        <f ca="1">IF(AND(AL2163=1,OR(Master_rankableSchools!$A$10="All",C2163=Master_rankableSchools!$A$10),OR(Master_rankableSchools!$D$10="All",D2163=Master_rankableSchools!$D$10)),1,0)</f>
        <v>1</v>
      </c>
      <c r="AU2163" s="105">
        <f ca="1">IF(AT2163=0,"",CHOOSE(MATCH(Master_rankableSchools!$G$10,{"Priority score","Economic need","Enrollment","Fresh miles","Nearby resources"},0),T2163,G2163,F2163,K2163,L2163))</f>
        <v>64</v>
      </c>
      <c r="AV2163" s="105">
        <f ca="1">IF(AT2163=0,"",1+COUNTIFS($AT$2051:$AT$2550,1,$AU$2051:$AU$2550,IF(Master_rankableSchools!$J$10="Ascending","&lt;","&gt;")&amp;AU2163)+COUNTIFS($AT$2051:$AT$2550,1,$AU$2051:$AU$2550,AU2163,$W$2051:$W$2550,"&lt;"&amp;W2163))</f>
        <v>5</v>
      </c>
    </row>
    <row r="2164" spans="1:48" ht="22" customHeight="1">
      <c r="A2164" s="1" t="str">
        <f t="shared" si="30"/>
        <v>3383</v>
      </c>
      <c r="B2164" s="1" t="str">
        <f t="shared" si="31"/>
        <v>Mastery Charter School at Shoemaker</v>
      </c>
      <c r="C2164" s="1" t="str">
        <f t="shared" si="32"/>
        <v>Charter</v>
      </c>
      <c r="D2164" s="1" t="str">
        <f t="shared" si="33"/>
        <v>Middle-High</v>
      </c>
      <c r="E2164" s="1" t="str">
        <f t="shared" si="34"/>
        <v>19131</v>
      </c>
      <c r="F2164" s="1">
        <f t="shared" si="35"/>
        <v>733</v>
      </c>
      <c r="G2164" s="1">
        <f t="shared" si="36"/>
        <v>0.72430000000000005</v>
      </c>
      <c r="H2164" s="1" t="str">
        <f t="shared" si="37"/>
        <v>Yes</v>
      </c>
      <c r="I2164" s="1">
        <f>IF(OR(A2164="",COUNTIFS('Staff Review'!$A$8:$A$507,A2164)&lt;&gt;1),0,MATCH(A2164,'Staff Review'!$A$8:$A$507,0))</f>
        <v>191</v>
      </c>
      <c r="J2164" s="1" t="str">
        <f>IF(I2164=0,"No",IF(INDEX('Staff Review'!$C$8:$C$507,I2164)="Yes","Yes","No"))</f>
        <v>No</v>
      </c>
      <c r="K2164" s="1">
        <f ca="1">IF(AI2164="Yes",INDEX('Staff Review'!$D$8:$D$507,I2164),IF(AB2164=0,"",IF(COUNT(INDEX($C$1531:$C$2030,AB2164))=1,INDEX($C$1531:$C$2030,AB2164),"")))</f>
        <v>0.2689432737347327</v>
      </c>
      <c r="L2164" s="1">
        <f>IF(AJ2164="Yes",INDEX('Staff Review'!$F$8:$F$507,I2164),IF(AB2164=0,"",IF(COUNT(INDEX($G$1531:$G$2030,AB2164))=1,INDEX($G$1531:$G$2030,AB2164),"")))</f>
        <v>10</v>
      </c>
      <c r="M2164" s="1" t="str">
        <f t="shared" ca="1" si="38"/>
        <v>Listed</v>
      </c>
      <c r="N2164" s="1" t="str">
        <f t="shared" si="39"/>
        <v>Listed</v>
      </c>
      <c r="O2164" s="1">
        <f t="shared" si="40"/>
        <v>20</v>
      </c>
      <c r="P2164" s="1">
        <f t="shared" ca="1" si="41"/>
        <v>10</v>
      </c>
      <c r="Q2164" s="1">
        <f t="shared" si="42"/>
        <v>0</v>
      </c>
      <c r="R2164" s="1">
        <f t="shared" si="43"/>
        <v>5</v>
      </c>
      <c r="S2164" s="1">
        <f t="shared" ca="1" si="44"/>
        <v>35</v>
      </c>
      <c r="T2164" s="1">
        <f ca="1">IF(OR(COUNT(O2164:R2164)&lt;&gt;4,COUNT('Top 25'!$B$45:$E$45)&lt;&gt;4,MIN('Top 25'!$B$45:$E$45)&lt;0,SUM('Top 25'!$B$45:$E$45)&lt;=0),"",ROUND(85*(O2164/30*'Top 25'!$B$45+P2164/25*'Top 25'!$C$45+Q2164/25*'Top 25'!$D$45+R2164/5*'Top 25'!$E$45)/SUM('Top 25'!$B$45:$E$45),6))</f>
        <v>35</v>
      </c>
      <c r="U2164" s="1" t="str">
        <f t="shared" ca="1" si="45"/>
        <v>Listed</v>
      </c>
      <c r="V2164" s="1" t="str">
        <f ca="1">IF(A2164="","",IF(AK2164&lt;&gt;1,"Duplicate source ID",IF(COUNTIFS('Staff Review'!$A$8:$A$507,A2164)&gt;1,"Duplicate review ID",IF(H2164&lt;&gt;"Yes","Outside scope",IF(J2164="Yes","Already served",IF(NOT(ISNUMBER(T2164)),"Missing data","Candidate"))))))</f>
        <v>Candidate</v>
      </c>
      <c r="W2164" s="1">
        <f t="shared" ca="1" si="46"/>
        <v>216</v>
      </c>
      <c r="X2164" s="1">
        <f t="shared" ca="1" si="47"/>
        <v>210</v>
      </c>
      <c r="Y2164" s="1">
        <f ca="1">IF(AND(H2164="Yes",OR(LEN('School Search'!$B$5)=0,ISNUMBER(SEARCH('School Search'!$B$5,B2164&amp;" "&amp;E2164&amp;" "&amp;A2164))),OR('School Search'!$D$5="All",C2164='School Search'!$D$5),OR('School Search'!$G$5="All eligible",AND('School Search'!$G$5="Not marked served",J2164&lt;&gt;"Yes"),AND('School Search'!$G$5="Missing data",V2164="Missing data"),AND('School Search'!$G$5="Marked served",J2164="Yes"))),1,0)</f>
        <v>1</v>
      </c>
      <c r="Z2164" s="1">
        <f ca="1">IF(Y2164=0,"",COUNTIFS($Y$2051:$Y$2550,1,$AO$2051:$AO$2550,"&lt;"&amp;AO2164)+COUNTIFS($Y$2051:Y2164,1,$AO$2051:AO2164,AO2164))</f>
        <v>216</v>
      </c>
      <c r="AA2164" s="1" t="str">
        <f t="shared" ca="1" si="48"/>
        <v>72% economic need; 0.27 mi fresh access; 10 nearby resources</v>
      </c>
      <c r="AB2164" s="1">
        <f t="shared" si="49"/>
        <v>114</v>
      </c>
      <c r="AC2164" s="1" t="str">
        <f t="shared" si="50"/>
        <v>Shoprite of Parkside 419</v>
      </c>
      <c r="AD2164" s="1" t="str">
        <f t="shared" si="51"/>
        <v>1575 N 52nd St, Philadelphia, PA, 19131</v>
      </c>
      <c r="AE2164" s="1" t="str">
        <f t="shared" si="52"/>
        <v>5301 MEDIA ST</v>
      </c>
      <c r="AF2164" s="1">
        <f t="shared" si="53"/>
        <v>39.975799000000002</v>
      </c>
      <c r="AG2164" s="1">
        <f t="shared" si="54"/>
        <v>-75.228437</v>
      </c>
      <c r="AH2164" s="1" t="str">
        <f>IF(I2164=0,"Not contacted",IF(INDEX('Staff Review'!$J$8:$J$507,I2164)="","Not contacted",INDEX('Staff Review'!$J$8:$J$507,I2164)))</f>
        <v>Not contacted</v>
      </c>
      <c r="AI2164" s="1" t="str">
        <f ca="1">IF(I2164=0,"No",IF(AND(COUNT(INDEX('Staff Review'!$D$8:$D$507,I2164))=1,INDEX('Staff Review'!$D$8:$D$507,I2164)&gt;=0,COUNT(INDEX('Staff Review'!$E$8:$E$507,I2164))=1,INDEX('Staff Review'!$E$8:$E$507,I2164)&gt;0,INDEX('Staff Review'!$E$8:$E$507,I2164)&lt;='Top 25'!$E$5,'Top 25'!$E$5-INDEX('Staff Review'!$E$8:$E$507,I2164)&lt;='Top 25'!$H$5,LEN(INDEX('Staff Review'!$H$8:$H$507,I2164))&gt;0),"Yes","No"))</f>
        <v>No</v>
      </c>
      <c r="AJ2164" s="1" t="str">
        <f>IF(I2164=0,"No",IF(COUNT(INDEX('Staff Review'!$F$8:$F$507,I2164))&lt;&gt;1,"No",IF(AND(INDEX('Staff Review'!$F$8:$F$507,I2164)&gt;=0,MOD(INDEX('Staff Review'!$F$8:$F$507,I2164),1)=0,COUNT(INDEX('Staff Review'!$G$8:$G$507,I2164))=1,INDEX('Staff Review'!$G$8:$G$507,I2164)&gt;0,INDEX('Staff Review'!$G$8:$G$507,I2164)&lt;='Top 25'!$E$5,'Top 25'!$E$5-INDEX('Staff Review'!$G$8:$G$507,I2164)&lt;='Top 25'!$H$5,LEN(INDEX('Staff Review'!$H$8:$H$507,I2164))&gt;0),"Yes","No")))</f>
        <v>No</v>
      </c>
      <c r="AK2164" s="1">
        <f t="shared" si="55"/>
        <v>1</v>
      </c>
      <c r="AL2164" s="1">
        <f t="shared" ca="1" si="56"/>
        <v>1</v>
      </c>
      <c r="AM2164" s="1">
        <f t="shared" si="57"/>
        <v>3383</v>
      </c>
      <c r="AN2164" s="1">
        <f t="shared" si="58"/>
        <v>114</v>
      </c>
      <c r="AO2164">
        <f t="shared" ca="1" si="59"/>
        <v>216</v>
      </c>
      <c r="AP2164" s="105">
        <f ca="1">IF(AND(AL2164=1,OR('Top 25'!$A$10="All",C2164='Top 25'!$A$10),OR('Top 25'!$D$10="All",D2164='Top 25'!$D$10)),1,0)</f>
        <v>0</v>
      </c>
      <c r="AQ2164" s="105" t="str">
        <f ca="1">IF(AP2164=0,"",CHOOSE(MATCH('Top 25'!$G$10,{"Priority score","Economic need","Enrollment","Fresh miles","Nearby resources"},0),T2164,G2164,F2164,K2164,L2164))</f>
        <v/>
      </c>
      <c r="AR2164" s="105" t="str">
        <f ca="1">IF(AP2164=0,"",1+COUNTIFS($AP$2051:$AP$2550,1,$AQ$2051:$AQ$2550,IF('Top 25'!$J$10="Ascending","&lt;","&gt;")&amp;AQ2164)+COUNTIFS($AP$2051:$AP$2550,1,$AQ$2051:$AQ$2550,AQ2164,$W$2051:$W$2550,"&lt;"&amp;W2164))</f>
        <v/>
      </c>
      <c r="AT2164" s="105">
        <f ca="1">IF(AND(AL2164=1,OR(Master_rankableSchools!$A$10="All",C2164=Master_rankableSchools!$A$10),OR(Master_rankableSchools!$D$10="All",D2164=Master_rankableSchools!$D$10)),1,0)</f>
        <v>1</v>
      </c>
      <c r="AU2164" s="105">
        <f ca="1">IF(AT2164=0,"",CHOOSE(MATCH(Master_rankableSchools!$G$10,{"Priority score","Economic need","Enrollment","Fresh miles","Nearby resources"},0),T2164,G2164,F2164,K2164,L2164))</f>
        <v>35</v>
      </c>
      <c r="AV2164" s="105">
        <f ca="1">IF(AT2164=0,"",1+COUNTIFS($AT$2051:$AT$2550,1,$AU$2051:$AU$2550,IF(Master_rankableSchools!$J$10="Ascending","&lt;","&gt;")&amp;AU2164)+COUNTIFS($AT$2051:$AT$2550,1,$AU$2051:$AU$2550,AU2164,$W$2051:$W$2550,"&lt;"&amp;W2164))</f>
        <v>216</v>
      </c>
    </row>
    <row r="2165" spans="1:48" ht="22" customHeight="1">
      <c r="A2165" s="1" t="str">
        <f t="shared" si="30"/>
        <v>3384</v>
      </c>
      <c r="B2165" s="1" t="str">
        <f t="shared" si="31"/>
        <v>Folk Arts-Cultural Treasures Charter School</v>
      </c>
      <c r="C2165" s="1" t="str">
        <f t="shared" si="32"/>
        <v>Charter</v>
      </c>
      <c r="D2165" s="1" t="str">
        <f t="shared" si="33"/>
        <v>Elementary-Middle</v>
      </c>
      <c r="E2165" s="1" t="str">
        <f t="shared" si="34"/>
        <v>19123</v>
      </c>
      <c r="F2165" s="1">
        <f t="shared" si="35"/>
        <v>497</v>
      </c>
      <c r="G2165" s="1">
        <f t="shared" si="36"/>
        <v>0.43140000000000001</v>
      </c>
      <c r="H2165" s="1" t="str">
        <f t="shared" si="37"/>
        <v>Yes</v>
      </c>
      <c r="I2165" s="1">
        <f>IF(OR(A2165="",COUNTIFS('Staff Review'!$A$8:$A$507,A2165)&lt;&gt;1),0,MATCH(A2165,'Staff Review'!$A$8:$A$507,0))</f>
        <v>77</v>
      </c>
      <c r="J2165" s="1" t="str">
        <f>IF(I2165=0,"No",IF(INDEX('Staff Review'!$C$8:$C$507,I2165)="Yes","Yes","No"))</f>
        <v>No</v>
      </c>
      <c r="K2165" s="1">
        <f ca="1">IF(AI2165="Yes",INDEX('Staff Review'!$D$8:$D$507,I2165),IF(AB2165=0,"",IF(COUNT(INDEX($C$1531:$C$2030,AB2165))=1,INDEX($C$1531:$C$2030,AB2165),"")))</f>
        <v>0.27837564931711301</v>
      </c>
      <c r="L2165" s="1">
        <f>IF(AJ2165="Yes",INDEX('Staff Review'!$F$8:$F$507,I2165),IF(AB2165=0,"",IF(COUNT(INDEX($G$1531:$G$2030,AB2165))=1,INDEX($G$1531:$G$2030,AB2165),"")))</f>
        <v>11</v>
      </c>
      <c r="M2165" s="1" t="str">
        <f t="shared" ca="1" si="38"/>
        <v>Listed</v>
      </c>
      <c r="N2165" s="1" t="str">
        <f t="shared" si="39"/>
        <v>Listed</v>
      </c>
      <c r="O2165" s="1">
        <f t="shared" si="40"/>
        <v>5</v>
      </c>
      <c r="P2165" s="1">
        <f t="shared" ca="1" si="41"/>
        <v>10</v>
      </c>
      <c r="Q2165" s="1">
        <f t="shared" si="42"/>
        <v>0</v>
      </c>
      <c r="R2165" s="1">
        <f t="shared" si="43"/>
        <v>3</v>
      </c>
      <c r="S2165" s="1">
        <f t="shared" ca="1" si="44"/>
        <v>18</v>
      </c>
      <c r="T2165" s="1">
        <f ca="1">IF(OR(COUNT(O2165:R2165)&lt;&gt;4,COUNT('Top 25'!$B$45:$E$45)&lt;&gt;4,MIN('Top 25'!$B$45:$E$45)&lt;0,SUM('Top 25'!$B$45:$E$45)&lt;=0),"",ROUND(85*(O2165/30*'Top 25'!$B$45+P2165/25*'Top 25'!$C$45+Q2165/25*'Top 25'!$D$45+R2165/5*'Top 25'!$E$45)/SUM('Top 25'!$B$45:$E$45),6))</f>
        <v>18</v>
      </c>
      <c r="U2165" s="1" t="str">
        <f t="shared" ca="1" si="45"/>
        <v>Listed</v>
      </c>
      <c r="V2165" s="1" t="str">
        <f ca="1">IF(A2165="","",IF(AK2165&lt;&gt;1,"Duplicate source ID",IF(COUNTIFS('Staff Review'!$A$8:$A$507,A2165)&gt;1,"Duplicate review ID",IF(H2165&lt;&gt;"Yes","Outside scope",IF(J2165="Yes","Already served",IF(NOT(ISNUMBER(T2165)),"Missing data","Candidate"))))))</f>
        <v>Candidate</v>
      </c>
      <c r="W2165" s="1">
        <f t="shared" ca="1" si="46"/>
        <v>282</v>
      </c>
      <c r="X2165" s="1">
        <f t="shared" ca="1" si="47"/>
        <v>281</v>
      </c>
      <c r="Y2165" s="1">
        <f ca="1">IF(AND(H2165="Yes",OR(LEN('School Search'!$B$5)=0,ISNUMBER(SEARCH('School Search'!$B$5,B2165&amp;" "&amp;E2165&amp;" "&amp;A2165))),OR('School Search'!$D$5="All",C2165='School Search'!$D$5),OR('School Search'!$G$5="All eligible",AND('School Search'!$G$5="Not marked served",J2165&lt;&gt;"Yes"),AND('School Search'!$G$5="Missing data",V2165="Missing data"),AND('School Search'!$G$5="Marked served",J2165="Yes"))),1,0)</f>
        <v>1</v>
      </c>
      <c r="Z2165" s="1">
        <f ca="1">IF(Y2165=0,"",COUNTIFS($Y$2051:$Y$2550,1,$AO$2051:$AO$2550,"&lt;"&amp;AO2165)+COUNTIFS($Y$2051:Y2165,1,$AO$2051:AO2165,AO2165))</f>
        <v>282</v>
      </c>
      <c r="AA2165" s="1" t="str">
        <f t="shared" ca="1" si="48"/>
        <v>43% economic need; 0.28 mi fresh access; 11 nearby resources</v>
      </c>
      <c r="AB2165" s="1">
        <f t="shared" si="49"/>
        <v>115</v>
      </c>
      <c r="AC2165" s="1" t="str">
        <f t="shared" si="50"/>
        <v>Asianfresh</v>
      </c>
      <c r="AD2165" s="1" t="str">
        <f t="shared" si="51"/>
        <v>142 N 10th St, Philadelphia, PA, 19107</v>
      </c>
      <c r="AE2165" s="1" t="str">
        <f t="shared" si="52"/>
        <v>1023 CALLOWHILL ST</v>
      </c>
      <c r="AF2165" s="1">
        <f t="shared" si="53"/>
        <v>39.958851029999998</v>
      </c>
      <c r="AG2165" s="1">
        <f t="shared" si="54"/>
        <v>-75.155513650000003</v>
      </c>
      <c r="AH2165" s="1" t="str">
        <f>IF(I2165=0,"Not contacted",IF(INDEX('Staff Review'!$J$8:$J$507,I2165)="","Not contacted",INDEX('Staff Review'!$J$8:$J$507,I2165)))</f>
        <v>Not contacted</v>
      </c>
      <c r="AI2165" s="1" t="str">
        <f ca="1">IF(I2165=0,"No",IF(AND(COUNT(INDEX('Staff Review'!$D$8:$D$507,I2165))=1,INDEX('Staff Review'!$D$8:$D$507,I2165)&gt;=0,COUNT(INDEX('Staff Review'!$E$8:$E$507,I2165))=1,INDEX('Staff Review'!$E$8:$E$507,I2165)&gt;0,INDEX('Staff Review'!$E$8:$E$507,I2165)&lt;='Top 25'!$E$5,'Top 25'!$E$5-INDEX('Staff Review'!$E$8:$E$507,I2165)&lt;='Top 25'!$H$5,LEN(INDEX('Staff Review'!$H$8:$H$507,I2165))&gt;0),"Yes","No"))</f>
        <v>No</v>
      </c>
      <c r="AJ2165" s="1" t="str">
        <f>IF(I2165=0,"No",IF(COUNT(INDEX('Staff Review'!$F$8:$F$507,I2165))&lt;&gt;1,"No",IF(AND(INDEX('Staff Review'!$F$8:$F$507,I2165)&gt;=0,MOD(INDEX('Staff Review'!$F$8:$F$507,I2165),1)=0,COUNT(INDEX('Staff Review'!$G$8:$G$507,I2165))=1,INDEX('Staff Review'!$G$8:$G$507,I2165)&gt;0,INDEX('Staff Review'!$G$8:$G$507,I2165)&lt;='Top 25'!$E$5,'Top 25'!$E$5-INDEX('Staff Review'!$G$8:$G$507,I2165)&lt;='Top 25'!$H$5,LEN(INDEX('Staff Review'!$H$8:$H$507,I2165))&gt;0),"Yes","No")))</f>
        <v>No</v>
      </c>
      <c r="AK2165" s="1">
        <f t="shared" si="55"/>
        <v>1</v>
      </c>
      <c r="AL2165" s="1">
        <f t="shared" ca="1" si="56"/>
        <v>1</v>
      </c>
      <c r="AM2165" s="1">
        <f t="shared" si="57"/>
        <v>3384</v>
      </c>
      <c r="AN2165" s="1">
        <f t="shared" si="58"/>
        <v>115</v>
      </c>
      <c r="AO2165">
        <f t="shared" ca="1" si="59"/>
        <v>282</v>
      </c>
      <c r="AP2165" s="105">
        <f ca="1">IF(AND(AL2165=1,OR('Top 25'!$A$10="All",C2165='Top 25'!$A$10),OR('Top 25'!$D$10="All",D2165='Top 25'!$D$10)),1,0)</f>
        <v>0</v>
      </c>
      <c r="AQ2165" s="105" t="str">
        <f ca="1">IF(AP2165=0,"",CHOOSE(MATCH('Top 25'!$G$10,{"Priority score","Economic need","Enrollment","Fresh miles","Nearby resources"},0),T2165,G2165,F2165,K2165,L2165))</f>
        <v/>
      </c>
      <c r="AR2165" s="105" t="str">
        <f ca="1">IF(AP2165=0,"",1+COUNTIFS($AP$2051:$AP$2550,1,$AQ$2051:$AQ$2550,IF('Top 25'!$J$10="Ascending","&lt;","&gt;")&amp;AQ2165)+COUNTIFS($AP$2051:$AP$2550,1,$AQ$2051:$AQ$2550,AQ2165,$W$2051:$W$2550,"&lt;"&amp;W2165))</f>
        <v/>
      </c>
      <c r="AT2165" s="105">
        <f ca="1">IF(AND(AL2165=1,OR(Master_rankableSchools!$A$10="All",C2165=Master_rankableSchools!$A$10),OR(Master_rankableSchools!$D$10="All",D2165=Master_rankableSchools!$D$10)),1,0)</f>
        <v>1</v>
      </c>
      <c r="AU2165" s="105">
        <f ca="1">IF(AT2165=0,"",CHOOSE(MATCH(Master_rankableSchools!$G$10,{"Priority score","Economic need","Enrollment","Fresh miles","Nearby resources"},0),T2165,G2165,F2165,K2165,L2165))</f>
        <v>18</v>
      </c>
      <c r="AV2165" s="105">
        <f ca="1">IF(AT2165=0,"",1+COUNTIFS($AT$2051:$AT$2550,1,$AU$2051:$AU$2550,IF(Master_rankableSchools!$J$10="Ascending","&lt;","&gt;")&amp;AU2165)+COUNTIFS($AT$2051:$AT$2550,1,$AU$2051:$AU$2550,AU2165,$W$2051:$W$2550,"&lt;"&amp;W2165))</f>
        <v>282</v>
      </c>
    </row>
    <row r="2166" spans="1:48" ht="22" customHeight="1">
      <c r="A2166" s="1" t="str">
        <f t="shared" si="30"/>
        <v>3385</v>
      </c>
      <c r="B2166" s="1" t="str">
        <f t="shared" si="31"/>
        <v>Mastery Charter School at Thomas Campus</v>
      </c>
      <c r="C2166" s="1" t="str">
        <f t="shared" si="32"/>
        <v>Charter</v>
      </c>
      <c r="D2166" s="1" t="str">
        <f t="shared" si="33"/>
        <v>Elementary-Middle-High</v>
      </c>
      <c r="E2166" s="1" t="str">
        <f t="shared" si="34"/>
        <v>19148</v>
      </c>
      <c r="F2166" s="1">
        <f t="shared" si="35"/>
        <v>1269</v>
      </c>
      <c r="G2166" s="1">
        <f t="shared" si="36"/>
        <v>0.90980000000000005</v>
      </c>
      <c r="H2166" s="1" t="str">
        <f t="shared" si="37"/>
        <v>Yes</v>
      </c>
      <c r="I2166" s="1">
        <f>IF(OR(A2166="",COUNTIFS('Staff Review'!$A$8:$A$507,A2166)&lt;&gt;1),0,MATCH(A2166,'Staff Review'!$A$8:$A$507,0))</f>
        <v>193</v>
      </c>
      <c r="J2166" s="1" t="str">
        <f>IF(I2166=0,"No",IF(INDEX('Staff Review'!$C$8:$C$507,I2166)="Yes","Yes","No"))</f>
        <v>No</v>
      </c>
      <c r="K2166" s="1">
        <f ca="1">IF(AI2166="Yes",INDEX('Staff Review'!$D$8:$D$507,I2166),IF(AB2166=0,"",IF(COUNT(INDEX($C$1531:$C$2030,AB2166))=1,INDEX($C$1531:$C$2030,AB2166),"")))</f>
        <v>0.43348121766882752</v>
      </c>
      <c r="L2166" s="1">
        <f>IF(AJ2166="Yes",INDEX('Staff Review'!$F$8:$F$507,I2166),IF(AB2166=0,"",IF(COUNT(INDEX($G$1531:$G$2030,AB2166))=1,INDEX($G$1531:$G$2030,AB2166),"")))</f>
        <v>4</v>
      </c>
      <c r="M2166" s="1" t="str">
        <f t="shared" ca="1" si="38"/>
        <v>Listed</v>
      </c>
      <c r="N2166" s="1" t="str">
        <f t="shared" si="39"/>
        <v>Listed</v>
      </c>
      <c r="O2166" s="1">
        <f t="shared" si="40"/>
        <v>30</v>
      </c>
      <c r="P2166" s="1">
        <f t="shared" ca="1" si="41"/>
        <v>10</v>
      </c>
      <c r="Q2166" s="1">
        <f t="shared" si="42"/>
        <v>5</v>
      </c>
      <c r="R2166" s="1">
        <f t="shared" si="43"/>
        <v>5</v>
      </c>
      <c r="S2166" s="1">
        <f t="shared" ca="1" si="44"/>
        <v>50</v>
      </c>
      <c r="T2166" s="1">
        <f ca="1">IF(OR(COUNT(O2166:R2166)&lt;&gt;4,COUNT('Top 25'!$B$45:$E$45)&lt;&gt;4,MIN('Top 25'!$B$45:$E$45)&lt;0,SUM('Top 25'!$B$45:$E$45)&lt;=0),"",ROUND(85*(O2166/30*'Top 25'!$B$45+P2166/25*'Top 25'!$C$45+Q2166/25*'Top 25'!$D$45+R2166/5*'Top 25'!$E$45)/SUM('Top 25'!$B$45:$E$45),6))</f>
        <v>50</v>
      </c>
      <c r="U2166" s="1" t="str">
        <f t="shared" ca="1" si="45"/>
        <v>Listed</v>
      </c>
      <c r="V2166" s="1" t="str">
        <f ca="1">IF(A2166="","",IF(AK2166&lt;&gt;1,"Duplicate source ID",IF(COUNTIFS('Staff Review'!$A$8:$A$507,A2166)&gt;1,"Duplicate review ID",IF(H2166&lt;&gt;"Yes","Outside scope",IF(J2166="Yes","Already served",IF(NOT(ISNUMBER(T2166)),"Missing data","Candidate"))))))</f>
        <v>Candidate</v>
      </c>
      <c r="W2166" s="1">
        <f t="shared" ca="1" si="46"/>
        <v>40</v>
      </c>
      <c r="X2166" s="1">
        <f t="shared" ca="1" si="47"/>
        <v>39</v>
      </c>
      <c r="Y2166" s="1">
        <f ca="1">IF(AND(H2166="Yes",OR(LEN('School Search'!$B$5)=0,ISNUMBER(SEARCH('School Search'!$B$5,B2166&amp;" "&amp;E2166&amp;" "&amp;A2166))),OR('School Search'!$D$5="All",C2166='School Search'!$D$5),OR('School Search'!$G$5="All eligible",AND('School Search'!$G$5="Not marked served",J2166&lt;&gt;"Yes"),AND('School Search'!$G$5="Missing data",V2166="Missing data"),AND('School Search'!$G$5="Marked served",J2166="Yes"))),1,0)</f>
        <v>1</v>
      </c>
      <c r="Z2166" s="1">
        <f ca="1">IF(Y2166=0,"",COUNTIFS($Y$2051:$Y$2550,1,$AO$2051:$AO$2550,"&lt;"&amp;AO2166)+COUNTIFS($Y$2051:Y2166,1,$AO$2051:AO2166,AO2166))</f>
        <v>40</v>
      </c>
      <c r="AA2166" s="1" t="str">
        <f t="shared" ca="1" si="48"/>
        <v>91% economic need; 0.43 mi fresh access; 4 nearby resources</v>
      </c>
      <c r="AB2166" s="1">
        <f t="shared" si="49"/>
        <v>116</v>
      </c>
      <c r="AC2166" s="1" t="str">
        <f t="shared" si="50"/>
        <v>ShopRite of Whitman Plaza 411</v>
      </c>
      <c r="AD2166" s="1" t="str">
        <f t="shared" si="51"/>
        <v>330 W Oregon Ave, Philadelphia, PA, 19148</v>
      </c>
      <c r="AE2166" s="1" t="str">
        <f t="shared" si="52"/>
        <v>927 JOHNSTON ST</v>
      </c>
      <c r="AF2166" s="1">
        <f t="shared" si="53"/>
        <v>39.914540959999997</v>
      </c>
      <c r="AG2166" s="1">
        <f t="shared" si="54"/>
        <v>-75.163588309999994</v>
      </c>
      <c r="AH2166" s="1" t="str">
        <f>IF(I2166=0,"Not contacted",IF(INDEX('Staff Review'!$J$8:$J$507,I2166)="","Not contacted",INDEX('Staff Review'!$J$8:$J$507,I2166)))</f>
        <v>Not contacted</v>
      </c>
      <c r="AI2166" s="1" t="str">
        <f ca="1">IF(I2166=0,"No",IF(AND(COUNT(INDEX('Staff Review'!$D$8:$D$507,I2166))=1,INDEX('Staff Review'!$D$8:$D$507,I2166)&gt;=0,COUNT(INDEX('Staff Review'!$E$8:$E$507,I2166))=1,INDEX('Staff Review'!$E$8:$E$507,I2166)&gt;0,INDEX('Staff Review'!$E$8:$E$507,I2166)&lt;='Top 25'!$E$5,'Top 25'!$E$5-INDEX('Staff Review'!$E$8:$E$507,I2166)&lt;='Top 25'!$H$5,LEN(INDEX('Staff Review'!$H$8:$H$507,I2166))&gt;0),"Yes","No"))</f>
        <v>No</v>
      </c>
      <c r="AJ2166" s="1" t="str">
        <f>IF(I2166=0,"No",IF(COUNT(INDEX('Staff Review'!$F$8:$F$507,I2166))&lt;&gt;1,"No",IF(AND(INDEX('Staff Review'!$F$8:$F$507,I2166)&gt;=0,MOD(INDEX('Staff Review'!$F$8:$F$507,I2166),1)=0,COUNT(INDEX('Staff Review'!$G$8:$G$507,I2166))=1,INDEX('Staff Review'!$G$8:$G$507,I2166)&gt;0,INDEX('Staff Review'!$G$8:$G$507,I2166)&lt;='Top 25'!$E$5,'Top 25'!$E$5-INDEX('Staff Review'!$G$8:$G$507,I2166)&lt;='Top 25'!$H$5,LEN(INDEX('Staff Review'!$H$8:$H$507,I2166))&gt;0),"Yes","No")))</f>
        <v>No</v>
      </c>
      <c r="AK2166" s="1">
        <f t="shared" si="55"/>
        <v>1</v>
      </c>
      <c r="AL2166" s="1">
        <f t="shared" ca="1" si="56"/>
        <v>1</v>
      </c>
      <c r="AM2166" s="1">
        <f t="shared" si="57"/>
        <v>3385</v>
      </c>
      <c r="AN2166" s="1">
        <f t="shared" si="58"/>
        <v>116</v>
      </c>
      <c r="AO2166">
        <f t="shared" ca="1" si="59"/>
        <v>40</v>
      </c>
      <c r="AP2166" s="105">
        <f ca="1">IF(AND(AL2166=1,OR('Top 25'!$A$10="All",C2166='Top 25'!$A$10),OR('Top 25'!$D$10="All",D2166='Top 25'!$D$10)),1,0)</f>
        <v>0</v>
      </c>
      <c r="AQ2166" s="105" t="str">
        <f ca="1">IF(AP2166=0,"",CHOOSE(MATCH('Top 25'!$G$10,{"Priority score","Economic need","Enrollment","Fresh miles","Nearby resources"},0),T2166,G2166,F2166,K2166,L2166))</f>
        <v/>
      </c>
      <c r="AR2166" s="105" t="str">
        <f ca="1">IF(AP2166=0,"",1+COUNTIFS($AP$2051:$AP$2550,1,$AQ$2051:$AQ$2550,IF('Top 25'!$J$10="Ascending","&lt;","&gt;")&amp;AQ2166)+COUNTIFS($AP$2051:$AP$2550,1,$AQ$2051:$AQ$2550,AQ2166,$W$2051:$W$2550,"&lt;"&amp;W2166))</f>
        <v/>
      </c>
      <c r="AT2166" s="105">
        <f ca="1">IF(AND(AL2166=1,OR(Master_rankableSchools!$A$10="All",C2166=Master_rankableSchools!$A$10),OR(Master_rankableSchools!$D$10="All",D2166=Master_rankableSchools!$D$10)),1,0)</f>
        <v>1</v>
      </c>
      <c r="AU2166" s="105">
        <f ca="1">IF(AT2166=0,"",CHOOSE(MATCH(Master_rankableSchools!$G$10,{"Priority score","Economic need","Enrollment","Fresh miles","Nearby resources"},0),T2166,G2166,F2166,K2166,L2166))</f>
        <v>50</v>
      </c>
      <c r="AV2166" s="105">
        <f ca="1">IF(AT2166=0,"",1+COUNTIFS($AT$2051:$AT$2550,1,$AU$2051:$AU$2550,IF(Master_rankableSchools!$J$10="Ascending","&lt;","&gt;")&amp;AU2166)+COUNTIFS($AT$2051:$AT$2550,1,$AU$2051:$AU$2550,AU2166,$W$2051:$W$2550,"&lt;"&amp;W2166))</f>
        <v>40</v>
      </c>
    </row>
    <row r="2167" spans="1:48" ht="22" customHeight="1">
      <c r="A2167" s="1" t="str">
        <f t="shared" si="30"/>
        <v>3386</v>
      </c>
      <c r="B2167" s="1" t="str">
        <f t="shared" si="31"/>
        <v>Northwood Academy Charter School</v>
      </c>
      <c r="C2167" s="1" t="str">
        <f t="shared" si="32"/>
        <v>Charter</v>
      </c>
      <c r="D2167" s="1" t="str">
        <f t="shared" si="33"/>
        <v>Elementary-Middle</v>
      </c>
      <c r="E2167" s="1" t="str">
        <f t="shared" si="34"/>
        <v>19124</v>
      </c>
      <c r="F2167" s="1">
        <f t="shared" si="35"/>
        <v>801</v>
      </c>
      <c r="G2167" s="1">
        <f t="shared" si="36"/>
        <v>0.75060000000000004</v>
      </c>
      <c r="H2167" s="1" t="str">
        <f t="shared" si="37"/>
        <v>Yes</v>
      </c>
      <c r="I2167" s="1">
        <f>IF(OR(A2167="",COUNTIFS('Staff Review'!$A$8:$A$507,A2167)&lt;&gt;1),0,MATCH(A2167,'Staff Review'!$A$8:$A$507,0))</f>
        <v>208</v>
      </c>
      <c r="J2167" s="1" t="str">
        <f>IF(I2167=0,"No",IF(INDEX('Staff Review'!$C$8:$C$507,I2167)="Yes","Yes","No"))</f>
        <v>No</v>
      </c>
      <c r="K2167" s="1">
        <f ca="1">IF(AI2167="Yes",INDEX('Staff Review'!$D$8:$D$507,I2167),IF(AB2167=0,"",IF(COUNT(INDEX($C$1531:$C$2030,AB2167))=1,INDEX($C$1531:$C$2030,AB2167),"")))</f>
        <v>5.1136273911278562E-2</v>
      </c>
      <c r="L2167" s="1">
        <f>IF(AJ2167="Yes",INDEX('Staff Review'!$F$8:$F$507,I2167),IF(AB2167=0,"",IF(COUNT(INDEX($G$1531:$G$2030,AB2167))=1,INDEX($G$1531:$G$2030,AB2167),"")))</f>
        <v>6</v>
      </c>
      <c r="M2167" s="1" t="str">
        <f t="shared" ca="1" si="38"/>
        <v>Listed</v>
      </c>
      <c r="N2167" s="1" t="str">
        <f t="shared" si="39"/>
        <v>Listed</v>
      </c>
      <c r="O2167" s="1">
        <f t="shared" si="40"/>
        <v>20</v>
      </c>
      <c r="P2167" s="1">
        <f t="shared" ca="1" si="41"/>
        <v>5</v>
      </c>
      <c r="Q2167" s="1">
        <f t="shared" si="42"/>
        <v>0</v>
      </c>
      <c r="R2167" s="1">
        <f t="shared" si="43"/>
        <v>5</v>
      </c>
      <c r="S2167" s="1">
        <f t="shared" ca="1" si="44"/>
        <v>30</v>
      </c>
      <c r="T2167" s="1">
        <f ca="1">IF(OR(COUNT(O2167:R2167)&lt;&gt;4,COUNT('Top 25'!$B$45:$E$45)&lt;&gt;4,MIN('Top 25'!$B$45:$E$45)&lt;0,SUM('Top 25'!$B$45:$E$45)&lt;=0),"",ROUND(85*(O2167/30*'Top 25'!$B$45+P2167/25*'Top 25'!$C$45+Q2167/25*'Top 25'!$D$45+R2167/5*'Top 25'!$E$45)/SUM('Top 25'!$B$45:$E$45),6))</f>
        <v>30</v>
      </c>
      <c r="U2167" s="1" t="str">
        <f t="shared" ca="1" si="45"/>
        <v>Listed</v>
      </c>
      <c r="V2167" s="1" t="str">
        <f ca="1">IF(A2167="","",IF(AK2167&lt;&gt;1,"Duplicate source ID",IF(COUNTIFS('Staff Review'!$A$8:$A$507,A2167)&gt;1,"Duplicate review ID",IF(H2167&lt;&gt;"Yes","Outside scope",IF(J2167="Yes","Already served",IF(NOT(ISNUMBER(T2167)),"Missing data","Candidate"))))))</f>
        <v>Candidate</v>
      </c>
      <c r="W2167" s="1">
        <f t="shared" ca="1" si="46"/>
        <v>255</v>
      </c>
      <c r="X2167" s="1">
        <f t="shared" ca="1" si="47"/>
        <v>253</v>
      </c>
      <c r="Y2167" s="1">
        <f ca="1">IF(AND(H2167="Yes",OR(LEN('School Search'!$B$5)=0,ISNUMBER(SEARCH('School Search'!$B$5,B2167&amp;" "&amp;E2167&amp;" "&amp;A2167))),OR('School Search'!$D$5="All",C2167='School Search'!$D$5),OR('School Search'!$G$5="All eligible",AND('School Search'!$G$5="Not marked served",J2167&lt;&gt;"Yes"),AND('School Search'!$G$5="Missing data",V2167="Missing data"),AND('School Search'!$G$5="Marked served",J2167="Yes"))),1,0)</f>
        <v>1</v>
      </c>
      <c r="Z2167" s="1">
        <f ca="1">IF(Y2167=0,"",COUNTIFS($Y$2051:$Y$2550,1,$AO$2051:$AO$2550,"&lt;"&amp;AO2167)+COUNTIFS($Y$2051:Y2167,1,$AO$2051:AO2167,AO2167))</f>
        <v>255</v>
      </c>
      <c r="AA2167" s="1" t="str">
        <f t="shared" ca="1" si="48"/>
        <v>75% economic need; 0.05 mi fresh access; 6 nearby resources</v>
      </c>
      <c r="AB2167" s="1">
        <f t="shared" si="49"/>
        <v>117</v>
      </c>
      <c r="AC2167" s="1" t="str">
        <f t="shared" si="50"/>
        <v>Castor Avenue Market LLC</v>
      </c>
      <c r="AD2167" s="1" t="str">
        <f t="shared" si="51"/>
        <v>900 E Orthodox St, Philadelphia, PA, 19124</v>
      </c>
      <c r="AE2167" s="1" t="str">
        <f t="shared" si="52"/>
        <v>4621 CASTOR AVE</v>
      </c>
      <c r="AF2167" s="1">
        <f t="shared" si="53"/>
        <v>40.020150059999999</v>
      </c>
      <c r="AG2167" s="1">
        <f t="shared" si="54"/>
        <v>-75.095238109999997</v>
      </c>
      <c r="AH2167" s="1" t="str">
        <f>IF(I2167=0,"Not contacted",IF(INDEX('Staff Review'!$J$8:$J$507,I2167)="","Not contacted",INDEX('Staff Review'!$J$8:$J$507,I2167)))</f>
        <v>Not contacted</v>
      </c>
      <c r="AI2167" s="1" t="str">
        <f ca="1">IF(I2167=0,"No",IF(AND(COUNT(INDEX('Staff Review'!$D$8:$D$507,I2167))=1,INDEX('Staff Review'!$D$8:$D$507,I2167)&gt;=0,COUNT(INDEX('Staff Review'!$E$8:$E$507,I2167))=1,INDEX('Staff Review'!$E$8:$E$507,I2167)&gt;0,INDEX('Staff Review'!$E$8:$E$507,I2167)&lt;='Top 25'!$E$5,'Top 25'!$E$5-INDEX('Staff Review'!$E$8:$E$507,I2167)&lt;='Top 25'!$H$5,LEN(INDEX('Staff Review'!$H$8:$H$507,I2167))&gt;0),"Yes","No"))</f>
        <v>No</v>
      </c>
      <c r="AJ2167" s="1" t="str">
        <f>IF(I2167=0,"No",IF(COUNT(INDEX('Staff Review'!$F$8:$F$507,I2167))&lt;&gt;1,"No",IF(AND(INDEX('Staff Review'!$F$8:$F$507,I2167)&gt;=0,MOD(INDEX('Staff Review'!$F$8:$F$507,I2167),1)=0,COUNT(INDEX('Staff Review'!$G$8:$G$507,I2167))=1,INDEX('Staff Review'!$G$8:$G$507,I2167)&gt;0,INDEX('Staff Review'!$G$8:$G$507,I2167)&lt;='Top 25'!$E$5,'Top 25'!$E$5-INDEX('Staff Review'!$G$8:$G$507,I2167)&lt;='Top 25'!$H$5,LEN(INDEX('Staff Review'!$H$8:$H$507,I2167))&gt;0),"Yes","No")))</f>
        <v>No</v>
      </c>
      <c r="AK2167" s="1">
        <f t="shared" si="55"/>
        <v>1</v>
      </c>
      <c r="AL2167" s="1">
        <f t="shared" ca="1" si="56"/>
        <v>1</v>
      </c>
      <c r="AM2167" s="1">
        <f t="shared" si="57"/>
        <v>3386</v>
      </c>
      <c r="AN2167" s="1">
        <f t="shared" si="58"/>
        <v>117</v>
      </c>
      <c r="AO2167">
        <f t="shared" ca="1" si="59"/>
        <v>255</v>
      </c>
      <c r="AP2167" s="105">
        <f ca="1">IF(AND(AL2167=1,OR('Top 25'!$A$10="All",C2167='Top 25'!$A$10),OR('Top 25'!$D$10="All",D2167='Top 25'!$D$10)),1,0)</f>
        <v>0</v>
      </c>
      <c r="AQ2167" s="105" t="str">
        <f ca="1">IF(AP2167=0,"",CHOOSE(MATCH('Top 25'!$G$10,{"Priority score","Economic need","Enrollment","Fresh miles","Nearby resources"},0),T2167,G2167,F2167,K2167,L2167))</f>
        <v/>
      </c>
      <c r="AR2167" s="105" t="str">
        <f ca="1">IF(AP2167=0,"",1+COUNTIFS($AP$2051:$AP$2550,1,$AQ$2051:$AQ$2550,IF('Top 25'!$J$10="Ascending","&lt;","&gt;")&amp;AQ2167)+COUNTIFS($AP$2051:$AP$2550,1,$AQ$2051:$AQ$2550,AQ2167,$W$2051:$W$2550,"&lt;"&amp;W2167))</f>
        <v/>
      </c>
      <c r="AT2167" s="105">
        <f ca="1">IF(AND(AL2167=1,OR(Master_rankableSchools!$A$10="All",C2167=Master_rankableSchools!$A$10),OR(Master_rankableSchools!$D$10="All",D2167=Master_rankableSchools!$D$10)),1,0)</f>
        <v>1</v>
      </c>
      <c r="AU2167" s="105">
        <f ca="1">IF(AT2167=0,"",CHOOSE(MATCH(Master_rankableSchools!$G$10,{"Priority score","Economic need","Enrollment","Fresh miles","Nearby resources"},0),T2167,G2167,F2167,K2167,L2167))</f>
        <v>30</v>
      </c>
      <c r="AV2167" s="105">
        <f ca="1">IF(AT2167=0,"",1+COUNTIFS($AT$2051:$AT$2550,1,$AU$2051:$AU$2550,IF(Master_rankableSchools!$J$10="Ascending","&lt;","&gt;")&amp;AU2167)+COUNTIFS($AT$2051:$AT$2550,1,$AU$2051:$AU$2550,AU2167,$W$2051:$W$2550,"&lt;"&amp;W2167))</f>
        <v>255</v>
      </c>
    </row>
    <row r="2168" spans="1:48" ht="22" customHeight="1">
      <c r="A2168" s="1" t="str">
        <f t="shared" si="30"/>
        <v>3388</v>
      </c>
      <c r="B2168" s="1" t="str">
        <f t="shared" si="31"/>
        <v>Boys' Latin of Philadelphia Charter School</v>
      </c>
      <c r="C2168" s="1" t="str">
        <f t="shared" si="32"/>
        <v>Charter</v>
      </c>
      <c r="D2168" s="1" t="str">
        <f t="shared" si="33"/>
        <v>Middle-High</v>
      </c>
      <c r="E2168" s="1" t="str">
        <f t="shared" si="34"/>
        <v>19143</v>
      </c>
      <c r="F2168" s="1">
        <f t="shared" si="35"/>
        <v>768</v>
      </c>
      <c r="G2168" s="1">
        <f t="shared" si="36"/>
        <v>0.65510000000000002</v>
      </c>
      <c r="H2168" s="1" t="str">
        <f t="shared" si="37"/>
        <v>Yes</v>
      </c>
      <c r="I2168" s="1">
        <f>IF(OR(A2168="",COUNTIFS('Staff Review'!$A$8:$A$507,A2168)&lt;&gt;1),0,MATCH(A2168,'Staff Review'!$A$8:$A$507,0))</f>
        <v>33</v>
      </c>
      <c r="J2168" s="1" t="str">
        <f>IF(I2168=0,"No",IF(INDEX('Staff Review'!$C$8:$C$507,I2168)="Yes","Yes","No"))</f>
        <v>No</v>
      </c>
      <c r="K2168" s="1">
        <f ca="1">IF(AI2168="Yes",INDEX('Staff Review'!$D$8:$D$507,I2168),IF(AB2168=0,"",IF(COUNT(INDEX($C$1531:$C$2030,AB2168))=1,INDEX($C$1531:$C$2030,AB2168),"")))</f>
        <v>0.43883924319742251</v>
      </c>
      <c r="L2168" s="1">
        <f>IF(AJ2168="Yes",INDEX('Staff Review'!$F$8:$F$507,I2168),IF(AB2168=0,"",IF(COUNT(INDEX($G$1531:$G$2030,AB2168))=1,INDEX($G$1531:$G$2030,AB2168),"")))</f>
        <v>11</v>
      </c>
      <c r="M2168" s="1" t="str">
        <f t="shared" ca="1" si="38"/>
        <v>Listed</v>
      </c>
      <c r="N2168" s="1" t="str">
        <f t="shared" si="39"/>
        <v>Listed</v>
      </c>
      <c r="O2168" s="1">
        <f t="shared" si="40"/>
        <v>15</v>
      </c>
      <c r="P2168" s="1">
        <f t="shared" ca="1" si="41"/>
        <v>10</v>
      </c>
      <c r="Q2168" s="1">
        <f t="shared" si="42"/>
        <v>0</v>
      </c>
      <c r="R2168" s="1">
        <f t="shared" si="43"/>
        <v>5</v>
      </c>
      <c r="S2168" s="1">
        <f t="shared" ca="1" si="44"/>
        <v>30</v>
      </c>
      <c r="T2168" s="1">
        <f ca="1">IF(OR(COUNT(O2168:R2168)&lt;&gt;4,COUNT('Top 25'!$B$45:$E$45)&lt;&gt;4,MIN('Top 25'!$B$45:$E$45)&lt;0,SUM('Top 25'!$B$45:$E$45)&lt;=0),"",ROUND(85*(O2168/30*'Top 25'!$B$45+P2168/25*'Top 25'!$C$45+Q2168/25*'Top 25'!$D$45+R2168/5*'Top 25'!$E$45)/SUM('Top 25'!$B$45:$E$45),6))</f>
        <v>30</v>
      </c>
      <c r="U2168" s="1" t="str">
        <f t="shared" ca="1" si="45"/>
        <v>Listed</v>
      </c>
      <c r="V2168" s="1" t="str">
        <f ca="1">IF(A2168="","",IF(AK2168&lt;&gt;1,"Duplicate source ID",IF(COUNTIFS('Staff Review'!$A$8:$A$507,A2168)&gt;1,"Duplicate review ID",IF(H2168&lt;&gt;"Yes","Outside scope",IF(J2168="Yes","Already served",IF(NOT(ISNUMBER(T2168)),"Missing data","Candidate"))))))</f>
        <v>Candidate</v>
      </c>
      <c r="W2168" s="1">
        <f t="shared" ca="1" si="46"/>
        <v>258</v>
      </c>
      <c r="X2168" s="1">
        <f t="shared" ca="1" si="47"/>
        <v>253</v>
      </c>
      <c r="Y2168" s="1">
        <f ca="1">IF(AND(H2168="Yes",OR(LEN('School Search'!$B$5)=0,ISNUMBER(SEARCH('School Search'!$B$5,B2168&amp;" "&amp;E2168&amp;" "&amp;A2168))),OR('School Search'!$D$5="All",C2168='School Search'!$D$5),OR('School Search'!$G$5="All eligible",AND('School Search'!$G$5="Not marked served",J2168&lt;&gt;"Yes"),AND('School Search'!$G$5="Missing data",V2168="Missing data"),AND('School Search'!$G$5="Marked served",J2168="Yes"))),1,0)</f>
        <v>1</v>
      </c>
      <c r="Z2168" s="1">
        <f ca="1">IF(Y2168=0,"",COUNTIFS($Y$2051:$Y$2550,1,$AO$2051:$AO$2550,"&lt;"&amp;AO2168)+COUNTIFS($Y$2051:Y2168,1,$AO$2051:AO2168,AO2168))</f>
        <v>258</v>
      </c>
      <c r="AA2168" s="1" t="str">
        <f t="shared" ca="1" si="48"/>
        <v>66% economic need; 0.44 mi fresh access; 11 nearby resources</v>
      </c>
      <c r="AB2168" s="1">
        <f t="shared" si="49"/>
        <v>118</v>
      </c>
      <c r="AC2168" s="1" t="str">
        <f t="shared" si="50"/>
        <v>Cousin's Fresh Market 3 Llc</v>
      </c>
      <c r="AD2168" s="1" t="str">
        <f t="shared" si="51"/>
        <v>5704 Baltimore Ave, Philadelphia, PA, 19143</v>
      </c>
      <c r="AE2168" s="1" t="str">
        <f t="shared" si="52"/>
        <v>5501 CEDAR AVE</v>
      </c>
      <c r="AF2168" s="1">
        <f t="shared" si="53"/>
        <v>39.951725580000002</v>
      </c>
      <c r="AG2168" s="1">
        <f t="shared" si="54"/>
        <v>-75.233748509999998</v>
      </c>
      <c r="AH2168" s="1" t="str">
        <f>IF(I2168=0,"Not contacted",IF(INDEX('Staff Review'!$J$8:$J$507,I2168)="","Not contacted",INDEX('Staff Review'!$J$8:$J$507,I2168)))</f>
        <v>Not contacted</v>
      </c>
      <c r="AI2168" s="1" t="str">
        <f ca="1">IF(I2168=0,"No",IF(AND(COUNT(INDEX('Staff Review'!$D$8:$D$507,I2168))=1,INDEX('Staff Review'!$D$8:$D$507,I2168)&gt;=0,COUNT(INDEX('Staff Review'!$E$8:$E$507,I2168))=1,INDEX('Staff Review'!$E$8:$E$507,I2168)&gt;0,INDEX('Staff Review'!$E$8:$E$507,I2168)&lt;='Top 25'!$E$5,'Top 25'!$E$5-INDEX('Staff Review'!$E$8:$E$507,I2168)&lt;='Top 25'!$H$5,LEN(INDEX('Staff Review'!$H$8:$H$507,I2168))&gt;0),"Yes","No"))</f>
        <v>No</v>
      </c>
      <c r="AJ2168" s="1" t="str">
        <f>IF(I2168=0,"No",IF(COUNT(INDEX('Staff Review'!$F$8:$F$507,I2168))&lt;&gt;1,"No",IF(AND(INDEX('Staff Review'!$F$8:$F$507,I2168)&gt;=0,MOD(INDEX('Staff Review'!$F$8:$F$507,I2168),1)=0,COUNT(INDEX('Staff Review'!$G$8:$G$507,I2168))=1,INDEX('Staff Review'!$G$8:$G$507,I2168)&gt;0,INDEX('Staff Review'!$G$8:$G$507,I2168)&lt;='Top 25'!$E$5,'Top 25'!$E$5-INDEX('Staff Review'!$G$8:$G$507,I2168)&lt;='Top 25'!$H$5,LEN(INDEX('Staff Review'!$H$8:$H$507,I2168))&gt;0),"Yes","No")))</f>
        <v>No</v>
      </c>
      <c r="AK2168" s="1">
        <f t="shared" si="55"/>
        <v>1</v>
      </c>
      <c r="AL2168" s="1">
        <f t="shared" ca="1" si="56"/>
        <v>1</v>
      </c>
      <c r="AM2168" s="1">
        <f t="shared" si="57"/>
        <v>3388</v>
      </c>
      <c r="AN2168" s="1">
        <f t="shared" si="58"/>
        <v>118</v>
      </c>
      <c r="AO2168">
        <f t="shared" ca="1" si="59"/>
        <v>258</v>
      </c>
      <c r="AP2168" s="105">
        <f ca="1">IF(AND(AL2168=1,OR('Top 25'!$A$10="All",C2168='Top 25'!$A$10),OR('Top 25'!$D$10="All",D2168='Top 25'!$D$10)),1,0)</f>
        <v>0</v>
      </c>
      <c r="AQ2168" s="105" t="str">
        <f ca="1">IF(AP2168=0,"",CHOOSE(MATCH('Top 25'!$G$10,{"Priority score","Economic need","Enrollment","Fresh miles","Nearby resources"},0),T2168,G2168,F2168,K2168,L2168))</f>
        <v/>
      </c>
      <c r="AR2168" s="105" t="str">
        <f ca="1">IF(AP2168=0,"",1+COUNTIFS($AP$2051:$AP$2550,1,$AQ$2051:$AQ$2550,IF('Top 25'!$J$10="Ascending","&lt;","&gt;")&amp;AQ2168)+COUNTIFS($AP$2051:$AP$2550,1,$AQ$2051:$AQ$2550,AQ2168,$W$2051:$W$2550,"&lt;"&amp;W2168))</f>
        <v/>
      </c>
      <c r="AT2168" s="105">
        <f ca="1">IF(AND(AL2168=1,OR(Master_rankableSchools!$A$10="All",C2168=Master_rankableSchools!$A$10),OR(Master_rankableSchools!$D$10="All",D2168=Master_rankableSchools!$D$10)),1,0)</f>
        <v>1</v>
      </c>
      <c r="AU2168" s="105">
        <f ca="1">IF(AT2168=0,"",CHOOSE(MATCH(Master_rankableSchools!$G$10,{"Priority score","Economic need","Enrollment","Fresh miles","Nearby resources"},0),T2168,G2168,F2168,K2168,L2168))</f>
        <v>30</v>
      </c>
      <c r="AV2168" s="105">
        <f ca="1">IF(AT2168=0,"",1+COUNTIFS($AT$2051:$AT$2550,1,$AU$2051:$AU$2550,IF(Master_rankableSchools!$J$10="Ascending","&lt;","&gt;")&amp;AU2168)+COUNTIFS($AT$2051:$AT$2550,1,$AU$2051:$AU$2550,AU2168,$W$2051:$W$2550,"&lt;"&amp;W2168))</f>
        <v>258</v>
      </c>
    </row>
    <row r="2169" spans="1:48" ht="22" customHeight="1">
      <c r="A2169" s="1" t="str">
        <f t="shared" si="30"/>
        <v>3389</v>
      </c>
      <c r="B2169" s="1" t="str">
        <f t="shared" si="31"/>
        <v>Keystone Academy Charter School</v>
      </c>
      <c r="C2169" s="1" t="str">
        <f t="shared" si="32"/>
        <v>Charter</v>
      </c>
      <c r="D2169" s="1" t="str">
        <f t="shared" si="33"/>
        <v>Elementary-Middle</v>
      </c>
      <c r="E2169" s="1" t="str">
        <f t="shared" si="34"/>
        <v>19135</v>
      </c>
      <c r="F2169" s="1">
        <f t="shared" si="35"/>
        <v>649</v>
      </c>
      <c r="G2169" s="1">
        <f t="shared" si="36"/>
        <v>0.72299999999999998</v>
      </c>
      <c r="H2169" s="1" t="str">
        <f t="shared" si="37"/>
        <v>Yes</v>
      </c>
      <c r="I2169" s="1">
        <f>IF(OR(A2169="",COUNTIFS('Staff Review'!$A$8:$A$507,A2169)&lt;&gt;1),0,MATCH(A2169,'Staff Review'!$A$8:$A$507,0))</f>
        <v>160</v>
      </c>
      <c r="J2169" s="1" t="str">
        <f>IF(I2169=0,"No",IF(INDEX('Staff Review'!$C$8:$C$507,I2169)="Yes","Yes","No"))</f>
        <v>No</v>
      </c>
      <c r="K2169" s="1">
        <f ca="1">IF(AI2169="Yes",INDEX('Staff Review'!$D$8:$D$507,I2169),IF(AB2169=0,"",IF(COUNT(INDEX($C$1531:$C$2030,AB2169))=1,INDEX($C$1531:$C$2030,AB2169),"")))</f>
        <v>0.46155674922950946</v>
      </c>
      <c r="L2169" s="1">
        <f>IF(AJ2169="Yes",INDEX('Staff Review'!$F$8:$F$507,I2169),IF(AB2169=0,"",IF(COUNT(INDEX($G$1531:$G$2030,AB2169))=1,INDEX($G$1531:$G$2030,AB2169),"")))</f>
        <v>6</v>
      </c>
      <c r="M2169" s="1" t="str">
        <f t="shared" ca="1" si="38"/>
        <v>Listed</v>
      </c>
      <c r="N2169" s="1" t="str">
        <f t="shared" si="39"/>
        <v>Listed</v>
      </c>
      <c r="O2169" s="1">
        <f t="shared" si="40"/>
        <v>20</v>
      </c>
      <c r="P2169" s="1">
        <f t="shared" ca="1" si="41"/>
        <v>10</v>
      </c>
      <c r="Q2169" s="1">
        <f t="shared" si="42"/>
        <v>0</v>
      </c>
      <c r="R2169" s="1">
        <f t="shared" si="43"/>
        <v>4</v>
      </c>
      <c r="S2169" s="1">
        <f t="shared" ca="1" si="44"/>
        <v>34</v>
      </c>
      <c r="T2169" s="1">
        <f ca="1">IF(OR(COUNT(O2169:R2169)&lt;&gt;4,COUNT('Top 25'!$B$45:$E$45)&lt;&gt;4,MIN('Top 25'!$B$45:$E$45)&lt;0,SUM('Top 25'!$B$45:$E$45)&lt;=0),"",ROUND(85*(O2169/30*'Top 25'!$B$45+P2169/25*'Top 25'!$C$45+Q2169/25*'Top 25'!$D$45+R2169/5*'Top 25'!$E$45)/SUM('Top 25'!$B$45:$E$45),6))</f>
        <v>34</v>
      </c>
      <c r="U2169" s="1" t="str">
        <f t="shared" ca="1" si="45"/>
        <v>Listed</v>
      </c>
      <c r="V2169" s="1" t="str">
        <f ca="1">IF(A2169="","",IF(AK2169&lt;&gt;1,"Duplicate source ID",IF(COUNTIFS('Staff Review'!$A$8:$A$507,A2169)&gt;1,"Duplicate review ID",IF(H2169&lt;&gt;"Yes","Outside scope",IF(J2169="Yes","Already served",IF(NOT(ISNUMBER(T2169)),"Missing data","Candidate"))))))</f>
        <v>Candidate</v>
      </c>
      <c r="W2169" s="1">
        <f t="shared" ca="1" si="46"/>
        <v>230</v>
      </c>
      <c r="X2169" s="1">
        <f t="shared" ca="1" si="47"/>
        <v>221</v>
      </c>
      <c r="Y2169" s="1">
        <f ca="1">IF(AND(H2169="Yes",OR(LEN('School Search'!$B$5)=0,ISNUMBER(SEARCH('School Search'!$B$5,B2169&amp;" "&amp;E2169&amp;" "&amp;A2169))),OR('School Search'!$D$5="All",C2169='School Search'!$D$5),OR('School Search'!$G$5="All eligible",AND('School Search'!$G$5="Not marked served",J2169&lt;&gt;"Yes"),AND('School Search'!$G$5="Missing data",V2169="Missing data"),AND('School Search'!$G$5="Marked served",J2169="Yes"))),1,0)</f>
        <v>1</v>
      </c>
      <c r="Z2169" s="1">
        <f ca="1">IF(Y2169=0,"",COUNTIFS($Y$2051:$Y$2550,1,$AO$2051:$AO$2550,"&lt;"&amp;AO2169)+COUNTIFS($Y$2051:Y2169,1,$AO$2051:AO2169,AO2169))</f>
        <v>230</v>
      </c>
      <c r="AA2169" s="1" t="str">
        <f t="shared" ca="1" si="48"/>
        <v>72% economic need; 0.46 mi fresh access; 6 nearby resources</v>
      </c>
      <c r="AB2169" s="1">
        <f t="shared" si="49"/>
        <v>119</v>
      </c>
      <c r="AC2169" s="1" t="str">
        <f t="shared" si="50"/>
        <v>SAVE-A-LOT 60132</v>
      </c>
      <c r="AD2169" s="1" t="str">
        <f t="shared" si="51"/>
        <v>6801 Frankford Ave, Philadelphia, PA, 19135</v>
      </c>
      <c r="AE2169" s="1" t="str">
        <f t="shared" si="52"/>
        <v>4521 LONGSHORE AVE</v>
      </c>
      <c r="AF2169" s="1">
        <f t="shared" si="53"/>
        <v>40.027604199999999</v>
      </c>
      <c r="AG2169" s="1">
        <f t="shared" si="54"/>
        <v>-75.043582200000003</v>
      </c>
      <c r="AH2169" s="1" t="str">
        <f>IF(I2169=0,"Not contacted",IF(INDEX('Staff Review'!$J$8:$J$507,I2169)="","Not contacted",INDEX('Staff Review'!$J$8:$J$507,I2169)))</f>
        <v>Not contacted</v>
      </c>
      <c r="AI2169" s="1" t="str">
        <f ca="1">IF(I2169=0,"No",IF(AND(COUNT(INDEX('Staff Review'!$D$8:$D$507,I2169))=1,INDEX('Staff Review'!$D$8:$D$507,I2169)&gt;=0,COUNT(INDEX('Staff Review'!$E$8:$E$507,I2169))=1,INDEX('Staff Review'!$E$8:$E$507,I2169)&gt;0,INDEX('Staff Review'!$E$8:$E$507,I2169)&lt;='Top 25'!$E$5,'Top 25'!$E$5-INDEX('Staff Review'!$E$8:$E$507,I2169)&lt;='Top 25'!$H$5,LEN(INDEX('Staff Review'!$H$8:$H$507,I2169))&gt;0),"Yes","No"))</f>
        <v>No</v>
      </c>
      <c r="AJ2169" s="1" t="str">
        <f>IF(I2169=0,"No",IF(COUNT(INDEX('Staff Review'!$F$8:$F$507,I2169))&lt;&gt;1,"No",IF(AND(INDEX('Staff Review'!$F$8:$F$507,I2169)&gt;=0,MOD(INDEX('Staff Review'!$F$8:$F$507,I2169),1)=0,COUNT(INDEX('Staff Review'!$G$8:$G$507,I2169))=1,INDEX('Staff Review'!$G$8:$G$507,I2169)&gt;0,INDEX('Staff Review'!$G$8:$G$507,I2169)&lt;='Top 25'!$E$5,'Top 25'!$E$5-INDEX('Staff Review'!$G$8:$G$507,I2169)&lt;='Top 25'!$H$5,LEN(INDEX('Staff Review'!$H$8:$H$507,I2169))&gt;0),"Yes","No")))</f>
        <v>No</v>
      </c>
      <c r="AK2169" s="1">
        <f t="shared" si="55"/>
        <v>1</v>
      </c>
      <c r="AL2169" s="1">
        <f t="shared" ca="1" si="56"/>
        <v>1</v>
      </c>
      <c r="AM2169" s="1">
        <f t="shared" si="57"/>
        <v>3389</v>
      </c>
      <c r="AN2169" s="1">
        <f t="shared" si="58"/>
        <v>119</v>
      </c>
      <c r="AO2169">
        <f t="shared" ca="1" si="59"/>
        <v>230</v>
      </c>
      <c r="AP2169" s="105">
        <f ca="1">IF(AND(AL2169=1,OR('Top 25'!$A$10="All",C2169='Top 25'!$A$10),OR('Top 25'!$D$10="All",D2169='Top 25'!$D$10)),1,0)</f>
        <v>0</v>
      </c>
      <c r="AQ2169" s="105" t="str">
        <f ca="1">IF(AP2169=0,"",CHOOSE(MATCH('Top 25'!$G$10,{"Priority score","Economic need","Enrollment","Fresh miles","Nearby resources"},0),T2169,G2169,F2169,K2169,L2169))</f>
        <v/>
      </c>
      <c r="AR2169" s="105" t="str">
        <f ca="1">IF(AP2169=0,"",1+COUNTIFS($AP$2051:$AP$2550,1,$AQ$2051:$AQ$2550,IF('Top 25'!$J$10="Ascending","&lt;","&gt;")&amp;AQ2169)+COUNTIFS($AP$2051:$AP$2550,1,$AQ$2051:$AQ$2550,AQ2169,$W$2051:$W$2550,"&lt;"&amp;W2169))</f>
        <v/>
      </c>
      <c r="AT2169" s="105">
        <f ca="1">IF(AND(AL2169=1,OR(Master_rankableSchools!$A$10="All",C2169=Master_rankableSchools!$A$10),OR(Master_rankableSchools!$D$10="All",D2169=Master_rankableSchools!$D$10)),1,0)</f>
        <v>1</v>
      </c>
      <c r="AU2169" s="105">
        <f ca="1">IF(AT2169=0,"",CHOOSE(MATCH(Master_rankableSchools!$G$10,{"Priority score","Economic need","Enrollment","Fresh miles","Nearby resources"},0),T2169,G2169,F2169,K2169,L2169))</f>
        <v>34</v>
      </c>
      <c r="AV2169" s="105">
        <f ca="1">IF(AT2169=0,"",1+COUNTIFS($AT$2051:$AT$2550,1,$AU$2051:$AU$2550,IF(Master_rankableSchools!$J$10="Ascending","&lt;","&gt;")&amp;AU2169)+COUNTIFS($AT$2051:$AT$2550,1,$AU$2051:$AU$2550,AU2169,$W$2051:$W$2550,"&lt;"&amp;W2169))</f>
        <v>230</v>
      </c>
    </row>
    <row r="2170" spans="1:48" ht="22" customHeight="1">
      <c r="A2170" s="1" t="str">
        <f t="shared" si="30"/>
        <v>3392</v>
      </c>
      <c r="B2170" s="1" t="str">
        <f t="shared" si="31"/>
        <v>Southwest Leadership Academy Charter School</v>
      </c>
      <c r="C2170" s="1" t="str">
        <f t="shared" si="32"/>
        <v>Charter</v>
      </c>
      <c r="D2170" s="1" t="str">
        <f t="shared" si="33"/>
        <v>Elementary-Middle</v>
      </c>
      <c r="E2170" s="1" t="str">
        <f t="shared" si="34"/>
        <v>19142</v>
      </c>
      <c r="F2170" s="1">
        <f t="shared" si="35"/>
        <v>690</v>
      </c>
      <c r="G2170" s="1">
        <f t="shared" si="36"/>
        <v>1</v>
      </c>
      <c r="H2170" s="1" t="str">
        <f t="shared" si="37"/>
        <v>Yes</v>
      </c>
      <c r="I2170" s="1">
        <f>IF(OR(A2170="",COUNTIFS('Staff Review'!$A$8:$A$507,A2170)&lt;&gt;1),0,MATCH(A2170,'Staff Review'!$A$8:$A$507,0))</f>
        <v>273</v>
      </c>
      <c r="J2170" s="1" t="str">
        <f>IF(I2170=0,"No",IF(INDEX('Staff Review'!$C$8:$C$507,I2170)="Yes","Yes","No"))</f>
        <v>No</v>
      </c>
      <c r="K2170" s="1">
        <f ca="1">IF(AI2170="Yes",INDEX('Staff Review'!$D$8:$D$507,I2170),IF(AB2170=0,"",IF(COUNT(INDEX($C$1531:$C$2030,AB2170))=1,INDEX($C$1531:$C$2030,AB2170),"")))</f>
        <v>0.74331399043601476</v>
      </c>
      <c r="L2170" s="1">
        <f>IF(AJ2170="Yes",INDEX('Staff Review'!$F$8:$F$507,I2170),IF(AB2170=0,"",IF(COUNT(INDEX($G$1531:$G$2030,AB2170))=1,INDEX($G$1531:$G$2030,AB2170),"")))</f>
        <v>2</v>
      </c>
      <c r="M2170" s="1" t="str">
        <f t="shared" ca="1" si="38"/>
        <v>Listed</v>
      </c>
      <c r="N2170" s="1" t="str">
        <f t="shared" si="39"/>
        <v>Listed</v>
      </c>
      <c r="O2170" s="1">
        <f t="shared" si="40"/>
        <v>30</v>
      </c>
      <c r="P2170" s="1">
        <f t="shared" ca="1" si="41"/>
        <v>15</v>
      </c>
      <c r="Q2170" s="1">
        <f t="shared" si="42"/>
        <v>15</v>
      </c>
      <c r="R2170" s="1">
        <f t="shared" si="43"/>
        <v>4</v>
      </c>
      <c r="S2170" s="1">
        <f t="shared" ca="1" si="44"/>
        <v>64</v>
      </c>
      <c r="T2170" s="1">
        <f ca="1">IF(OR(COUNT(O2170:R2170)&lt;&gt;4,COUNT('Top 25'!$B$45:$E$45)&lt;&gt;4,MIN('Top 25'!$B$45:$E$45)&lt;0,SUM('Top 25'!$B$45:$E$45)&lt;=0),"",ROUND(85*(O2170/30*'Top 25'!$B$45+P2170/25*'Top 25'!$C$45+Q2170/25*'Top 25'!$D$45+R2170/5*'Top 25'!$E$45)/SUM('Top 25'!$B$45:$E$45),6))</f>
        <v>64</v>
      </c>
      <c r="U2170" s="1" t="str">
        <f t="shared" ca="1" si="45"/>
        <v>Listed</v>
      </c>
      <c r="V2170" s="1" t="str">
        <f ca="1">IF(A2170="","",IF(AK2170&lt;&gt;1,"Duplicate source ID",IF(COUNTIFS('Staff Review'!$A$8:$A$507,A2170)&gt;1,"Duplicate review ID",IF(H2170&lt;&gt;"Yes","Outside scope",IF(J2170="Yes","Already served",IF(NOT(ISNUMBER(T2170)),"Missing data","Candidate"))))))</f>
        <v>Candidate</v>
      </c>
      <c r="W2170" s="1">
        <f t="shared" ca="1" si="46"/>
        <v>4</v>
      </c>
      <c r="X2170" s="1">
        <f t="shared" ca="1" si="47"/>
        <v>4</v>
      </c>
      <c r="Y2170" s="1">
        <f ca="1">IF(AND(H2170="Yes",OR(LEN('School Search'!$B$5)=0,ISNUMBER(SEARCH('School Search'!$B$5,B2170&amp;" "&amp;E2170&amp;" "&amp;A2170))),OR('School Search'!$D$5="All",C2170='School Search'!$D$5),OR('School Search'!$G$5="All eligible",AND('School Search'!$G$5="Not marked served",J2170&lt;&gt;"Yes"),AND('School Search'!$G$5="Missing data",V2170="Missing data"),AND('School Search'!$G$5="Marked served",J2170="Yes"))),1,0)</f>
        <v>1</v>
      </c>
      <c r="Z2170" s="1">
        <f ca="1">IF(Y2170=0,"",COUNTIFS($Y$2051:$Y$2550,1,$AO$2051:$AO$2550,"&lt;"&amp;AO2170)+COUNTIFS($Y$2051:Y2170,1,$AO$2051:AO2170,AO2170))</f>
        <v>4</v>
      </c>
      <c r="AA2170" s="1" t="str">
        <f t="shared" ca="1" si="48"/>
        <v>100% economic need; 0.74 mi fresh access; 2 nearby resources</v>
      </c>
      <c r="AB2170" s="1">
        <f t="shared" si="49"/>
        <v>120</v>
      </c>
      <c r="AC2170" s="1" t="str">
        <f t="shared" si="50"/>
        <v>Cousin's Fresh Market Inc</v>
      </c>
      <c r="AD2170" s="1" t="str">
        <f t="shared" si="51"/>
        <v>6411 Woodland Ave, Philadelphia, PA, 19142</v>
      </c>
      <c r="AE2170" s="1" t="str">
        <f t="shared" si="52"/>
        <v>7101 PASCHALL AVE</v>
      </c>
      <c r="AF2170" s="1">
        <f t="shared" si="53"/>
        <v>39.918098999999998</v>
      </c>
      <c r="AG2170" s="1">
        <f t="shared" si="54"/>
        <v>-75.242599999999996</v>
      </c>
      <c r="AH2170" s="1" t="str">
        <f>IF(I2170=0,"Not contacted",IF(INDEX('Staff Review'!$J$8:$J$507,I2170)="","Not contacted",INDEX('Staff Review'!$J$8:$J$507,I2170)))</f>
        <v>Not contacted</v>
      </c>
      <c r="AI2170" s="1" t="str">
        <f ca="1">IF(I2170=0,"No",IF(AND(COUNT(INDEX('Staff Review'!$D$8:$D$507,I2170))=1,INDEX('Staff Review'!$D$8:$D$507,I2170)&gt;=0,COUNT(INDEX('Staff Review'!$E$8:$E$507,I2170))=1,INDEX('Staff Review'!$E$8:$E$507,I2170)&gt;0,INDEX('Staff Review'!$E$8:$E$507,I2170)&lt;='Top 25'!$E$5,'Top 25'!$E$5-INDEX('Staff Review'!$E$8:$E$507,I2170)&lt;='Top 25'!$H$5,LEN(INDEX('Staff Review'!$H$8:$H$507,I2170))&gt;0),"Yes","No"))</f>
        <v>No</v>
      </c>
      <c r="AJ2170" s="1" t="str">
        <f>IF(I2170=0,"No",IF(COUNT(INDEX('Staff Review'!$F$8:$F$507,I2170))&lt;&gt;1,"No",IF(AND(INDEX('Staff Review'!$F$8:$F$507,I2170)&gt;=0,MOD(INDEX('Staff Review'!$F$8:$F$507,I2170),1)=0,COUNT(INDEX('Staff Review'!$G$8:$G$507,I2170))=1,INDEX('Staff Review'!$G$8:$G$507,I2170)&gt;0,INDEX('Staff Review'!$G$8:$G$507,I2170)&lt;='Top 25'!$E$5,'Top 25'!$E$5-INDEX('Staff Review'!$G$8:$G$507,I2170)&lt;='Top 25'!$H$5,LEN(INDEX('Staff Review'!$H$8:$H$507,I2170))&gt;0),"Yes","No")))</f>
        <v>No</v>
      </c>
      <c r="AK2170" s="1">
        <f t="shared" si="55"/>
        <v>1</v>
      </c>
      <c r="AL2170" s="1">
        <f t="shared" ca="1" si="56"/>
        <v>1</v>
      </c>
      <c r="AM2170" s="1">
        <f t="shared" si="57"/>
        <v>3392</v>
      </c>
      <c r="AN2170" s="1">
        <f t="shared" si="58"/>
        <v>120</v>
      </c>
      <c r="AO2170">
        <f t="shared" ca="1" si="59"/>
        <v>4</v>
      </c>
      <c r="AP2170" s="105">
        <f ca="1">IF(AND(AL2170=1,OR('Top 25'!$A$10="All",C2170='Top 25'!$A$10),OR('Top 25'!$D$10="All",D2170='Top 25'!$D$10)),1,0)</f>
        <v>0</v>
      </c>
      <c r="AQ2170" s="105" t="str">
        <f ca="1">IF(AP2170=0,"",CHOOSE(MATCH('Top 25'!$G$10,{"Priority score","Economic need","Enrollment","Fresh miles","Nearby resources"},0),T2170,G2170,F2170,K2170,L2170))</f>
        <v/>
      </c>
      <c r="AR2170" s="105" t="str">
        <f ca="1">IF(AP2170=0,"",1+COUNTIFS($AP$2051:$AP$2550,1,$AQ$2051:$AQ$2550,IF('Top 25'!$J$10="Ascending","&lt;","&gt;")&amp;AQ2170)+COUNTIFS($AP$2051:$AP$2550,1,$AQ$2051:$AQ$2550,AQ2170,$W$2051:$W$2550,"&lt;"&amp;W2170))</f>
        <v/>
      </c>
      <c r="AT2170" s="105">
        <f ca="1">IF(AND(AL2170=1,OR(Master_rankableSchools!$A$10="All",C2170=Master_rankableSchools!$A$10),OR(Master_rankableSchools!$D$10="All",D2170=Master_rankableSchools!$D$10)),1,0)</f>
        <v>1</v>
      </c>
      <c r="AU2170" s="105">
        <f ca="1">IF(AT2170=0,"",CHOOSE(MATCH(Master_rankableSchools!$G$10,{"Priority score","Economic need","Enrollment","Fresh miles","Nearby resources"},0),T2170,G2170,F2170,K2170,L2170))</f>
        <v>64</v>
      </c>
      <c r="AV2170" s="105">
        <f ca="1">IF(AT2170=0,"",1+COUNTIFS($AT$2051:$AT$2550,1,$AU$2051:$AU$2550,IF(Master_rankableSchools!$J$10="Ascending","&lt;","&gt;")&amp;AU2170)+COUNTIFS($AT$2051:$AT$2550,1,$AU$2051:$AU$2550,AU2170,$W$2051:$W$2550,"&lt;"&amp;W2170))</f>
        <v>4</v>
      </c>
    </row>
    <row r="2171" spans="1:48" ht="22" customHeight="1">
      <c r="A2171" s="1" t="str">
        <f t="shared" si="30"/>
        <v>3393</v>
      </c>
      <c r="B2171" s="1" t="str">
        <f t="shared" si="31"/>
        <v>Mastery Charter School at Pickett</v>
      </c>
      <c r="C2171" s="1" t="str">
        <f t="shared" si="32"/>
        <v>Charter</v>
      </c>
      <c r="D2171" s="1" t="str">
        <f t="shared" si="33"/>
        <v>Middle-High</v>
      </c>
      <c r="E2171" s="1" t="str">
        <f t="shared" si="34"/>
        <v>19144</v>
      </c>
      <c r="F2171" s="1">
        <f t="shared" si="35"/>
        <v>903</v>
      </c>
      <c r="G2171" s="1">
        <f t="shared" si="36"/>
        <v>0.80349999999999999</v>
      </c>
      <c r="H2171" s="1" t="str">
        <f t="shared" si="37"/>
        <v>Yes</v>
      </c>
      <c r="I2171" s="1">
        <f>IF(OR(A2171="",COUNTIFS('Staff Review'!$A$8:$A$507,A2171)&lt;&gt;1),0,MATCH(A2171,'Staff Review'!$A$8:$A$507,0))</f>
        <v>190</v>
      </c>
      <c r="J2171" s="1" t="str">
        <f>IF(I2171=0,"No",IF(INDEX('Staff Review'!$C$8:$C$507,I2171)="Yes","Yes","No"))</f>
        <v>No</v>
      </c>
      <c r="K2171" s="1">
        <f ca="1">IF(AI2171="Yes",INDEX('Staff Review'!$D$8:$D$507,I2171),IF(AB2171=0,"",IF(COUNT(INDEX($C$1531:$C$2030,AB2171))=1,INDEX($C$1531:$C$2030,AB2171),"")))</f>
        <v>7.6646918522881122E-2</v>
      </c>
      <c r="L2171" s="1">
        <f>IF(AJ2171="Yes",INDEX('Staff Review'!$F$8:$F$507,I2171),IF(AB2171=0,"",IF(COUNT(INDEX($G$1531:$G$2030,AB2171))=1,INDEX($G$1531:$G$2030,AB2171),"")))</f>
        <v>15</v>
      </c>
      <c r="M2171" s="1" t="str">
        <f t="shared" ca="1" si="38"/>
        <v>Listed</v>
      </c>
      <c r="N2171" s="1" t="str">
        <f t="shared" si="39"/>
        <v>Listed</v>
      </c>
      <c r="O2171" s="1">
        <f t="shared" si="40"/>
        <v>25</v>
      </c>
      <c r="P2171" s="1">
        <f t="shared" ca="1" si="41"/>
        <v>5</v>
      </c>
      <c r="Q2171" s="1">
        <f t="shared" si="42"/>
        <v>0</v>
      </c>
      <c r="R2171" s="1">
        <f t="shared" si="43"/>
        <v>5</v>
      </c>
      <c r="S2171" s="1">
        <f t="shared" ca="1" si="44"/>
        <v>35</v>
      </c>
      <c r="T2171" s="1">
        <f ca="1">IF(OR(COUNT(O2171:R2171)&lt;&gt;4,COUNT('Top 25'!$B$45:$E$45)&lt;&gt;4,MIN('Top 25'!$B$45:$E$45)&lt;0,SUM('Top 25'!$B$45:$E$45)&lt;=0),"",ROUND(85*(O2171/30*'Top 25'!$B$45+P2171/25*'Top 25'!$C$45+Q2171/25*'Top 25'!$D$45+R2171/5*'Top 25'!$E$45)/SUM('Top 25'!$B$45:$E$45),6))</f>
        <v>35</v>
      </c>
      <c r="U2171" s="1" t="str">
        <f t="shared" ca="1" si="45"/>
        <v>Listed</v>
      </c>
      <c r="V2171" s="1" t="str">
        <f ca="1">IF(A2171="","",IF(AK2171&lt;&gt;1,"Duplicate source ID",IF(COUNTIFS('Staff Review'!$A$8:$A$507,A2171)&gt;1,"Duplicate review ID",IF(H2171&lt;&gt;"Yes","Outside scope",IF(J2171="Yes","Already served",IF(NOT(ISNUMBER(T2171)),"Missing data","Candidate"))))))</f>
        <v>Candidate</v>
      </c>
      <c r="W2171" s="1">
        <f t="shared" ca="1" si="46"/>
        <v>211</v>
      </c>
      <c r="X2171" s="1">
        <f t="shared" ca="1" si="47"/>
        <v>210</v>
      </c>
      <c r="Y2171" s="1">
        <f ca="1">IF(AND(H2171="Yes",OR(LEN('School Search'!$B$5)=0,ISNUMBER(SEARCH('School Search'!$B$5,B2171&amp;" "&amp;E2171&amp;" "&amp;A2171))),OR('School Search'!$D$5="All",C2171='School Search'!$D$5),OR('School Search'!$G$5="All eligible",AND('School Search'!$G$5="Not marked served",J2171&lt;&gt;"Yes"),AND('School Search'!$G$5="Missing data",V2171="Missing data"),AND('School Search'!$G$5="Marked served",J2171="Yes"))),1,0)</f>
        <v>1</v>
      </c>
      <c r="Z2171" s="1">
        <f ca="1">IF(Y2171=0,"",COUNTIFS($Y$2051:$Y$2550,1,$AO$2051:$AO$2550,"&lt;"&amp;AO2171)+COUNTIFS($Y$2051:Y2171,1,$AO$2051:AO2171,AO2171))</f>
        <v>211</v>
      </c>
      <c r="AA2171" s="1" t="str">
        <f t="shared" ca="1" si="48"/>
        <v>80% economic need; 0.08 mi fresh access; 15 nearby resources</v>
      </c>
      <c r="AB2171" s="1">
        <f t="shared" si="49"/>
        <v>121</v>
      </c>
      <c r="AC2171" s="1" t="str">
        <f t="shared" si="50"/>
        <v>Save A Lot 24858</v>
      </c>
      <c r="AD2171" s="1" t="str">
        <f t="shared" si="51"/>
        <v>5834 Pulaski Ave, Philadelphia, PA, 19144</v>
      </c>
      <c r="AE2171" s="1" t="str">
        <f t="shared" si="52"/>
        <v>5700 WAYNE AVE</v>
      </c>
      <c r="AF2171" s="1">
        <f t="shared" si="53"/>
        <v>40.03187441</v>
      </c>
      <c r="AG2171" s="1">
        <f t="shared" si="54"/>
        <v>-75.180871240000002</v>
      </c>
      <c r="AH2171" s="1" t="str">
        <f>IF(I2171=0,"Not contacted",IF(INDEX('Staff Review'!$J$8:$J$507,I2171)="","Not contacted",INDEX('Staff Review'!$J$8:$J$507,I2171)))</f>
        <v>Not contacted</v>
      </c>
      <c r="AI2171" s="1" t="str">
        <f ca="1">IF(I2171=0,"No",IF(AND(COUNT(INDEX('Staff Review'!$D$8:$D$507,I2171))=1,INDEX('Staff Review'!$D$8:$D$507,I2171)&gt;=0,COUNT(INDEX('Staff Review'!$E$8:$E$507,I2171))=1,INDEX('Staff Review'!$E$8:$E$507,I2171)&gt;0,INDEX('Staff Review'!$E$8:$E$507,I2171)&lt;='Top 25'!$E$5,'Top 25'!$E$5-INDEX('Staff Review'!$E$8:$E$507,I2171)&lt;='Top 25'!$H$5,LEN(INDEX('Staff Review'!$H$8:$H$507,I2171))&gt;0),"Yes","No"))</f>
        <v>No</v>
      </c>
      <c r="AJ2171" s="1" t="str">
        <f>IF(I2171=0,"No",IF(COUNT(INDEX('Staff Review'!$F$8:$F$507,I2171))&lt;&gt;1,"No",IF(AND(INDEX('Staff Review'!$F$8:$F$507,I2171)&gt;=0,MOD(INDEX('Staff Review'!$F$8:$F$507,I2171),1)=0,COUNT(INDEX('Staff Review'!$G$8:$G$507,I2171))=1,INDEX('Staff Review'!$G$8:$G$507,I2171)&gt;0,INDEX('Staff Review'!$G$8:$G$507,I2171)&lt;='Top 25'!$E$5,'Top 25'!$E$5-INDEX('Staff Review'!$G$8:$G$507,I2171)&lt;='Top 25'!$H$5,LEN(INDEX('Staff Review'!$H$8:$H$507,I2171))&gt;0),"Yes","No")))</f>
        <v>No</v>
      </c>
      <c r="AK2171" s="1">
        <f t="shared" si="55"/>
        <v>1</v>
      </c>
      <c r="AL2171" s="1">
        <f t="shared" ca="1" si="56"/>
        <v>1</v>
      </c>
      <c r="AM2171" s="1">
        <f t="shared" si="57"/>
        <v>3393</v>
      </c>
      <c r="AN2171" s="1">
        <f t="shared" si="58"/>
        <v>121</v>
      </c>
      <c r="AO2171">
        <f t="shared" ca="1" si="59"/>
        <v>211</v>
      </c>
      <c r="AP2171" s="105">
        <f ca="1">IF(AND(AL2171=1,OR('Top 25'!$A$10="All",C2171='Top 25'!$A$10),OR('Top 25'!$D$10="All",D2171='Top 25'!$D$10)),1,0)</f>
        <v>0</v>
      </c>
      <c r="AQ2171" s="105" t="str">
        <f ca="1">IF(AP2171=0,"",CHOOSE(MATCH('Top 25'!$G$10,{"Priority score","Economic need","Enrollment","Fresh miles","Nearby resources"},0),T2171,G2171,F2171,K2171,L2171))</f>
        <v/>
      </c>
      <c r="AR2171" s="105" t="str">
        <f ca="1">IF(AP2171=0,"",1+COUNTIFS($AP$2051:$AP$2550,1,$AQ$2051:$AQ$2550,IF('Top 25'!$J$10="Ascending","&lt;","&gt;")&amp;AQ2171)+COUNTIFS($AP$2051:$AP$2550,1,$AQ$2051:$AQ$2550,AQ2171,$W$2051:$W$2550,"&lt;"&amp;W2171))</f>
        <v/>
      </c>
      <c r="AT2171" s="105">
        <f ca="1">IF(AND(AL2171=1,OR(Master_rankableSchools!$A$10="All",C2171=Master_rankableSchools!$A$10),OR(Master_rankableSchools!$D$10="All",D2171=Master_rankableSchools!$D$10)),1,0)</f>
        <v>1</v>
      </c>
      <c r="AU2171" s="105">
        <f ca="1">IF(AT2171=0,"",CHOOSE(MATCH(Master_rankableSchools!$G$10,{"Priority score","Economic need","Enrollment","Fresh miles","Nearby resources"},0),T2171,G2171,F2171,K2171,L2171))</f>
        <v>35</v>
      </c>
      <c r="AV2171" s="105">
        <f ca="1">IF(AT2171=0,"",1+COUNTIFS($AT$2051:$AT$2550,1,$AU$2051:$AU$2550,IF(Master_rankableSchools!$J$10="Ascending","&lt;","&gt;")&amp;AU2171)+COUNTIFS($AT$2051:$AT$2550,1,$AU$2051:$AU$2550,AU2171,$W$2051:$W$2550,"&lt;"&amp;W2171))</f>
        <v>211</v>
      </c>
    </row>
    <row r="2172" spans="1:48" ht="22" customHeight="1">
      <c r="A2172" s="1" t="str">
        <f t="shared" si="30"/>
        <v>3394</v>
      </c>
      <c r="B2172" s="1" t="str">
        <f t="shared" si="31"/>
        <v>Pan American Academy Charter School</v>
      </c>
      <c r="C2172" s="1" t="str">
        <f t="shared" si="32"/>
        <v>Charter</v>
      </c>
      <c r="D2172" s="1" t="str">
        <f t="shared" si="33"/>
        <v>Elementary-Middle</v>
      </c>
      <c r="E2172" s="1" t="str">
        <f t="shared" si="34"/>
        <v>19133</v>
      </c>
      <c r="F2172" s="1">
        <f t="shared" si="35"/>
        <v>767</v>
      </c>
      <c r="G2172" s="1">
        <f t="shared" si="36"/>
        <v>0.86170000000000002</v>
      </c>
      <c r="H2172" s="1" t="str">
        <f t="shared" si="37"/>
        <v>Yes</v>
      </c>
      <c r="I2172" s="1">
        <f>IF(OR(A2172="",COUNTIFS('Staff Review'!$A$8:$A$507,A2172)&lt;&gt;1),0,MATCH(A2172,'Staff Review'!$A$8:$A$507,0))</f>
        <v>221</v>
      </c>
      <c r="J2172" s="1" t="str">
        <f>IF(I2172=0,"No",IF(INDEX('Staff Review'!$C$8:$C$507,I2172)="Yes","Yes","No"))</f>
        <v>No</v>
      </c>
      <c r="K2172" s="1">
        <f ca="1">IF(AI2172="Yes",INDEX('Staff Review'!$D$8:$D$507,I2172),IF(AB2172=0,"",IF(COUNT(INDEX($C$1531:$C$2030,AB2172))=1,INDEX($C$1531:$C$2030,AB2172),"")))</f>
        <v>0.30659980523741776</v>
      </c>
      <c r="L2172" s="1">
        <f>IF(AJ2172="Yes",INDEX('Staff Review'!$F$8:$F$507,I2172),IF(AB2172=0,"",IF(COUNT(INDEX($G$1531:$G$2030,AB2172))=1,INDEX($G$1531:$G$2030,AB2172),"")))</f>
        <v>12</v>
      </c>
      <c r="M2172" s="1" t="str">
        <f t="shared" ca="1" si="38"/>
        <v>Listed</v>
      </c>
      <c r="N2172" s="1" t="str">
        <f t="shared" si="39"/>
        <v>Listed</v>
      </c>
      <c r="O2172" s="1">
        <f t="shared" si="40"/>
        <v>25</v>
      </c>
      <c r="P2172" s="1">
        <f t="shared" ca="1" si="41"/>
        <v>10</v>
      </c>
      <c r="Q2172" s="1">
        <f t="shared" si="42"/>
        <v>0</v>
      </c>
      <c r="R2172" s="1">
        <f t="shared" si="43"/>
        <v>5</v>
      </c>
      <c r="S2172" s="1">
        <f t="shared" ca="1" si="44"/>
        <v>40</v>
      </c>
      <c r="T2172" s="1">
        <f ca="1">IF(OR(COUNT(O2172:R2172)&lt;&gt;4,COUNT('Top 25'!$B$45:$E$45)&lt;&gt;4,MIN('Top 25'!$B$45:$E$45)&lt;0,SUM('Top 25'!$B$45:$E$45)&lt;=0),"",ROUND(85*(O2172/30*'Top 25'!$B$45+P2172/25*'Top 25'!$C$45+Q2172/25*'Top 25'!$D$45+R2172/5*'Top 25'!$E$45)/SUM('Top 25'!$B$45:$E$45),6))</f>
        <v>40</v>
      </c>
      <c r="U2172" s="1" t="str">
        <f t="shared" ca="1" si="45"/>
        <v>Listed</v>
      </c>
      <c r="V2172" s="1" t="str">
        <f ca="1">IF(A2172="","",IF(AK2172&lt;&gt;1,"Duplicate source ID",IF(COUNTIFS('Staff Review'!$A$8:$A$507,A2172)&gt;1,"Duplicate review ID",IF(H2172&lt;&gt;"Yes","Outside scope",IF(J2172="Yes","Already served",IF(NOT(ISNUMBER(T2172)),"Missing data","Candidate"))))))</f>
        <v>Candidate</v>
      </c>
      <c r="W2172" s="1">
        <f t="shared" ca="1" si="46"/>
        <v>138</v>
      </c>
      <c r="X2172" s="1">
        <f t="shared" ca="1" si="47"/>
        <v>133</v>
      </c>
      <c r="Y2172" s="1">
        <f ca="1">IF(AND(H2172="Yes",OR(LEN('School Search'!$B$5)=0,ISNUMBER(SEARCH('School Search'!$B$5,B2172&amp;" "&amp;E2172&amp;" "&amp;A2172))),OR('School Search'!$D$5="All",C2172='School Search'!$D$5),OR('School Search'!$G$5="All eligible",AND('School Search'!$G$5="Not marked served",J2172&lt;&gt;"Yes"),AND('School Search'!$G$5="Missing data",V2172="Missing data"),AND('School Search'!$G$5="Marked served",J2172="Yes"))),1,0)</f>
        <v>1</v>
      </c>
      <c r="Z2172" s="1">
        <f ca="1">IF(Y2172=0,"",COUNTIFS($Y$2051:$Y$2550,1,$AO$2051:$AO$2550,"&lt;"&amp;AO2172)+COUNTIFS($Y$2051:Y2172,1,$AO$2051:AO2172,AO2172))</f>
        <v>138</v>
      </c>
      <c r="AA2172" s="1" t="str">
        <f t="shared" ca="1" si="48"/>
        <v>86% economic need; 0.31 mi fresh access; 12 nearby resources</v>
      </c>
      <c r="AB2172" s="1">
        <f t="shared" si="49"/>
        <v>122</v>
      </c>
      <c r="AC2172" s="1" t="str">
        <f t="shared" si="50"/>
        <v>JC 131 West Corp/Fine Fare</v>
      </c>
      <c r="AD2172" s="1" t="str">
        <f t="shared" si="51"/>
        <v>131 W Lehigh Ave, Philadelphia, PA, 19133</v>
      </c>
      <c r="AE2172" s="1" t="str">
        <f t="shared" si="52"/>
        <v>2830 N AMERICAN ST</v>
      </c>
      <c r="AF2172" s="1">
        <f t="shared" si="53"/>
        <v>39.994280609999997</v>
      </c>
      <c r="AG2172" s="1">
        <f t="shared" si="54"/>
        <v>-75.136148829999996</v>
      </c>
      <c r="AH2172" s="1" t="str">
        <f>IF(I2172=0,"Not contacted",IF(INDEX('Staff Review'!$J$8:$J$507,I2172)="","Not contacted",INDEX('Staff Review'!$J$8:$J$507,I2172)))</f>
        <v>Not contacted</v>
      </c>
      <c r="AI2172" s="1" t="str">
        <f ca="1">IF(I2172=0,"No",IF(AND(COUNT(INDEX('Staff Review'!$D$8:$D$507,I2172))=1,INDEX('Staff Review'!$D$8:$D$507,I2172)&gt;=0,COUNT(INDEX('Staff Review'!$E$8:$E$507,I2172))=1,INDEX('Staff Review'!$E$8:$E$507,I2172)&gt;0,INDEX('Staff Review'!$E$8:$E$507,I2172)&lt;='Top 25'!$E$5,'Top 25'!$E$5-INDEX('Staff Review'!$E$8:$E$507,I2172)&lt;='Top 25'!$H$5,LEN(INDEX('Staff Review'!$H$8:$H$507,I2172))&gt;0),"Yes","No"))</f>
        <v>No</v>
      </c>
      <c r="AJ2172" s="1" t="str">
        <f>IF(I2172=0,"No",IF(COUNT(INDEX('Staff Review'!$F$8:$F$507,I2172))&lt;&gt;1,"No",IF(AND(INDEX('Staff Review'!$F$8:$F$507,I2172)&gt;=0,MOD(INDEX('Staff Review'!$F$8:$F$507,I2172),1)=0,COUNT(INDEX('Staff Review'!$G$8:$G$507,I2172))=1,INDEX('Staff Review'!$G$8:$G$507,I2172)&gt;0,INDEX('Staff Review'!$G$8:$G$507,I2172)&lt;='Top 25'!$E$5,'Top 25'!$E$5-INDEX('Staff Review'!$G$8:$G$507,I2172)&lt;='Top 25'!$H$5,LEN(INDEX('Staff Review'!$H$8:$H$507,I2172))&gt;0),"Yes","No")))</f>
        <v>No</v>
      </c>
      <c r="AK2172" s="1">
        <f t="shared" si="55"/>
        <v>1</v>
      </c>
      <c r="AL2172" s="1">
        <f t="shared" ca="1" si="56"/>
        <v>1</v>
      </c>
      <c r="AM2172" s="1">
        <f t="shared" si="57"/>
        <v>3394</v>
      </c>
      <c r="AN2172" s="1">
        <f t="shared" si="58"/>
        <v>122</v>
      </c>
      <c r="AO2172">
        <f t="shared" ca="1" si="59"/>
        <v>138</v>
      </c>
      <c r="AP2172" s="105">
        <f ca="1">IF(AND(AL2172=1,OR('Top 25'!$A$10="All",C2172='Top 25'!$A$10),OR('Top 25'!$D$10="All",D2172='Top 25'!$D$10)),1,0)</f>
        <v>0</v>
      </c>
      <c r="AQ2172" s="105" t="str">
        <f ca="1">IF(AP2172=0,"",CHOOSE(MATCH('Top 25'!$G$10,{"Priority score","Economic need","Enrollment","Fresh miles","Nearby resources"},0),T2172,G2172,F2172,K2172,L2172))</f>
        <v/>
      </c>
      <c r="AR2172" s="105" t="str">
        <f ca="1">IF(AP2172=0,"",1+COUNTIFS($AP$2051:$AP$2550,1,$AQ$2051:$AQ$2550,IF('Top 25'!$J$10="Ascending","&lt;","&gt;")&amp;AQ2172)+COUNTIFS($AP$2051:$AP$2550,1,$AQ$2051:$AQ$2550,AQ2172,$W$2051:$W$2550,"&lt;"&amp;W2172))</f>
        <v/>
      </c>
      <c r="AT2172" s="105">
        <f ca="1">IF(AND(AL2172=1,OR(Master_rankableSchools!$A$10="All",C2172=Master_rankableSchools!$A$10),OR(Master_rankableSchools!$D$10="All",D2172=Master_rankableSchools!$D$10)),1,0)</f>
        <v>1</v>
      </c>
      <c r="AU2172" s="105">
        <f ca="1">IF(AT2172=0,"",CHOOSE(MATCH(Master_rankableSchools!$G$10,{"Priority score","Economic need","Enrollment","Fresh miles","Nearby resources"},0),T2172,G2172,F2172,K2172,L2172))</f>
        <v>40</v>
      </c>
      <c r="AV2172" s="105">
        <f ca="1">IF(AT2172=0,"",1+COUNTIFS($AT$2051:$AT$2550,1,$AU$2051:$AU$2550,IF(Master_rankableSchools!$J$10="Ascending","&lt;","&gt;")&amp;AU2172)+COUNTIFS($AT$2051:$AT$2550,1,$AU$2051:$AU$2550,AU2172,$W$2051:$W$2550,"&lt;"&amp;W2172))</f>
        <v>138</v>
      </c>
    </row>
    <row r="2173" spans="1:48" ht="22" customHeight="1">
      <c r="A2173" s="1" t="str">
        <f t="shared" si="30"/>
        <v>3395</v>
      </c>
      <c r="B2173" s="1" t="str">
        <f t="shared" si="31"/>
        <v>Antonia Pantoja Charter School</v>
      </c>
      <c r="C2173" s="1" t="str">
        <f t="shared" si="32"/>
        <v>Charter</v>
      </c>
      <c r="D2173" s="1" t="str">
        <f t="shared" si="33"/>
        <v>Elementary-Middle</v>
      </c>
      <c r="E2173" s="1" t="str">
        <f t="shared" si="34"/>
        <v>19140</v>
      </c>
      <c r="F2173" s="1">
        <f t="shared" si="35"/>
        <v>746</v>
      </c>
      <c r="G2173" s="1">
        <f t="shared" si="36"/>
        <v>0.8</v>
      </c>
      <c r="H2173" s="1" t="str">
        <f t="shared" si="37"/>
        <v>Yes</v>
      </c>
      <c r="I2173" s="1">
        <f>IF(OR(A2173="",COUNTIFS('Staff Review'!$A$8:$A$507,A2173)&lt;&gt;1),0,MATCH(A2173,'Staff Review'!$A$8:$A$507,0))</f>
        <v>23</v>
      </c>
      <c r="J2173" s="1" t="str">
        <f>IF(I2173=0,"No",IF(INDEX('Staff Review'!$C$8:$C$507,I2173)="Yes","Yes","No"))</f>
        <v>No</v>
      </c>
      <c r="K2173" s="1">
        <f ca="1">IF(AI2173="Yes",INDEX('Staff Review'!$D$8:$D$507,I2173),IF(AB2173=0,"",IF(COUNT(INDEX($C$1531:$C$2030,AB2173))=1,INDEX($C$1531:$C$2030,AB2173),"")))</f>
        <v>0.22446280484791564</v>
      </c>
      <c r="L2173" s="1">
        <f>IF(AJ2173="Yes",INDEX('Staff Review'!$F$8:$F$507,I2173),IF(AB2173=0,"",IF(COUNT(INDEX($G$1531:$G$2030,AB2173))=1,INDEX($G$1531:$G$2030,AB2173),"")))</f>
        <v>10</v>
      </c>
      <c r="M2173" s="1" t="str">
        <f t="shared" ca="1" si="38"/>
        <v>Listed</v>
      </c>
      <c r="N2173" s="1" t="str">
        <f t="shared" si="39"/>
        <v>Listed</v>
      </c>
      <c r="O2173" s="1">
        <f t="shared" si="40"/>
        <v>25</v>
      </c>
      <c r="P2173" s="1">
        <f t="shared" ca="1" si="41"/>
        <v>5</v>
      </c>
      <c r="Q2173" s="1">
        <f t="shared" si="42"/>
        <v>0</v>
      </c>
      <c r="R2173" s="1">
        <f t="shared" si="43"/>
        <v>5</v>
      </c>
      <c r="S2173" s="1">
        <f t="shared" ca="1" si="44"/>
        <v>35</v>
      </c>
      <c r="T2173" s="1">
        <f ca="1">IF(OR(COUNT(O2173:R2173)&lt;&gt;4,COUNT('Top 25'!$B$45:$E$45)&lt;&gt;4,MIN('Top 25'!$B$45:$E$45)&lt;0,SUM('Top 25'!$B$45:$E$45)&lt;=0),"",ROUND(85*(O2173/30*'Top 25'!$B$45+P2173/25*'Top 25'!$C$45+Q2173/25*'Top 25'!$D$45+R2173/5*'Top 25'!$E$45)/SUM('Top 25'!$B$45:$E$45),6))</f>
        <v>35</v>
      </c>
      <c r="U2173" s="1" t="str">
        <f t="shared" ca="1" si="45"/>
        <v>Listed</v>
      </c>
      <c r="V2173" s="1" t="str">
        <f ca="1">IF(A2173="","",IF(AK2173&lt;&gt;1,"Duplicate source ID",IF(COUNTIFS('Staff Review'!$A$8:$A$507,A2173)&gt;1,"Duplicate review ID",IF(H2173&lt;&gt;"Yes","Outside scope",IF(J2173="Yes","Already served",IF(NOT(ISNUMBER(T2173)),"Missing data","Candidate"))))))</f>
        <v>Candidate</v>
      </c>
      <c r="W2173" s="1">
        <f t="shared" ca="1" si="46"/>
        <v>212</v>
      </c>
      <c r="X2173" s="1">
        <f t="shared" ca="1" si="47"/>
        <v>210</v>
      </c>
      <c r="Y2173" s="1">
        <f ca="1">IF(AND(H2173="Yes",OR(LEN('School Search'!$B$5)=0,ISNUMBER(SEARCH('School Search'!$B$5,B2173&amp;" "&amp;E2173&amp;" "&amp;A2173))),OR('School Search'!$D$5="All",C2173='School Search'!$D$5),OR('School Search'!$G$5="All eligible",AND('School Search'!$G$5="Not marked served",J2173&lt;&gt;"Yes"),AND('School Search'!$G$5="Missing data",V2173="Missing data"),AND('School Search'!$G$5="Marked served",J2173="Yes"))),1,0)</f>
        <v>1</v>
      </c>
      <c r="Z2173" s="1">
        <f ca="1">IF(Y2173=0,"",COUNTIFS($Y$2051:$Y$2550,1,$AO$2051:$AO$2550,"&lt;"&amp;AO2173)+COUNTIFS($Y$2051:Y2173,1,$AO$2051:AO2173,AO2173))</f>
        <v>212</v>
      </c>
      <c r="AA2173" s="1" t="str">
        <f t="shared" ca="1" si="48"/>
        <v>80% economic need; 0.22 mi fresh access; 10 nearby resources</v>
      </c>
      <c r="AB2173" s="1">
        <f t="shared" si="49"/>
        <v>123</v>
      </c>
      <c r="AC2173" s="1" t="str">
        <f t="shared" si="50"/>
        <v>COUSINS SUPERMARKET INC. #2</v>
      </c>
      <c r="AD2173" s="1" t="str">
        <f t="shared" si="51"/>
        <v>4037 N 5th St, Philadelphia, PA, 19140</v>
      </c>
      <c r="AE2173" s="1" t="str">
        <f t="shared" si="52"/>
        <v>4101 N AMERICAN ST</v>
      </c>
      <c r="AF2173" s="1">
        <f t="shared" si="53"/>
        <v>40.013005249999999</v>
      </c>
      <c r="AG2173" s="1">
        <f t="shared" si="54"/>
        <v>-75.131365639999999</v>
      </c>
      <c r="AH2173" s="1" t="str">
        <f>IF(I2173=0,"Not contacted",IF(INDEX('Staff Review'!$J$8:$J$507,I2173)="","Not contacted",INDEX('Staff Review'!$J$8:$J$507,I2173)))</f>
        <v>Not contacted</v>
      </c>
      <c r="AI2173" s="1" t="str">
        <f ca="1">IF(I2173=0,"No",IF(AND(COUNT(INDEX('Staff Review'!$D$8:$D$507,I2173))=1,INDEX('Staff Review'!$D$8:$D$507,I2173)&gt;=0,COUNT(INDEX('Staff Review'!$E$8:$E$507,I2173))=1,INDEX('Staff Review'!$E$8:$E$507,I2173)&gt;0,INDEX('Staff Review'!$E$8:$E$507,I2173)&lt;='Top 25'!$E$5,'Top 25'!$E$5-INDEX('Staff Review'!$E$8:$E$507,I2173)&lt;='Top 25'!$H$5,LEN(INDEX('Staff Review'!$H$8:$H$507,I2173))&gt;0),"Yes","No"))</f>
        <v>No</v>
      </c>
      <c r="AJ2173" s="1" t="str">
        <f>IF(I2173=0,"No",IF(COUNT(INDEX('Staff Review'!$F$8:$F$507,I2173))&lt;&gt;1,"No",IF(AND(INDEX('Staff Review'!$F$8:$F$507,I2173)&gt;=0,MOD(INDEX('Staff Review'!$F$8:$F$507,I2173),1)=0,COUNT(INDEX('Staff Review'!$G$8:$G$507,I2173))=1,INDEX('Staff Review'!$G$8:$G$507,I2173)&gt;0,INDEX('Staff Review'!$G$8:$G$507,I2173)&lt;='Top 25'!$E$5,'Top 25'!$E$5-INDEX('Staff Review'!$G$8:$G$507,I2173)&lt;='Top 25'!$H$5,LEN(INDEX('Staff Review'!$H$8:$H$507,I2173))&gt;0),"Yes","No")))</f>
        <v>No</v>
      </c>
      <c r="AK2173" s="1">
        <f t="shared" si="55"/>
        <v>1</v>
      </c>
      <c r="AL2173" s="1">
        <f t="shared" ca="1" si="56"/>
        <v>1</v>
      </c>
      <c r="AM2173" s="1">
        <f t="shared" si="57"/>
        <v>3395</v>
      </c>
      <c r="AN2173" s="1">
        <f t="shared" si="58"/>
        <v>123</v>
      </c>
      <c r="AO2173">
        <f t="shared" ca="1" si="59"/>
        <v>212</v>
      </c>
      <c r="AP2173" s="105">
        <f ca="1">IF(AND(AL2173=1,OR('Top 25'!$A$10="All",C2173='Top 25'!$A$10),OR('Top 25'!$D$10="All",D2173='Top 25'!$D$10)),1,0)</f>
        <v>0</v>
      </c>
      <c r="AQ2173" s="105" t="str">
        <f ca="1">IF(AP2173=0,"",CHOOSE(MATCH('Top 25'!$G$10,{"Priority score","Economic need","Enrollment","Fresh miles","Nearby resources"},0),T2173,G2173,F2173,K2173,L2173))</f>
        <v/>
      </c>
      <c r="AR2173" s="105" t="str">
        <f ca="1">IF(AP2173=0,"",1+COUNTIFS($AP$2051:$AP$2550,1,$AQ$2051:$AQ$2550,IF('Top 25'!$J$10="Ascending","&lt;","&gt;")&amp;AQ2173)+COUNTIFS($AP$2051:$AP$2550,1,$AQ$2051:$AQ$2550,AQ2173,$W$2051:$W$2550,"&lt;"&amp;W2173))</f>
        <v/>
      </c>
      <c r="AT2173" s="105">
        <f ca="1">IF(AND(AL2173=1,OR(Master_rankableSchools!$A$10="All",C2173=Master_rankableSchools!$A$10),OR(Master_rankableSchools!$D$10="All",D2173=Master_rankableSchools!$D$10)),1,0)</f>
        <v>1</v>
      </c>
      <c r="AU2173" s="105">
        <f ca="1">IF(AT2173=0,"",CHOOSE(MATCH(Master_rankableSchools!$G$10,{"Priority score","Economic need","Enrollment","Fresh miles","Nearby resources"},0),T2173,G2173,F2173,K2173,L2173))</f>
        <v>35</v>
      </c>
      <c r="AV2173" s="105">
        <f ca="1">IF(AT2173=0,"",1+COUNTIFS($AT$2051:$AT$2550,1,$AU$2051:$AU$2550,IF(Master_rankableSchools!$J$10="Ascending","&lt;","&gt;")&amp;AU2173)+COUNTIFS($AT$2051:$AT$2550,1,$AU$2051:$AU$2550,AU2173,$W$2051:$W$2550,"&lt;"&amp;W2173))</f>
        <v>212</v>
      </c>
    </row>
    <row r="2174" spans="1:48" ht="22" customHeight="1">
      <c r="A2174" s="1" t="str">
        <f t="shared" si="30"/>
        <v>3399</v>
      </c>
      <c r="B2174" s="1" t="str">
        <f t="shared" si="31"/>
        <v>Sankofa Freedom Academy Charter School</v>
      </c>
      <c r="C2174" s="1" t="str">
        <f t="shared" si="32"/>
        <v>Charter</v>
      </c>
      <c r="D2174" s="1" t="str">
        <f t="shared" si="33"/>
        <v>Elementary-Middle-High</v>
      </c>
      <c r="E2174" s="1" t="str">
        <f t="shared" si="34"/>
        <v>19125</v>
      </c>
      <c r="F2174" s="1">
        <f t="shared" si="35"/>
        <v>647</v>
      </c>
      <c r="G2174" s="1">
        <f t="shared" si="36"/>
        <v>0.82069999999999999</v>
      </c>
      <c r="H2174" s="1" t="str">
        <f t="shared" si="37"/>
        <v>Yes</v>
      </c>
      <c r="I2174" s="1">
        <f>IF(OR(A2174="",COUNTIFS('Staff Review'!$A$8:$A$507,A2174)&lt;&gt;1),0,MATCH(A2174,'Staff Review'!$A$8:$A$507,0))</f>
        <v>265</v>
      </c>
      <c r="J2174" s="1" t="str">
        <f>IF(I2174=0,"No",IF(INDEX('Staff Review'!$C$8:$C$507,I2174)="Yes","Yes","No"))</f>
        <v>No</v>
      </c>
      <c r="K2174" s="1">
        <f ca="1">IF(AI2174="Yes",INDEX('Staff Review'!$D$8:$D$507,I2174),IF(AB2174=0,"",IF(COUNT(INDEX($C$1531:$C$2030,AB2174))=1,INDEX($C$1531:$C$2030,AB2174),"")))</f>
        <v>0.33244576492227818</v>
      </c>
      <c r="L2174" s="1">
        <f>IF(AJ2174="Yes",INDEX('Staff Review'!$F$8:$F$507,I2174),IF(AB2174=0,"",IF(COUNT(INDEX($G$1531:$G$2030,AB2174))=1,INDEX($G$1531:$G$2030,AB2174),"")))</f>
        <v>10</v>
      </c>
      <c r="M2174" s="1" t="str">
        <f t="shared" ca="1" si="38"/>
        <v>Listed</v>
      </c>
      <c r="N2174" s="1" t="str">
        <f t="shared" si="39"/>
        <v>Listed</v>
      </c>
      <c r="O2174" s="1">
        <f t="shared" si="40"/>
        <v>25</v>
      </c>
      <c r="P2174" s="1">
        <f t="shared" ca="1" si="41"/>
        <v>10</v>
      </c>
      <c r="Q2174" s="1">
        <f t="shared" si="42"/>
        <v>0</v>
      </c>
      <c r="R2174" s="1">
        <f t="shared" si="43"/>
        <v>4</v>
      </c>
      <c r="S2174" s="1">
        <f t="shared" ca="1" si="44"/>
        <v>39</v>
      </c>
      <c r="T2174" s="1">
        <f ca="1">IF(OR(COUNT(O2174:R2174)&lt;&gt;4,COUNT('Top 25'!$B$45:$E$45)&lt;&gt;4,MIN('Top 25'!$B$45:$E$45)&lt;0,SUM('Top 25'!$B$45:$E$45)&lt;=0),"",ROUND(85*(O2174/30*'Top 25'!$B$45+P2174/25*'Top 25'!$C$45+Q2174/25*'Top 25'!$D$45+R2174/5*'Top 25'!$E$45)/SUM('Top 25'!$B$45:$E$45),6))</f>
        <v>39</v>
      </c>
      <c r="U2174" s="1" t="str">
        <f t="shared" ca="1" si="45"/>
        <v>Listed</v>
      </c>
      <c r="V2174" s="1" t="str">
        <f ca="1">IF(A2174="","",IF(AK2174&lt;&gt;1,"Duplicate source ID",IF(COUNTIFS('Staff Review'!$A$8:$A$507,A2174)&gt;1,"Duplicate review ID",IF(H2174&lt;&gt;"Yes","Outside scope",IF(J2174="Yes","Already served",IF(NOT(ISNUMBER(T2174)),"Missing data","Candidate"))))))</f>
        <v>Candidate</v>
      </c>
      <c r="W2174" s="1">
        <f t="shared" ca="1" si="46"/>
        <v>157</v>
      </c>
      <c r="X2174" s="1">
        <f t="shared" ca="1" si="47"/>
        <v>148</v>
      </c>
      <c r="Y2174" s="1">
        <f ca="1">IF(AND(H2174="Yes",OR(LEN('School Search'!$B$5)=0,ISNUMBER(SEARCH('School Search'!$B$5,B2174&amp;" "&amp;E2174&amp;" "&amp;A2174))),OR('School Search'!$D$5="All",C2174='School Search'!$D$5),OR('School Search'!$G$5="All eligible",AND('School Search'!$G$5="Not marked served",J2174&lt;&gt;"Yes"),AND('School Search'!$G$5="Missing data",V2174="Missing data"),AND('School Search'!$G$5="Marked served",J2174="Yes"))),1,0)</f>
        <v>1</v>
      </c>
      <c r="Z2174" s="1">
        <f ca="1">IF(Y2174=0,"",COUNTIFS($Y$2051:$Y$2550,1,$AO$2051:$AO$2550,"&lt;"&amp;AO2174)+COUNTIFS($Y$2051:Y2174,1,$AO$2051:AO2174,AO2174))</f>
        <v>157</v>
      </c>
      <c r="AA2174" s="1" t="str">
        <f t="shared" ca="1" si="48"/>
        <v>82% economic need; 0.33 mi fresh access; 10 nearby resources</v>
      </c>
      <c r="AB2174" s="1">
        <f t="shared" si="49"/>
        <v>124</v>
      </c>
      <c r="AC2174" s="1" t="str">
        <f t="shared" si="50"/>
        <v>JC 131 West Corp/Fine Fare</v>
      </c>
      <c r="AD2174" s="1" t="str">
        <f t="shared" si="51"/>
        <v>131 W Lehigh Ave, Philadelphia, PA, 19133</v>
      </c>
      <c r="AE2174" s="1" t="str">
        <f t="shared" si="52"/>
        <v>2501 KENSINGTON AVE</v>
      </c>
      <c r="AF2174" s="1">
        <f t="shared" si="53"/>
        <v>39.987082000000001</v>
      </c>
      <c r="AG2174" s="1">
        <f t="shared" si="54"/>
        <v>-75.128641000000002</v>
      </c>
      <c r="AH2174" s="1" t="str">
        <f>IF(I2174=0,"Not contacted",IF(INDEX('Staff Review'!$J$8:$J$507,I2174)="","Not contacted",INDEX('Staff Review'!$J$8:$J$507,I2174)))</f>
        <v>Not contacted</v>
      </c>
      <c r="AI2174" s="1" t="str">
        <f ca="1">IF(I2174=0,"No",IF(AND(COUNT(INDEX('Staff Review'!$D$8:$D$507,I2174))=1,INDEX('Staff Review'!$D$8:$D$507,I2174)&gt;=0,COUNT(INDEX('Staff Review'!$E$8:$E$507,I2174))=1,INDEX('Staff Review'!$E$8:$E$507,I2174)&gt;0,INDEX('Staff Review'!$E$8:$E$507,I2174)&lt;='Top 25'!$E$5,'Top 25'!$E$5-INDEX('Staff Review'!$E$8:$E$507,I2174)&lt;='Top 25'!$H$5,LEN(INDEX('Staff Review'!$H$8:$H$507,I2174))&gt;0),"Yes","No"))</f>
        <v>No</v>
      </c>
      <c r="AJ2174" s="1" t="str">
        <f>IF(I2174=0,"No",IF(COUNT(INDEX('Staff Review'!$F$8:$F$507,I2174))&lt;&gt;1,"No",IF(AND(INDEX('Staff Review'!$F$8:$F$507,I2174)&gt;=0,MOD(INDEX('Staff Review'!$F$8:$F$507,I2174),1)=0,COUNT(INDEX('Staff Review'!$G$8:$G$507,I2174))=1,INDEX('Staff Review'!$G$8:$G$507,I2174)&gt;0,INDEX('Staff Review'!$G$8:$G$507,I2174)&lt;='Top 25'!$E$5,'Top 25'!$E$5-INDEX('Staff Review'!$G$8:$G$507,I2174)&lt;='Top 25'!$H$5,LEN(INDEX('Staff Review'!$H$8:$H$507,I2174))&gt;0),"Yes","No")))</f>
        <v>No</v>
      </c>
      <c r="AK2174" s="1">
        <f t="shared" si="55"/>
        <v>1</v>
      </c>
      <c r="AL2174" s="1">
        <f t="shared" ca="1" si="56"/>
        <v>1</v>
      </c>
      <c r="AM2174" s="1">
        <f t="shared" si="57"/>
        <v>3399</v>
      </c>
      <c r="AN2174" s="1">
        <f t="shared" si="58"/>
        <v>124</v>
      </c>
      <c r="AO2174">
        <f t="shared" ca="1" si="59"/>
        <v>157</v>
      </c>
      <c r="AP2174" s="105">
        <f ca="1">IF(AND(AL2174=1,OR('Top 25'!$A$10="All",C2174='Top 25'!$A$10),OR('Top 25'!$D$10="All",D2174='Top 25'!$D$10)),1,0)</f>
        <v>0</v>
      </c>
      <c r="AQ2174" s="105" t="str">
        <f ca="1">IF(AP2174=0,"",CHOOSE(MATCH('Top 25'!$G$10,{"Priority score","Economic need","Enrollment","Fresh miles","Nearby resources"},0),T2174,G2174,F2174,K2174,L2174))</f>
        <v/>
      </c>
      <c r="AR2174" s="105" t="str">
        <f ca="1">IF(AP2174=0,"",1+COUNTIFS($AP$2051:$AP$2550,1,$AQ$2051:$AQ$2550,IF('Top 25'!$J$10="Ascending","&lt;","&gt;")&amp;AQ2174)+COUNTIFS($AP$2051:$AP$2550,1,$AQ$2051:$AQ$2550,AQ2174,$W$2051:$W$2550,"&lt;"&amp;W2174))</f>
        <v/>
      </c>
      <c r="AT2174" s="105">
        <f ca="1">IF(AND(AL2174=1,OR(Master_rankableSchools!$A$10="All",C2174=Master_rankableSchools!$A$10),OR(Master_rankableSchools!$D$10="All",D2174=Master_rankableSchools!$D$10)),1,0)</f>
        <v>1</v>
      </c>
      <c r="AU2174" s="105">
        <f ca="1">IF(AT2174=0,"",CHOOSE(MATCH(Master_rankableSchools!$G$10,{"Priority score","Economic need","Enrollment","Fresh miles","Nearby resources"},0),T2174,G2174,F2174,K2174,L2174))</f>
        <v>39</v>
      </c>
      <c r="AV2174" s="105">
        <f ca="1">IF(AT2174=0,"",1+COUNTIFS($AT$2051:$AT$2550,1,$AU$2051:$AU$2550,IF(Master_rankableSchools!$J$10="Ascending","&lt;","&gt;")&amp;AU2174)+COUNTIFS($AT$2051:$AT$2550,1,$AU$2051:$AU$2550,AU2174,$W$2051:$W$2550,"&lt;"&amp;W2174))</f>
        <v>157</v>
      </c>
    </row>
    <row r="2175" spans="1:48" ht="22" customHeight="1">
      <c r="A2175" s="1" t="str">
        <f t="shared" si="30"/>
        <v>3403</v>
      </c>
      <c r="B2175" s="1" t="str">
        <f t="shared" si="31"/>
        <v>Franklin Towne Charter Elementary School</v>
      </c>
      <c r="C2175" s="1" t="str">
        <f t="shared" si="32"/>
        <v>Charter</v>
      </c>
      <c r="D2175" s="1" t="str">
        <f t="shared" si="33"/>
        <v>Elementary-Middle</v>
      </c>
      <c r="E2175" s="1" t="str">
        <f t="shared" si="34"/>
        <v>19137</v>
      </c>
      <c r="F2175" s="1">
        <f t="shared" si="35"/>
        <v>958</v>
      </c>
      <c r="G2175" s="1">
        <f t="shared" si="36"/>
        <v>0.67669999999999997</v>
      </c>
      <c r="H2175" s="1" t="str">
        <f t="shared" si="37"/>
        <v>Yes</v>
      </c>
      <c r="I2175" s="1">
        <f>IF(OR(A2175="",COUNTIFS('Staff Review'!$A$8:$A$507,A2175)&lt;&gt;1),0,MATCH(A2175,'Staff Review'!$A$8:$A$507,0))</f>
        <v>85</v>
      </c>
      <c r="J2175" s="1" t="str">
        <f>IF(I2175=0,"No",IF(INDEX('Staff Review'!$C$8:$C$507,I2175)="Yes","Yes","No"))</f>
        <v>No</v>
      </c>
      <c r="K2175" s="1">
        <f ca="1">IF(AI2175="Yes",INDEX('Staff Review'!$D$8:$D$507,I2175),IF(AB2175=0,"",IF(COUNT(INDEX($C$1531:$C$2030,AB2175))=1,INDEX($C$1531:$C$2030,AB2175),"")))</f>
        <v>0.80801878161764606</v>
      </c>
      <c r="L2175" s="1">
        <f>IF(AJ2175="Yes",INDEX('Staff Review'!$F$8:$F$507,I2175),IF(AB2175=0,"",IF(COUNT(INDEX($G$1531:$G$2030,AB2175))=1,INDEX($G$1531:$G$2030,AB2175),"")))</f>
        <v>1</v>
      </c>
      <c r="M2175" s="1" t="str">
        <f t="shared" ca="1" si="38"/>
        <v>Listed</v>
      </c>
      <c r="N2175" s="1" t="str">
        <f t="shared" si="39"/>
        <v>Listed</v>
      </c>
      <c r="O2175" s="1">
        <f t="shared" si="40"/>
        <v>15</v>
      </c>
      <c r="P2175" s="1">
        <f t="shared" ca="1" si="41"/>
        <v>20</v>
      </c>
      <c r="Q2175" s="1">
        <f t="shared" si="42"/>
        <v>20</v>
      </c>
      <c r="R2175" s="1">
        <f t="shared" si="43"/>
        <v>5</v>
      </c>
      <c r="S2175" s="1">
        <f t="shared" ca="1" si="44"/>
        <v>60</v>
      </c>
      <c r="T2175" s="1">
        <f ca="1">IF(OR(COUNT(O2175:R2175)&lt;&gt;4,COUNT('Top 25'!$B$45:$E$45)&lt;&gt;4,MIN('Top 25'!$B$45:$E$45)&lt;0,SUM('Top 25'!$B$45:$E$45)&lt;=0),"",ROUND(85*(O2175/30*'Top 25'!$B$45+P2175/25*'Top 25'!$C$45+Q2175/25*'Top 25'!$D$45+R2175/5*'Top 25'!$E$45)/SUM('Top 25'!$B$45:$E$45),6))</f>
        <v>60</v>
      </c>
      <c r="U2175" s="1" t="str">
        <f t="shared" ca="1" si="45"/>
        <v>Listed</v>
      </c>
      <c r="V2175" s="1" t="str">
        <f ca="1">IF(A2175="","",IF(AK2175&lt;&gt;1,"Duplicate source ID",IF(COUNTIFS('Staff Review'!$A$8:$A$507,A2175)&gt;1,"Duplicate review ID",IF(H2175&lt;&gt;"Yes","Outside scope",IF(J2175="Yes","Already served",IF(NOT(ISNUMBER(T2175)),"Missing data","Candidate"))))))</f>
        <v>Candidate</v>
      </c>
      <c r="W2175" s="1">
        <f t="shared" ca="1" si="46"/>
        <v>13</v>
      </c>
      <c r="X2175" s="1">
        <f t="shared" ca="1" si="47"/>
        <v>10</v>
      </c>
      <c r="Y2175" s="1">
        <f ca="1">IF(AND(H2175="Yes",OR(LEN('School Search'!$B$5)=0,ISNUMBER(SEARCH('School Search'!$B$5,B2175&amp;" "&amp;E2175&amp;" "&amp;A2175))),OR('School Search'!$D$5="All",C2175='School Search'!$D$5),OR('School Search'!$G$5="All eligible",AND('School Search'!$G$5="Not marked served",J2175&lt;&gt;"Yes"),AND('School Search'!$G$5="Missing data",V2175="Missing data"),AND('School Search'!$G$5="Marked served",J2175="Yes"))),1,0)</f>
        <v>1</v>
      </c>
      <c r="Z2175" s="1">
        <f ca="1">IF(Y2175=0,"",COUNTIFS($Y$2051:$Y$2550,1,$AO$2051:$AO$2550,"&lt;"&amp;AO2175)+COUNTIFS($Y$2051:Y2175,1,$AO$2051:AO2175,AO2175))</f>
        <v>13</v>
      </c>
      <c r="AA2175" s="1" t="str">
        <f t="shared" ca="1" si="48"/>
        <v>68% economic need; 0.81 mi fresh access; 1 nearby resources</v>
      </c>
      <c r="AB2175" s="1">
        <f t="shared" si="49"/>
        <v>125</v>
      </c>
      <c r="AC2175" s="1" t="str">
        <f t="shared" si="50"/>
        <v>Pjp Marketplace</v>
      </c>
      <c r="AD2175" s="1" t="str">
        <f t="shared" si="51"/>
        <v>3899 Aramingo Ave, Philadelphia, PA, 19137</v>
      </c>
      <c r="AE2175" s="1" t="str">
        <f t="shared" si="52"/>
        <v>4259 RICHMOND ST</v>
      </c>
      <c r="AF2175" s="1">
        <f t="shared" si="53"/>
        <v>39.995515990000001</v>
      </c>
      <c r="AG2175" s="1">
        <f t="shared" si="54"/>
        <v>-75.074724340000003</v>
      </c>
      <c r="AH2175" s="1" t="str">
        <f>IF(I2175=0,"Not contacted",IF(INDEX('Staff Review'!$J$8:$J$507,I2175)="","Not contacted",INDEX('Staff Review'!$J$8:$J$507,I2175)))</f>
        <v>Not contacted</v>
      </c>
      <c r="AI2175" s="1" t="str">
        <f ca="1">IF(I2175=0,"No",IF(AND(COUNT(INDEX('Staff Review'!$D$8:$D$507,I2175))=1,INDEX('Staff Review'!$D$8:$D$507,I2175)&gt;=0,COUNT(INDEX('Staff Review'!$E$8:$E$507,I2175))=1,INDEX('Staff Review'!$E$8:$E$507,I2175)&gt;0,INDEX('Staff Review'!$E$8:$E$507,I2175)&lt;='Top 25'!$E$5,'Top 25'!$E$5-INDEX('Staff Review'!$E$8:$E$507,I2175)&lt;='Top 25'!$H$5,LEN(INDEX('Staff Review'!$H$8:$H$507,I2175))&gt;0),"Yes","No"))</f>
        <v>No</v>
      </c>
      <c r="AJ2175" s="1" t="str">
        <f>IF(I2175=0,"No",IF(COUNT(INDEX('Staff Review'!$F$8:$F$507,I2175))&lt;&gt;1,"No",IF(AND(INDEX('Staff Review'!$F$8:$F$507,I2175)&gt;=0,MOD(INDEX('Staff Review'!$F$8:$F$507,I2175),1)=0,COUNT(INDEX('Staff Review'!$G$8:$G$507,I2175))=1,INDEX('Staff Review'!$G$8:$G$507,I2175)&gt;0,INDEX('Staff Review'!$G$8:$G$507,I2175)&lt;='Top 25'!$E$5,'Top 25'!$E$5-INDEX('Staff Review'!$G$8:$G$507,I2175)&lt;='Top 25'!$H$5,LEN(INDEX('Staff Review'!$H$8:$H$507,I2175))&gt;0),"Yes","No")))</f>
        <v>No</v>
      </c>
      <c r="AK2175" s="1">
        <f t="shared" si="55"/>
        <v>1</v>
      </c>
      <c r="AL2175" s="1">
        <f t="shared" ca="1" si="56"/>
        <v>1</v>
      </c>
      <c r="AM2175" s="1">
        <f t="shared" si="57"/>
        <v>3403</v>
      </c>
      <c r="AN2175" s="1">
        <f t="shared" si="58"/>
        <v>125</v>
      </c>
      <c r="AO2175">
        <f t="shared" ca="1" si="59"/>
        <v>13</v>
      </c>
      <c r="AP2175" s="105">
        <f ca="1">IF(AND(AL2175=1,OR('Top 25'!$A$10="All",C2175='Top 25'!$A$10),OR('Top 25'!$D$10="All",D2175='Top 25'!$D$10)),1,0)</f>
        <v>0</v>
      </c>
      <c r="AQ2175" s="105" t="str">
        <f ca="1">IF(AP2175=0,"",CHOOSE(MATCH('Top 25'!$G$10,{"Priority score","Economic need","Enrollment","Fresh miles","Nearby resources"},0),T2175,G2175,F2175,K2175,L2175))</f>
        <v/>
      </c>
      <c r="AR2175" s="105" t="str">
        <f ca="1">IF(AP2175=0,"",1+COUNTIFS($AP$2051:$AP$2550,1,$AQ$2051:$AQ$2550,IF('Top 25'!$J$10="Ascending","&lt;","&gt;")&amp;AQ2175)+COUNTIFS($AP$2051:$AP$2550,1,$AQ$2051:$AQ$2550,AQ2175,$W$2051:$W$2550,"&lt;"&amp;W2175))</f>
        <v/>
      </c>
      <c r="AT2175" s="105">
        <f ca="1">IF(AND(AL2175=1,OR(Master_rankableSchools!$A$10="All",C2175=Master_rankableSchools!$A$10),OR(Master_rankableSchools!$D$10="All",D2175=Master_rankableSchools!$D$10)),1,0)</f>
        <v>1</v>
      </c>
      <c r="AU2175" s="105">
        <f ca="1">IF(AT2175=0,"",CHOOSE(MATCH(Master_rankableSchools!$G$10,{"Priority score","Economic need","Enrollment","Fresh miles","Nearby resources"},0),T2175,G2175,F2175,K2175,L2175))</f>
        <v>60</v>
      </c>
      <c r="AV2175" s="105">
        <f ca="1">IF(AT2175=0,"",1+COUNTIFS($AT$2051:$AT$2550,1,$AU$2051:$AU$2550,IF(Master_rankableSchools!$J$10="Ascending","&lt;","&gt;")&amp;AU2175)+COUNTIFS($AT$2051:$AT$2550,1,$AU$2051:$AU$2550,AU2175,$W$2051:$W$2550,"&lt;"&amp;W2175))</f>
        <v>13</v>
      </c>
    </row>
    <row r="2176" spans="1:48" ht="22" customHeight="1">
      <c r="A2176" s="1" t="str">
        <f t="shared" si="30"/>
        <v>3404</v>
      </c>
      <c r="B2176" s="1" t="str">
        <f t="shared" si="31"/>
        <v>Tacony Academy Charter School</v>
      </c>
      <c r="C2176" s="1" t="str">
        <f t="shared" si="32"/>
        <v>Charter</v>
      </c>
      <c r="D2176" s="1" t="str">
        <f t="shared" si="33"/>
        <v>Elementary-Middle-High</v>
      </c>
      <c r="E2176" s="1" t="str">
        <f t="shared" si="34"/>
        <v>19111</v>
      </c>
      <c r="F2176" s="1">
        <f t="shared" si="35"/>
        <v>1090</v>
      </c>
      <c r="G2176" s="1">
        <f t="shared" si="36"/>
        <v>0.72040000000000004</v>
      </c>
      <c r="H2176" s="1" t="str">
        <f t="shared" si="37"/>
        <v>Yes</v>
      </c>
      <c r="I2176" s="1">
        <f>IF(OR(A2176="",COUNTIFS('Staff Review'!$A$8:$A$507,A2176)&lt;&gt;1),0,MATCH(A2176,'Staff Review'!$A$8:$A$507,0))</f>
        <v>280</v>
      </c>
      <c r="J2176" s="1" t="str">
        <f>IF(I2176=0,"No",IF(INDEX('Staff Review'!$C$8:$C$507,I2176)="Yes","Yes","No"))</f>
        <v>No</v>
      </c>
      <c r="K2176" s="1">
        <f ca="1">IF(AI2176="Yes",INDEX('Staff Review'!$D$8:$D$507,I2176),IF(AB2176=0,"",IF(COUNT(INDEX($C$1531:$C$2030,AB2176))=1,INDEX($C$1531:$C$2030,AB2176),"")))</f>
        <v>0.77847905884412827</v>
      </c>
      <c r="L2176" s="1">
        <f>IF(AJ2176="Yes",INDEX('Staff Review'!$F$8:$F$507,I2176),IF(AB2176=0,"",IF(COUNT(INDEX($G$1531:$G$2030,AB2176))=1,INDEX($G$1531:$G$2030,AB2176),"")))</f>
        <v>0</v>
      </c>
      <c r="M2176" s="1" t="str">
        <f t="shared" ca="1" si="38"/>
        <v>Listed</v>
      </c>
      <c r="N2176" s="1" t="str">
        <f t="shared" si="39"/>
        <v>Listed</v>
      </c>
      <c r="O2176" s="1">
        <f t="shared" si="40"/>
        <v>20</v>
      </c>
      <c r="P2176" s="1">
        <f t="shared" ca="1" si="41"/>
        <v>20</v>
      </c>
      <c r="Q2176" s="1">
        <f t="shared" si="42"/>
        <v>25</v>
      </c>
      <c r="R2176" s="1">
        <f t="shared" si="43"/>
        <v>5</v>
      </c>
      <c r="S2176" s="1">
        <f t="shared" ca="1" si="44"/>
        <v>70</v>
      </c>
      <c r="T2176" s="1">
        <f ca="1">IF(OR(COUNT(O2176:R2176)&lt;&gt;4,COUNT('Top 25'!$B$45:$E$45)&lt;&gt;4,MIN('Top 25'!$B$45:$E$45)&lt;0,SUM('Top 25'!$B$45:$E$45)&lt;=0),"",ROUND(85*(O2176/30*'Top 25'!$B$45+P2176/25*'Top 25'!$C$45+Q2176/25*'Top 25'!$D$45+R2176/5*'Top 25'!$E$45)/SUM('Top 25'!$B$45:$E$45),6))</f>
        <v>70</v>
      </c>
      <c r="U2176" s="1" t="str">
        <f t="shared" ca="1" si="45"/>
        <v>Listed</v>
      </c>
      <c r="V2176" s="1" t="str">
        <f ca="1">IF(A2176="","",IF(AK2176&lt;&gt;1,"Duplicate source ID",IF(COUNTIFS('Staff Review'!$A$8:$A$507,A2176)&gt;1,"Duplicate review ID",IF(H2176&lt;&gt;"Yes","Outside scope",IF(J2176="Yes","Already served",IF(NOT(ISNUMBER(T2176)),"Missing data","Candidate"))))))</f>
        <v>Candidate</v>
      </c>
      <c r="W2176" s="1">
        <f t="shared" ca="1" si="46"/>
        <v>1</v>
      </c>
      <c r="X2176" s="1">
        <f t="shared" ca="1" si="47"/>
        <v>1</v>
      </c>
      <c r="Y2176" s="1">
        <f ca="1">IF(AND(H2176="Yes",OR(LEN('School Search'!$B$5)=0,ISNUMBER(SEARCH('School Search'!$B$5,B2176&amp;" "&amp;E2176&amp;" "&amp;A2176))),OR('School Search'!$D$5="All",C2176='School Search'!$D$5),OR('School Search'!$G$5="All eligible",AND('School Search'!$G$5="Not marked served",J2176&lt;&gt;"Yes"),AND('School Search'!$G$5="Missing data",V2176="Missing data"),AND('School Search'!$G$5="Marked served",J2176="Yes"))),1,0)</f>
        <v>1</v>
      </c>
      <c r="Z2176" s="1">
        <f ca="1">IF(Y2176=0,"",COUNTIFS($Y$2051:$Y$2550,1,$AO$2051:$AO$2550,"&lt;"&amp;AO2176)+COUNTIFS($Y$2051:Y2176,1,$AO$2051:AO2176,AO2176))</f>
        <v>1</v>
      </c>
      <c r="AA2176" s="1" t="str">
        <f t="shared" ca="1" si="48"/>
        <v>72% economic need; 0.78 mi fresh access; 0 nearby resources</v>
      </c>
      <c r="AB2176" s="1">
        <f t="shared" si="49"/>
        <v>126</v>
      </c>
      <c r="AC2176" s="1" t="str">
        <f t="shared" si="50"/>
        <v>Bell's Market</v>
      </c>
      <c r="AD2176" s="1" t="str">
        <f t="shared" si="51"/>
        <v>8330 Bustleton Ave, Philadelphia, PA, 19152</v>
      </c>
      <c r="AE2176" s="1" t="str">
        <f t="shared" si="52"/>
        <v>1330 RHAWN ST</v>
      </c>
      <c r="AF2176" s="1">
        <f t="shared" si="53"/>
        <v>40.066842219999998</v>
      </c>
      <c r="AG2176" s="1">
        <f t="shared" si="54"/>
        <v>-75.065983529999997</v>
      </c>
      <c r="AH2176" s="1" t="str">
        <f>IF(I2176=0,"Not contacted",IF(INDEX('Staff Review'!$J$8:$J$507,I2176)="","Not contacted",INDEX('Staff Review'!$J$8:$J$507,I2176)))</f>
        <v>Not contacted</v>
      </c>
      <c r="AI2176" s="1" t="str">
        <f ca="1">IF(I2176=0,"No",IF(AND(COUNT(INDEX('Staff Review'!$D$8:$D$507,I2176))=1,INDEX('Staff Review'!$D$8:$D$507,I2176)&gt;=0,COUNT(INDEX('Staff Review'!$E$8:$E$507,I2176))=1,INDEX('Staff Review'!$E$8:$E$507,I2176)&gt;0,INDEX('Staff Review'!$E$8:$E$507,I2176)&lt;='Top 25'!$E$5,'Top 25'!$E$5-INDEX('Staff Review'!$E$8:$E$507,I2176)&lt;='Top 25'!$H$5,LEN(INDEX('Staff Review'!$H$8:$H$507,I2176))&gt;0),"Yes","No"))</f>
        <v>No</v>
      </c>
      <c r="AJ2176" s="1" t="str">
        <f>IF(I2176=0,"No",IF(COUNT(INDEX('Staff Review'!$F$8:$F$507,I2176))&lt;&gt;1,"No",IF(AND(INDEX('Staff Review'!$F$8:$F$507,I2176)&gt;=0,MOD(INDEX('Staff Review'!$F$8:$F$507,I2176),1)=0,COUNT(INDEX('Staff Review'!$G$8:$G$507,I2176))=1,INDEX('Staff Review'!$G$8:$G$507,I2176)&gt;0,INDEX('Staff Review'!$G$8:$G$507,I2176)&lt;='Top 25'!$E$5,'Top 25'!$E$5-INDEX('Staff Review'!$G$8:$G$507,I2176)&lt;='Top 25'!$H$5,LEN(INDEX('Staff Review'!$H$8:$H$507,I2176))&gt;0),"Yes","No")))</f>
        <v>No</v>
      </c>
      <c r="AK2176" s="1">
        <f t="shared" si="55"/>
        <v>1</v>
      </c>
      <c r="AL2176" s="1">
        <f t="shared" ca="1" si="56"/>
        <v>1</v>
      </c>
      <c r="AM2176" s="1">
        <f t="shared" si="57"/>
        <v>3404</v>
      </c>
      <c r="AN2176" s="1">
        <f t="shared" si="58"/>
        <v>126</v>
      </c>
      <c r="AO2176">
        <f t="shared" ca="1" si="59"/>
        <v>1</v>
      </c>
      <c r="AP2176" s="105">
        <f ca="1">IF(AND(AL2176=1,OR('Top 25'!$A$10="All",C2176='Top 25'!$A$10),OR('Top 25'!$D$10="All",D2176='Top 25'!$D$10)),1,0)</f>
        <v>0</v>
      </c>
      <c r="AQ2176" s="105" t="str">
        <f ca="1">IF(AP2176=0,"",CHOOSE(MATCH('Top 25'!$G$10,{"Priority score","Economic need","Enrollment","Fresh miles","Nearby resources"},0),T2176,G2176,F2176,K2176,L2176))</f>
        <v/>
      </c>
      <c r="AR2176" s="105" t="str">
        <f ca="1">IF(AP2176=0,"",1+COUNTIFS($AP$2051:$AP$2550,1,$AQ$2051:$AQ$2550,IF('Top 25'!$J$10="Ascending","&lt;","&gt;")&amp;AQ2176)+COUNTIFS($AP$2051:$AP$2550,1,$AQ$2051:$AQ$2550,AQ2176,$W$2051:$W$2550,"&lt;"&amp;W2176))</f>
        <v/>
      </c>
      <c r="AT2176" s="105">
        <f ca="1">IF(AND(AL2176=1,OR(Master_rankableSchools!$A$10="All",C2176=Master_rankableSchools!$A$10),OR(Master_rankableSchools!$D$10="All",D2176=Master_rankableSchools!$D$10)),1,0)</f>
        <v>1</v>
      </c>
      <c r="AU2176" s="105">
        <f ca="1">IF(AT2176=0,"",CHOOSE(MATCH(Master_rankableSchools!$G$10,{"Priority score","Economic need","Enrollment","Fresh miles","Nearby resources"},0),T2176,G2176,F2176,K2176,L2176))</f>
        <v>70</v>
      </c>
      <c r="AV2176" s="105">
        <f ca="1">IF(AT2176=0,"",1+COUNTIFS($AT$2051:$AT$2550,1,$AU$2051:$AU$2550,IF(Master_rankableSchools!$J$10="Ascending","&lt;","&gt;")&amp;AU2176)+COUNTIFS($AT$2051:$AT$2550,1,$AU$2051:$AU$2550,AU2176,$W$2051:$W$2550,"&lt;"&amp;W2176))</f>
        <v>1</v>
      </c>
    </row>
    <row r="2177" spans="1:48" ht="22" customHeight="1">
      <c r="A2177" s="1" t="str">
        <f t="shared" si="30"/>
        <v>3407</v>
      </c>
      <c r="B2177" s="1" t="str">
        <f t="shared" si="31"/>
        <v>Mastery Charter School at Harrity</v>
      </c>
      <c r="C2177" s="1" t="str">
        <f t="shared" si="32"/>
        <v>Charter</v>
      </c>
      <c r="D2177" s="1" t="str">
        <f t="shared" si="33"/>
        <v>Elementary-Middle</v>
      </c>
      <c r="E2177" s="1" t="str">
        <f t="shared" si="34"/>
        <v>19143</v>
      </c>
      <c r="F2177" s="1">
        <f t="shared" si="35"/>
        <v>753</v>
      </c>
      <c r="G2177" s="1">
        <f t="shared" si="36"/>
        <v>0.99070000000000003</v>
      </c>
      <c r="H2177" s="1" t="str">
        <f t="shared" si="37"/>
        <v>Yes</v>
      </c>
      <c r="I2177" s="1">
        <f>IF(OR(A2177="",COUNTIFS('Staff Review'!$A$8:$A$507,A2177)&lt;&gt;1),0,MATCH(A2177,'Staff Review'!$A$8:$A$507,0))</f>
        <v>187</v>
      </c>
      <c r="J2177" s="1" t="str">
        <f>IF(I2177=0,"No",IF(INDEX('Staff Review'!$C$8:$C$507,I2177)="Yes","Yes","No"))</f>
        <v>No</v>
      </c>
      <c r="K2177" s="1">
        <f ca="1">IF(AI2177="Yes",INDEX('Staff Review'!$D$8:$D$507,I2177),IF(AB2177=0,"",IF(COUNT(INDEX($C$1531:$C$2030,AB2177))=1,INDEX($C$1531:$C$2030,AB2177),"")))</f>
        <v>0.20122199767020996</v>
      </c>
      <c r="L2177" s="1">
        <f>IF(AJ2177="Yes",INDEX('Staff Review'!$F$8:$F$507,I2177),IF(AB2177=0,"",IF(COUNT(INDEX($G$1531:$G$2030,AB2177))=1,INDEX($G$1531:$G$2030,AB2177),"")))</f>
        <v>9</v>
      </c>
      <c r="M2177" s="1" t="str">
        <f t="shared" ca="1" si="38"/>
        <v>Listed</v>
      </c>
      <c r="N2177" s="1" t="str">
        <f t="shared" si="39"/>
        <v>Listed</v>
      </c>
      <c r="O2177" s="1">
        <f t="shared" si="40"/>
        <v>30</v>
      </c>
      <c r="P2177" s="1">
        <f t="shared" ca="1" si="41"/>
        <v>5</v>
      </c>
      <c r="Q2177" s="1">
        <f t="shared" si="42"/>
        <v>0</v>
      </c>
      <c r="R2177" s="1">
        <f t="shared" si="43"/>
        <v>5</v>
      </c>
      <c r="S2177" s="1">
        <f t="shared" ca="1" si="44"/>
        <v>40</v>
      </c>
      <c r="T2177" s="1">
        <f ca="1">IF(OR(COUNT(O2177:R2177)&lt;&gt;4,COUNT('Top 25'!$B$45:$E$45)&lt;&gt;4,MIN('Top 25'!$B$45:$E$45)&lt;0,SUM('Top 25'!$B$45:$E$45)&lt;=0),"",ROUND(85*(O2177/30*'Top 25'!$B$45+P2177/25*'Top 25'!$C$45+Q2177/25*'Top 25'!$D$45+R2177/5*'Top 25'!$E$45)/SUM('Top 25'!$B$45:$E$45),6))</f>
        <v>40</v>
      </c>
      <c r="U2177" s="1" t="str">
        <f t="shared" ca="1" si="45"/>
        <v>Listed</v>
      </c>
      <c r="V2177" s="1" t="str">
        <f ca="1">IF(A2177="","",IF(AK2177&lt;&gt;1,"Duplicate source ID",IF(COUNTIFS('Staff Review'!$A$8:$A$507,A2177)&gt;1,"Duplicate review ID",IF(H2177&lt;&gt;"Yes","Outside scope",IF(J2177="Yes","Already served",IF(NOT(ISNUMBER(T2177)),"Missing data","Candidate"))))))</f>
        <v>Candidate</v>
      </c>
      <c r="W2177" s="1">
        <f t="shared" ca="1" si="46"/>
        <v>133</v>
      </c>
      <c r="X2177" s="1">
        <f t="shared" ca="1" si="47"/>
        <v>133</v>
      </c>
      <c r="Y2177" s="1">
        <f ca="1">IF(AND(H2177="Yes",OR(LEN('School Search'!$B$5)=0,ISNUMBER(SEARCH('School Search'!$B$5,B2177&amp;" "&amp;E2177&amp;" "&amp;A2177))),OR('School Search'!$D$5="All",C2177='School Search'!$D$5),OR('School Search'!$G$5="All eligible",AND('School Search'!$G$5="Not marked served",J2177&lt;&gt;"Yes"),AND('School Search'!$G$5="Missing data",V2177="Missing data"),AND('School Search'!$G$5="Marked served",J2177="Yes"))),1,0)</f>
        <v>1</v>
      </c>
      <c r="Z2177" s="1">
        <f ca="1">IF(Y2177=0,"",COUNTIFS($Y$2051:$Y$2550,1,$AO$2051:$AO$2550,"&lt;"&amp;AO2177)+COUNTIFS($Y$2051:Y2177,1,$AO$2051:AO2177,AO2177))</f>
        <v>133</v>
      </c>
      <c r="AA2177" s="1" t="str">
        <f t="shared" ca="1" si="48"/>
        <v>99% economic need; 0.20 mi fresh access; 9 nearby resources</v>
      </c>
      <c r="AB2177" s="1">
        <f t="shared" si="49"/>
        <v>127</v>
      </c>
      <c r="AC2177" s="1" t="str">
        <f t="shared" si="50"/>
        <v>Cousin's Fresh Market 3 Llc</v>
      </c>
      <c r="AD2177" s="1" t="str">
        <f t="shared" si="51"/>
        <v>5704 Baltimore Ave, Philadelphia, PA, 19143</v>
      </c>
      <c r="AE2177" s="1" t="str">
        <f t="shared" si="52"/>
        <v>5601 CHRISTIAN ST</v>
      </c>
      <c r="AF2177" s="1">
        <f t="shared" si="53"/>
        <v>39.948524579999997</v>
      </c>
      <c r="AG2177" s="1">
        <f t="shared" si="54"/>
        <v>-75.235485249999996</v>
      </c>
      <c r="AH2177" s="1" t="str">
        <f>IF(I2177=0,"Not contacted",IF(INDEX('Staff Review'!$J$8:$J$507,I2177)="","Not contacted",INDEX('Staff Review'!$J$8:$J$507,I2177)))</f>
        <v>Not contacted</v>
      </c>
      <c r="AI2177" s="1" t="str">
        <f ca="1">IF(I2177=0,"No",IF(AND(COUNT(INDEX('Staff Review'!$D$8:$D$507,I2177))=1,INDEX('Staff Review'!$D$8:$D$507,I2177)&gt;=0,COUNT(INDEX('Staff Review'!$E$8:$E$507,I2177))=1,INDEX('Staff Review'!$E$8:$E$507,I2177)&gt;0,INDEX('Staff Review'!$E$8:$E$507,I2177)&lt;='Top 25'!$E$5,'Top 25'!$E$5-INDEX('Staff Review'!$E$8:$E$507,I2177)&lt;='Top 25'!$H$5,LEN(INDEX('Staff Review'!$H$8:$H$507,I2177))&gt;0),"Yes","No"))</f>
        <v>No</v>
      </c>
      <c r="AJ2177" s="1" t="str">
        <f>IF(I2177=0,"No",IF(COUNT(INDEX('Staff Review'!$F$8:$F$507,I2177))&lt;&gt;1,"No",IF(AND(INDEX('Staff Review'!$F$8:$F$507,I2177)&gt;=0,MOD(INDEX('Staff Review'!$F$8:$F$507,I2177),1)=0,COUNT(INDEX('Staff Review'!$G$8:$G$507,I2177))=1,INDEX('Staff Review'!$G$8:$G$507,I2177)&gt;0,INDEX('Staff Review'!$G$8:$G$507,I2177)&lt;='Top 25'!$E$5,'Top 25'!$E$5-INDEX('Staff Review'!$G$8:$G$507,I2177)&lt;='Top 25'!$H$5,LEN(INDEX('Staff Review'!$H$8:$H$507,I2177))&gt;0),"Yes","No")))</f>
        <v>No</v>
      </c>
      <c r="AK2177" s="1">
        <f t="shared" si="55"/>
        <v>1</v>
      </c>
      <c r="AL2177" s="1">
        <f t="shared" ca="1" si="56"/>
        <v>1</v>
      </c>
      <c r="AM2177" s="1">
        <f t="shared" si="57"/>
        <v>3407</v>
      </c>
      <c r="AN2177" s="1">
        <f t="shared" si="58"/>
        <v>127</v>
      </c>
      <c r="AO2177">
        <f t="shared" ca="1" si="59"/>
        <v>133</v>
      </c>
      <c r="AP2177" s="105">
        <f ca="1">IF(AND(AL2177=1,OR('Top 25'!$A$10="All",C2177='Top 25'!$A$10),OR('Top 25'!$D$10="All",D2177='Top 25'!$D$10)),1,0)</f>
        <v>0</v>
      </c>
      <c r="AQ2177" s="105" t="str">
        <f ca="1">IF(AP2177=0,"",CHOOSE(MATCH('Top 25'!$G$10,{"Priority score","Economic need","Enrollment","Fresh miles","Nearby resources"},0),T2177,G2177,F2177,K2177,L2177))</f>
        <v/>
      </c>
      <c r="AR2177" s="105" t="str">
        <f ca="1">IF(AP2177=0,"",1+COUNTIFS($AP$2051:$AP$2550,1,$AQ$2051:$AQ$2550,IF('Top 25'!$J$10="Ascending","&lt;","&gt;")&amp;AQ2177)+COUNTIFS($AP$2051:$AP$2550,1,$AQ$2051:$AQ$2550,AQ2177,$W$2051:$W$2550,"&lt;"&amp;W2177))</f>
        <v/>
      </c>
      <c r="AT2177" s="105">
        <f ca="1">IF(AND(AL2177=1,OR(Master_rankableSchools!$A$10="All",C2177=Master_rankableSchools!$A$10),OR(Master_rankableSchools!$D$10="All",D2177=Master_rankableSchools!$D$10)),1,0)</f>
        <v>1</v>
      </c>
      <c r="AU2177" s="105">
        <f ca="1">IF(AT2177=0,"",CHOOSE(MATCH(Master_rankableSchools!$G$10,{"Priority score","Economic need","Enrollment","Fresh miles","Nearby resources"},0),T2177,G2177,F2177,K2177,L2177))</f>
        <v>40</v>
      </c>
      <c r="AV2177" s="105">
        <f ca="1">IF(AT2177=0,"",1+COUNTIFS($AT$2051:$AT$2550,1,$AU$2051:$AU$2550,IF(Master_rankableSchools!$J$10="Ascending","&lt;","&gt;")&amp;AU2177)+COUNTIFS($AT$2051:$AT$2550,1,$AU$2051:$AU$2550,AU2177,$W$2051:$W$2550,"&lt;"&amp;W2177))</f>
        <v>133</v>
      </c>
    </row>
    <row r="2178" spans="1:48" ht="22" customHeight="1">
      <c r="A2178" s="1" t="str">
        <f t="shared" si="30"/>
        <v>3408</v>
      </c>
      <c r="B2178" s="1" t="str">
        <f t="shared" si="31"/>
        <v>Mastery Charter School at Mann</v>
      </c>
      <c r="C2178" s="1" t="str">
        <f t="shared" si="32"/>
        <v>Charter</v>
      </c>
      <c r="D2178" s="1" t="str">
        <f t="shared" si="33"/>
        <v>Elementary</v>
      </c>
      <c r="E2178" s="1" t="str">
        <f t="shared" si="34"/>
        <v>19131</v>
      </c>
      <c r="F2178" s="1">
        <f t="shared" si="35"/>
        <v>549</v>
      </c>
      <c r="G2178" s="1">
        <f t="shared" si="36"/>
        <v>0.88360000000000005</v>
      </c>
      <c r="H2178" s="1" t="str">
        <f t="shared" si="37"/>
        <v>Yes</v>
      </c>
      <c r="I2178" s="1">
        <f>IF(OR(A2178="",COUNTIFS('Staff Review'!$A$8:$A$507,A2178)&lt;&gt;1),0,MATCH(A2178,'Staff Review'!$A$8:$A$507,0))</f>
        <v>188</v>
      </c>
      <c r="J2178" s="1" t="str">
        <f>IF(I2178=0,"No",IF(INDEX('Staff Review'!$C$8:$C$507,I2178)="Yes","Yes","No"))</f>
        <v>No</v>
      </c>
      <c r="K2178" s="1">
        <f ca="1">IF(AI2178="Yes",INDEX('Staff Review'!$D$8:$D$507,I2178),IF(AB2178=0,"",IF(COUNT(INDEX($C$1531:$C$2030,AB2178))=1,INDEX($C$1531:$C$2030,AB2178),"")))</f>
        <v>0.59459036029679779</v>
      </c>
      <c r="L2178" s="1">
        <f>IF(AJ2178="Yes",INDEX('Staff Review'!$F$8:$F$507,I2178),IF(AB2178=0,"",IF(COUNT(INDEX($G$1531:$G$2030,AB2178))=1,INDEX($G$1531:$G$2030,AB2178),"")))</f>
        <v>5</v>
      </c>
      <c r="M2178" s="1" t="str">
        <f t="shared" ca="1" si="38"/>
        <v>Listed</v>
      </c>
      <c r="N2178" s="1" t="str">
        <f t="shared" si="39"/>
        <v>Listed</v>
      </c>
      <c r="O2178" s="1">
        <f t="shared" si="40"/>
        <v>25</v>
      </c>
      <c r="P2178" s="1">
        <f t="shared" ca="1" si="41"/>
        <v>15</v>
      </c>
      <c r="Q2178" s="1">
        <f t="shared" si="42"/>
        <v>0</v>
      </c>
      <c r="R2178" s="1">
        <f t="shared" si="43"/>
        <v>4</v>
      </c>
      <c r="S2178" s="1">
        <f t="shared" ca="1" si="44"/>
        <v>44</v>
      </c>
      <c r="T2178" s="1">
        <f ca="1">IF(OR(COUNT(O2178:R2178)&lt;&gt;4,COUNT('Top 25'!$B$45:$E$45)&lt;&gt;4,MIN('Top 25'!$B$45:$E$45)&lt;0,SUM('Top 25'!$B$45:$E$45)&lt;=0),"",ROUND(85*(O2178/30*'Top 25'!$B$45+P2178/25*'Top 25'!$C$45+Q2178/25*'Top 25'!$D$45+R2178/5*'Top 25'!$E$45)/SUM('Top 25'!$B$45:$E$45),6))</f>
        <v>44</v>
      </c>
      <c r="U2178" s="1" t="str">
        <f t="shared" ca="1" si="45"/>
        <v>Listed</v>
      </c>
      <c r="V2178" s="1" t="str">
        <f ca="1">IF(A2178="","",IF(AK2178&lt;&gt;1,"Duplicate source ID",IF(COUNTIFS('Staff Review'!$A$8:$A$507,A2178)&gt;1,"Duplicate review ID",IF(H2178&lt;&gt;"Yes","Outside scope",IF(J2178="Yes","Already served",IF(NOT(ISNUMBER(T2178)),"Missing data","Candidate"))))))</f>
        <v>Candidate</v>
      </c>
      <c r="W2178" s="1">
        <f t="shared" ca="1" si="46"/>
        <v>85</v>
      </c>
      <c r="X2178" s="1">
        <f t="shared" ca="1" si="47"/>
        <v>81</v>
      </c>
      <c r="Y2178" s="1">
        <f ca="1">IF(AND(H2178="Yes",OR(LEN('School Search'!$B$5)=0,ISNUMBER(SEARCH('School Search'!$B$5,B2178&amp;" "&amp;E2178&amp;" "&amp;A2178))),OR('School Search'!$D$5="All",C2178='School Search'!$D$5),OR('School Search'!$G$5="All eligible",AND('School Search'!$G$5="Not marked served",J2178&lt;&gt;"Yes"),AND('School Search'!$G$5="Missing data",V2178="Missing data"),AND('School Search'!$G$5="Marked served",J2178="Yes"))),1,0)</f>
        <v>1</v>
      </c>
      <c r="Z2178" s="1">
        <f ca="1">IF(Y2178=0,"",COUNTIFS($Y$2051:$Y$2550,1,$AO$2051:$AO$2550,"&lt;"&amp;AO2178)+COUNTIFS($Y$2051:Y2178,1,$AO$2051:AO2178,AO2178))</f>
        <v>85</v>
      </c>
      <c r="AA2178" s="1" t="str">
        <f t="shared" ca="1" si="48"/>
        <v>88% economic need; 0.59 mi fresh access; 5 nearby resources</v>
      </c>
      <c r="AB2178" s="1">
        <f t="shared" si="49"/>
        <v>128</v>
      </c>
      <c r="AC2178" s="1" t="str">
        <f t="shared" si="50"/>
        <v>Shoprite of Parkside 419</v>
      </c>
      <c r="AD2178" s="1" t="str">
        <f t="shared" si="51"/>
        <v>1575 N 52nd St, Philadelphia, PA, 19131</v>
      </c>
      <c r="AE2178" s="1" t="str">
        <f t="shared" si="52"/>
        <v>5376 W BERKS ST</v>
      </c>
      <c r="AF2178" s="1">
        <f t="shared" si="53"/>
        <v>39.985901470000002</v>
      </c>
      <c r="AG2178" s="1">
        <f t="shared" si="54"/>
        <v>-75.231326600000003</v>
      </c>
      <c r="AH2178" s="1" t="str">
        <f>IF(I2178=0,"Not contacted",IF(INDEX('Staff Review'!$J$8:$J$507,I2178)="","Not contacted",INDEX('Staff Review'!$J$8:$J$507,I2178)))</f>
        <v>Not contacted</v>
      </c>
      <c r="AI2178" s="1" t="str">
        <f ca="1">IF(I2178=0,"No",IF(AND(COUNT(INDEX('Staff Review'!$D$8:$D$507,I2178))=1,INDEX('Staff Review'!$D$8:$D$507,I2178)&gt;=0,COUNT(INDEX('Staff Review'!$E$8:$E$507,I2178))=1,INDEX('Staff Review'!$E$8:$E$507,I2178)&gt;0,INDEX('Staff Review'!$E$8:$E$507,I2178)&lt;='Top 25'!$E$5,'Top 25'!$E$5-INDEX('Staff Review'!$E$8:$E$507,I2178)&lt;='Top 25'!$H$5,LEN(INDEX('Staff Review'!$H$8:$H$507,I2178))&gt;0),"Yes","No"))</f>
        <v>No</v>
      </c>
      <c r="AJ2178" s="1" t="str">
        <f>IF(I2178=0,"No",IF(COUNT(INDEX('Staff Review'!$F$8:$F$507,I2178))&lt;&gt;1,"No",IF(AND(INDEX('Staff Review'!$F$8:$F$507,I2178)&gt;=0,MOD(INDEX('Staff Review'!$F$8:$F$507,I2178),1)=0,COUNT(INDEX('Staff Review'!$G$8:$G$507,I2178))=1,INDEX('Staff Review'!$G$8:$G$507,I2178)&gt;0,INDEX('Staff Review'!$G$8:$G$507,I2178)&lt;='Top 25'!$E$5,'Top 25'!$E$5-INDEX('Staff Review'!$G$8:$G$507,I2178)&lt;='Top 25'!$H$5,LEN(INDEX('Staff Review'!$H$8:$H$507,I2178))&gt;0),"Yes","No")))</f>
        <v>No</v>
      </c>
      <c r="AK2178" s="1">
        <f t="shared" si="55"/>
        <v>1</v>
      </c>
      <c r="AL2178" s="1">
        <f t="shared" ca="1" si="56"/>
        <v>1</v>
      </c>
      <c r="AM2178" s="1">
        <f t="shared" si="57"/>
        <v>3408</v>
      </c>
      <c r="AN2178" s="1">
        <f t="shared" si="58"/>
        <v>128</v>
      </c>
      <c r="AO2178">
        <f t="shared" ca="1" si="59"/>
        <v>85</v>
      </c>
      <c r="AP2178" s="105">
        <f ca="1">IF(AND(AL2178=1,OR('Top 25'!$A$10="All",C2178='Top 25'!$A$10),OR('Top 25'!$D$10="All",D2178='Top 25'!$D$10)),1,0)</f>
        <v>0</v>
      </c>
      <c r="AQ2178" s="105" t="str">
        <f ca="1">IF(AP2178=0,"",CHOOSE(MATCH('Top 25'!$G$10,{"Priority score","Economic need","Enrollment","Fresh miles","Nearby resources"},0),T2178,G2178,F2178,K2178,L2178))</f>
        <v/>
      </c>
      <c r="AR2178" s="105" t="str">
        <f ca="1">IF(AP2178=0,"",1+COUNTIFS($AP$2051:$AP$2550,1,$AQ$2051:$AQ$2550,IF('Top 25'!$J$10="Ascending","&lt;","&gt;")&amp;AQ2178)+COUNTIFS($AP$2051:$AP$2550,1,$AQ$2051:$AQ$2550,AQ2178,$W$2051:$W$2550,"&lt;"&amp;W2178))</f>
        <v/>
      </c>
      <c r="AT2178" s="105">
        <f ca="1">IF(AND(AL2178=1,OR(Master_rankableSchools!$A$10="All",C2178=Master_rankableSchools!$A$10),OR(Master_rankableSchools!$D$10="All",D2178=Master_rankableSchools!$D$10)),1,0)</f>
        <v>1</v>
      </c>
      <c r="AU2178" s="105">
        <f ca="1">IF(AT2178=0,"",CHOOSE(MATCH(Master_rankableSchools!$G$10,{"Priority score","Economic need","Enrollment","Fresh miles","Nearby resources"},0),T2178,G2178,F2178,K2178,L2178))</f>
        <v>44</v>
      </c>
      <c r="AV2178" s="105">
        <f ca="1">IF(AT2178=0,"",1+COUNTIFS($AT$2051:$AT$2550,1,$AU$2051:$AU$2550,IF(Master_rankableSchools!$J$10="Ascending","&lt;","&gt;")&amp;AU2178)+COUNTIFS($AT$2051:$AT$2550,1,$AU$2051:$AU$2550,AU2178,$W$2051:$W$2550,"&lt;"&amp;W2178))</f>
        <v>85</v>
      </c>
    </row>
    <row r="2179" spans="1:48" ht="22" customHeight="1">
      <c r="A2179" s="1" t="str">
        <f t="shared" ref="A2179:A2242" si="60">IF(A130="","",A130)</f>
        <v>3409</v>
      </c>
      <c r="B2179" s="1" t="str">
        <f t="shared" ref="B2179:B2242" si="61">IF(A2179="","",B130)</f>
        <v>Mastery Charter School at Smedley</v>
      </c>
      <c r="C2179" s="1" t="str">
        <f t="shared" ref="C2179:C2242" si="62">IF(A2179="","",C130)</f>
        <v>Charter</v>
      </c>
      <c r="D2179" s="1" t="str">
        <f t="shared" ref="D2179:D2242" si="63">IF(A2179="","",E130)</f>
        <v>Elementary</v>
      </c>
      <c r="E2179" s="1" t="str">
        <f t="shared" ref="E2179:E2242" si="64">IF(A2179="","",H130)</f>
        <v>19124</v>
      </c>
      <c r="F2179" s="1">
        <f t="shared" ref="F2179:F2242" si="65">IF(ISNUMBER(K130),K130,"")</f>
        <v>737</v>
      </c>
      <c r="G2179" s="1">
        <f t="shared" ref="G2179:G2242" si="66">IF(ISNUMBER(L130),L130,"")</f>
        <v>0.86309999999999998</v>
      </c>
      <c r="H2179" s="1" t="str">
        <f t="shared" ref="H2179:H2242" si="67">IF(A2179="","",IF(AND(UPPER(G130)="PHILADELPHIA",OR(C2179="District",AND(C2179="Charter",D130="Yes"))),"Yes","No"))</f>
        <v>Yes</v>
      </c>
      <c r="I2179" s="1">
        <f>IF(OR(A2179="",COUNTIFS('Staff Review'!$A$8:$A$507,A2179)&lt;&gt;1),0,MATCH(A2179,'Staff Review'!$A$8:$A$507,0))</f>
        <v>192</v>
      </c>
      <c r="J2179" s="1" t="str">
        <f>IF(I2179=0,"No",IF(INDEX('Staff Review'!$C$8:$C$507,I2179)="Yes","Yes","No"))</f>
        <v>No</v>
      </c>
      <c r="K2179" s="1">
        <f ca="1">IF(AI2179="Yes",INDEX('Staff Review'!$D$8:$D$507,I2179),IF(AB2179=0,"",IF(COUNT(INDEX($C$1531:$C$2030,AB2179))=1,INDEX($C$1531:$C$2030,AB2179),"")))</f>
        <v>0.25579541821587615</v>
      </c>
      <c r="L2179" s="1">
        <f>IF(AJ2179="Yes",INDEX('Staff Review'!$F$8:$F$507,I2179),IF(AB2179=0,"",IF(COUNT(INDEX($G$1531:$G$2030,AB2179))=1,INDEX($G$1531:$G$2030,AB2179),"")))</f>
        <v>10</v>
      </c>
      <c r="M2179" s="1" t="str">
        <f t="shared" ref="M2179:M2242" ca="1" si="68">IF(A2179="","",IF(AI2179="Yes","Verified","Listed"))</f>
        <v>Listed</v>
      </c>
      <c r="N2179" s="1" t="str">
        <f t="shared" ref="N2179:N2242" si="69">IF(A2179="","",IF(AJ2179="Yes","Verified","Listed"))</f>
        <v>Listed</v>
      </c>
      <c r="O2179" s="1">
        <f t="shared" ref="O2179:O2242" si="70">IF(AND(ISNUMBER(G2179),G2179&gt;=0,G2179&lt;=1),IF(G2179&gt;=0.9,30,IF(G2179&gt;=0.8,25,IF(G2179&gt;=0.7,20,IF(G2179&gt;=0.6,15,IF(G2179&gt;=0.5,10,IF(G2179&gt;=0.4,5,0)))))),"")</f>
        <v>25</v>
      </c>
      <c r="P2179" s="1">
        <f t="shared" ref="P2179:P2242" ca="1" si="71">IF(ISNUMBER(K2179),IF(K2179&lt;0,"",IF(K2179&gt;1,25,IF(K2179&gt;=0.75,20,IF(K2179&gt;=0.5,15,IF(K2179&gt;=0.25,10,5))))),"")</f>
        <v>10</v>
      </c>
      <c r="Q2179" s="1">
        <f t="shared" ref="Q2179:Q2242" si="72">IF(NOT(ISNUMBER(L2179)),"",IF(AND(L2179&gt;=0,MOD(L2179,1)=0),MAX(0,25-5*L2179),""))</f>
        <v>0</v>
      </c>
      <c r="R2179" s="1">
        <f t="shared" ref="R2179:R2242" si="73">IF(NOT(ISNUMBER(F2179)),"",IF(AND(F2179&gt;0,MOD(F2179,1)=0),IF(F2179&gt;=700,5,IF(F2179&gt;=500,4,IF(F2179&gt;=350,3,IF(F2179&gt;=200,2,1)))),""))</f>
        <v>5</v>
      </c>
      <c r="S2179" s="1">
        <f t="shared" ref="S2179:S2242" ca="1" si="74">IF(COUNT(O2179:R2179)=4,SUM(O2179:R2179),"")</f>
        <v>40</v>
      </c>
      <c r="T2179" s="1">
        <f ca="1">IF(OR(COUNT(O2179:R2179)&lt;&gt;4,COUNT('Top 25'!$B$45:$E$45)&lt;&gt;4,MIN('Top 25'!$B$45:$E$45)&lt;0,SUM('Top 25'!$B$45:$E$45)&lt;=0),"",ROUND(85*(O2179/30*'Top 25'!$B$45+P2179/25*'Top 25'!$C$45+Q2179/25*'Top 25'!$D$45+R2179/5*'Top 25'!$E$45)/SUM('Top 25'!$B$45:$E$45),6))</f>
        <v>40</v>
      </c>
      <c r="U2179" s="1" t="str">
        <f t="shared" ref="U2179:U2242" ca="1" si="75">IF(A2179="","",IF(AND(M2179="Verified",N2179="Verified"),"Verified",IF(AND(M2179="Listed",N2179="Listed"),"Listed","Mixed")))</f>
        <v>Listed</v>
      </c>
      <c r="V2179" s="1" t="str">
        <f ca="1">IF(A2179="","",IF(AK2179&lt;&gt;1,"Duplicate source ID",IF(COUNTIFS('Staff Review'!$A$8:$A$507,A2179)&gt;1,"Duplicate review ID",IF(H2179&lt;&gt;"Yes","Outside scope",IF(J2179="Yes","Already served",IF(NOT(ISNUMBER(T2179)),"Missing data","Candidate"))))))</f>
        <v>Candidate</v>
      </c>
      <c r="W2179" s="1">
        <f t="shared" ref="W2179:W2242" ca="1" si="76">IF(AL2179=0,"",1+COUNTIFS($AL$2051:$AL$2550,1,$T$2051:$T$2550,"&gt;"&amp;T2179)+COUNTIFS($AL$2051:$AL$2550,1,$T$2051:$T$2550,T2179,$G$2051:$G$2550,"&gt;"&amp;G2179)+COUNTIFS($AL$2051:$AL$2550,1,$T$2051:$T$2550,T2179,$G$2051:$G$2550,G2179,$F$2051:$F$2550,"&gt;"&amp;F2179)+COUNTIFS($AL$2051:$AL$2550,1,$T$2051:$T$2550,T2179,$G$2051:$G$2550,G2179,$F$2051:$F$2550,F2179,$AM$2051:$AM$2550,"&lt;"&amp;AM2179))</f>
        <v>137</v>
      </c>
      <c r="X2179" s="1">
        <f t="shared" ref="X2179:X2242" ca="1" si="77">IF(AL2179=0,"",1+COUNTIFS($AL$2051:$AL$2550,1,$T$2051:$T$2550,"&gt;"&amp;T2179))</f>
        <v>133</v>
      </c>
      <c r="Y2179" s="1">
        <f ca="1">IF(AND(H2179="Yes",OR(LEN('School Search'!$B$5)=0,ISNUMBER(SEARCH('School Search'!$B$5,B2179&amp;" "&amp;E2179&amp;" "&amp;A2179))),OR('School Search'!$D$5="All",C2179='School Search'!$D$5),OR('School Search'!$G$5="All eligible",AND('School Search'!$G$5="Not marked served",J2179&lt;&gt;"Yes"),AND('School Search'!$G$5="Missing data",V2179="Missing data"),AND('School Search'!$G$5="Marked served",J2179="Yes"))),1,0)</f>
        <v>1</v>
      </c>
      <c r="Z2179" s="1">
        <f ca="1">IF(Y2179=0,"",COUNTIFS($Y$2051:$Y$2550,1,$AO$2051:$AO$2550,"&lt;"&amp;AO2179)+COUNTIFS($Y$2051:Y2179,1,$AO$2051:AO2179,AO2179))</f>
        <v>137</v>
      </c>
      <c r="AA2179" s="1" t="str">
        <f t="shared" ref="AA2179:AA2242" ca="1" si="78">IF(NOT(ISNUMBER(S2179)),"Missing demographic or access input",TEXT(G2179,"0%")&amp;" economic need; "&amp;TEXT(K2179,"0.00")&amp;" mi fresh access; "&amp;L2179&amp;" nearby resources")</f>
        <v>86% economic need; 0.26 mi fresh access; 10 nearby resources</v>
      </c>
      <c r="AB2179" s="1">
        <f t="shared" ref="AB2179:AB2242" si="79">IF(OR(A2179="",COUNTIFS($A$1531:$A$2030,A2179)&lt;&gt;1),0,MATCH(A2179,$A$1531:$A$2030,0))</f>
        <v>129</v>
      </c>
      <c r="AC2179" s="1" t="str">
        <f t="shared" ref="AC2179:AC2242" si="80">IF(AB2179=0,"",INDEX($E$1531:$E$2030,AB2179))</f>
        <v>Cousins Grocery Market Inc.</v>
      </c>
      <c r="AD2179" s="1" t="str">
        <f t="shared" ref="AD2179:AD2242" si="81">IF(AB2179=0,"",INDEX($F$1531:$F$2030,AB2179))</f>
        <v>1607 Bridge St, Philadelphia, PA, 19124</v>
      </c>
      <c r="AE2179" s="1" t="str">
        <f t="shared" ref="AE2179:AE2242" si="82">IF(A2179="","",F130)</f>
        <v>1790 BRIDGE ST</v>
      </c>
      <c r="AF2179" s="1">
        <f t="shared" ref="AF2179:AF2242" si="83">IF(ISNUMBER(I130),I130,"")</f>
        <v>40.019786000000003</v>
      </c>
      <c r="AG2179" s="1">
        <f t="shared" ref="AG2179:AG2242" si="84">IF(ISNUMBER(J130),J130,"")</f>
        <v>-75.073892000000001</v>
      </c>
      <c r="AH2179" s="1" t="str">
        <f>IF(I2179=0,"Not contacted",IF(INDEX('Staff Review'!$J$8:$J$507,I2179)="","Not contacted",INDEX('Staff Review'!$J$8:$J$507,I2179)))</f>
        <v>Not contacted</v>
      </c>
      <c r="AI2179" s="1" t="str">
        <f ca="1">IF(I2179=0,"No",IF(AND(COUNT(INDEX('Staff Review'!$D$8:$D$507,I2179))=1,INDEX('Staff Review'!$D$8:$D$507,I2179)&gt;=0,COUNT(INDEX('Staff Review'!$E$8:$E$507,I2179))=1,INDEX('Staff Review'!$E$8:$E$507,I2179)&gt;0,INDEX('Staff Review'!$E$8:$E$507,I2179)&lt;='Top 25'!$E$5,'Top 25'!$E$5-INDEX('Staff Review'!$E$8:$E$507,I2179)&lt;='Top 25'!$H$5,LEN(INDEX('Staff Review'!$H$8:$H$507,I2179))&gt;0),"Yes","No"))</f>
        <v>No</v>
      </c>
      <c r="AJ2179" s="1" t="str">
        <f>IF(I2179=0,"No",IF(COUNT(INDEX('Staff Review'!$F$8:$F$507,I2179))&lt;&gt;1,"No",IF(AND(INDEX('Staff Review'!$F$8:$F$507,I2179)&gt;=0,MOD(INDEX('Staff Review'!$F$8:$F$507,I2179),1)=0,COUNT(INDEX('Staff Review'!$G$8:$G$507,I2179))=1,INDEX('Staff Review'!$G$8:$G$507,I2179)&gt;0,INDEX('Staff Review'!$G$8:$G$507,I2179)&lt;='Top 25'!$E$5,'Top 25'!$E$5-INDEX('Staff Review'!$G$8:$G$507,I2179)&lt;='Top 25'!$H$5,LEN(INDEX('Staff Review'!$H$8:$H$507,I2179))&gt;0),"Yes","No")))</f>
        <v>No</v>
      </c>
      <c r="AK2179" s="1">
        <f t="shared" ref="AK2179:AK2242" si="85">IF(A2179="",0,COUNTIFS($A$2:$A$501,A2179))</f>
        <v>1</v>
      </c>
      <c r="AL2179" s="1">
        <f t="shared" ref="AL2179:AL2242" ca="1" si="86">IF(V2179="Candidate",1,0)</f>
        <v>1</v>
      </c>
      <c r="AM2179" s="1">
        <f t="shared" ref="AM2179:AM2242" si="87">IF(A2179="",0,VALUE(A2179))</f>
        <v>3409</v>
      </c>
      <c r="AN2179" s="1">
        <f t="shared" ref="AN2179:AN2242" si="88">IF(OR(A2179="",COUNTIFS($T$41:$T$540,A2179)&lt;&gt;1),0,MATCH(A2179,$T$41:$T$540,0))</f>
        <v>129</v>
      </c>
      <c r="AO2179">
        <f t="shared" ref="AO2179:AO2242" ca="1" si="89">IF(ISNUMBER(W2179),W2179,10000+AM2179)</f>
        <v>137</v>
      </c>
      <c r="AP2179" s="105">
        <f ca="1">IF(AND(AL2179=1,OR('Top 25'!$A$10="All",C2179='Top 25'!$A$10),OR('Top 25'!$D$10="All",D2179='Top 25'!$D$10)),1,0)</f>
        <v>0</v>
      </c>
      <c r="AQ2179" s="105" t="str">
        <f ca="1">IF(AP2179=0,"",CHOOSE(MATCH('Top 25'!$G$10,{"Priority score","Economic need","Enrollment","Fresh miles","Nearby resources"},0),T2179,G2179,F2179,K2179,L2179))</f>
        <v/>
      </c>
      <c r="AR2179" s="105" t="str">
        <f ca="1">IF(AP2179=0,"",1+COUNTIFS($AP$2051:$AP$2550,1,$AQ$2051:$AQ$2550,IF('Top 25'!$J$10="Ascending","&lt;","&gt;")&amp;AQ2179)+COUNTIFS($AP$2051:$AP$2550,1,$AQ$2051:$AQ$2550,AQ2179,$W$2051:$W$2550,"&lt;"&amp;W2179))</f>
        <v/>
      </c>
      <c r="AT2179" s="105">
        <f ca="1">IF(AND(AL2179=1,OR(Master_rankableSchools!$A$10="All",C2179=Master_rankableSchools!$A$10),OR(Master_rankableSchools!$D$10="All",D2179=Master_rankableSchools!$D$10)),1,0)</f>
        <v>1</v>
      </c>
      <c r="AU2179" s="105">
        <f ca="1">IF(AT2179=0,"",CHOOSE(MATCH(Master_rankableSchools!$G$10,{"Priority score","Economic need","Enrollment","Fresh miles","Nearby resources"},0),T2179,G2179,F2179,K2179,L2179))</f>
        <v>40</v>
      </c>
      <c r="AV2179" s="105">
        <f ca="1">IF(AT2179=0,"",1+COUNTIFS($AT$2051:$AT$2550,1,$AU$2051:$AU$2550,IF(Master_rankableSchools!$J$10="Ascending","&lt;","&gt;")&amp;AU2179)+COUNTIFS($AT$2051:$AT$2550,1,$AU$2051:$AU$2550,AU2179,$W$2051:$W$2550,"&lt;"&amp;W2179))</f>
        <v>137</v>
      </c>
    </row>
    <row r="2180" spans="1:48" ht="22" customHeight="1">
      <c r="A2180" s="1" t="str">
        <f t="shared" si="60"/>
        <v>3412</v>
      </c>
      <c r="B2180" s="1" t="str">
        <f t="shared" si="61"/>
        <v>Mastery Charter School at Douglass</v>
      </c>
      <c r="C2180" s="1" t="str">
        <f t="shared" si="62"/>
        <v>Charter</v>
      </c>
      <c r="D2180" s="1" t="str">
        <f t="shared" si="63"/>
        <v>Elementary-Middle</v>
      </c>
      <c r="E2180" s="1" t="str">
        <f t="shared" si="64"/>
        <v>19121</v>
      </c>
      <c r="F2180" s="1">
        <f t="shared" si="65"/>
        <v>559</v>
      </c>
      <c r="G2180" s="1">
        <f t="shared" si="66"/>
        <v>0.99280000000000002</v>
      </c>
      <c r="H2180" s="1" t="str">
        <f t="shared" si="67"/>
        <v>Yes</v>
      </c>
      <c r="I2180" s="1">
        <f>IF(OR(A2180="",COUNTIFS('Staff Review'!$A$8:$A$507,A2180)&lt;&gt;1),0,MATCH(A2180,'Staff Review'!$A$8:$A$507,0))</f>
        <v>184</v>
      </c>
      <c r="J2180" s="1" t="str">
        <f>IF(I2180=0,"No",IF(INDEX('Staff Review'!$C$8:$C$507,I2180)="Yes","Yes","No"))</f>
        <v>No</v>
      </c>
      <c r="K2180" s="1">
        <f ca="1">IF(AI2180="Yes",INDEX('Staff Review'!$D$8:$D$507,I2180),IF(AB2180=0,"",IF(COUNT(INDEX($C$1531:$C$2030,AB2180))=1,INDEX($C$1531:$C$2030,AB2180),"")))</f>
        <v>0.46190672527788151</v>
      </c>
      <c r="L2180" s="1">
        <f>IF(AJ2180="Yes",INDEX('Staff Review'!$F$8:$F$507,I2180),IF(AB2180=0,"",IF(COUNT(INDEX($G$1531:$G$2030,AB2180))=1,INDEX($G$1531:$G$2030,AB2180),"")))</f>
        <v>19</v>
      </c>
      <c r="M2180" s="1" t="str">
        <f t="shared" ca="1" si="68"/>
        <v>Listed</v>
      </c>
      <c r="N2180" s="1" t="str">
        <f t="shared" si="69"/>
        <v>Listed</v>
      </c>
      <c r="O2180" s="1">
        <f t="shared" si="70"/>
        <v>30</v>
      </c>
      <c r="P2180" s="1">
        <f t="shared" ca="1" si="71"/>
        <v>10</v>
      </c>
      <c r="Q2180" s="1">
        <f t="shared" si="72"/>
        <v>0</v>
      </c>
      <c r="R2180" s="1">
        <f t="shared" si="73"/>
        <v>4</v>
      </c>
      <c r="S2180" s="1">
        <f t="shared" ca="1" si="74"/>
        <v>44</v>
      </c>
      <c r="T2180" s="1">
        <f ca="1">IF(OR(COUNT(O2180:R2180)&lt;&gt;4,COUNT('Top 25'!$B$45:$E$45)&lt;&gt;4,MIN('Top 25'!$B$45:$E$45)&lt;0,SUM('Top 25'!$B$45:$E$45)&lt;=0),"",ROUND(85*(O2180/30*'Top 25'!$B$45+P2180/25*'Top 25'!$C$45+Q2180/25*'Top 25'!$D$45+R2180/5*'Top 25'!$E$45)/SUM('Top 25'!$B$45:$E$45),6))</f>
        <v>44</v>
      </c>
      <c r="U2180" s="1" t="str">
        <f t="shared" ca="1" si="75"/>
        <v>Listed</v>
      </c>
      <c r="V2180" s="1" t="str">
        <f ca="1">IF(A2180="","",IF(AK2180&lt;&gt;1,"Duplicate source ID",IF(COUNTIFS('Staff Review'!$A$8:$A$507,A2180)&gt;1,"Duplicate review ID",IF(H2180&lt;&gt;"Yes","Outside scope",IF(J2180="Yes","Already served",IF(NOT(ISNUMBER(T2180)),"Missing data","Candidate"))))))</f>
        <v>Candidate</v>
      </c>
      <c r="W2180" s="1">
        <f t="shared" ca="1" si="76"/>
        <v>81</v>
      </c>
      <c r="X2180" s="1">
        <f t="shared" ca="1" si="77"/>
        <v>81</v>
      </c>
      <c r="Y2180" s="1">
        <f ca="1">IF(AND(H2180="Yes",OR(LEN('School Search'!$B$5)=0,ISNUMBER(SEARCH('School Search'!$B$5,B2180&amp;" "&amp;E2180&amp;" "&amp;A2180))),OR('School Search'!$D$5="All",C2180='School Search'!$D$5),OR('School Search'!$G$5="All eligible",AND('School Search'!$G$5="Not marked served",J2180&lt;&gt;"Yes"),AND('School Search'!$G$5="Missing data",V2180="Missing data"),AND('School Search'!$G$5="Marked served",J2180="Yes"))),1,0)</f>
        <v>1</v>
      </c>
      <c r="Z2180" s="1">
        <f ca="1">IF(Y2180=0,"",COUNTIFS($Y$2051:$Y$2550,1,$AO$2051:$AO$2550,"&lt;"&amp;AO2180)+COUNTIFS($Y$2051:Y2180,1,$AO$2051:AO2180,AO2180))</f>
        <v>81</v>
      </c>
      <c r="AA2180" s="1" t="str">
        <f t="shared" ca="1" si="78"/>
        <v>99% economic need; 0.46 mi fresh access; 19 nearby resources</v>
      </c>
      <c r="AB2180" s="1">
        <f t="shared" si="79"/>
        <v>130</v>
      </c>
      <c r="AC2180" s="1" t="str">
        <f t="shared" si="80"/>
        <v>Sharswood Grocery Outlet 731</v>
      </c>
      <c r="AD2180" s="1" t="str">
        <f t="shared" si="81"/>
        <v>2077 Ridge Ave, Philadelphia, PA, 19121</v>
      </c>
      <c r="AE2180" s="1" t="str">
        <f t="shared" si="82"/>
        <v>2118 W NORRIS ST</v>
      </c>
      <c r="AF2180" s="1">
        <f t="shared" si="83"/>
        <v>39.984615320000003</v>
      </c>
      <c r="AG2180" s="1">
        <f t="shared" si="84"/>
        <v>-75.168462669999997</v>
      </c>
      <c r="AH2180" s="1" t="str">
        <f>IF(I2180=0,"Not contacted",IF(INDEX('Staff Review'!$J$8:$J$507,I2180)="","Not contacted",INDEX('Staff Review'!$J$8:$J$507,I2180)))</f>
        <v>Not contacted</v>
      </c>
      <c r="AI2180" s="1" t="str">
        <f ca="1">IF(I2180=0,"No",IF(AND(COUNT(INDEX('Staff Review'!$D$8:$D$507,I2180))=1,INDEX('Staff Review'!$D$8:$D$507,I2180)&gt;=0,COUNT(INDEX('Staff Review'!$E$8:$E$507,I2180))=1,INDEX('Staff Review'!$E$8:$E$507,I2180)&gt;0,INDEX('Staff Review'!$E$8:$E$507,I2180)&lt;='Top 25'!$E$5,'Top 25'!$E$5-INDEX('Staff Review'!$E$8:$E$507,I2180)&lt;='Top 25'!$H$5,LEN(INDEX('Staff Review'!$H$8:$H$507,I2180))&gt;0),"Yes","No"))</f>
        <v>No</v>
      </c>
      <c r="AJ2180" s="1" t="str">
        <f>IF(I2180=0,"No",IF(COUNT(INDEX('Staff Review'!$F$8:$F$507,I2180))&lt;&gt;1,"No",IF(AND(INDEX('Staff Review'!$F$8:$F$507,I2180)&gt;=0,MOD(INDEX('Staff Review'!$F$8:$F$507,I2180),1)=0,COUNT(INDEX('Staff Review'!$G$8:$G$507,I2180))=1,INDEX('Staff Review'!$G$8:$G$507,I2180)&gt;0,INDEX('Staff Review'!$G$8:$G$507,I2180)&lt;='Top 25'!$E$5,'Top 25'!$E$5-INDEX('Staff Review'!$G$8:$G$507,I2180)&lt;='Top 25'!$H$5,LEN(INDEX('Staff Review'!$H$8:$H$507,I2180))&gt;0),"Yes","No")))</f>
        <v>No</v>
      </c>
      <c r="AK2180" s="1">
        <f t="shared" si="85"/>
        <v>1</v>
      </c>
      <c r="AL2180" s="1">
        <f t="shared" ca="1" si="86"/>
        <v>1</v>
      </c>
      <c r="AM2180" s="1">
        <f t="shared" si="87"/>
        <v>3412</v>
      </c>
      <c r="AN2180" s="1">
        <f t="shared" si="88"/>
        <v>130</v>
      </c>
      <c r="AO2180">
        <f t="shared" ca="1" si="89"/>
        <v>81</v>
      </c>
      <c r="AP2180" s="105">
        <f ca="1">IF(AND(AL2180=1,OR('Top 25'!$A$10="All",C2180='Top 25'!$A$10),OR('Top 25'!$D$10="All",D2180='Top 25'!$D$10)),1,0)</f>
        <v>0</v>
      </c>
      <c r="AQ2180" s="105" t="str">
        <f ca="1">IF(AP2180=0,"",CHOOSE(MATCH('Top 25'!$G$10,{"Priority score","Economic need","Enrollment","Fresh miles","Nearby resources"},0),T2180,G2180,F2180,K2180,L2180))</f>
        <v/>
      </c>
      <c r="AR2180" s="105" t="str">
        <f ca="1">IF(AP2180=0,"",1+COUNTIFS($AP$2051:$AP$2550,1,$AQ$2051:$AQ$2550,IF('Top 25'!$J$10="Ascending","&lt;","&gt;")&amp;AQ2180)+COUNTIFS($AP$2051:$AP$2550,1,$AQ$2051:$AQ$2550,AQ2180,$W$2051:$W$2550,"&lt;"&amp;W2180))</f>
        <v/>
      </c>
      <c r="AT2180" s="105">
        <f ca="1">IF(AND(AL2180=1,OR(Master_rankableSchools!$A$10="All",C2180=Master_rankableSchools!$A$10),OR(Master_rankableSchools!$D$10="All",D2180=Master_rankableSchools!$D$10)),1,0)</f>
        <v>1</v>
      </c>
      <c r="AU2180" s="105">
        <f ca="1">IF(AT2180=0,"",CHOOSE(MATCH(Master_rankableSchools!$G$10,{"Priority score","Economic need","Enrollment","Fresh miles","Nearby resources"},0),T2180,G2180,F2180,K2180,L2180))</f>
        <v>44</v>
      </c>
      <c r="AV2180" s="105">
        <f ca="1">IF(AT2180=0,"",1+COUNTIFS($AT$2051:$AT$2550,1,$AU$2051:$AU$2550,IF(Master_rankableSchools!$J$10="Ascending","&lt;","&gt;")&amp;AU2180)+COUNTIFS($AT$2051:$AT$2550,1,$AU$2051:$AU$2550,AU2180,$W$2051:$W$2550,"&lt;"&amp;W2180))</f>
        <v>81</v>
      </c>
    </row>
    <row r="2181" spans="1:48" ht="22" customHeight="1">
      <c r="A2181" s="1" t="str">
        <f t="shared" si="60"/>
        <v>3415</v>
      </c>
      <c r="B2181" s="1" t="str">
        <f t="shared" si="61"/>
        <v>Mastery Charter School at Clymer</v>
      </c>
      <c r="C2181" s="1" t="str">
        <f t="shared" si="62"/>
        <v>Charter</v>
      </c>
      <c r="D2181" s="1" t="str">
        <f t="shared" si="63"/>
        <v>Elementary</v>
      </c>
      <c r="E2181" s="1" t="str">
        <f t="shared" si="64"/>
        <v>19133</v>
      </c>
      <c r="F2181" s="1">
        <f t="shared" si="65"/>
        <v>417</v>
      </c>
      <c r="G2181" s="1">
        <f t="shared" si="66"/>
        <v>0.98080000000000001</v>
      </c>
      <c r="H2181" s="1" t="str">
        <f t="shared" si="67"/>
        <v>Yes</v>
      </c>
      <c r="I2181" s="1">
        <f>IF(OR(A2181="",COUNTIFS('Staff Review'!$A$8:$A$507,A2181)&lt;&gt;1),0,MATCH(A2181,'Staff Review'!$A$8:$A$507,0))</f>
        <v>183</v>
      </c>
      <c r="J2181" s="1" t="str">
        <f>IF(I2181=0,"No",IF(INDEX('Staff Review'!$C$8:$C$507,I2181)="Yes","Yes","No"))</f>
        <v>No</v>
      </c>
      <c r="K2181" s="1">
        <f ca="1">IF(AI2181="Yes",INDEX('Staff Review'!$D$8:$D$507,I2181),IF(AB2181=0,"",IF(COUNT(INDEX($C$1531:$C$2030,AB2181))=1,INDEX($C$1531:$C$2030,AB2181),"")))</f>
        <v>0.36645928419428137</v>
      </c>
      <c r="L2181" s="1">
        <f>IF(AJ2181="Yes",INDEX('Staff Review'!$F$8:$F$507,I2181),IF(AB2181=0,"",IF(COUNT(INDEX($G$1531:$G$2030,AB2181))=1,INDEX($G$1531:$G$2030,AB2181),"")))</f>
        <v>14</v>
      </c>
      <c r="M2181" s="1" t="str">
        <f t="shared" ca="1" si="68"/>
        <v>Listed</v>
      </c>
      <c r="N2181" s="1" t="str">
        <f t="shared" si="69"/>
        <v>Listed</v>
      </c>
      <c r="O2181" s="1">
        <f t="shared" si="70"/>
        <v>30</v>
      </c>
      <c r="P2181" s="1">
        <f t="shared" ca="1" si="71"/>
        <v>10</v>
      </c>
      <c r="Q2181" s="1">
        <f t="shared" si="72"/>
        <v>0</v>
      </c>
      <c r="R2181" s="1">
        <f t="shared" si="73"/>
        <v>3</v>
      </c>
      <c r="S2181" s="1">
        <f t="shared" ca="1" si="74"/>
        <v>43</v>
      </c>
      <c r="T2181" s="1">
        <f ca="1">IF(OR(COUNT(O2181:R2181)&lt;&gt;4,COUNT('Top 25'!$B$45:$E$45)&lt;&gt;4,MIN('Top 25'!$B$45:$E$45)&lt;0,SUM('Top 25'!$B$45:$E$45)&lt;=0),"",ROUND(85*(O2181/30*'Top 25'!$B$45+P2181/25*'Top 25'!$C$45+Q2181/25*'Top 25'!$D$45+R2181/5*'Top 25'!$E$45)/SUM('Top 25'!$B$45:$E$45),6))</f>
        <v>43</v>
      </c>
      <c r="U2181" s="1" t="str">
        <f t="shared" ca="1" si="75"/>
        <v>Listed</v>
      </c>
      <c r="V2181" s="1" t="str">
        <f ca="1">IF(A2181="","",IF(AK2181&lt;&gt;1,"Duplicate source ID",IF(COUNTIFS('Staff Review'!$A$8:$A$507,A2181)&gt;1,"Duplicate review ID",IF(H2181&lt;&gt;"Yes","Outside scope",IF(J2181="Yes","Already served",IF(NOT(ISNUMBER(T2181)),"Missing data","Candidate"))))))</f>
        <v>Candidate</v>
      </c>
      <c r="W2181" s="1">
        <f t="shared" ca="1" si="76"/>
        <v>90</v>
      </c>
      <c r="X2181" s="1">
        <f t="shared" ca="1" si="77"/>
        <v>90</v>
      </c>
      <c r="Y2181" s="1">
        <f ca="1">IF(AND(H2181="Yes",OR(LEN('School Search'!$B$5)=0,ISNUMBER(SEARCH('School Search'!$B$5,B2181&amp;" "&amp;E2181&amp;" "&amp;A2181))),OR('School Search'!$D$5="All",C2181='School Search'!$D$5),OR('School Search'!$G$5="All eligible",AND('School Search'!$G$5="Not marked served",J2181&lt;&gt;"Yes"),AND('School Search'!$G$5="Missing data",V2181="Missing data"),AND('School Search'!$G$5="Marked served",J2181="Yes"))),1,0)</f>
        <v>1</v>
      </c>
      <c r="Z2181" s="1">
        <f ca="1">IF(Y2181=0,"",COUNTIFS($Y$2051:$Y$2550,1,$AO$2051:$AO$2550,"&lt;"&amp;AO2181)+COUNTIFS($Y$2051:Y2181,1,$AO$2051:AO2181,AO2181))</f>
        <v>90</v>
      </c>
      <c r="AA2181" s="1" t="str">
        <f t="shared" ca="1" si="78"/>
        <v>98% economic need; 0.37 mi fresh access; 14 nearby resources</v>
      </c>
      <c r="AB2181" s="1">
        <f t="shared" si="79"/>
        <v>131</v>
      </c>
      <c r="AC2181" s="1" t="str">
        <f t="shared" si="80"/>
        <v>Save A Lot 60139</v>
      </c>
      <c r="AD2181" s="1" t="str">
        <f t="shared" si="81"/>
        <v>701 W Lehigh Ave, Philadelphia, PA, 19133</v>
      </c>
      <c r="AE2181" s="1" t="str">
        <f t="shared" si="82"/>
        <v>1201 W RUSH ST</v>
      </c>
      <c r="AF2181" s="1">
        <f t="shared" si="83"/>
        <v>39.995659340000003</v>
      </c>
      <c r="AG2181" s="1">
        <f t="shared" si="84"/>
        <v>-75.150344189999998</v>
      </c>
      <c r="AH2181" s="1" t="str">
        <f>IF(I2181=0,"Not contacted",IF(INDEX('Staff Review'!$J$8:$J$507,I2181)="","Not contacted",INDEX('Staff Review'!$J$8:$J$507,I2181)))</f>
        <v>Not contacted</v>
      </c>
      <c r="AI2181" s="1" t="str">
        <f ca="1">IF(I2181=0,"No",IF(AND(COUNT(INDEX('Staff Review'!$D$8:$D$507,I2181))=1,INDEX('Staff Review'!$D$8:$D$507,I2181)&gt;=0,COUNT(INDEX('Staff Review'!$E$8:$E$507,I2181))=1,INDEX('Staff Review'!$E$8:$E$507,I2181)&gt;0,INDEX('Staff Review'!$E$8:$E$507,I2181)&lt;='Top 25'!$E$5,'Top 25'!$E$5-INDEX('Staff Review'!$E$8:$E$507,I2181)&lt;='Top 25'!$H$5,LEN(INDEX('Staff Review'!$H$8:$H$507,I2181))&gt;0),"Yes","No"))</f>
        <v>No</v>
      </c>
      <c r="AJ2181" s="1" t="str">
        <f>IF(I2181=0,"No",IF(COUNT(INDEX('Staff Review'!$F$8:$F$507,I2181))&lt;&gt;1,"No",IF(AND(INDEX('Staff Review'!$F$8:$F$507,I2181)&gt;=0,MOD(INDEX('Staff Review'!$F$8:$F$507,I2181),1)=0,COUNT(INDEX('Staff Review'!$G$8:$G$507,I2181))=1,INDEX('Staff Review'!$G$8:$G$507,I2181)&gt;0,INDEX('Staff Review'!$G$8:$G$507,I2181)&lt;='Top 25'!$E$5,'Top 25'!$E$5-INDEX('Staff Review'!$G$8:$G$507,I2181)&lt;='Top 25'!$H$5,LEN(INDEX('Staff Review'!$H$8:$H$507,I2181))&gt;0),"Yes","No")))</f>
        <v>No</v>
      </c>
      <c r="AK2181" s="1">
        <f t="shared" si="85"/>
        <v>1</v>
      </c>
      <c r="AL2181" s="1">
        <f t="shared" ca="1" si="86"/>
        <v>1</v>
      </c>
      <c r="AM2181" s="1">
        <f t="shared" si="87"/>
        <v>3415</v>
      </c>
      <c r="AN2181" s="1">
        <f t="shared" si="88"/>
        <v>131</v>
      </c>
      <c r="AO2181">
        <f t="shared" ca="1" si="89"/>
        <v>90</v>
      </c>
      <c r="AP2181" s="105">
        <f ca="1">IF(AND(AL2181=1,OR('Top 25'!$A$10="All",C2181='Top 25'!$A$10),OR('Top 25'!$D$10="All",D2181='Top 25'!$D$10)),1,0)</f>
        <v>0</v>
      </c>
      <c r="AQ2181" s="105" t="str">
        <f ca="1">IF(AP2181=0,"",CHOOSE(MATCH('Top 25'!$G$10,{"Priority score","Economic need","Enrollment","Fresh miles","Nearby resources"},0),T2181,G2181,F2181,K2181,L2181))</f>
        <v/>
      </c>
      <c r="AR2181" s="105" t="str">
        <f ca="1">IF(AP2181=0,"",1+COUNTIFS($AP$2051:$AP$2550,1,$AQ$2051:$AQ$2550,IF('Top 25'!$J$10="Ascending","&lt;","&gt;")&amp;AQ2181)+COUNTIFS($AP$2051:$AP$2550,1,$AQ$2051:$AQ$2550,AQ2181,$W$2051:$W$2550,"&lt;"&amp;W2181))</f>
        <v/>
      </c>
      <c r="AT2181" s="105">
        <f ca="1">IF(AND(AL2181=1,OR(Master_rankableSchools!$A$10="All",C2181=Master_rankableSchools!$A$10),OR(Master_rankableSchools!$D$10="All",D2181=Master_rankableSchools!$D$10)),1,0)</f>
        <v>1</v>
      </c>
      <c r="AU2181" s="105">
        <f ca="1">IF(AT2181=0,"",CHOOSE(MATCH(Master_rankableSchools!$G$10,{"Priority score","Economic need","Enrollment","Fresh miles","Nearby resources"},0),T2181,G2181,F2181,K2181,L2181))</f>
        <v>43</v>
      </c>
      <c r="AV2181" s="105">
        <f ca="1">IF(AT2181=0,"",1+COUNTIFS($AT$2051:$AT$2550,1,$AU$2051:$AU$2550,IF(Master_rankableSchools!$J$10="Ascending","&lt;","&gt;")&amp;AU2181)+COUNTIFS($AT$2051:$AT$2550,1,$AU$2051:$AU$2550,AU2181,$W$2051:$W$2550,"&lt;"&amp;W2181))</f>
        <v>90</v>
      </c>
    </row>
    <row r="2182" spans="1:48" ht="22" customHeight="1">
      <c r="A2182" s="1" t="str">
        <f t="shared" si="60"/>
        <v>3416</v>
      </c>
      <c r="B2182" s="1" t="str">
        <f t="shared" si="61"/>
        <v>Mastery Charter School at Gratz</v>
      </c>
      <c r="C2182" s="1" t="str">
        <f t="shared" si="62"/>
        <v>Charter</v>
      </c>
      <c r="D2182" s="1" t="str">
        <f t="shared" si="63"/>
        <v>Middle-High</v>
      </c>
      <c r="E2182" s="1" t="str">
        <f t="shared" si="64"/>
        <v>19140</v>
      </c>
      <c r="F2182" s="1">
        <f t="shared" si="65"/>
        <v>1097</v>
      </c>
      <c r="G2182" s="1">
        <f t="shared" si="66"/>
        <v>0.88470000000000004</v>
      </c>
      <c r="H2182" s="1" t="str">
        <f t="shared" si="67"/>
        <v>Yes</v>
      </c>
      <c r="I2182" s="1">
        <f>IF(OR(A2182="",COUNTIFS('Staff Review'!$A$8:$A$507,A2182)&lt;&gt;1),0,MATCH(A2182,'Staff Review'!$A$8:$A$507,0))</f>
        <v>185</v>
      </c>
      <c r="J2182" s="1" t="str">
        <f>IF(I2182=0,"No",IF(INDEX('Staff Review'!$C$8:$C$507,I2182)="Yes","Yes","No"))</f>
        <v>No</v>
      </c>
      <c r="K2182" s="1">
        <f ca="1">IF(AI2182="Yes",INDEX('Staff Review'!$D$8:$D$507,I2182),IF(AB2182=0,"",IF(COUNT(INDEX($C$1531:$C$2030,AB2182))=1,INDEX($C$1531:$C$2030,AB2182),"")))</f>
        <v>0.61868295596478018</v>
      </c>
      <c r="L2182" s="1">
        <f>IF(AJ2182="Yes",INDEX('Staff Review'!$F$8:$F$507,I2182),IF(AB2182=0,"",IF(COUNT(INDEX($G$1531:$G$2030,AB2182))=1,INDEX($G$1531:$G$2030,AB2182),"")))</f>
        <v>8</v>
      </c>
      <c r="M2182" s="1" t="str">
        <f t="shared" ca="1" si="68"/>
        <v>Listed</v>
      </c>
      <c r="N2182" s="1" t="str">
        <f t="shared" si="69"/>
        <v>Listed</v>
      </c>
      <c r="O2182" s="1">
        <f t="shared" si="70"/>
        <v>25</v>
      </c>
      <c r="P2182" s="1">
        <f t="shared" ca="1" si="71"/>
        <v>15</v>
      </c>
      <c r="Q2182" s="1">
        <f t="shared" si="72"/>
        <v>0</v>
      </c>
      <c r="R2182" s="1">
        <f t="shared" si="73"/>
        <v>5</v>
      </c>
      <c r="S2182" s="1">
        <f t="shared" ca="1" si="74"/>
        <v>45</v>
      </c>
      <c r="T2182" s="1">
        <f ca="1">IF(OR(COUNT(O2182:R2182)&lt;&gt;4,COUNT('Top 25'!$B$45:$E$45)&lt;&gt;4,MIN('Top 25'!$B$45:$E$45)&lt;0,SUM('Top 25'!$B$45:$E$45)&lt;=0),"",ROUND(85*(O2182/30*'Top 25'!$B$45+P2182/25*'Top 25'!$C$45+Q2182/25*'Top 25'!$D$45+R2182/5*'Top 25'!$E$45)/SUM('Top 25'!$B$45:$E$45),6))</f>
        <v>45</v>
      </c>
      <c r="U2182" s="1" t="str">
        <f t="shared" ca="1" si="75"/>
        <v>Listed</v>
      </c>
      <c r="V2182" s="1" t="str">
        <f ca="1">IF(A2182="","",IF(AK2182&lt;&gt;1,"Duplicate source ID",IF(COUNTIFS('Staff Review'!$A$8:$A$507,A2182)&gt;1,"Duplicate review ID",IF(H2182&lt;&gt;"Yes","Outside scope",IF(J2182="Yes","Already served",IF(NOT(ISNUMBER(T2182)),"Missing data","Candidate"))))))</f>
        <v>Candidate</v>
      </c>
      <c r="W2182" s="1">
        <f t="shared" ca="1" si="76"/>
        <v>74</v>
      </c>
      <c r="X2182" s="1">
        <f t="shared" ca="1" si="77"/>
        <v>74</v>
      </c>
      <c r="Y2182" s="1">
        <f ca="1">IF(AND(H2182="Yes",OR(LEN('School Search'!$B$5)=0,ISNUMBER(SEARCH('School Search'!$B$5,B2182&amp;" "&amp;E2182&amp;" "&amp;A2182))),OR('School Search'!$D$5="All",C2182='School Search'!$D$5),OR('School Search'!$G$5="All eligible",AND('School Search'!$G$5="Not marked served",J2182&lt;&gt;"Yes"),AND('School Search'!$G$5="Missing data",V2182="Missing data"),AND('School Search'!$G$5="Marked served",J2182="Yes"))),1,0)</f>
        <v>1</v>
      </c>
      <c r="Z2182" s="1">
        <f ca="1">IF(Y2182=0,"",COUNTIFS($Y$2051:$Y$2550,1,$AO$2051:$AO$2550,"&lt;"&amp;AO2182)+COUNTIFS($Y$2051:Y2182,1,$AO$2051:AO2182,AO2182))</f>
        <v>74</v>
      </c>
      <c r="AA2182" s="1" t="str">
        <f t="shared" ca="1" si="78"/>
        <v>88% economic need; 0.62 mi fresh access; 8 nearby resources</v>
      </c>
      <c r="AB2182" s="1">
        <f t="shared" si="79"/>
        <v>132</v>
      </c>
      <c r="AC2182" s="1" t="str">
        <f t="shared" si="80"/>
        <v>Save-A-Lot 60138</v>
      </c>
      <c r="AD2182" s="1" t="str">
        <f t="shared" si="81"/>
        <v>4424 N Broad St, Philadelphia, PA, 19140</v>
      </c>
      <c r="AE2182" s="1" t="str">
        <f t="shared" si="82"/>
        <v>1798 W HUNTING PARK AVE</v>
      </c>
      <c r="AF2182" s="1">
        <f t="shared" si="83"/>
        <v>40.014539650000003</v>
      </c>
      <c r="AG2182" s="1">
        <f t="shared" si="84"/>
        <v>-75.156606850000003</v>
      </c>
      <c r="AH2182" s="1" t="str">
        <f>IF(I2182=0,"Not contacted",IF(INDEX('Staff Review'!$J$8:$J$507,I2182)="","Not contacted",INDEX('Staff Review'!$J$8:$J$507,I2182)))</f>
        <v>Not contacted</v>
      </c>
      <c r="AI2182" s="1" t="str">
        <f ca="1">IF(I2182=0,"No",IF(AND(COUNT(INDEX('Staff Review'!$D$8:$D$507,I2182))=1,INDEX('Staff Review'!$D$8:$D$507,I2182)&gt;=0,COUNT(INDEX('Staff Review'!$E$8:$E$507,I2182))=1,INDEX('Staff Review'!$E$8:$E$507,I2182)&gt;0,INDEX('Staff Review'!$E$8:$E$507,I2182)&lt;='Top 25'!$E$5,'Top 25'!$E$5-INDEX('Staff Review'!$E$8:$E$507,I2182)&lt;='Top 25'!$H$5,LEN(INDEX('Staff Review'!$H$8:$H$507,I2182))&gt;0),"Yes","No"))</f>
        <v>No</v>
      </c>
      <c r="AJ2182" s="1" t="str">
        <f>IF(I2182=0,"No",IF(COUNT(INDEX('Staff Review'!$F$8:$F$507,I2182))&lt;&gt;1,"No",IF(AND(INDEX('Staff Review'!$F$8:$F$507,I2182)&gt;=0,MOD(INDEX('Staff Review'!$F$8:$F$507,I2182),1)=0,COUNT(INDEX('Staff Review'!$G$8:$G$507,I2182))=1,INDEX('Staff Review'!$G$8:$G$507,I2182)&gt;0,INDEX('Staff Review'!$G$8:$G$507,I2182)&lt;='Top 25'!$E$5,'Top 25'!$E$5-INDEX('Staff Review'!$G$8:$G$507,I2182)&lt;='Top 25'!$H$5,LEN(INDEX('Staff Review'!$H$8:$H$507,I2182))&gt;0),"Yes","No")))</f>
        <v>No</v>
      </c>
      <c r="AK2182" s="1">
        <f t="shared" si="85"/>
        <v>1</v>
      </c>
      <c r="AL2182" s="1">
        <f t="shared" ca="1" si="86"/>
        <v>1</v>
      </c>
      <c r="AM2182" s="1">
        <f t="shared" si="87"/>
        <v>3416</v>
      </c>
      <c r="AN2182" s="1">
        <f t="shared" si="88"/>
        <v>132</v>
      </c>
      <c r="AO2182">
        <f t="shared" ca="1" si="89"/>
        <v>74</v>
      </c>
      <c r="AP2182" s="105">
        <f ca="1">IF(AND(AL2182=1,OR('Top 25'!$A$10="All",C2182='Top 25'!$A$10),OR('Top 25'!$D$10="All",D2182='Top 25'!$D$10)),1,0)</f>
        <v>0</v>
      </c>
      <c r="AQ2182" s="105" t="str">
        <f ca="1">IF(AP2182=0,"",CHOOSE(MATCH('Top 25'!$G$10,{"Priority score","Economic need","Enrollment","Fresh miles","Nearby resources"},0),T2182,G2182,F2182,K2182,L2182))</f>
        <v/>
      </c>
      <c r="AR2182" s="105" t="str">
        <f ca="1">IF(AP2182=0,"",1+COUNTIFS($AP$2051:$AP$2550,1,$AQ$2051:$AQ$2550,IF('Top 25'!$J$10="Ascending","&lt;","&gt;")&amp;AQ2182)+COUNTIFS($AP$2051:$AP$2550,1,$AQ$2051:$AQ$2550,AQ2182,$W$2051:$W$2550,"&lt;"&amp;W2182))</f>
        <v/>
      </c>
      <c r="AT2182" s="105">
        <f ca="1">IF(AND(AL2182=1,OR(Master_rankableSchools!$A$10="All",C2182=Master_rankableSchools!$A$10),OR(Master_rankableSchools!$D$10="All",D2182=Master_rankableSchools!$D$10)),1,0)</f>
        <v>1</v>
      </c>
      <c r="AU2182" s="105">
        <f ca="1">IF(AT2182=0,"",CHOOSE(MATCH(Master_rankableSchools!$G$10,{"Priority score","Economic need","Enrollment","Fresh miles","Nearby resources"},0),T2182,G2182,F2182,K2182,L2182))</f>
        <v>45</v>
      </c>
      <c r="AV2182" s="105">
        <f ca="1">IF(AT2182=0,"",1+COUNTIFS($AT$2051:$AT$2550,1,$AU$2051:$AU$2550,IF(Master_rankableSchools!$J$10="Ascending","&lt;","&gt;")&amp;AU2182)+COUNTIFS($AT$2051:$AT$2550,1,$AU$2051:$AU$2550,AU2182,$W$2051:$W$2550,"&lt;"&amp;W2182))</f>
        <v>74</v>
      </c>
    </row>
    <row r="2183" spans="1:48" ht="22" customHeight="1">
      <c r="A2183" s="1" t="str">
        <f t="shared" si="60"/>
        <v>3417</v>
      </c>
      <c r="B2183" s="1" t="str">
        <f t="shared" si="61"/>
        <v>Universal Charter School at Audenried</v>
      </c>
      <c r="C2183" s="1" t="str">
        <f t="shared" si="62"/>
        <v>Charter</v>
      </c>
      <c r="D2183" s="1" t="str">
        <f t="shared" si="63"/>
        <v>High</v>
      </c>
      <c r="E2183" s="1" t="str">
        <f t="shared" si="64"/>
        <v>19145</v>
      </c>
      <c r="F2183" s="1">
        <f t="shared" si="65"/>
        <v>606</v>
      </c>
      <c r="G2183" s="1">
        <f t="shared" si="66"/>
        <v>0.97829999999999995</v>
      </c>
      <c r="H2183" s="1" t="str">
        <f t="shared" si="67"/>
        <v>Yes</v>
      </c>
      <c r="I2183" s="1">
        <f>IF(OR(A2183="",COUNTIFS('Staff Review'!$A$8:$A$507,A2183)&lt;&gt;1),0,MATCH(A2183,'Staff Review'!$A$8:$A$507,0))</f>
        <v>300</v>
      </c>
      <c r="J2183" s="1" t="str">
        <f>IF(I2183=0,"No",IF(INDEX('Staff Review'!$C$8:$C$507,I2183)="Yes","Yes","No"))</f>
        <v>No</v>
      </c>
      <c r="K2183" s="1">
        <f ca="1">IF(AI2183="Yes",INDEX('Staff Review'!$D$8:$D$507,I2183),IF(AB2183=0,"",IF(COUNT(INDEX($C$1531:$C$2030,AB2183))=1,INDEX($C$1531:$C$2030,AB2183),"")))</f>
        <v>0.45171754911048706</v>
      </c>
      <c r="L2183" s="1">
        <f>IF(AJ2183="Yes",INDEX('Staff Review'!$F$8:$F$507,I2183),IF(AB2183=0,"",IF(COUNT(INDEX($G$1531:$G$2030,AB2183))=1,INDEX($G$1531:$G$2030,AB2183),"")))</f>
        <v>6</v>
      </c>
      <c r="M2183" s="1" t="str">
        <f t="shared" ca="1" si="68"/>
        <v>Listed</v>
      </c>
      <c r="N2183" s="1" t="str">
        <f t="shared" si="69"/>
        <v>Listed</v>
      </c>
      <c r="O2183" s="1">
        <f t="shared" si="70"/>
        <v>30</v>
      </c>
      <c r="P2183" s="1">
        <f t="shared" ca="1" si="71"/>
        <v>10</v>
      </c>
      <c r="Q2183" s="1">
        <f t="shared" si="72"/>
        <v>0</v>
      </c>
      <c r="R2183" s="1">
        <f t="shared" si="73"/>
        <v>4</v>
      </c>
      <c r="S2183" s="1">
        <f t="shared" ca="1" si="74"/>
        <v>44</v>
      </c>
      <c r="T2183" s="1">
        <f ca="1">IF(OR(COUNT(O2183:R2183)&lt;&gt;4,COUNT('Top 25'!$B$45:$E$45)&lt;&gt;4,MIN('Top 25'!$B$45:$E$45)&lt;0,SUM('Top 25'!$B$45:$E$45)&lt;=0),"",ROUND(85*(O2183/30*'Top 25'!$B$45+P2183/25*'Top 25'!$C$45+Q2183/25*'Top 25'!$D$45+R2183/5*'Top 25'!$E$45)/SUM('Top 25'!$B$45:$E$45),6))</f>
        <v>44</v>
      </c>
      <c r="U2183" s="1" t="str">
        <f t="shared" ca="1" si="75"/>
        <v>Listed</v>
      </c>
      <c r="V2183" s="1" t="str">
        <f ca="1">IF(A2183="","",IF(AK2183&lt;&gt;1,"Duplicate source ID",IF(COUNTIFS('Staff Review'!$A$8:$A$507,A2183)&gt;1,"Duplicate review ID",IF(H2183&lt;&gt;"Yes","Outside scope",IF(J2183="Yes","Already served",IF(NOT(ISNUMBER(T2183)),"Missing data","Candidate"))))))</f>
        <v>Candidate</v>
      </c>
      <c r="W2183" s="1">
        <f t="shared" ca="1" si="76"/>
        <v>82</v>
      </c>
      <c r="X2183" s="1">
        <f t="shared" ca="1" si="77"/>
        <v>81</v>
      </c>
      <c r="Y2183" s="1">
        <f ca="1">IF(AND(H2183="Yes",OR(LEN('School Search'!$B$5)=0,ISNUMBER(SEARCH('School Search'!$B$5,B2183&amp;" "&amp;E2183&amp;" "&amp;A2183))),OR('School Search'!$D$5="All",C2183='School Search'!$D$5),OR('School Search'!$G$5="All eligible",AND('School Search'!$G$5="Not marked served",J2183&lt;&gt;"Yes"),AND('School Search'!$G$5="Missing data",V2183="Missing data"),AND('School Search'!$G$5="Marked served",J2183="Yes"))),1,0)</f>
        <v>1</v>
      </c>
      <c r="Z2183" s="1">
        <f ca="1">IF(Y2183=0,"",COUNTIFS($Y$2051:$Y$2550,1,$AO$2051:$AO$2550,"&lt;"&amp;AO2183)+COUNTIFS($Y$2051:Y2183,1,$AO$2051:AO2183,AO2183))</f>
        <v>82</v>
      </c>
      <c r="AA2183" s="1" t="str">
        <f t="shared" ca="1" si="78"/>
        <v>98% economic need; 0.45 mi fresh access; 6 nearby resources</v>
      </c>
      <c r="AB2183" s="1">
        <f t="shared" si="79"/>
        <v>133</v>
      </c>
      <c r="AC2183" s="1" t="str">
        <f t="shared" si="80"/>
        <v>The Fresh Grocer Of Grays Ferry</v>
      </c>
      <c r="AD2183" s="1" t="str">
        <f t="shared" si="81"/>
        <v>3021 Grays Ferry Ave, Philadelphia, PA, 19146</v>
      </c>
      <c r="AE2183" s="1" t="str">
        <f t="shared" si="82"/>
        <v>3301 TASKER ST</v>
      </c>
      <c r="AF2183" s="1">
        <f t="shared" si="83"/>
        <v>39.933737000000001</v>
      </c>
      <c r="AG2183" s="1">
        <f t="shared" si="84"/>
        <v>-75.198589999999996</v>
      </c>
      <c r="AH2183" s="1" t="str">
        <f>IF(I2183=0,"Not contacted",IF(INDEX('Staff Review'!$J$8:$J$507,I2183)="","Not contacted",INDEX('Staff Review'!$J$8:$J$507,I2183)))</f>
        <v>Not contacted</v>
      </c>
      <c r="AI2183" s="1" t="str">
        <f ca="1">IF(I2183=0,"No",IF(AND(COUNT(INDEX('Staff Review'!$D$8:$D$507,I2183))=1,INDEX('Staff Review'!$D$8:$D$507,I2183)&gt;=0,COUNT(INDEX('Staff Review'!$E$8:$E$507,I2183))=1,INDEX('Staff Review'!$E$8:$E$507,I2183)&gt;0,INDEX('Staff Review'!$E$8:$E$507,I2183)&lt;='Top 25'!$E$5,'Top 25'!$E$5-INDEX('Staff Review'!$E$8:$E$507,I2183)&lt;='Top 25'!$H$5,LEN(INDEX('Staff Review'!$H$8:$H$507,I2183))&gt;0),"Yes","No"))</f>
        <v>No</v>
      </c>
      <c r="AJ2183" s="1" t="str">
        <f>IF(I2183=0,"No",IF(COUNT(INDEX('Staff Review'!$F$8:$F$507,I2183))&lt;&gt;1,"No",IF(AND(INDEX('Staff Review'!$F$8:$F$507,I2183)&gt;=0,MOD(INDEX('Staff Review'!$F$8:$F$507,I2183),1)=0,COUNT(INDEX('Staff Review'!$G$8:$G$507,I2183))=1,INDEX('Staff Review'!$G$8:$G$507,I2183)&gt;0,INDEX('Staff Review'!$G$8:$G$507,I2183)&lt;='Top 25'!$E$5,'Top 25'!$E$5-INDEX('Staff Review'!$G$8:$G$507,I2183)&lt;='Top 25'!$H$5,LEN(INDEX('Staff Review'!$H$8:$H$507,I2183))&gt;0),"Yes","No")))</f>
        <v>No</v>
      </c>
      <c r="AK2183" s="1">
        <f t="shared" si="85"/>
        <v>1</v>
      </c>
      <c r="AL2183" s="1">
        <f t="shared" ca="1" si="86"/>
        <v>1</v>
      </c>
      <c r="AM2183" s="1">
        <f t="shared" si="87"/>
        <v>3417</v>
      </c>
      <c r="AN2183" s="1">
        <f t="shared" si="88"/>
        <v>133</v>
      </c>
      <c r="AO2183">
        <f t="shared" ca="1" si="89"/>
        <v>82</v>
      </c>
      <c r="AP2183" s="105">
        <f ca="1">IF(AND(AL2183=1,OR('Top 25'!$A$10="All",C2183='Top 25'!$A$10),OR('Top 25'!$D$10="All",D2183='Top 25'!$D$10)),1,0)</f>
        <v>0</v>
      </c>
      <c r="AQ2183" s="105" t="str">
        <f ca="1">IF(AP2183=0,"",CHOOSE(MATCH('Top 25'!$G$10,{"Priority score","Economic need","Enrollment","Fresh miles","Nearby resources"},0),T2183,G2183,F2183,K2183,L2183))</f>
        <v/>
      </c>
      <c r="AR2183" s="105" t="str">
        <f ca="1">IF(AP2183=0,"",1+COUNTIFS($AP$2051:$AP$2550,1,$AQ$2051:$AQ$2550,IF('Top 25'!$J$10="Ascending","&lt;","&gt;")&amp;AQ2183)+COUNTIFS($AP$2051:$AP$2550,1,$AQ$2051:$AQ$2550,AQ2183,$W$2051:$W$2550,"&lt;"&amp;W2183))</f>
        <v/>
      </c>
      <c r="AT2183" s="105">
        <f ca="1">IF(AND(AL2183=1,OR(Master_rankableSchools!$A$10="All",C2183=Master_rankableSchools!$A$10),OR(Master_rankableSchools!$D$10="All",D2183=Master_rankableSchools!$D$10)),1,0)</f>
        <v>1</v>
      </c>
      <c r="AU2183" s="105">
        <f ca="1">IF(AT2183=0,"",CHOOSE(MATCH(Master_rankableSchools!$G$10,{"Priority score","Economic need","Enrollment","Fresh miles","Nearby resources"},0),T2183,G2183,F2183,K2183,L2183))</f>
        <v>44</v>
      </c>
      <c r="AV2183" s="105">
        <f ca="1">IF(AT2183=0,"",1+COUNTIFS($AT$2051:$AT$2550,1,$AU$2051:$AU$2550,IF(Master_rankableSchools!$J$10="Ascending","&lt;","&gt;")&amp;AU2183)+COUNTIFS($AT$2051:$AT$2550,1,$AU$2051:$AU$2550,AU2183,$W$2051:$W$2550,"&lt;"&amp;W2183))</f>
        <v>82</v>
      </c>
    </row>
    <row r="2184" spans="1:48" ht="22" customHeight="1">
      <c r="A2184" s="1" t="str">
        <f t="shared" si="60"/>
        <v>3419</v>
      </c>
      <c r="B2184" s="1" t="str">
        <f t="shared" si="61"/>
        <v>General David B. Birney Charter School</v>
      </c>
      <c r="C2184" s="1" t="str">
        <f t="shared" si="62"/>
        <v>Charter</v>
      </c>
      <c r="D2184" s="1" t="str">
        <f t="shared" si="63"/>
        <v>Elementary-Middle</v>
      </c>
      <c r="E2184" s="1" t="str">
        <f t="shared" si="64"/>
        <v>19141</v>
      </c>
      <c r="F2184" s="1">
        <f t="shared" si="65"/>
        <v>721</v>
      </c>
      <c r="G2184" s="1">
        <f t="shared" si="66"/>
        <v>0.91879999999999995</v>
      </c>
      <c r="H2184" s="1" t="str">
        <f t="shared" si="67"/>
        <v>Yes</v>
      </c>
      <c r="I2184" s="1">
        <f>IF(OR(A2184="",COUNTIFS('Staff Review'!$A$8:$A$507,A2184)&lt;&gt;1),0,MATCH(A2184,'Staff Review'!$A$8:$A$507,0))</f>
        <v>89</v>
      </c>
      <c r="J2184" s="1" t="str">
        <f>IF(I2184=0,"No",IF(INDEX('Staff Review'!$C$8:$C$507,I2184)="Yes","Yes","No"))</f>
        <v>No</v>
      </c>
      <c r="K2184" s="1">
        <f ca="1">IF(AI2184="Yes",INDEX('Staff Review'!$D$8:$D$507,I2184),IF(AB2184=0,"",IF(COUNT(INDEX($C$1531:$C$2030,AB2184))=1,INDEX($C$1531:$C$2030,AB2184),"")))</f>
        <v>0.69744530076782285</v>
      </c>
      <c r="L2184" s="1">
        <f>IF(AJ2184="Yes",INDEX('Staff Review'!$F$8:$F$507,I2184),IF(AB2184=0,"",IF(COUNT(INDEX($G$1531:$G$2030,AB2184))=1,INDEX($G$1531:$G$2030,AB2184),"")))</f>
        <v>11</v>
      </c>
      <c r="M2184" s="1" t="str">
        <f t="shared" ca="1" si="68"/>
        <v>Listed</v>
      </c>
      <c r="N2184" s="1" t="str">
        <f t="shared" si="69"/>
        <v>Listed</v>
      </c>
      <c r="O2184" s="1">
        <f t="shared" si="70"/>
        <v>30</v>
      </c>
      <c r="P2184" s="1">
        <f t="shared" ca="1" si="71"/>
        <v>15</v>
      </c>
      <c r="Q2184" s="1">
        <f t="shared" si="72"/>
        <v>0</v>
      </c>
      <c r="R2184" s="1">
        <f t="shared" si="73"/>
        <v>5</v>
      </c>
      <c r="S2184" s="1">
        <f t="shared" ca="1" si="74"/>
        <v>50</v>
      </c>
      <c r="T2184" s="1">
        <f ca="1">IF(OR(COUNT(O2184:R2184)&lt;&gt;4,COUNT('Top 25'!$B$45:$E$45)&lt;&gt;4,MIN('Top 25'!$B$45:$E$45)&lt;0,SUM('Top 25'!$B$45:$E$45)&lt;=0),"",ROUND(85*(O2184/30*'Top 25'!$B$45+P2184/25*'Top 25'!$C$45+Q2184/25*'Top 25'!$D$45+R2184/5*'Top 25'!$E$45)/SUM('Top 25'!$B$45:$E$45),6))</f>
        <v>50</v>
      </c>
      <c r="U2184" s="1" t="str">
        <f t="shared" ca="1" si="75"/>
        <v>Listed</v>
      </c>
      <c r="V2184" s="1" t="str">
        <f ca="1">IF(A2184="","",IF(AK2184&lt;&gt;1,"Duplicate source ID",IF(COUNTIFS('Staff Review'!$A$8:$A$507,A2184)&gt;1,"Duplicate review ID",IF(H2184&lt;&gt;"Yes","Outside scope",IF(J2184="Yes","Already served",IF(NOT(ISNUMBER(T2184)),"Missing data","Candidate"))))))</f>
        <v>Candidate</v>
      </c>
      <c r="W2184" s="1">
        <f t="shared" ca="1" si="76"/>
        <v>39</v>
      </c>
      <c r="X2184" s="1">
        <f t="shared" ca="1" si="77"/>
        <v>39</v>
      </c>
      <c r="Y2184" s="1">
        <f ca="1">IF(AND(H2184="Yes",OR(LEN('School Search'!$B$5)=0,ISNUMBER(SEARCH('School Search'!$B$5,B2184&amp;" "&amp;E2184&amp;" "&amp;A2184))),OR('School Search'!$D$5="All",C2184='School Search'!$D$5),OR('School Search'!$G$5="All eligible",AND('School Search'!$G$5="Not marked served",J2184&lt;&gt;"Yes"),AND('School Search'!$G$5="Missing data",V2184="Missing data"),AND('School Search'!$G$5="Marked served",J2184="Yes"))),1,0)</f>
        <v>1</v>
      </c>
      <c r="Z2184" s="1">
        <f ca="1">IF(Y2184=0,"",COUNTIFS($Y$2051:$Y$2550,1,$AO$2051:$AO$2550,"&lt;"&amp;AO2184)+COUNTIFS($Y$2051:Y2184,1,$AO$2051:AO2184,AO2184))</f>
        <v>39</v>
      </c>
      <c r="AA2184" s="1" t="str">
        <f t="shared" ca="1" si="78"/>
        <v>92% economic need; 0.70 mi fresh access; 11 nearby resources</v>
      </c>
      <c r="AB2184" s="1">
        <f t="shared" si="79"/>
        <v>134</v>
      </c>
      <c r="AC2184" s="1" t="str">
        <f t="shared" si="80"/>
        <v>GFM Food Corporation</v>
      </c>
      <c r="AD2184" s="1" t="str">
        <f t="shared" si="81"/>
        <v>180 W Duncannon Ave, Philadelphia, PA, 19120</v>
      </c>
      <c r="AE2184" s="1" t="str">
        <f t="shared" si="82"/>
        <v>900 LINDLEY AVE</v>
      </c>
      <c r="AF2184" s="1">
        <f t="shared" si="83"/>
        <v>40.029549039999999</v>
      </c>
      <c r="AG2184" s="1">
        <f t="shared" si="84"/>
        <v>-75.138832690000001</v>
      </c>
      <c r="AH2184" s="1" t="str">
        <f>IF(I2184=0,"Not contacted",IF(INDEX('Staff Review'!$J$8:$J$507,I2184)="","Not contacted",INDEX('Staff Review'!$J$8:$J$507,I2184)))</f>
        <v>Not contacted</v>
      </c>
      <c r="AI2184" s="1" t="str">
        <f ca="1">IF(I2184=0,"No",IF(AND(COUNT(INDEX('Staff Review'!$D$8:$D$507,I2184))=1,INDEX('Staff Review'!$D$8:$D$507,I2184)&gt;=0,COUNT(INDEX('Staff Review'!$E$8:$E$507,I2184))=1,INDEX('Staff Review'!$E$8:$E$507,I2184)&gt;0,INDEX('Staff Review'!$E$8:$E$507,I2184)&lt;='Top 25'!$E$5,'Top 25'!$E$5-INDEX('Staff Review'!$E$8:$E$507,I2184)&lt;='Top 25'!$H$5,LEN(INDEX('Staff Review'!$H$8:$H$507,I2184))&gt;0),"Yes","No"))</f>
        <v>No</v>
      </c>
      <c r="AJ2184" s="1" t="str">
        <f>IF(I2184=0,"No",IF(COUNT(INDEX('Staff Review'!$F$8:$F$507,I2184))&lt;&gt;1,"No",IF(AND(INDEX('Staff Review'!$F$8:$F$507,I2184)&gt;=0,MOD(INDEX('Staff Review'!$F$8:$F$507,I2184),1)=0,COUNT(INDEX('Staff Review'!$G$8:$G$507,I2184))=1,INDEX('Staff Review'!$G$8:$G$507,I2184)&gt;0,INDEX('Staff Review'!$G$8:$G$507,I2184)&lt;='Top 25'!$E$5,'Top 25'!$E$5-INDEX('Staff Review'!$G$8:$G$507,I2184)&lt;='Top 25'!$H$5,LEN(INDEX('Staff Review'!$H$8:$H$507,I2184))&gt;0),"Yes","No")))</f>
        <v>No</v>
      </c>
      <c r="AK2184" s="1">
        <f t="shared" si="85"/>
        <v>1</v>
      </c>
      <c r="AL2184" s="1">
        <f t="shared" ca="1" si="86"/>
        <v>1</v>
      </c>
      <c r="AM2184" s="1">
        <f t="shared" si="87"/>
        <v>3419</v>
      </c>
      <c r="AN2184" s="1">
        <f t="shared" si="88"/>
        <v>134</v>
      </c>
      <c r="AO2184">
        <f t="shared" ca="1" si="89"/>
        <v>39</v>
      </c>
      <c r="AP2184" s="105">
        <f ca="1">IF(AND(AL2184=1,OR('Top 25'!$A$10="All",C2184='Top 25'!$A$10),OR('Top 25'!$D$10="All",D2184='Top 25'!$D$10)),1,0)</f>
        <v>0</v>
      </c>
      <c r="AQ2184" s="105" t="str">
        <f ca="1">IF(AP2184=0,"",CHOOSE(MATCH('Top 25'!$G$10,{"Priority score","Economic need","Enrollment","Fresh miles","Nearby resources"},0),T2184,G2184,F2184,K2184,L2184))</f>
        <v/>
      </c>
      <c r="AR2184" s="105" t="str">
        <f ca="1">IF(AP2184=0,"",1+COUNTIFS($AP$2051:$AP$2550,1,$AQ$2051:$AQ$2550,IF('Top 25'!$J$10="Ascending","&lt;","&gt;")&amp;AQ2184)+COUNTIFS($AP$2051:$AP$2550,1,$AQ$2051:$AQ$2550,AQ2184,$W$2051:$W$2550,"&lt;"&amp;W2184))</f>
        <v/>
      </c>
      <c r="AT2184" s="105">
        <f ca="1">IF(AND(AL2184=1,OR(Master_rankableSchools!$A$10="All",C2184=Master_rankableSchools!$A$10),OR(Master_rankableSchools!$D$10="All",D2184=Master_rankableSchools!$D$10)),1,0)</f>
        <v>1</v>
      </c>
      <c r="AU2184" s="105">
        <f ca="1">IF(AT2184=0,"",CHOOSE(MATCH(Master_rankableSchools!$G$10,{"Priority score","Economic need","Enrollment","Fresh miles","Nearby resources"},0),T2184,G2184,F2184,K2184,L2184))</f>
        <v>50</v>
      </c>
      <c r="AV2184" s="105">
        <f ca="1">IF(AT2184=0,"",1+COUNTIFS($AT$2051:$AT$2550,1,$AU$2051:$AU$2550,IF(Master_rankableSchools!$J$10="Ascending","&lt;","&gt;")&amp;AU2184)+COUNTIFS($AT$2051:$AT$2550,1,$AU$2051:$AU$2550,AU2184,$W$2051:$W$2550,"&lt;"&amp;W2184))</f>
        <v>39</v>
      </c>
    </row>
    <row r="2185" spans="1:48" ht="22" customHeight="1">
      <c r="A2185" s="1" t="str">
        <f t="shared" si="60"/>
        <v>3420</v>
      </c>
      <c r="B2185" s="1" t="str">
        <f t="shared" si="61"/>
        <v>Mastery Charter School at Cleveland</v>
      </c>
      <c r="C2185" s="1" t="str">
        <f t="shared" si="62"/>
        <v>Charter</v>
      </c>
      <c r="D2185" s="1" t="str">
        <f t="shared" si="63"/>
        <v>Elementary-Middle</v>
      </c>
      <c r="E2185" s="1" t="str">
        <f t="shared" si="64"/>
        <v>19140</v>
      </c>
      <c r="F2185" s="1">
        <f t="shared" si="65"/>
        <v>699</v>
      </c>
      <c r="G2185" s="1">
        <f t="shared" si="66"/>
        <v>0.94140000000000001</v>
      </c>
      <c r="H2185" s="1" t="str">
        <f t="shared" si="67"/>
        <v>No</v>
      </c>
      <c r="I2185" s="1">
        <f>IF(OR(A2185="",COUNTIFS('Staff Review'!$A$8:$A$507,A2185)&lt;&gt;1),0,MATCH(A2185,'Staff Review'!$A$8:$A$507,0))</f>
        <v>182</v>
      </c>
      <c r="J2185" s="1" t="str">
        <f>IF(I2185=0,"No",IF(INDEX('Staff Review'!$C$8:$C$507,I2185)="Yes","Yes","No"))</f>
        <v>No</v>
      </c>
      <c r="K2185" s="1">
        <f ca="1">IF(AI2185="Yes",INDEX('Staff Review'!$D$8:$D$507,I2185),IF(AB2185=0,"",IF(COUNT(INDEX($C$1531:$C$2030,AB2185))=1,INDEX($C$1531:$C$2030,AB2185),"")))</f>
        <v>0.85093629160971995</v>
      </c>
      <c r="L2185" s="1">
        <f>IF(AJ2185="Yes",INDEX('Staff Review'!$F$8:$F$507,I2185),IF(AB2185=0,"",IF(COUNT(INDEX($G$1531:$G$2030,AB2185))=1,INDEX($G$1531:$G$2030,AB2185),"")))</f>
        <v>5</v>
      </c>
      <c r="M2185" s="1" t="str">
        <f t="shared" ca="1" si="68"/>
        <v>Listed</v>
      </c>
      <c r="N2185" s="1" t="str">
        <f t="shared" si="69"/>
        <v>Listed</v>
      </c>
      <c r="O2185" s="1">
        <f t="shared" si="70"/>
        <v>30</v>
      </c>
      <c r="P2185" s="1">
        <f t="shared" ca="1" si="71"/>
        <v>20</v>
      </c>
      <c r="Q2185" s="1">
        <f t="shared" si="72"/>
        <v>0</v>
      </c>
      <c r="R2185" s="1">
        <f t="shared" si="73"/>
        <v>4</v>
      </c>
      <c r="S2185" s="1">
        <f t="shared" ca="1" si="74"/>
        <v>54</v>
      </c>
      <c r="T2185" s="1">
        <f ca="1">IF(OR(COUNT(O2185:R2185)&lt;&gt;4,COUNT('Top 25'!$B$45:$E$45)&lt;&gt;4,MIN('Top 25'!$B$45:$E$45)&lt;0,SUM('Top 25'!$B$45:$E$45)&lt;=0),"",ROUND(85*(O2185/30*'Top 25'!$B$45+P2185/25*'Top 25'!$C$45+Q2185/25*'Top 25'!$D$45+R2185/5*'Top 25'!$E$45)/SUM('Top 25'!$B$45:$E$45),6))</f>
        <v>54</v>
      </c>
      <c r="U2185" s="1" t="str">
        <f t="shared" ca="1" si="75"/>
        <v>Listed</v>
      </c>
      <c r="V2185" s="1" t="str">
        <f>IF(A2185="","",IF(AK2185&lt;&gt;1,"Duplicate source ID",IF(COUNTIFS('Staff Review'!$A$8:$A$507,A2185)&gt;1,"Duplicate review ID",IF(H2185&lt;&gt;"Yes","Outside scope",IF(J2185="Yes","Already served",IF(NOT(ISNUMBER(T2185)),"Missing data","Candidate"))))))</f>
        <v>Outside scope</v>
      </c>
      <c r="W2185" s="1" t="str">
        <f t="shared" si="76"/>
        <v/>
      </c>
      <c r="X2185" s="1" t="str">
        <f t="shared" si="77"/>
        <v/>
      </c>
      <c r="Y2185" s="1">
        <f>IF(AND(H2185="Yes",OR(LEN('School Search'!$B$5)=0,ISNUMBER(SEARCH('School Search'!$B$5,B2185&amp;" "&amp;E2185&amp;" "&amp;A2185))),OR('School Search'!$D$5="All",C2185='School Search'!$D$5),OR('School Search'!$G$5="All eligible",AND('School Search'!$G$5="Not marked served",J2185&lt;&gt;"Yes"),AND('School Search'!$G$5="Missing data",V2185="Missing data"),AND('School Search'!$G$5="Marked served",J2185="Yes"))),1,0)</f>
        <v>0</v>
      </c>
      <c r="Z2185" s="1" t="str">
        <f>IF(Y2185=0,"",COUNTIFS($Y$2051:$Y$2550,1,$AO$2051:$AO$2550,"&lt;"&amp;AO2185)+COUNTIFS($Y$2051:Y2185,1,$AO$2051:AO2185,AO2185))</f>
        <v/>
      </c>
      <c r="AA2185" s="1" t="str">
        <f t="shared" ca="1" si="78"/>
        <v>94% economic need; 0.85 mi fresh access; 5 nearby resources</v>
      </c>
      <c r="AB2185" s="1">
        <f t="shared" si="79"/>
        <v>135</v>
      </c>
      <c r="AC2185" s="1" t="str">
        <f t="shared" si="80"/>
        <v>Shoprite of Fox Street 430</v>
      </c>
      <c r="AD2185" s="1" t="str">
        <f t="shared" si="81"/>
        <v>2800 Fox Street, Philadelphia, PA, 19129</v>
      </c>
      <c r="AE2185" s="1" t="str">
        <f t="shared" si="82"/>
        <v>3701 N 19TH ST</v>
      </c>
      <c r="AF2185" s="1">
        <f t="shared" si="83"/>
        <v>40.010278239999998</v>
      </c>
      <c r="AG2185" s="1">
        <f t="shared" si="84"/>
        <v>-75.159084550000003</v>
      </c>
      <c r="AH2185" s="1" t="str">
        <f>IF(I2185=0,"Not contacted",IF(INDEX('Staff Review'!$J$8:$J$507,I2185)="","Not contacted",INDEX('Staff Review'!$J$8:$J$507,I2185)))</f>
        <v>Not contacted</v>
      </c>
      <c r="AI2185" s="1" t="str">
        <f ca="1">IF(I2185=0,"No",IF(AND(COUNT(INDEX('Staff Review'!$D$8:$D$507,I2185))=1,INDEX('Staff Review'!$D$8:$D$507,I2185)&gt;=0,COUNT(INDEX('Staff Review'!$E$8:$E$507,I2185))=1,INDEX('Staff Review'!$E$8:$E$507,I2185)&gt;0,INDEX('Staff Review'!$E$8:$E$507,I2185)&lt;='Top 25'!$E$5,'Top 25'!$E$5-INDEX('Staff Review'!$E$8:$E$507,I2185)&lt;='Top 25'!$H$5,LEN(INDEX('Staff Review'!$H$8:$H$507,I2185))&gt;0),"Yes","No"))</f>
        <v>No</v>
      </c>
      <c r="AJ2185" s="1" t="str">
        <f>IF(I2185=0,"No",IF(COUNT(INDEX('Staff Review'!$F$8:$F$507,I2185))&lt;&gt;1,"No",IF(AND(INDEX('Staff Review'!$F$8:$F$507,I2185)&gt;=0,MOD(INDEX('Staff Review'!$F$8:$F$507,I2185),1)=0,COUNT(INDEX('Staff Review'!$G$8:$G$507,I2185))=1,INDEX('Staff Review'!$G$8:$G$507,I2185)&gt;0,INDEX('Staff Review'!$G$8:$G$507,I2185)&lt;='Top 25'!$E$5,'Top 25'!$E$5-INDEX('Staff Review'!$G$8:$G$507,I2185)&lt;='Top 25'!$H$5,LEN(INDEX('Staff Review'!$H$8:$H$507,I2185))&gt;0),"Yes","No")))</f>
        <v>No</v>
      </c>
      <c r="AK2185" s="1">
        <f t="shared" si="85"/>
        <v>1</v>
      </c>
      <c r="AL2185" s="1">
        <f t="shared" si="86"/>
        <v>0</v>
      </c>
      <c r="AM2185" s="1">
        <f t="shared" si="87"/>
        <v>3420</v>
      </c>
      <c r="AN2185" s="1">
        <f t="shared" si="88"/>
        <v>135</v>
      </c>
      <c r="AO2185">
        <f t="shared" si="89"/>
        <v>13420</v>
      </c>
      <c r="AP2185" s="105">
        <f>IF(AND(AL2185=1,OR('Top 25'!$A$10="All",C2185='Top 25'!$A$10),OR('Top 25'!$D$10="All",D2185='Top 25'!$D$10)),1,0)</f>
        <v>0</v>
      </c>
      <c r="AQ2185" s="105" t="str">
        <f>IF(AP2185=0,"",CHOOSE(MATCH('Top 25'!$G$10,{"Priority score","Economic need","Enrollment","Fresh miles","Nearby resources"},0),T2185,G2185,F2185,K2185,L2185))</f>
        <v/>
      </c>
      <c r="AR2185" s="105" t="str">
        <f>IF(AP2185=0,"",1+COUNTIFS($AP$2051:$AP$2550,1,$AQ$2051:$AQ$2550,IF('Top 25'!$J$10="Ascending","&lt;","&gt;")&amp;AQ2185)+COUNTIFS($AP$2051:$AP$2550,1,$AQ$2051:$AQ$2550,AQ2185,$W$2051:$W$2550,"&lt;"&amp;W2185))</f>
        <v/>
      </c>
      <c r="AT2185" s="105">
        <f>IF(AND(AL2185=1,OR(Master_rankableSchools!$A$10="All",C2185=Master_rankableSchools!$A$10),OR(Master_rankableSchools!$D$10="All",D2185=Master_rankableSchools!$D$10)),1,0)</f>
        <v>0</v>
      </c>
      <c r="AU2185" s="105" t="str">
        <f>IF(AT2185=0,"",CHOOSE(MATCH(Master_rankableSchools!$G$10,{"Priority score","Economic need","Enrollment","Fresh miles","Nearby resources"},0),T2185,G2185,F2185,K2185,L2185))</f>
        <v/>
      </c>
      <c r="AV2185" s="105" t="str">
        <f>IF(AT2185=0,"",1+COUNTIFS($AT$2051:$AT$2550,1,$AU$2051:$AU$2550,IF(Master_rankableSchools!$J$10="Ascending","&lt;","&gt;")&amp;AU2185)+COUNTIFS($AT$2051:$AT$2550,1,$AU$2051:$AU$2550,AU2185,$W$2051:$W$2550,"&lt;"&amp;W2185))</f>
        <v/>
      </c>
    </row>
    <row r="2186" spans="1:48" ht="22" customHeight="1">
      <c r="A2186" s="1" t="str">
        <f t="shared" si="60"/>
        <v>3421</v>
      </c>
      <c r="B2186" s="1" t="str">
        <f t="shared" si="61"/>
        <v>Universal Charter School at Creighton</v>
      </c>
      <c r="C2186" s="1" t="str">
        <f t="shared" si="62"/>
        <v>Charter</v>
      </c>
      <c r="D2186" s="1" t="str">
        <f t="shared" si="63"/>
        <v>Elementary-Middle</v>
      </c>
      <c r="E2186" s="1" t="str">
        <f t="shared" si="64"/>
        <v>19120</v>
      </c>
      <c r="F2186" s="1">
        <f t="shared" si="65"/>
        <v>652</v>
      </c>
      <c r="G2186" s="1">
        <f t="shared" si="66"/>
        <v>0.81569999999999998</v>
      </c>
      <c r="H2186" s="1" t="str">
        <f t="shared" si="67"/>
        <v>Yes</v>
      </c>
      <c r="I2186" s="1">
        <f>IF(OR(A2186="",COUNTIFS('Staff Review'!$A$8:$A$507,A2186)&lt;&gt;1),0,MATCH(A2186,'Staff Review'!$A$8:$A$507,0))</f>
        <v>301</v>
      </c>
      <c r="J2186" s="1" t="str">
        <f>IF(I2186=0,"No",IF(INDEX('Staff Review'!$C$8:$C$507,I2186)="Yes","Yes","No"))</f>
        <v>No</v>
      </c>
      <c r="K2186" s="1">
        <f ca="1">IF(AI2186="Yes",INDEX('Staff Review'!$D$8:$D$507,I2186),IF(AB2186=0,"",IF(COUNT(INDEX($C$1531:$C$2030,AB2186))=1,INDEX($C$1531:$C$2030,AB2186),"")))</f>
        <v>0.14388906543772775</v>
      </c>
      <c r="L2186" s="1">
        <f>IF(AJ2186="Yes",INDEX('Staff Review'!$F$8:$F$507,I2186),IF(AB2186=0,"",IF(COUNT(INDEX($G$1531:$G$2030,AB2186))=1,INDEX($G$1531:$G$2030,AB2186),"")))</f>
        <v>6</v>
      </c>
      <c r="M2186" s="1" t="str">
        <f t="shared" ca="1" si="68"/>
        <v>Listed</v>
      </c>
      <c r="N2186" s="1" t="str">
        <f t="shared" si="69"/>
        <v>Listed</v>
      </c>
      <c r="O2186" s="1">
        <f t="shared" si="70"/>
        <v>25</v>
      </c>
      <c r="P2186" s="1">
        <f t="shared" ca="1" si="71"/>
        <v>5</v>
      </c>
      <c r="Q2186" s="1">
        <f t="shared" si="72"/>
        <v>0</v>
      </c>
      <c r="R2186" s="1">
        <f t="shared" si="73"/>
        <v>4</v>
      </c>
      <c r="S2186" s="1">
        <f t="shared" ca="1" si="74"/>
        <v>34</v>
      </c>
      <c r="T2186" s="1">
        <f ca="1">IF(OR(COUNT(O2186:R2186)&lt;&gt;4,COUNT('Top 25'!$B$45:$E$45)&lt;&gt;4,MIN('Top 25'!$B$45:$E$45)&lt;0,SUM('Top 25'!$B$45:$E$45)&lt;=0),"",ROUND(85*(O2186/30*'Top 25'!$B$45+P2186/25*'Top 25'!$C$45+Q2186/25*'Top 25'!$D$45+R2186/5*'Top 25'!$E$45)/SUM('Top 25'!$B$45:$E$45),6))</f>
        <v>34</v>
      </c>
      <c r="U2186" s="1" t="str">
        <f t="shared" ca="1" si="75"/>
        <v>Listed</v>
      </c>
      <c r="V2186" s="1" t="str">
        <f ca="1">IF(A2186="","",IF(AK2186&lt;&gt;1,"Duplicate source ID",IF(COUNTIFS('Staff Review'!$A$8:$A$507,A2186)&gt;1,"Duplicate review ID",IF(H2186&lt;&gt;"Yes","Outside scope",IF(J2186="Yes","Already served",IF(NOT(ISNUMBER(T2186)),"Missing data","Candidate"))))))</f>
        <v>Candidate</v>
      </c>
      <c r="W2186" s="1">
        <f t="shared" ca="1" si="76"/>
        <v>227</v>
      </c>
      <c r="X2186" s="1">
        <f t="shared" ca="1" si="77"/>
        <v>221</v>
      </c>
      <c r="Y2186" s="1">
        <f ca="1">IF(AND(H2186="Yes",OR(LEN('School Search'!$B$5)=0,ISNUMBER(SEARCH('School Search'!$B$5,B2186&amp;" "&amp;E2186&amp;" "&amp;A2186))),OR('School Search'!$D$5="All",C2186='School Search'!$D$5),OR('School Search'!$G$5="All eligible",AND('School Search'!$G$5="Not marked served",J2186&lt;&gt;"Yes"),AND('School Search'!$G$5="Missing data",V2186="Missing data"),AND('School Search'!$G$5="Marked served",J2186="Yes"))),1,0)</f>
        <v>1</v>
      </c>
      <c r="Z2186" s="1">
        <f ca="1">IF(Y2186=0,"",COUNTIFS($Y$2051:$Y$2550,1,$AO$2051:$AO$2550,"&lt;"&amp;AO2186)+COUNTIFS($Y$2051:Y2186,1,$AO$2051:AO2186,AO2186))</f>
        <v>227</v>
      </c>
      <c r="AA2186" s="1" t="str">
        <f t="shared" ca="1" si="78"/>
        <v>82% economic need; 0.14 mi fresh access; 6 nearby resources</v>
      </c>
      <c r="AB2186" s="1">
        <f t="shared" si="79"/>
        <v>136</v>
      </c>
      <c r="AC2186" s="1" t="str">
        <f t="shared" si="80"/>
        <v>722 Adams Meat Corp/Ideal Food Basket</v>
      </c>
      <c r="AD2186" s="1" t="str">
        <f t="shared" si="81"/>
        <v>722 Adams Ave, Philadelphia, PA, 19124</v>
      </c>
      <c r="AE2186" s="1" t="str">
        <f t="shared" si="82"/>
        <v>5401 TABOR AVE</v>
      </c>
      <c r="AF2186" s="1">
        <f t="shared" si="83"/>
        <v>40.034042769999999</v>
      </c>
      <c r="AG2186" s="1">
        <f t="shared" si="84"/>
        <v>-75.105864920000002</v>
      </c>
      <c r="AH2186" s="1" t="str">
        <f>IF(I2186=0,"Not contacted",IF(INDEX('Staff Review'!$J$8:$J$507,I2186)="","Not contacted",INDEX('Staff Review'!$J$8:$J$507,I2186)))</f>
        <v>Not contacted</v>
      </c>
      <c r="AI2186" s="1" t="str">
        <f ca="1">IF(I2186=0,"No",IF(AND(COUNT(INDEX('Staff Review'!$D$8:$D$507,I2186))=1,INDEX('Staff Review'!$D$8:$D$507,I2186)&gt;=0,COUNT(INDEX('Staff Review'!$E$8:$E$507,I2186))=1,INDEX('Staff Review'!$E$8:$E$507,I2186)&gt;0,INDEX('Staff Review'!$E$8:$E$507,I2186)&lt;='Top 25'!$E$5,'Top 25'!$E$5-INDEX('Staff Review'!$E$8:$E$507,I2186)&lt;='Top 25'!$H$5,LEN(INDEX('Staff Review'!$H$8:$H$507,I2186))&gt;0),"Yes","No"))</f>
        <v>No</v>
      </c>
      <c r="AJ2186" s="1" t="str">
        <f>IF(I2186=0,"No",IF(COUNT(INDEX('Staff Review'!$F$8:$F$507,I2186))&lt;&gt;1,"No",IF(AND(INDEX('Staff Review'!$F$8:$F$507,I2186)&gt;=0,MOD(INDEX('Staff Review'!$F$8:$F$507,I2186),1)=0,COUNT(INDEX('Staff Review'!$G$8:$G$507,I2186))=1,INDEX('Staff Review'!$G$8:$G$507,I2186)&gt;0,INDEX('Staff Review'!$G$8:$G$507,I2186)&lt;='Top 25'!$E$5,'Top 25'!$E$5-INDEX('Staff Review'!$G$8:$G$507,I2186)&lt;='Top 25'!$H$5,LEN(INDEX('Staff Review'!$H$8:$H$507,I2186))&gt;0),"Yes","No")))</f>
        <v>No</v>
      </c>
      <c r="AK2186" s="1">
        <f t="shared" si="85"/>
        <v>1</v>
      </c>
      <c r="AL2186" s="1">
        <f t="shared" ca="1" si="86"/>
        <v>1</v>
      </c>
      <c r="AM2186" s="1">
        <f t="shared" si="87"/>
        <v>3421</v>
      </c>
      <c r="AN2186" s="1">
        <f t="shared" si="88"/>
        <v>136</v>
      </c>
      <c r="AO2186">
        <f t="shared" ca="1" si="89"/>
        <v>227</v>
      </c>
      <c r="AP2186" s="105">
        <f ca="1">IF(AND(AL2186=1,OR('Top 25'!$A$10="All",C2186='Top 25'!$A$10),OR('Top 25'!$D$10="All",D2186='Top 25'!$D$10)),1,0)</f>
        <v>0</v>
      </c>
      <c r="AQ2186" s="105" t="str">
        <f ca="1">IF(AP2186=0,"",CHOOSE(MATCH('Top 25'!$G$10,{"Priority score","Economic need","Enrollment","Fresh miles","Nearby resources"},0),T2186,G2186,F2186,K2186,L2186))</f>
        <v/>
      </c>
      <c r="AR2186" s="105" t="str">
        <f ca="1">IF(AP2186=0,"",1+COUNTIFS($AP$2051:$AP$2550,1,$AQ$2051:$AQ$2550,IF('Top 25'!$J$10="Ascending","&lt;","&gt;")&amp;AQ2186)+COUNTIFS($AP$2051:$AP$2550,1,$AQ$2051:$AQ$2550,AQ2186,$W$2051:$W$2550,"&lt;"&amp;W2186))</f>
        <v/>
      </c>
      <c r="AT2186" s="105">
        <f ca="1">IF(AND(AL2186=1,OR(Master_rankableSchools!$A$10="All",C2186=Master_rankableSchools!$A$10),OR(Master_rankableSchools!$D$10="All",D2186=Master_rankableSchools!$D$10)),1,0)</f>
        <v>1</v>
      </c>
      <c r="AU2186" s="105">
        <f ca="1">IF(AT2186=0,"",CHOOSE(MATCH(Master_rankableSchools!$G$10,{"Priority score","Economic need","Enrollment","Fresh miles","Nearby resources"},0),T2186,G2186,F2186,K2186,L2186))</f>
        <v>34</v>
      </c>
      <c r="AV2186" s="105">
        <f ca="1">IF(AT2186=0,"",1+COUNTIFS($AT$2051:$AT$2550,1,$AU$2051:$AU$2550,IF(Master_rankableSchools!$J$10="Ascending","&lt;","&gt;")&amp;AU2186)+COUNTIFS($AT$2051:$AT$2550,1,$AU$2051:$AU$2550,AU2186,$W$2051:$W$2550,"&lt;"&amp;W2186))</f>
        <v>227</v>
      </c>
    </row>
    <row r="2187" spans="1:48" ht="22" customHeight="1">
      <c r="A2187" s="1" t="str">
        <f t="shared" si="60"/>
        <v>3422</v>
      </c>
      <c r="B2187" s="1" t="str">
        <f t="shared" si="61"/>
        <v>The Philadelphia Charter School for Arts and Sciences</v>
      </c>
      <c r="C2187" s="1" t="str">
        <f t="shared" si="62"/>
        <v>Charter</v>
      </c>
      <c r="D2187" s="1" t="str">
        <f t="shared" si="63"/>
        <v>Elementary-Middle</v>
      </c>
      <c r="E2187" s="1" t="str">
        <f t="shared" si="64"/>
        <v>19124</v>
      </c>
      <c r="F2187" s="1">
        <f t="shared" si="65"/>
        <v>837</v>
      </c>
      <c r="G2187" s="1">
        <f t="shared" si="66"/>
        <v>0.84319999999999995</v>
      </c>
      <c r="H2187" s="1" t="str">
        <f t="shared" si="67"/>
        <v>Yes</v>
      </c>
      <c r="I2187" s="1">
        <f>IF(OR(A2187="",COUNTIFS('Staff Review'!$A$8:$A$507,A2187)&lt;&gt;1),0,MATCH(A2187,'Staff Review'!$A$8:$A$507,0))</f>
        <v>287</v>
      </c>
      <c r="J2187" s="1" t="str">
        <f>IF(I2187=0,"No",IF(INDEX('Staff Review'!$C$8:$C$507,I2187)="Yes","Yes","No"))</f>
        <v>No</v>
      </c>
      <c r="K2187" s="1">
        <f ca="1">IF(AI2187="Yes",INDEX('Staff Review'!$D$8:$D$507,I2187),IF(AB2187=0,"",IF(COUNT(INDEX($C$1531:$C$2030,AB2187))=1,INDEX($C$1531:$C$2030,AB2187),"")))</f>
        <v>0.53094574008861539</v>
      </c>
      <c r="L2187" s="1">
        <f>IF(AJ2187="Yes",INDEX('Staff Review'!$F$8:$F$507,I2187),IF(AB2187=0,"",IF(COUNT(INDEX($G$1531:$G$2030,AB2187))=1,INDEX($G$1531:$G$2030,AB2187),"")))</f>
        <v>7</v>
      </c>
      <c r="M2187" s="1" t="str">
        <f t="shared" ca="1" si="68"/>
        <v>Listed</v>
      </c>
      <c r="N2187" s="1" t="str">
        <f t="shared" si="69"/>
        <v>Listed</v>
      </c>
      <c r="O2187" s="1">
        <f t="shared" si="70"/>
        <v>25</v>
      </c>
      <c r="P2187" s="1">
        <f t="shared" ca="1" si="71"/>
        <v>15</v>
      </c>
      <c r="Q2187" s="1">
        <f t="shared" si="72"/>
        <v>0</v>
      </c>
      <c r="R2187" s="1">
        <f t="shared" si="73"/>
        <v>5</v>
      </c>
      <c r="S2187" s="1">
        <f t="shared" ca="1" si="74"/>
        <v>45</v>
      </c>
      <c r="T2187" s="1">
        <f ca="1">IF(OR(COUNT(O2187:R2187)&lt;&gt;4,COUNT('Top 25'!$B$45:$E$45)&lt;&gt;4,MIN('Top 25'!$B$45:$E$45)&lt;0,SUM('Top 25'!$B$45:$E$45)&lt;=0),"",ROUND(85*(O2187/30*'Top 25'!$B$45+P2187/25*'Top 25'!$C$45+Q2187/25*'Top 25'!$D$45+R2187/5*'Top 25'!$E$45)/SUM('Top 25'!$B$45:$E$45),6))</f>
        <v>45</v>
      </c>
      <c r="U2187" s="1" t="str">
        <f t="shared" ca="1" si="75"/>
        <v>Listed</v>
      </c>
      <c r="V2187" s="1" t="str">
        <f ca="1">IF(A2187="","",IF(AK2187&lt;&gt;1,"Duplicate source ID",IF(COUNTIFS('Staff Review'!$A$8:$A$507,A2187)&gt;1,"Duplicate review ID",IF(H2187&lt;&gt;"Yes","Outside scope",IF(J2187="Yes","Already served",IF(NOT(ISNUMBER(T2187)),"Missing data","Candidate"))))))</f>
        <v>Candidate</v>
      </c>
      <c r="W2187" s="1">
        <f t="shared" ca="1" si="76"/>
        <v>75</v>
      </c>
      <c r="X2187" s="1">
        <f t="shared" ca="1" si="77"/>
        <v>74</v>
      </c>
      <c r="Y2187" s="1">
        <f ca="1">IF(AND(H2187="Yes",OR(LEN('School Search'!$B$5)=0,ISNUMBER(SEARCH('School Search'!$B$5,B2187&amp;" "&amp;E2187&amp;" "&amp;A2187))),OR('School Search'!$D$5="All",C2187='School Search'!$D$5),OR('School Search'!$G$5="All eligible",AND('School Search'!$G$5="Not marked served",J2187&lt;&gt;"Yes"),AND('School Search'!$G$5="Missing data",V2187="Missing data"),AND('School Search'!$G$5="Marked served",J2187="Yes"))),1,0)</f>
        <v>1</v>
      </c>
      <c r="Z2187" s="1">
        <f ca="1">IF(Y2187=0,"",COUNTIFS($Y$2051:$Y$2550,1,$AO$2051:$AO$2550,"&lt;"&amp;AO2187)+COUNTIFS($Y$2051:Y2187,1,$AO$2051:AO2187,AO2187))</f>
        <v>75</v>
      </c>
      <c r="AA2187" s="1" t="str">
        <f t="shared" ca="1" si="78"/>
        <v>84% economic need; 0.53 mi fresh access; 7 nearby resources</v>
      </c>
      <c r="AB2187" s="1">
        <f t="shared" si="79"/>
        <v>137</v>
      </c>
      <c r="AC2187" s="1" t="str">
        <f t="shared" si="80"/>
        <v>Cousins Grocery Market Inc.</v>
      </c>
      <c r="AD2187" s="1" t="str">
        <f t="shared" si="81"/>
        <v>1607 Bridge St, Philadelphia, PA, 19124</v>
      </c>
      <c r="AE2187" s="1" t="str">
        <f t="shared" si="82"/>
        <v>1197 HAWORTH ST</v>
      </c>
      <c r="AF2187" s="1">
        <f t="shared" si="83"/>
        <v>40.02423246</v>
      </c>
      <c r="AG2187" s="1">
        <f t="shared" si="84"/>
        <v>-75.085996309999999</v>
      </c>
      <c r="AH2187" s="1" t="str">
        <f>IF(I2187=0,"Not contacted",IF(INDEX('Staff Review'!$J$8:$J$507,I2187)="","Not contacted",INDEX('Staff Review'!$J$8:$J$507,I2187)))</f>
        <v>Not contacted</v>
      </c>
      <c r="AI2187" s="1" t="str">
        <f ca="1">IF(I2187=0,"No",IF(AND(COUNT(INDEX('Staff Review'!$D$8:$D$507,I2187))=1,INDEX('Staff Review'!$D$8:$D$507,I2187)&gt;=0,COUNT(INDEX('Staff Review'!$E$8:$E$507,I2187))=1,INDEX('Staff Review'!$E$8:$E$507,I2187)&gt;0,INDEX('Staff Review'!$E$8:$E$507,I2187)&lt;='Top 25'!$E$5,'Top 25'!$E$5-INDEX('Staff Review'!$E$8:$E$507,I2187)&lt;='Top 25'!$H$5,LEN(INDEX('Staff Review'!$H$8:$H$507,I2187))&gt;0),"Yes","No"))</f>
        <v>No</v>
      </c>
      <c r="AJ2187" s="1" t="str">
        <f>IF(I2187=0,"No",IF(COUNT(INDEX('Staff Review'!$F$8:$F$507,I2187))&lt;&gt;1,"No",IF(AND(INDEX('Staff Review'!$F$8:$F$507,I2187)&gt;=0,MOD(INDEX('Staff Review'!$F$8:$F$507,I2187),1)=0,COUNT(INDEX('Staff Review'!$G$8:$G$507,I2187))=1,INDEX('Staff Review'!$G$8:$G$507,I2187)&gt;0,INDEX('Staff Review'!$G$8:$G$507,I2187)&lt;='Top 25'!$E$5,'Top 25'!$E$5-INDEX('Staff Review'!$G$8:$G$507,I2187)&lt;='Top 25'!$H$5,LEN(INDEX('Staff Review'!$H$8:$H$507,I2187))&gt;0),"Yes","No")))</f>
        <v>No</v>
      </c>
      <c r="AK2187" s="1">
        <f t="shared" si="85"/>
        <v>1</v>
      </c>
      <c r="AL2187" s="1">
        <f t="shared" ca="1" si="86"/>
        <v>1</v>
      </c>
      <c r="AM2187" s="1">
        <f t="shared" si="87"/>
        <v>3422</v>
      </c>
      <c r="AN2187" s="1">
        <f t="shared" si="88"/>
        <v>137</v>
      </c>
      <c r="AO2187">
        <f t="shared" ca="1" si="89"/>
        <v>75</v>
      </c>
      <c r="AP2187" s="105">
        <f ca="1">IF(AND(AL2187=1,OR('Top 25'!$A$10="All",C2187='Top 25'!$A$10),OR('Top 25'!$D$10="All",D2187='Top 25'!$D$10)),1,0)</f>
        <v>0</v>
      </c>
      <c r="AQ2187" s="105" t="str">
        <f ca="1">IF(AP2187=0,"",CHOOSE(MATCH('Top 25'!$G$10,{"Priority score","Economic need","Enrollment","Fresh miles","Nearby resources"},0),T2187,G2187,F2187,K2187,L2187))</f>
        <v/>
      </c>
      <c r="AR2187" s="105" t="str">
        <f ca="1">IF(AP2187=0,"",1+COUNTIFS($AP$2051:$AP$2550,1,$AQ$2051:$AQ$2550,IF('Top 25'!$J$10="Ascending","&lt;","&gt;")&amp;AQ2187)+COUNTIFS($AP$2051:$AP$2550,1,$AQ$2051:$AQ$2550,AQ2187,$W$2051:$W$2550,"&lt;"&amp;W2187))</f>
        <v/>
      </c>
      <c r="AT2187" s="105">
        <f ca="1">IF(AND(AL2187=1,OR(Master_rankableSchools!$A$10="All",C2187=Master_rankableSchools!$A$10),OR(Master_rankableSchools!$D$10="All",D2187=Master_rankableSchools!$D$10)),1,0)</f>
        <v>1</v>
      </c>
      <c r="AU2187" s="105">
        <f ca="1">IF(AT2187=0,"",CHOOSE(MATCH(Master_rankableSchools!$G$10,{"Priority score","Economic need","Enrollment","Fresh miles","Nearby resources"},0),T2187,G2187,F2187,K2187,L2187))</f>
        <v>45</v>
      </c>
      <c r="AV2187" s="105">
        <f ca="1">IF(AT2187=0,"",1+COUNTIFS($AT$2051:$AT$2550,1,$AU$2051:$AU$2550,IF(Master_rankableSchools!$J$10="Ascending","&lt;","&gt;")&amp;AU2187)+COUNTIFS($AT$2051:$AT$2550,1,$AU$2051:$AU$2550,AU2187,$W$2051:$W$2550,"&lt;"&amp;W2187))</f>
        <v>75</v>
      </c>
    </row>
    <row r="2188" spans="1:48" ht="22" customHeight="1">
      <c r="A2188" s="1" t="str">
        <f t="shared" si="60"/>
        <v>3424</v>
      </c>
      <c r="B2188" s="1" t="str">
        <f t="shared" si="61"/>
        <v>Universal Charter School at Alcorn</v>
      </c>
      <c r="C2188" s="1" t="str">
        <f t="shared" si="62"/>
        <v>Charter</v>
      </c>
      <c r="D2188" s="1" t="str">
        <f t="shared" si="63"/>
        <v>Elementary-Middle</v>
      </c>
      <c r="E2188" s="1" t="str">
        <f t="shared" si="64"/>
        <v>19146</v>
      </c>
      <c r="F2188" s="1">
        <f t="shared" si="65"/>
        <v>473</v>
      </c>
      <c r="G2188" s="1">
        <f t="shared" si="66"/>
        <v>0.83220000000000005</v>
      </c>
      <c r="H2188" s="1" t="str">
        <f t="shared" si="67"/>
        <v>Yes</v>
      </c>
      <c r="I2188" s="1">
        <f>IF(OR(A2188="",COUNTIFS('Staff Review'!$A$8:$A$507,A2188)&lt;&gt;1),0,MATCH(A2188,'Staff Review'!$A$8:$A$507,0))</f>
        <v>299</v>
      </c>
      <c r="J2188" s="1" t="str">
        <f>IF(I2188=0,"No",IF(INDEX('Staff Review'!$C$8:$C$507,I2188)="Yes","Yes","No"))</f>
        <v>No</v>
      </c>
      <c r="K2188" s="1">
        <f ca="1">IF(AI2188="Yes",INDEX('Staff Review'!$D$8:$D$507,I2188),IF(AB2188=0,"",IF(COUNT(INDEX($C$1531:$C$2030,AB2188))=1,INDEX($C$1531:$C$2030,AB2188),"")))</f>
        <v>0.3274344983886211</v>
      </c>
      <c r="L2188" s="1">
        <f>IF(AJ2188="Yes",INDEX('Staff Review'!$F$8:$F$507,I2188),IF(AB2188=0,"",IF(COUNT(INDEX($G$1531:$G$2030,AB2188))=1,INDEX($G$1531:$G$2030,AB2188),"")))</f>
        <v>8</v>
      </c>
      <c r="M2188" s="1" t="str">
        <f t="shared" ca="1" si="68"/>
        <v>Listed</v>
      </c>
      <c r="N2188" s="1" t="str">
        <f t="shared" si="69"/>
        <v>Listed</v>
      </c>
      <c r="O2188" s="1">
        <f t="shared" si="70"/>
        <v>25</v>
      </c>
      <c r="P2188" s="1">
        <f t="shared" ca="1" si="71"/>
        <v>10</v>
      </c>
      <c r="Q2188" s="1">
        <f t="shared" si="72"/>
        <v>0</v>
      </c>
      <c r="R2188" s="1">
        <f t="shared" si="73"/>
        <v>3</v>
      </c>
      <c r="S2188" s="1">
        <f t="shared" ca="1" si="74"/>
        <v>38</v>
      </c>
      <c r="T2188" s="1">
        <f ca="1">IF(OR(COUNT(O2188:R2188)&lt;&gt;4,COUNT('Top 25'!$B$45:$E$45)&lt;&gt;4,MIN('Top 25'!$B$45:$E$45)&lt;0,SUM('Top 25'!$B$45:$E$45)&lt;=0),"",ROUND(85*(O2188/30*'Top 25'!$B$45+P2188/25*'Top 25'!$C$45+Q2188/25*'Top 25'!$D$45+R2188/5*'Top 25'!$E$45)/SUM('Top 25'!$B$45:$E$45),6))</f>
        <v>38</v>
      </c>
      <c r="U2188" s="1" t="str">
        <f t="shared" ca="1" si="75"/>
        <v>Listed</v>
      </c>
      <c r="V2188" s="1" t="str">
        <f ca="1">IF(A2188="","",IF(AK2188&lt;&gt;1,"Duplicate source ID",IF(COUNTIFS('Staff Review'!$A$8:$A$507,A2188)&gt;1,"Duplicate review ID",IF(H2188&lt;&gt;"Yes","Outside scope",IF(J2188="Yes","Already served",IF(NOT(ISNUMBER(T2188)),"Missing data","Candidate"))))))</f>
        <v>Candidate</v>
      </c>
      <c r="W2188" s="1">
        <f t="shared" ca="1" si="76"/>
        <v>176</v>
      </c>
      <c r="X2188" s="1">
        <f t="shared" ca="1" si="77"/>
        <v>166</v>
      </c>
      <c r="Y2188" s="1">
        <f ca="1">IF(AND(H2188="Yes",OR(LEN('School Search'!$B$5)=0,ISNUMBER(SEARCH('School Search'!$B$5,B2188&amp;" "&amp;E2188&amp;" "&amp;A2188))),OR('School Search'!$D$5="All",C2188='School Search'!$D$5),OR('School Search'!$G$5="All eligible",AND('School Search'!$G$5="Not marked served",J2188&lt;&gt;"Yes"),AND('School Search'!$G$5="Missing data",V2188="Missing data"),AND('School Search'!$G$5="Marked served",J2188="Yes"))),1,0)</f>
        <v>1</v>
      </c>
      <c r="Z2188" s="1">
        <f ca="1">IF(Y2188=0,"",COUNTIFS($Y$2051:$Y$2550,1,$AO$2051:$AO$2550,"&lt;"&amp;AO2188)+COUNTIFS($Y$2051:Y2188,1,$AO$2051:AO2188,AO2188))</f>
        <v>176</v>
      </c>
      <c r="AA2188" s="1" t="str">
        <f t="shared" ca="1" si="78"/>
        <v>83% economic need; 0.33 mi fresh access; 8 nearby resources</v>
      </c>
      <c r="AB2188" s="1">
        <f t="shared" si="79"/>
        <v>138</v>
      </c>
      <c r="AC2188" s="1" t="str">
        <f t="shared" si="80"/>
        <v>The Fresh Grocer Of Grays Ferry</v>
      </c>
      <c r="AD2188" s="1" t="str">
        <f t="shared" si="81"/>
        <v>3021 Grays Ferry Ave, Philadelphia, PA, 19146</v>
      </c>
      <c r="AE2188" s="1" t="str">
        <f t="shared" si="82"/>
        <v>3200 DICKINSON ST</v>
      </c>
      <c r="AF2188" s="1">
        <f t="shared" si="83"/>
        <v>39.935499</v>
      </c>
      <c r="AG2188" s="1">
        <f t="shared" si="84"/>
        <v>-75.197771000000003</v>
      </c>
      <c r="AH2188" s="1" t="str">
        <f>IF(I2188=0,"Not contacted",IF(INDEX('Staff Review'!$J$8:$J$507,I2188)="","Not contacted",INDEX('Staff Review'!$J$8:$J$507,I2188)))</f>
        <v>Not contacted</v>
      </c>
      <c r="AI2188" s="1" t="str">
        <f ca="1">IF(I2188=0,"No",IF(AND(COUNT(INDEX('Staff Review'!$D$8:$D$507,I2188))=1,INDEX('Staff Review'!$D$8:$D$507,I2188)&gt;=0,COUNT(INDEX('Staff Review'!$E$8:$E$507,I2188))=1,INDEX('Staff Review'!$E$8:$E$507,I2188)&gt;0,INDEX('Staff Review'!$E$8:$E$507,I2188)&lt;='Top 25'!$E$5,'Top 25'!$E$5-INDEX('Staff Review'!$E$8:$E$507,I2188)&lt;='Top 25'!$H$5,LEN(INDEX('Staff Review'!$H$8:$H$507,I2188))&gt;0),"Yes","No"))</f>
        <v>No</v>
      </c>
      <c r="AJ2188" s="1" t="str">
        <f>IF(I2188=0,"No",IF(COUNT(INDEX('Staff Review'!$F$8:$F$507,I2188))&lt;&gt;1,"No",IF(AND(INDEX('Staff Review'!$F$8:$F$507,I2188)&gt;=0,MOD(INDEX('Staff Review'!$F$8:$F$507,I2188),1)=0,COUNT(INDEX('Staff Review'!$G$8:$G$507,I2188))=1,INDEX('Staff Review'!$G$8:$G$507,I2188)&gt;0,INDEX('Staff Review'!$G$8:$G$507,I2188)&lt;='Top 25'!$E$5,'Top 25'!$E$5-INDEX('Staff Review'!$G$8:$G$507,I2188)&lt;='Top 25'!$H$5,LEN(INDEX('Staff Review'!$H$8:$H$507,I2188))&gt;0),"Yes","No")))</f>
        <v>No</v>
      </c>
      <c r="AK2188" s="1">
        <f t="shared" si="85"/>
        <v>1</v>
      </c>
      <c r="AL2188" s="1">
        <f t="shared" ca="1" si="86"/>
        <v>1</v>
      </c>
      <c r="AM2188" s="1">
        <f t="shared" si="87"/>
        <v>3424</v>
      </c>
      <c r="AN2188" s="1">
        <f t="shared" si="88"/>
        <v>138</v>
      </c>
      <c r="AO2188">
        <f t="shared" ca="1" si="89"/>
        <v>176</v>
      </c>
      <c r="AP2188" s="105">
        <f ca="1">IF(AND(AL2188=1,OR('Top 25'!$A$10="All",C2188='Top 25'!$A$10),OR('Top 25'!$D$10="All",D2188='Top 25'!$D$10)),1,0)</f>
        <v>0</v>
      </c>
      <c r="AQ2188" s="105" t="str">
        <f ca="1">IF(AP2188=0,"",CHOOSE(MATCH('Top 25'!$G$10,{"Priority score","Economic need","Enrollment","Fresh miles","Nearby resources"},0),T2188,G2188,F2188,K2188,L2188))</f>
        <v/>
      </c>
      <c r="AR2188" s="105" t="str">
        <f ca="1">IF(AP2188=0,"",1+COUNTIFS($AP$2051:$AP$2550,1,$AQ$2051:$AQ$2550,IF('Top 25'!$J$10="Ascending","&lt;","&gt;")&amp;AQ2188)+COUNTIFS($AP$2051:$AP$2550,1,$AQ$2051:$AQ$2550,AQ2188,$W$2051:$W$2550,"&lt;"&amp;W2188))</f>
        <v/>
      </c>
      <c r="AT2188" s="105">
        <f ca="1">IF(AND(AL2188=1,OR(Master_rankableSchools!$A$10="All",C2188=Master_rankableSchools!$A$10),OR(Master_rankableSchools!$D$10="All",D2188=Master_rankableSchools!$D$10)),1,0)</f>
        <v>1</v>
      </c>
      <c r="AU2188" s="105">
        <f ca="1">IF(AT2188=0,"",CHOOSE(MATCH(Master_rankableSchools!$G$10,{"Priority score","Economic need","Enrollment","Fresh miles","Nearby resources"},0),T2188,G2188,F2188,K2188,L2188))</f>
        <v>38</v>
      </c>
      <c r="AV2188" s="105">
        <f ca="1">IF(AT2188=0,"",1+COUNTIFS($AT$2051:$AT$2550,1,$AU$2051:$AU$2550,IF(Master_rankableSchools!$J$10="Ascending","&lt;","&gt;")&amp;AU2188)+COUNTIFS($AT$2051:$AT$2550,1,$AU$2051:$AU$2550,AU2188,$W$2051:$W$2550,"&lt;"&amp;W2188))</f>
        <v>176</v>
      </c>
    </row>
    <row r="2189" spans="1:48" ht="22" customHeight="1">
      <c r="A2189" s="1" t="str">
        <f t="shared" si="60"/>
        <v>3426</v>
      </c>
      <c r="B2189" s="1" t="str">
        <f t="shared" si="61"/>
        <v>Mastery Charter School at Pastorius</v>
      </c>
      <c r="C2189" s="1" t="str">
        <f t="shared" si="62"/>
        <v>Charter</v>
      </c>
      <c r="D2189" s="1" t="str">
        <f t="shared" si="63"/>
        <v>Elementary-Middle</v>
      </c>
      <c r="E2189" s="1" t="str">
        <f t="shared" si="64"/>
        <v>19138</v>
      </c>
      <c r="F2189" s="1">
        <f t="shared" si="65"/>
        <v>688</v>
      </c>
      <c r="G2189" s="1">
        <f t="shared" si="66"/>
        <v>0.86019999999999996</v>
      </c>
      <c r="H2189" s="1" t="str">
        <f t="shared" si="67"/>
        <v>No</v>
      </c>
      <c r="I2189" s="1">
        <f>IF(OR(A2189="",COUNTIFS('Staff Review'!$A$8:$A$507,A2189)&lt;&gt;1),0,MATCH(A2189,'Staff Review'!$A$8:$A$507,0))</f>
        <v>189</v>
      </c>
      <c r="J2189" s="1" t="str">
        <f>IF(I2189=0,"No",IF(INDEX('Staff Review'!$C$8:$C$507,I2189)="Yes","Yes","No"))</f>
        <v>No</v>
      </c>
      <c r="K2189" s="1">
        <f ca="1">IF(AI2189="Yes",INDEX('Staff Review'!$D$8:$D$507,I2189),IF(AB2189=0,"",IF(COUNT(INDEX($C$1531:$C$2030,AB2189))=1,INDEX($C$1531:$C$2030,AB2189),"")))</f>
        <v>0.46452177836250569</v>
      </c>
      <c r="L2189" s="1">
        <f>IF(AJ2189="Yes",INDEX('Staff Review'!$F$8:$F$507,I2189),IF(AB2189=0,"",IF(COUNT(INDEX($G$1531:$G$2030,AB2189))=1,INDEX($G$1531:$G$2030,AB2189),"")))</f>
        <v>17</v>
      </c>
      <c r="M2189" s="1" t="str">
        <f t="shared" ca="1" si="68"/>
        <v>Listed</v>
      </c>
      <c r="N2189" s="1" t="str">
        <f t="shared" si="69"/>
        <v>Listed</v>
      </c>
      <c r="O2189" s="1">
        <f t="shared" si="70"/>
        <v>25</v>
      </c>
      <c r="P2189" s="1">
        <f t="shared" ca="1" si="71"/>
        <v>10</v>
      </c>
      <c r="Q2189" s="1">
        <f t="shared" si="72"/>
        <v>0</v>
      </c>
      <c r="R2189" s="1">
        <f t="shared" si="73"/>
        <v>4</v>
      </c>
      <c r="S2189" s="1">
        <f t="shared" ca="1" si="74"/>
        <v>39</v>
      </c>
      <c r="T2189" s="1">
        <f ca="1">IF(OR(COUNT(O2189:R2189)&lt;&gt;4,COUNT('Top 25'!$B$45:$E$45)&lt;&gt;4,MIN('Top 25'!$B$45:$E$45)&lt;0,SUM('Top 25'!$B$45:$E$45)&lt;=0),"",ROUND(85*(O2189/30*'Top 25'!$B$45+P2189/25*'Top 25'!$C$45+Q2189/25*'Top 25'!$D$45+R2189/5*'Top 25'!$E$45)/SUM('Top 25'!$B$45:$E$45),6))</f>
        <v>39</v>
      </c>
      <c r="U2189" s="1" t="str">
        <f t="shared" ca="1" si="75"/>
        <v>Listed</v>
      </c>
      <c r="V2189" s="1" t="str">
        <f>IF(A2189="","",IF(AK2189&lt;&gt;1,"Duplicate source ID",IF(COUNTIFS('Staff Review'!$A$8:$A$507,A2189)&gt;1,"Duplicate review ID",IF(H2189&lt;&gt;"Yes","Outside scope",IF(J2189="Yes","Already served",IF(NOT(ISNUMBER(T2189)),"Missing data","Candidate"))))))</f>
        <v>Outside scope</v>
      </c>
      <c r="W2189" s="1" t="str">
        <f t="shared" si="76"/>
        <v/>
      </c>
      <c r="X2189" s="1" t="str">
        <f t="shared" si="77"/>
        <v/>
      </c>
      <c r="Y2189" s="1">
        <f>IF(AND(H2189="Yes",OR(LEN('School Search'!$B$5)=0,ISNUMBER(SEARCH('School Search'!$B$5,B2189&amp;" "&amp;E2189&amp;" "&amp;A2189))),OR('School Search'!$D$5="All",C2189='School Search'!$D$5),OR('School Search'!$G$5="All eligible",AND('School Search'!$G$5="Not marked served",J2189&lt;&gt;"Yes"),AND('School Search'!$G$5="Missing data",V2189="Missing data"),AND('School Search'!$G$5="Marked served",J2189="Yes"))),1,0)</f>
        <v>0</v>
      </c>
      <c r="Z2189" s="1" t="str">
        <f>IF(Y2189=0,"",COUNTIFS($Y$2051:$Y$2550,1,$AO$2051:$AO$2550,"&lt;"&amp;AO2189)+COUNTIFS($Y$2051:Y2189,1,$AO$2051:AO2189,AO2189))</f>
        <v/>
      </c>
      <c r="AA2189" s="1" t="str">
        <f t="shared" ca="1" si="78"/>
        <v>86% economic need; 0.46 mi fresh access; 17 nearby resources</v>
      </c>
      <c r="AB2189" s="1">
        <f t="shared" si="79"/>
        <v>139</v>
      </c>
      <c r="AC2189" s="1" t="str">
        <f t="shared" si="80"/>
        <v>THE FRESH GROCER</v>
      </c>
      <c r="AD2189" s="1" t="str">
        <f t="shared" si="81"/>
        <v>5301 Chew Ave, Philadelphia, PA, 19138</v>
      </c>
      <c r="AE2189" s="1" t="str">
        <f t="shared" si="82"/>
        <v>5650 SPRAGUE ST</v>
      </c>
      <c r="AF2189" s="1">
        <f t="shared" si="83"/>
        <v>40.048208000000002</v>
      </c>
      <c r="AG2189" s="1">
        <f t="shared" si="84"/>
        <v>-75.161423999999997</v>
      </c>
      <c r="AH2189" s="1" t="str">
        <f>IF(I2189=0,"Not contacted",IF(INDEX('Staff Review'!$J$8:$J$507,I2189)="","Not contacted",INDEX('Staff Review'!$J$8:$J$507,I2189)))</f>
        <v>Not contacted</v>
      </c>
      <c r="AI2189" s="1" t="str">
        <f ca="1">IF(I2189=0,"No",IF(AND(COUNT(INDEX('Staff Review'!$D$8:$D$507,I2189))=1,INDEX('Staff Review'!$D$8:$D$507,I2189)&gt;=0,COUNT(INDEX('Staff Review'!$E$8:$E$507,I2189))=1,INDEX('Staff Review'!$E$8:$E$507,I2189)&gt;0,INDEX('Staff Review'!$E$8:$E$507,I2189)&lt;='Top 25'!$E$5,'Top 25'!$E$5-INDEX('Staff Review'!$E$8:$E$507,I2189)&lt;='Top 25'!$H$5,LEN(INDEX('Staff Review'!$H$8:$H$507,I2189))&gt;0),"Yes","No"))</f>
        <v>No</v>
      </c>
      <c r="AJ2189" s="1" t="str">
        <f>IF(I2189=0,"No",IF(COUNT(INDEX('Staff Review'!$F$8:$F$507,I2189))&lt;&gt;1,"No",IF(AND(INDEX('Staff Review'!$F$8:$F$507,I2189)&gt;=0,MOD(INDEX('Staff Review'!$F$8:$F$507,I2189),1)=0,COUNT(INDEX('Staff Review'!$G$8:$G$507,I2189))=1,INDEX('Staff Review'!$G$8:$G$507,I2189)&gt;0,INDEX('Staff Review'!$G$8:$G$507,I2189)&lt;='Top 25'!$E$5,'Top 25'!$E$5-INDEX('Staff Review'!$G$8:$G$507,I2189)&lt;='Top 25'!$H$5,LEN(INDEX('Staff Review'!$H$8:$H$507,I2189))&gt;0),"Yes","No")))</f>
        <v>No</v>
      </c>
      <c r="AK2189" s="1">
        <f t="shared" si="85"/>
        <v>1</v>
      </c>
      <c r="AL2189" s="1">
        <f t="shared" si="86"/>
        <v>0</v>
      </c>
      <c r="AM2189" s="1">
        <f t="shared" si="87"/>
        <v>3426</v>
      </c>
      <c r="AN2189" s="1">
        <f t="shared" si="88"/>
        <v>139</v>
      </c>
      <c r="AO2189">
        <f t="shared" si="89"/>
        <v>13426</v>
      </c>
      <c r="AP2189" s="105">
        <f>IF(AND(AL2189=1,OR('Top 25'!$A$10="All",C2189='Top 25'!$A$10),OR('Top 25'!$D$10="All",D2189='Top 25'!$D$10)),1,0)</f>
        <v>0</v>
      </c>
      <c r="AQ2189" s="105" t="str">
        <f>IF(AP2189=0,"",CHOOSE(MATCH('Top 25'!$G$10,{"Priority score","Economic need","Enrollment","Fresh miles","Nearby resources"},0),T2189,G2189,F2189,K2189,L2189))</f>
        <v/>
      </c>
      <c r="AR2189" s="105" t="str">
        <f>IF(AP2189=0,"",1+COUNTIFS($AP$2051:$AP$2550,1,$AQ$2051:$AQ$2550,IF('Top 25'!$J$10="Ascending","&lt;","&gt;")&amp;AQ2189)+COUNTIFS($AP$2051:$AP$2550,1,$AQ$2051:$AQ$2550,AQ2189,$W$2051:$W$2550,"&lt;"&amp;W2189))</f>
        <v/>
      </c>
      <c r="AT2189" s="105">
        <f>IF(AND(AL2189=1,OR(Master_rankableSchools!$A$10="All",C2189=Master_rankableSchools!$A$10),OR(Master_rankableSchools!$D$10="All",D2189=Master_rankableSchools!$D$10)),1,0)</f>
        <v>0</v>
      </c>
      <c r="AU2189" s="105" t="str">
        <f>IF(AT2189=0,"",CHOOSE(MATCH(Master_rankableSchools!$G$10,{"Priority score","Economic need","Enrollment","Fresh miles","Nearby resources"},0),T2189,G2189,F2189,K2189,L2189))</f>
        <v/>
      </c>
      <c r="AV2189" s="105" t="str">
        <f>IF(AT2189=0,"",1+COUNTIFS($AT$2051:$AT$2550,1,$AU$2051:$AU$2550,IF(Master_rankableSchools!$J$10="Ascending","&lt;","&gt;")&amp;AU2189)+COUNTIFS($AT$2051:$AT$2550,1,$AU$2051:$AU$2550,AU2189,$W$2051:$W$2550,"&lt;"&amp;W2189))</f>
        <v/>
      </c>
    </row>
    <row r="2190" spans="1:48" ht="22" customHeight="1">
      <c r="A2190" s="1" t="str">
        <f t="shared" si="60"/>
        <v>3427</v>
      </c>
      <c r="B2190" s="1" t="str">
        <f t="shared" si="61"/>
        <v>Mastery Charter School at Wister</v>
      </c>
      <c r="C2190" s="1" t="str">
        <f t="shared" si="62"/>
        <v>Charter</v>
      </c>
      <c r="D2190" s="1" t="str">
        <f t="shared" si="63"/>
        <v>Elementary</v>
      </c>
      <c r="E2190" s="1" t="str">
        <f t="shared" si="64"/>
        <v>19144</v>
      </c>
      <c r="F2190" s="1">
        <f t="shared" si="65"/>
        <v>505</v>
      </c>
      <c r="G2190" s="1">
        <f t="shared" si="66"/>
        <v>0.998</v>
      </c>
      <c r="H2190" s="1" t="str">
        <f t="shared" si="67"/>
        <v>Yes</v>
      </c>
      <c r="I2190" s="1">
        <f>IF(OR(A2190="",COUNTIFS('Staff Review'!$A$8:$A$507,A2190)&lt;&gt;1),0,MATCH(A2190,'Staff Review'!$A$8:$A$507,0))</f>
        <v>194</v>
      </c>
      <c r="J2190" s="1" t="str">
        <f>IF(I2190=0,"No",IF(INDEX('Staff Review'!$C$8:$C$507,I2190)="Yes","Yes","No"))</f>
        <v>No</v>
      </c>
      <c r="K2190" s="1">
        <f ca="1">IF(AI2190="Yes",INDEX('Staff Review'!$D$8:$D$507,I2190),IF(AB2190=0,"",IF(COUNT(INDEX($C$1531:$C$2030,AB2190))=1,INDEX($C$1531:$C$2030,AB2190),"")))</f>
        <v>0.62541190004521929</v>
      </c>
      <c r="L2190" s="1">
        <f>IF(AJ2190="Yes",INDEX('Staff Review'!$F$8:$F$507,I2190),IF(AB2190=0,"",IF(COUNT(INDEX($G$1531:$G$2030,AB2190))=1,INDEX($G$1531:$G$2030,AB2190),"")))</f>
        <v>19</v>
      </c>
      <c r="M2190" s="1" t="str">
        <f t="shared" ca="1" si="68"/>
        <v>Listed</v>
      </c>
      <c r="N2190" s="1" t="str">
        <f t="shared" si="69"/>
        <v>Listed</v>
      </c>
      <c r="O2190" s="1">
        <f t="shared" si="70"/>
        <v>30</v>
      </c>
      <c r="P2190" s="1">
        <f t="shared" ca="1" si="71"/>
        <v>15</v>
      </c>
      <c r="Q2190" s="1">
        <f t="shared" si="72"/>
        <v>0</v>
      </c>
      <c r="R2190" s="1">
        <f t="shared" si="73"/>
        <v>4</v>
      </c>
      <c r="S2190" s="1">
        <f t="shared" ca="1" si="74"/>
        <v>49</v>
      </c>
      <c r="T2190" s="1">
        <f ca="1">IF(OR(COUNT(O2190:R2190)&lt;&gt;4,COUNT('Top 25'!$B$45:$E$45)&lt;&gt;4,MIN('Top 25'!$B$45:$E$45)&lt;0,SUM('Top 25'!$B$45:$E$45)&lt;=0),"",ROUND(85*(O2190/30*'Top 25'!$B$45+P2190/25*'Top 25'!$C$45+Q2190/25*'Top 25'!$D$45+R2190/5*'Top 25'!$E$45)/SUM('Top 25'!$B$45:$E$45),6))</f>
        <v>49</v>
      </c>
      <c r="U2190" s="1" t="str">
        <f t="shared" ca="1" si="75"/>
        <v>Listed</v>
      </c>
      <c r="V2190" s="1" t="str">
        <f ca="1">IF(A2190="","",IF(AK2190&lt;&gt;1,"Duplicate source ID",IF(COUNTIFS('Staff Review'!$A$8:$A$507,A2190)&gt;1,"Duplicate review ID",IF(H2190&lt;&gt;"Yes","Outside scope",IF(J2190="Yes","Already served",IF(NOT(ISNUMBER(T2190)),"Missing data","Candidate"))))))</f>
        <v>Candidate</v>
      </c>
      <c r="W2190" s="1">
        <f t="shared" ca="1" si="76"/>
        <v>47</v>
      </c>
      <c r="X2190" s="1">
        <f t="shared" ca="1" si="77"/>
        <v>46</v>
      </c>
      <c r="Y2190" s="1">
        <f ca="1">IF(AND(H2190="Yes",OR(LEN('School Search'!$B$5)=0,ISNUMBER(SEARCH('School Search'!$B$5,B2190&amp;" "&amp;E2190&amp;" "&amp;A2190))),OR('School Search'!$D$5="All",C2190='School Search'!$D$5),OR('School Search'!$G$5="All eligible",AND('School Search'!$G$5="Not marked served",J2190&lt;&gt;"Yes"),AND('School Search'!$G$5="Missing data",V2190="Missing data"),AND('School Search'!$G$5="Marked served",J2190="Yes"))),1,0)</f>
        <v>1</v>
      </c>
      <c r="Z2190" s="1">
        <f ca="1">IF(Y2190=0,"",COUNTIFS($Y$2051:$Y$2550,1,$AO$2051:$AO$2550,"&lt;"&amp;AO2190)+COUNTIFS($Y$2051:Y2190,1,$AO$2051:AO2190,AO2190))</f>
        <v>47</v>
      </c>
      <c r="AA2190" s="1" t="str">
        <f t="shared" ca="1" si="78"/>
        <v>100% economic need; 0.63 mi fresh access; 19 nearby resources</v>
      </c>
      <c r="AB2190" s="1">
        <f t="shared" si="79"/>
        <v>140</v>
      </c>
      <c r="AC2190" s="1" t="str">
        <f t="shared" si="80"/>
        <v>Chelten Market Inc</v>
      </c>
      <c r="AD2190" s="1" t="str">
        <f t="shared" si="81"/>
        <v>176-82 W Chelten Ave, Philadelphia, PA, 19144</v>
      </c>
      <c r="AE2190" s="1" t="str">
        <f t="shared" si="82"/>
        <v>67 E BRINGHURST ST</v>
      </c>
      <c r="AF2190" s="1">
        <f t="shared" si="83"/>
        <v>40.032881459999999</v>
      </c>
      <c r="AG2190" s="1">
        <f t="shared" si="84"/>
        <v>-75.16672063</v>
      </c>
      <c r="AH2190" s="1" t="str">
        <f>IF(I2190=0,"Not contacted",IF(INDEX('Staff Review'!$J$8:$J$507,I2190)="","Not contacted",INDEX('Staff Review'!$J$8:$J$507,I2190)))</f>
        <v>Not contacted</v>
      </c>
      <c r="AI2190" s="1" t="str">
        <f ca="1">IF(I2190=0,"No",IF(AND(COUNT(INDEX('Staff Review'!$D$8:$D$507,I2190))=1,INDEX('Staff Review'!$D$8:$D$507,I2190)&gt;=0,COUNT(INDEX('Staff Review'!$E$8:$E$507,I2190))=1,INDEX('Staff Review'!$E$8:$E$507,I2190)&gt;0,INDEX('Staff Review'!$E$8:$E$507,I2190)&lt;='Top 25'!$E$5,'Top 25'!$E$5-INDEX('Staff Review'!$E$8:$E$507,I2190)&lt;='Top 25'!$H$5,LEN(INDEX('Staff Review'!$H$8:$H$507,I2190))&gt;0),"Yes","No"))</f>
        <v>No</v>
      </c>
      <c r="AJ2190" s="1" t="str">
        <f>IF(I2190=0,"No",IF(COUNT(INDEX('Staff Review'!$F$8:$F$507,I2190))&lt;&gt;1,"No",IF(AND(INDEX('Staff Review'!$F$8:$F$507,I2190)&gt;=0,MOD(INDEX('Staff Review'!$F$8:$F$507,I2190),1)=0,COUNT(INDEX('Staff Review'!$G$8:$G$507,I2190))=1,INDEX('Staff Review'!$G$8:$G$507,I2190)&gt;0,INDEX('Staff Review'!$G$8:$G$507,I2190)&lt;='Top 25'!$E$5,'Top 25'!$E$5-INDEX('Staff Review'!$G$8:$G$507,I2190)&lt;='Top 25'!$H$5,LEN(INDEX('Staff Review'!$H$8:$H$507,I2190))&gt;0),"Yes","No")))</f>
        <v>No</v>
      </c>
      <c r="AK2190" s="1">
        <f t="shared" si="85"/>
        <v>1</v>
      </c>
      <c r="AL2190" s="1">
        <f t="shared" ca="1" si="86"/>
        <v>1</v>
      </c>
      <c r="AM2190" s="1">
        <f t="shared" si="87"/>
        <v>3427</v>
      </c>
      <c r="AN2190" s="1">
        <f t="shared" si="88"/>
        <v>140</v>
      </c>
      <c r="AO2190">
        <f t="shared" ca="1" si="89"/>
        <v>47</v>
      </c>
      <c r="AP2190" s="105">
        <f ca="1">IF(AND(AL2190=1,OR('Top 25'!$A$10="All",C2190='Top 25'!$A$10),OR('Top 25'!$D$10="All",D2190='Top 25'!$D$10)),1,0)</f>
        <v>0</v>
      </c>
      <c r="AQ2190" s="105" t="str">
        <f ca="1">IF(AP2190=0,"",CHOOSE(MATCH('Top 25'!$G$10,{"Priority score","Economic need","Enrollment","Fresh miles","Nearby resources"},0),T2190,G2190,F2190,K2190,L2190))</f>
        <v/>
      </c>
      <c r="AR2190" s="105" t="str">
        <f ca="1">IF(AP2190=0,"",1+COUNTIFS($AP$2051:$AP$2550,1,$AQ$2051:$AQ$2550,IF('Top 25'!$J$10="Ascending","&lt;","&gt;")&amp;AQ2190)+COUNTIFS($AP$2051:$AP$2550,1,$AQ$2051:$AQ$2550,AQ2190,$W$2051:$W$2550,"&lt;"&amp;W2190))</f>
        <v/>
      </c>
      <c r="AT2190" s="105">
        <f ca="1">IF(AND(AL2190=1,OR(Master_rankableSchools!$A$10="All",C2190=Master_rankableSchools!$A$10),OR(Master_rankableSchools!$D$10="All",D2190=Master_rankableSchools!$D$10)),1,0)</f>
        <v>1</v>
      </c>
      <c r="AU2190" s="105">
        <f ca="1">IF(AT2190=0,"",CHOOSE(MATCH(Master_rankableSchools!$G$10,{"Priority score","Economic need","Enrollment","Fresh miles","Nearby resources"},0),T2190,G2190,F2190,K2190,L2190))</f>
        <v>49</v>
      </c>
      <c r="AV2190" s="105">
        <f ca="1">IF(AT2190=0,"",1+COUNTIFS($AT$2051:$AT$2550,1,$AU$2051:$AU$2550,IF(Master_rankableSchools!$J$10="Ascending","&lt;","&gt;")&amp;AU2190)+COUNTIFS($AT$2051:$AT$2550,1,$AU$2051:$AU$2550,AU2190,$W$2051:$W$2550,"&lt;"&amp;W2190))</f>
        <v>47</v>
      </c>
    </row>
    <row r="2191" spans="1:48" ht="22" customHeight="1">
      <c r="A2191" s="1" t="str">
        <f t="shared" si="60"/>
        <v>3428</v>
      </c>
      <c r="B2191" s="1" t="str">
        <f t="shared" si="61"/>
        <v>Global Leadership Academy Charter School Southwest at Huey</v>
      </c>
      <c r="C2191" s="1" t="str">
        <f t="shared" si="62"/>
        <v>Charter</v>
      </c>
      <c r="D2191" s="1" t="str">
        <f t="shared" si="63"/>
        <v>Elementary-Middle</v>
      </c>
      <c r="E2191" s="1" t="str">
        <f t="shared" si="64"/>
        <v>19143</v>
      </c>
      <c r="F2191" s="1">
        <f t="shared" si="65"/>
        <v>611</v>
      </c>
      <c r="G2191" s="1">
        <f t="shared" si="66"/>
        <v>0.82499999999999996</v>
      </c>
      <c r="H2191" s="1" t="str">
        <f t="shared" si="67"/>
        <v>Yes</v>
      </c>
      <c r="I2191" s="1">
        <f>IF(OR(A2191="",COUNTIFS('Staff Review'!$A$8:$A$507,A2191)&lt;&gt;1),0,MATCH(A2191,'Staff Review'!$A$8:$A$507,0))</f>
        <v>101</v>
      </c>
      <c r="J2191" s="1" t="str">
        <f>IF(I2191=0,"No",IF(INDEX('Staff Review'!$C$8:$C$507,I2191)="Yes","Yes","No"))</f>
        <v>No</v>
      </c>
      <c r="K2191" s="1">
        <f ca="1">IF(AI2191="Yes",INDEX('Staff Review'!$D$8:$D$507,I2191),IF(AB2191=0,"",IF(COUNT(INDEX($C$1531:$C$2030,AB2191))=1,INDEX($C$1531:$C$2030,AB2191),"")))</f>
        <v>0.44433526700745068</v>
      </c>
      <c r="L2191" s="1">
        <f>IF(AJ2191="Yes",INDEX('Staff Review'!$F$8:$F$507,I2191),IF(AB2191=0,"",IF(COUNT(INDEX($G$1531:$G$2030,AB2191))=1,INDEX($G$1531:$G$2030,AB2191),"")))</f>
        <v>11</v>
      </c>
      <c r="M2191" s="1" t="str">
        <f t="shared" ca="1" si="68"/>
        <v>Listed</v>
      </c>
      <c r="N2191" s="1" t="str">
        <f t="shared" si="69"/>
        <v>Listed</v>
      </c>
      <c r="O2191" s="1">
        <f t="shared" si="70"/>
        <v>25</v>
      </c>
      <c r="P2191" s="1">
        <f t="shared" ca="1" si="71"/>
        <v>10</v>
      </c>
      <c r="Q2191" s="1">
        <f t="shared" si="72"/>
        <v>0</v>
      </c>
      <c r="R2191" s="1">
        <f t="shared" si="73"/>
        <v>4</v>
      </c>
      <c r="S2191" s="1">
        <f t="shared" ca="1" si="74"/>
        <v>39</v>
      </c>
      <c r="T2191" s="1">
        <f ca="1">IF(OR(COUNT(O2191:R2191)&lt;&gt;4,COUNT('Top 25'!$B$45:$E$45)&lt;&gt;4,MIN('Top 25'!$B$45:$E$45)&lt;0,SUM('Top 25'!$B$45:$E$45)&lt;=0),"",ROUND(85*(O2191/30*'Top 25'!$B$45+P2191/25*'Top 25'!$C$45+Q2191/25*'Top 25'!$D$45+R2191/5*'Top 25'!$E$45)/SUM('Top 25'!$B$45:$E$45),6))</f>
        <v>39</v>
      </c>
      <c r="U2191" s="1" t="str">
        <f t="shared" ca="1" si="75"/>
        <v>Listed</v>
      </c>
      <c r="V2191" s="1" t="str">
        <f ca="1">IF(A2191="","",IF(AK2191&lt;&gt;1,"Duplicate source ID",IF(COUNTIFS('Staff Review'!$A$8:$A$507,A2191)&gt;1,"Duplicate review ID",IF(H2191&lt;&gt;"Yes","Outside scope",IF(J2191="Yes","Already served",IF(NOT(ISNUMBER(T2191)),"Missing data","Candidate"))))))</f>
        <v>Candidate</v>
      </c>
      <c r="W2191" s="1">
        <f t="shared" ca="1" si="76"/>
        <v>156</v>
      </c>
      <c r="X2191" s="1">
        <f t="shared" ca="1" si="77"/>
        <v>148</v>
      </c>
      <c r="Y2191" s="1">
        <f ca="1">IF(AND(H2191="Yes",OR(LEN('School Search'!$B$5)=0,ISNUMBER(SEARCH('School Search'!$B$5,B2191&amp;" "&amp;E2191&amp;" "&amp;A2191))),OR('School Search'!$D$5="All",C2191='School Search'!$D$5),OR('School Search'!$G$5="All eligible",AND('School Search'!$G$5="Not marked served",J2191&lt;&gt;"Yes"),AND('School Search'!$G$5="Missing data",V2191="Missing data"),AND('School Search'!$G$5="Marked served",J2191="Yes"))),1,0)</f>
        <v>1</v>
      </c>
      <c r="Z2191" s="1">
        <f ca="1">IF(Y2191=0,"",COUNTIFS($Y$2051:$Y$2550,1,$AO$2051:$AO$2550,"&lt;"&amp;AO2191)+COUNTIFS($Y$2051:Y2191,1,$AO$2051:AO2191,AO2191))</f>
        <v>156</v>
      </c>
      <c r="AA2191" s="1" t="str">
        <f t="shared" ca="1" si="78"/>
        <v>83% economic need; 0.44 mi fresh access; 11 nearby resources</v>
      </c>
      <c r="AB2191" s="1">
        <f t="shared" si="79"/>
        <v>141</v>
      </c>
      <c r="AC2191" s="1" t="str">
        <f t="shared" si="80"/>
        <v>Afor Market Philadelphia Llc</v>
      </c>
      <c r="AD2191" s="1" t="str">
        <f t="shared" si="81"/>
        <v>5228 Market St, Philadelphia, PA, 19139</v>
      </c>
      <c r="AE2191" s="1" t="str">
        <f t="shared" si="82"/>
        <v>5200 PINE ST</v>
      </c>
      <c r="AF2191" s="1">
        <f t="shared" si="83"/>
        <v>39.953326910000001</v>
      </c>
      <c r="AG2191" s="1">
        <f t="shared" si="84"/>
        <v>-75.226858329999999</v>
      </c>
      <c r="AH2191" s="1" t="str">
        <f>IF(I2191=0,"Not contacted",IF(INDEX('Staff Review'!$J$8:$J$507,I2191)="","Not contacted",INDEX('Staff Review'!$J$8:$J$507,I2191)))</f>
        <v>Not contacted</v>
      </c>
      <c r="AI2191" s="1" t="str">
        <f ca="1">IF(I2191=0,"No",IF(AND(COUNT(INDEX('Staff Review'!$D$8:$D$507,I2191))=1,INDEX('Staff Review'!$D$8:$D$507,I2191)&gt;=0,COUNT(INDEX('Staff Review'!$E$8:$E$507,I2191))=1,INDEX('Staff Review'!$E$8:$E$507,I2191)&gt;0,INDEX('Staff Review'!$E$8:$E$507,I2191)&lt;='Top 25'!$E$5,'Top 25'!$E$5-INDEX('Staff Review'!$E$8:$E$507,I2191)&lt;='Top 25'!$H$5,LEN(INDEX('Staff Review'!$H$8:$H$507,I2191))&gt;0),"Yes","No"))</f>
        <v>No</v>
      </c>
      <c r="AJ2191" s="1" t="str">
        <f>IF(I2191=0,"No",IF(COUNT(INDEX('Staff Review'!$F$8:$F$507,I2191))&lt;&gt;1,"No",IF(AND(INDEX('Staff Review'!$F$8:$F$507,I2191)&gt;=0,MOD(INDEX('Staff Review'!$F$8:$F$507,I2191),1)=0,COUNT(INDEX('Staff Review'!$G$8:$G$507,I2191))=1,INDEX('Staff Review'!$G$8:$G$507,I2191)&gt;0,INDEX('Staff Review'!$G$8:$G$507,I2191)&lt;='Top 25'!$E$5,'Top 25'!$E$5-INDEX('Staff Review'!$G$8:$G$507,I2191)&lt;='Top 25'!$H$5,LEN(INDEX('Staff Review'!$H$8:$H$507,I2191))&gt;0),"Yes","No")))</f>
        <v>No</v>
      </c>
      <c r="AK2191" s="1">
        <f t="shared" si="85"/>
        <v>1</v>
      </c>
      <c r="AL2191" s="1">
        <f t="shared" ca="1" si="86"/>
        <v>1</v>
      </c>
      <c r="AM2191" s="1">
        <f t="shared" si="87"/>
        <v>3428</v>
      </c>
      <c r="AN2191" s="1">
        <f t="shared" si="88"/>
        <v>141</v>
      </c>
      <c r="AO2191">
        <f t="shared" ca="1" si="89"/>
        <v>156</v>
      </c>
      <c r="AP2191" s="105">
        <f ca="1">IF(AND(AL2191=1,OR('Top 25'!$A$10="All",C2191='Top 25'!$A$10),OR('Top 25'!$D$10="All",D2191='Top 25'!$D$10)),1,0)</f>
        <v>0</v>
      </c>
      <c r="AQ2191" s="105" t="str">
        <f ca="1">IF(AP2191=0,"",CHOOSE(MATCH('Top 25'!$G$10,{"Priority score","Economic need","Enrollment","Fresh miles","Nearby resources"},0),T2191,G2191,F2191,K2191,L2191))</f>
        <v/>
      </c>
      <c r="AR2191" s="105" t="str">
        <f ca="1">IF(AP2191=0,"",1+COUNTIFS($AP$2051:$AP$2550,1,$AQ$2051:$AQ$2550,IF('Top 25'!$J$10="Ascending","&lt;","&gt;")&amp;AQ2191)+COUNTIFS($AP$2051:$AP$2550,1,$AQ$2051:$AQ$2550,AQ2191,$W$2051:$W$2550,"&lt;"&amp;W2191))</f>
        <v/>
      </c>
      <c r="AT2191" s="105">
        <f ca="1">IF(AND(AL2191=1,OR(Master_rankableSchools!$A$10="All",C2191=Master_rankableSchools!$A$10),OR(Master_rankableSchools!$D$10="All",D2191=Master_rankableSchools!$D$10)),1,0)</f>
        <v>1</v>
      </c>
      <c r="AU2191" s="105">
        <f ca="1">IF(AT2191=0,"",CHOOSE(MATCH(Master_rankableSchools!$G$10,{"Priority score","Economic need","Enrollment","Fresh miles","Nearby resources"},0),T2191,G2191,F2191,K2191,L2191))</f>
        <v>39</v>
      </c>
      <c r="AV2191" s="105">
        <f ca="1">IF(AT2191=0,"",1+COUNTIFS($AT$2051:$AT$2550,1,$AU$2051:$AU$2550,IF(Master_rankableSchools!$J$10="Ascending","&lt;","&gt;")&amp;AU2191)+COUNTIFS($AT$2051:$AT$2550,1,$AU$2051:$AU$2550,AU2191,$W$2051:$W$2550,"&lt;"&amp;W2191))</f>
        <v>156</v>
      </c>
    </row>
    <row r="2192" spans="1:48" ht="22" customHeight="1">
      <c r="A2192" s="1" t="str">
        <f t="shared" si="60"/>
        <v>3436</v>
      </c>
      <c r="B2192" s="1" t="str">
        <f t="shared" si="61"/>
        <v>KIPP Octavius Catto Charter School</v>
      </c>
      <c r="C2192" s="1" t="str">
        <f t="shared" si="62"/>
        <v>Charter</v>
      </c>
      <c r="D2192" s="1" t="str">
        <f t="shared" si="63"/>
        <v>Elementary</v>
      </c>
      <c r="E2192" s="1" t="str">
        <f t="shared" si="64"/>
        <v>19139</v>
      </c>
      <c r="F2192" s="1">
        <f t="shared" si="65"/>
        <v>476</v>
      </c>
      <c r="G2192" s="1">
        <f t="shared" si="66"/>
        <v>0.5635</v>
      </c>
      <c r="H2192" s="1" t="str">
        <f t="shared" si="67"/>
        <v>No</v>
      </c>
      <c r="I2192" s="1">
        <f>IF(OR(A2192="",COUNTIFS('Staff Review'!$A$8:$A$507,A2192)&lt;&gt;1),0,MATCH(A2192,'Staff Review'!$A$8:$A$507,0))</f>
        <v>163</v>
      </c>
      <c r="J2192" s="1" t="str">
        <f>IF(I2192=0,"No",IF(INDEX('Staff Review'!$C$8:$C$507,I2192)="Yes","Yes","No"))</f>
        <v>No</v>
      </c>
      <c r="K2192" s="1">
        <f ca="1">IF(AI2192="Yes",INDEX('Staff Review'!$D$8:$D$507,I2192),IF(AB2192=0,"",IF(COUNT(INDEX($C$1531:$C$2030,AB2192))=1,INDEX($C$1531:$C$2030,AB2192),"")))</f>
        <v>8.8978563925790746E-2</v>
      </c>
      <c r="L2192" s="1">
        <f>IF(AJ2192="Yes",INDEX('Staff Review'!$F$8:$F$507,I2192),IF(AB2192=0,"",IF(COUNT(INDEX($G$1531:$G$2030,AB2192))=1,INDEX($G$1531:$G$2030,AB2192),"")))</f>
        <v>15</v>
      </c>
      <c r="M2192" s="1" t="str">
        <f t="shared" ca="1" si="68"/>
        <v>Listed</v>
      </c>
      <c r="N2192" s="1" t="str">
        <f t="shared" si="69"/>
        <v>Listed</v>
      </c>
      <c r="O2192" s="1">
        <f t="shared" si="70"/>
        <v>10</v>
      </c>
      <c r="P2192" s="1">
        <f t="shared" ca="1" si="71"/>
        <v>5</v>
      </c>
      <c r="Q2192" s="1">
        <f t="shared" si="72"/>
        <v>0</v>
      </c>
      <c r="R2192" s="1">
        <f t="shared" si="73"/>
        <v>3</v>
      </c>
      <c r="S2192" s="1">
        <f t="shared" ca="1" si="74"/>
        <v>18</v>
      </c>
      <c r="T2192" s="1">
        <f ca="1">IF(OR(COUNT(O2192:R2192)&lt;&gt;4,COUNT('Top 25'!$B$45:$E$45)&lt;&gt;4,MIN('Top 25'!$B$45:$E$45)&lt;0,SUM('Top 25'!$B$45:$E$45)&lt;=0),"",ROUND(85*(O2192/30*'Top 25'!$B$45+P2192/25*'Top 25'!$C$45+Q2192/25*'Top 25'!$D$45+R2192/5*'Top 25'!$E$45)/SUM('Top 25'!$B$45:$E$45),6))</f>
        <v>18</v>
      </c>
      <c r="U2192" s="1" t="str">
        <f t="shared" ca="1" si="75"/>
        <v>Listed</v>
      </c>
      <c r="V2192" s="1" t="str">
        <f>IF(A2192="","",IF(AK2192&lt;&gt;1,"Duplicate source ID",IF(COUNTIFS('Staff Review'!$A$8:$A$507,A2192)&gt;1,"Duplicate review ID",IF(H2192&lt;&gt;"Yes","Outside scope",IF(J2192="Yes","Already served",IF(NOT(ISNUMBER(T2192)),"Missing data","Candidate"))))))</f>
        <v>Outside scope</v>
      </c>
      <c r="W2192" s="1" t="str">
        <f t="shared" si="76"/>
        <v/>
      </c>
      <c r="X2192" s="1" t="str">
        <f t="shared" si="77"/>
        <v/>
      </c>
      <c r="Y2192" s="1">
        <f>IF(AND(H2192="Yes",OR(LEN('School Search'!$B$5)=0,ISNUMBER(SEARCH('School Search'!$B$5,B2192&amp;" "&amp;E2192&amp;" "&amp;A2192))),OR('School Search'!$D$5="All",C2192='School Search'!$D$5),OR('School Search'!$G$5="All eligible",AND('School Search'!$G$5="Not marked served",J2192&lt;&gt;"Yes"),AND('School Search'!$G$5="Missing data",V2192="Missing data"),AND('School Search'!$G$5="Marked served",J2192="Yes"))),1,0)</f>
        <v>0</v>
      </c>
      <c r="Z2192" s="1" t="str">
        <f>IF(Y2192=0,"",COUNTIFS($Y$2051:$Y$2550,1,$AO$2051:$AO$2550,"&lt;"&amp;AO2192)+COUNTIFS($Y$2051:Y2192,1,$AO$2051:AO2192,AO2192))</f>
        <v/>
      </c>
      <c r="AA2192" s="1" t="str">
        <f t="shared" ca="1" si="78"/>
        <v>56% economic need; 0.09 mi fresh access; 15 nearby resources</v>
      </c>
      <c r="AB2192" s="1">
        <f t="shared" si="79"/>
        <v>142</v>
      </c>
      <c r="AC2192" s="1" t="str">
        <f t="shared" si="80"/>
        <v>ALDI 54</v>
      </c>
      <c r="AD2192" s="1" t="str">
        <f t="shared" si="81"/>
        <v>4421 Market St, Philadelphia, PA, 19104</v>
      </c>
      <c r="AE2192" s="1" t="str">
        <f t="shared" si="82"/>
        <v>4601 MARKET ST</v>
      </c>
      <c r="AF2192" s="1">
        <f t="shared" si="83"/>
        <v>39.959724000000001</v>
      </c>
      <c r="AG2192" s="1">
        <f t="shared" si="84"/>
        <v>-75.214591049999996</v>
      </c>
      <c r="AH2192" s="1" t="str">
        <f>IF(I2192=0,"Not contacted",IF(INDEX('Staff Review'!$J$8:$J$507,I2192)="","Not contacted",INDEX('Staff Review'!$J$8:$J$507,I2192)))</f>
        <v>Not contacted</v>
      </c>
      <c r="AI2192" s="1" t="str">
        <f ca="1">IF(I2192=0,"No",IF(AND(COUNT(INDEX('Staff Review'!$D$8:$D$507,I2192))=1,INDEX('Staff Review'!$D$8:$D$507,I2192)&gt;=0,COUNT(INDEX('Staff Review'!$E$8:$E$507,I2192))=1,INDEX('Staff Review'!$E$8:$E$507,I2192)&gt;0,INDEX('Staff Review'!$E$8:$E$507,I2192)&lt;='Top 25'!$E$5,'Top 25'!$E$5-INDEX('Staff Review'!$E$8:$E$507,I2192)&lt;='Top 25'!$H$5,LEN(INDEX('Staff Review'!$H$8:$H$507,I2192))&gt;0),"Yes","No"))</f>
        <v>No</v>
      </c>
      <c r="AJ2192" s="1" t="str">
        <f>IF(I2192=0,"No",IF(COUNT(INDEX('Staff Review'!$F$8:$F$507,I2192))&lt;&gt;1,"No",IF(AND(INDEX('Staff Review'!$F$8:$F$507,I2192)&gt;=0,MOD(INDEX('Staff Review'!$F$8:$F$507,I2192),1)=0,COUNT(INDEX('Staff Review'!$G$8:$G$507,I2192))=1,INDEX('Staff Review'!$G$8:$G$507,I2192)&gt;0,INDEX('Staff Review'!$G$8:$G$507,I2192)&lt;='Top 25'!$E$5,'Top 25'!$E$5-INDEX('Staff Review'!$G$8:$G$507,I2192)&lt;='Top 25'!$H$5,LEN(INDEX('Staff Review'!$H$8:$H$507,I2192))&gt;0),"Yes","No")))</f>
        <v>No</v>
      </c>
      <c r="AK2192" s="1">
        <f t="shared" si="85"/>
        <v>1</v>
      </c>
      <c r="AL2192" s="1">
        <f t="shared" si="86"/>
        <v>0</v>
      </c>
      <c r="AM2192" s="1">
        <f t="shared" si="87"/>
        <v>3436</v>
      </c>
      <c r="AN2192" s="1">
        <f t="shared" si="88"/>
        <v>142</v>
      </c>
      <c r="AO2192">
        <f t="shared" si="89"/>
        <v>13436</v>
      </c>
      <c r="AP2192" s="105">
        <f>IF(AND(AL2192=1,OR('Top 25'!$A$10="All",C2192='Top 25'!$A$10),OR('Top 25'!$D$10="All",D2192='Top 25'!$D$10)),1,0)</f>
        <v>0</v>
      </c>
      <c r="AQ2192" s="105" t="str">
        <f>IF(AP2192=0,"",CHOOSE(MATCH('Top 25'!$G$10,{"Priority score","Economic need","Enrollment","Fresh miles","Nearby resources"},0),T2192,G2192,F2192,K2192,L2192))</f>
        <v/>
      </c>
      <c r="AR2192" s="105" t="str">
        <f>IF(AP2192=0,"",1+COUNTIFS($AP$2051:$AP$2550,1,$AQ$2051:$AQ$2550,IF('Top 25'!$J$10="Ascending","&lt;","&gt;")&amp;AQ2192)+COUNTIFS($AP$2051:$AP$2550,1,$AQ$2051:$AQ$2550,AQ2192,$W$2051:$W$2550,"&lt;"&amp;W2192))</f>
        <v/>
      </c>
      <c r="AT2192" s="105">
        <f>IF(AND(AL2192=1,OR(Master_rankableSchools!$A$10="All",C2192=Master_rankableSchools!$A$10),OR(Master_rankableSchools!$D$10="All",D2192=Master_rankableSchools!$D$10)),1,0)</f>
        <v>0</v>
      </c>
      <c r="AU2192" s="105" t="str">
        <f>IF(AT2192=0,"",CHOOSE(MATCH(Master_rankableSchools!$G$10,{"Priority score","Economic need","Enrollment","Fresh miles","Nearby resources"},0),T2192,G2192,F2192,K2192,L2192))</f>
        <v/>
      </c>
      <c r="AV2192" s="105" t="str">
        <f>IF(AT2192=0,"",1+COUNTIFS($AT$2051:$AT$2550,1,$AU$2051:$AU$2550,IF(Master_rankableSchools!$J$10="Ascending","&lt;","&gt;")&amp;AU2192)+COUNTIFS($AT$2051:$AT$2550,1,$AU$2051:$AU$2550,AU2192,$W$2051:$W$2550,"&lt;"&amp;W2192))</f>
        <v/>
      </c>
    </row>
    <row r="2193" spans="1:48" ht="22" customHeight="1">
      <c r="A2193" s="1" t="str">
        <f t="shared" si="60"/>
        <v>3437</v>
      </c>
      <c r="B2193" s="1" t="str">
        <f t="shared" si="61"/>
        <v>KIPP North Philadelphia Charter School</v>
      </c>
      <c r="C2193" s="1" t="str">
        <f t="shared" si="62"/>
        <v>Charter</v>
      </c>
      <c r="D2193" s="1" t="str">
        <f t="shared" si="63"/>
        <v>Elementary</v>
      </c>
      <c r="E2193" s="1" t="str">
        <f t="shared" si="64"/>
        <v>19132</v>
      </c>
      <c r="F2193" s="1">
        <f t="shared" si="65"/>
        <v>705</v>
      </c>
      <c r="G2193" s="1">
        <f t="shared" si="66"/>
        <v>0.59040000000000004</v>
      </c>
      <c r="H2193" s="1" t="str">
        <f t="shared" si="67"/>
        <v>Yes</v>
      </c>
      <c r="I2193" s="1">
        <f>IF(OR(A2193="",COUNTIFS('Staff Review'!$A$8:$A$507,A2193)&lt;&gt;1),0,MATCH(A2193,'Staff Review'!$A$8:$A$507,0))</f>
        <v>162</v>
      </c>
      <c r="J2193" s="1" t="str">
        <f>IF(I2193=0,"No",IF(INDEX('Staff Review'!$C$8:$C$507,I2193)="Yes","Yes","No"))</f>
        <v>No</v>
      </c>
      <c r="K2193" s="1">
        <f ca="1">IF(AI2193="Yes",INDEX('Staff Review'!$D$8:$D$507,I2193),IF(AB2193=0,"",IF(COUNT(INDEX($C$1531:$C$2030,AB2193))=1,INDEX($C$1531:$C$2030,AB2193),"")))</f>
        <v>0.47647430656461814</v>
      </c>
      <c r="L2193" s="1">
        <f>IF(AJ2193="Yes",INDEX('Staff Review'!$F$8:$F$507,I2193),IF(AB2193=0,"",IF(COUNT(INDEX($G$1531:$G$2030,AB2193))=1,INDEX($G$1531:$G$2030,AB2193),"")))</f>
        <v>16</v>
      </c>
      <c r="M2193" s="1" t="str">
        <f t="shared" ca="1" si="68"/>
        <v>Listed</v>
      </c>
      <c r="N2193" s="1" t="str">
        <f t="shared" si="69"/>
        <v>Listed</v>
      </c>
      <c r="O2193" s="1">
        <f t="shared" si="70"/>
        <v>10</v>
      </c>
      <c r="P2193" s="1">
        <f t="shared" ca="1" si="71"/>
        <v>10</v>
      </c>
      <c r="Q2193" s="1">
        <f t="shared" si="72"/>
        <v>0</v>
      </c>
      <c r="R2193" s="1">
        <f t="shared" si="73"/>
        <v>5</v>
      </c>
      <c r="S2193" s="1">
        <f t="shared" ca="1" si="74"/>
        <v>25</v>
      </c>
      <c r="T2193" s="1">
        <f ca="1">IF(OR(COUNT(O2193:R2193)&lt;&gt;4,COUNT('Top 25'!$B$45:$E$45)&lt;&gt;4,MIN('Top 25'!$B$45:$E$45)&lt;0,SUM('Top 25'!$B$45:$E$45)&lt;=0),"",ROUND(85*(O2193/30*'Top 25'!$B$45+P2193/25*'Top 25'!$C$45+Q2193/25*'Top 25'!$D$45+R2193/5*'Top 25'!$E$45)/SUM('Top 25'!$B$45:$E$45),6))</f>
        <v>25</v>
      </c>
      <c r="U2193" s="1" t="str">
        <f t="shared" ca="1" si="75"/>
        <v>Listed</v>
      </c>
      <c r="V2193" s="1" t="str">
        <f ca="1">IF(A2193="","",IF(AK2193&lt;&gt;1,"Duplicate source ID",IF(COUNTIFS('Staff Review'!$A$8:$A$507,A2193)&gt;1,"Duplicate review ID",IF(H2193&lt;&gt;"Yes","Outside scope",IF(J2193="Yes","Already served",IF(NOT(ISNUMBER(T2193)),"Missing data","Candidate"))))))</f>
        <v>Candidate</v>
      </c>
      <c r="W2193" s="1">
        <f t="shared" ca="1" si="76"/>
        <v>271</v>
      </c>
      <c r="X2193" s="1">
        <f t="shared" ca="1" si="77"/>
        <v>269</v>
      </c>
      <c r="Y2193" s="1">
        <f ca="1">IF(AND(H2193="Yes",OR(LEN('School Search'!$B$5)=0,ISNUMBER(SEARCH('School Search'!$B$5,B2193&amp;" "&amp;E2193&amp;" "&amp;A2193))),OR('School Search'!$D$5="All",C2193='School Search'!$D$5),OR('School Search'!$G$5="All eligible",AND('School Search'!$G$5="Not marked served",J2193&lt;&gt;"Yes"),AND('School Search'!$G$5="Missing data",V2193="Missing data"),AND('School Search'!$G$5="Marked served",J2193="Yes"))),1,0)</f>
        <v>1</v>
      </c>
      <c r="Z2193" s="1">
        <f ca="1">IF(Y2193=0,"",COUNTIFS($Y$2051:$Y$2550,1,$AO$2051:$AO$2550,"&lt;"&amp;AO2193)+COUNTIFS($Y$2051:Y2193,1,$AO$2051:AO2193,AO2193))</f>
        <v>271</v>
      </c>
      <c r="AA2193" s="1" t="str">
        <f t="shared" ca="1" si="78"/>
        <v>59% economic need; 0.48 mi fresh access; 16 nearby resources</v>
      </c>
      <c r="AB2193" s="1">
        <f t="shared" si="79"/>
        <v>143</v>
      </c>
      <c r="AC2193" s="1" t="str">
        <f t="shared" si="80"/>
        <v>Save-A-Lot 60142</v>
      </c>
      <c r="AD2193" s="1" t="str">
        <f t="shared" si="81"/>
        <v>2101 W Lehigh Ave, Philadelphia, PA, 19132</v>
      </c>
      <c r="AE2193" s="1" t="str">
        <f t="shared" si="82"/>
        <v>2539 N 16TH ST</v>
      </c>
      <c r="AF2193" s="1">
        <f t="shared" si="83"/>
        <v>39.991930000000004</v>
      </c>
      <c r="AG2193" s="1">
        <f t="shared" si="84"/>
        <v>-75.158212000000006</v>
      </c>
      <c r="AH2193" s="1" t="str">
        <f>IF(I2193=0,"Not contacted",IF(INDEX('Staff Review'!$J$8:$J$507,I2193)="","Not contacted",INDEX('Staff Review'!$J$8:$J$507,I2193)))</f>
        <v>Not contacted</v>
      </c>
      <c r="AI2193" s="1" t="str">
        <f ca="1">IF(I2193=0,"No",IF(AND(COUNT(INDEX('Staff Review'!$D$8:$D$507,I2193))=1,INDEX('Staff Review'!$D$8:$D$507,I2193)&gt;=0,COUNT(INDEX('Staff Review'!$E$8:$E$507,I2193))=1,INDEX('Staff Review'!$E$8:$E$507,I2193)&gt;0,INDEX('Staff Review'!$E$8:$E$507,I2193)&lt;='Top 25'!$E$5,'Top 25'!$E$5-INDEX('Staff Review'!$E$8:$E$507,I2193)&lt;='Top 25'!$H$5,LEN(INDEX('Staff Review'!$H$8:$H$507,I2193))&gt;0),"Yes","No"))</f>
        <v>No</v>
      </c>
      <c r="AJ2193" s="1" t="str">
        <f>IF(I2193=0,"No",IF(COUNT(INDEX('Staff Review'!$F$8:$F$507,I2193))&lt;&gt;1,"No",IF(AND(INDEX('Staff Review'!$F$8:$F$507,I2193)&gt;=0,MOD(INDEX('Staff Review'!$F$8:$F$507,I2193),1)=0,COUNT(INDEX('Staff Review'!$G$8:$G$507,I2193))=1,INDEX('Staff Review'!$G$8:$G$507,I2193)&gt;0,INDEX('Staff Review'!$G$8:$G$507,I2193)&lt;='Top 25'!$E$5,'Top 25'!$E$5-INDEX('Staff Review'!$G$8:$G$507,I2193)&lt;='Top 25'!$H$5,LEN(INDEX('Staff Review'!$H$8:$H$507,I2193))&gt;0),"Yes","No")))</f>
        <v>No</v>
      </c>
      <c r="AK2193" s="1">
        <f t="shared" si="85"/>
        <v>1</v>
      </c>
      <c r="AL2193" s="1">
        <f t="shared" ca="1" si="86"/>
        <v>1</v>
      </c>
      <c r="AM2193" s="1">
        <f t="shared" si="87"/>
        <v>3437</v>
      </c>
      <c r="AN2193" s="1">
        <f t="shared" si="88"/>
        <v>143</v>
      </c>
      <c r="AO2193">
        <f t="shared" ca="1" si="89"/>
        <v>271</v>
      </c>
      <c r="AP2193" s="105">
        <f ca="1">IF(AND(AL2193=1,OR('Top 25'!$A$10="All",C2193='Top 25'!$A$10),OR('Top 25'!$D$10="All",D2193='Top 25'!$D$10)),1,0)</f>
        <v>0</v>
      </c>
      <c r="AQ2193" s="105" t="str">
        <f ca="1">IF(AP2193=0,"",CHOOSE(MATCH('Top 25'!$G$10,{"Priority score","Economic need","Enrollment","Fresh miles","Nearby resources"},0),T2193,G2193,F2193,K2193,L2193))</f>
        <v/>
      </c>
      <c r="AR2193" s="105" t="str">
        <f ca="1">IF(AP2193=0,"",1+COUNTIFS($AP$2051:$AP$2550,1,$AQ$2051:$AQ$2550,IF('Top 25'!$J$10="Ascending","&lt;","&gt;")&amp;AQ2193)+COUNTIFS($AP$2051:$AP$2550,1,$AQ$2051:$AQ$2550,AQ2193,$W$2051:$W$2550,"&lt;"&amp;W2193))</f>
        <v/>
      </c>
      <c r="AT2193" s="105">
        <f ca="1">IF(AND(AL2193=1,OR(Master_rankableSchools!$A$10="All",C2193=Master_rankableSchools!$A$10),OR(Master_rankableSchools!$D$10="All",D2193=Master_rankableSchools!$D$10)),1,0)</f>
        <v>1</v>
      </c>
      <c r="AU2193" s="105">
        <f ca="1">IF(AT2193=0,"",CHOOSE(MATCH(Master_rankableSchools!$G$10,{"Priority score","Economic need","Enrollment","Fresh miles","Nearby resources"},0),T2193,G2193,F2193,K2193,L2193))</f>
        <v>25</v>
      </c>
      <c r="AV2193" s="105">
        <f ca="1">IF(AT2193=0,"",1+COUNTIFS($AT$2051:$AT$2550,1,$AU$2051:$AU$2550,IF(Master_rankableSchools!$J$10="Ascending","&lt;","&gt;")&amp;AU2193)+COUNTIFS($AT$2051:$AT$2550,1,$AU$2051:$AU$2550,AU2193,$W$2051:$W$2550,"&lt;"&amp;W2193))</f>
        <v>271</v>
      </c>
    </row>
    <row r="2194" spans="1:48" ht="22" customHeight="1">
      <c r="A2194" s="1" t="str">
        <f t="shared" si="60"/>
        <v>3438</v>
      </c>
      <c r="B2194" s="1" t="str">
        <f t="shared" si="61"/>
        <v>Deep Roots Charter School</v>
      </c>
      <c r="C2194" s="1" t="str">
        <f t="shared" si="62"/>
        <v>Charter</v>
      </c>
      <c r="D2194" s="1" t="str">
        <f t="shared" si="63"/>
        <v>Elementary</v>
      </c>
      <c r="E2194" s="1" t="str">
        <f t="shared" si="64"/>
        <v>19134</v>
      </c>
      <c r="F2194" s="1">
        <f t="shared" si="65"/>
        <v>343</v>
      </c>
      <c r="G2194" s="1">
        <f t="shared" si="66"/>
        <v>0.90739999999999998</v>
      </c>
      <c r="H2194" s="1" t="str">
        <f t="shared" si="67"/>
        <v>Yes</v>
      </c>
      <c r="I2194" s="1">
        <f>IF(OR(A2194="",COUNTIFS('Staff Review'!$A$8:$A$507,A2194)&lt;&gt;1),0,MATCH(A2194,'Staff Review'!$A$8:$A$507,0))</f>
        <v>50</v>
      </c>
      <c r="J2194" s="1" t="str">
        <f>IF(I2194=0,"No",IF(INDEX('Staff Review'!$C$8:$C$507,I2194)="Yes","Yes","No"))</f>
        <v>No</v>
      </c>
      <c r="K2194" s="1">
        <f ca="1">IF(AI2194="Yes",INDEX('Staff Review'!$D$8:$D$507,I2194),IF(AB2194=0,"",IF(COUNT(INDEX($C$1531:$C$2030,AB2194))=1,INDEX($C$1531:$C$2030,AB2194),"")))</f>
        <v>0.36937979163708123</v>
      </c>
      <c r="L2194" s="1">
        <f>IF(AJ2194="Yes",INDEX('Staff Review'!$F$8:$F$507,I2194),IF(AB2194=0,"",IF(COUNT(INDEX($G$1531:$G$2030,AB2194))=1,INDEX($G$1531:$G$2030,AB2194),"")))</f>
        <v>7</v>
      </c>
      <c r="M2194" s="1" t="str">
        <f t="shared" ca="1" si="68"/>
        <v>Listed</v>
      </c>
      <c r="N2194" s="1" t="str">
        <f t="shared" si="69"/>
        <v>Listed</v>
      </c>
      <c r="O2194" s="1">
        <f t="shared" si="70"/>
        <v>30</v>
      </c>
      <c r="P2194" s="1">
        <f t="shared" ca="1" si="71"/>
        <v>10</v>
      </c>
      <c r="Q2194" s="1">
        <f t="shared" si="72"/>
        <v>0</v>
      </c>
      <c r="R2194" s="1">
        <f t="shared" si="73"/>
        <v>2</v>
      </c>
      <c r="S2194" s="1">
        <f t="shared" ca="1" si="74"/>
        <v>42</v>
      </c>
      <c r="T2194" s="1">
        <f ca="1">IF(OR(COUNT(O2194:R2194)&lt;&gt;4,COUNT('Top 25'!$B$45:$E$45)&lt;&gt;4,MIN('Top 25'!$B$45:$E$45)&lt;0,SUM('Top 25'!$B$45:$E$45)&lt;=0),"",ROUND(85*(O2194/30*'Top 25'!$B$45+P2194/25*'Top 25'!$C$45+Q2194/25*'Top 25'!$D$45+R2194/5*'Top 25'!$E$45)/SUM('Top 25'!$B$45:$E$45),6))</f>
        <v>42</v>
      </c>
      <c r="U2194" s="1" t="str">
        <f t="shared" ca="1" si="75"/>
        <v>Listed</v>
      </c>
      <c r="V2194" s="1" t="str">
        <f ca="1">IF(A2194="","",IF(AK2194&lt;&gt;1,"Duplicate source ID",IF(COUNTIFS('Staff Review'!$A$8:$A$507,A2194)&gt;1,"Duplicate review ID",IF(H2194&lt;&gt;"Yes","Outside scope",IF(J2194="Yes","Already served",IF(NOT(ISNUMBER(T2194)),"Missing data","Candidate"))))))</f>
        <v>Candidate</v>
      </c>
      <c r="W2194" s="1">
        <f t="shared" ca="1" si="76"/>
        <v>108</v>
      </c>
      <c r="X2194" s="1">
        <f t="shared" ca="1" si="77"/>
        <v>101</v>
      </c>
      <c r="Y2194" s="1">
        <f ca="1">IF(AND(H2194="Yes",OR(LEN('School Search'!$B$5)=0,ISNUMBER(SEARCH('School Search'!$B$5,B2194&amp;" "&amp;E2194&amp;" "&amp;A2194))),OR('School Search'!$D$5="All",C2194='School Search'!$D$5),OR('School Search'!$G$5="All eligible",AND('School Search'!$G$5="Not marked served",J2194&lt;&gt;"Yes"),AND('School Search'!$G$5="Missing data",V2194="Missing data"),AND('School Search'!$G$5="Marked served",J2194="Yes"))),1,0)</f>
        <v>1</v>
      </c>
      <c r="Z2194" s="1">
        <f ca="1">IF(Y2194=0,"",COUNTIFS($Y$2051:$Y$2550,1,$AO$2051:$AO$2550,"&lt;"&amp;AO2194)+COUNTIFS($Y$2051:Y2194,1,$AO$2051:AO2194,AO2194))</f>
        <v>108</v>
      </c>
      <c r="AA2194" s="1" t="str">
        <f t="shared" ca="1" si="78"/>
        <v>91% economic need; 0.37 mi fresh access; 7 nearby resources</v>
      </c>
      <c r="AB2194" s="1">
        <f t="shared" si="79"/>
        <v>144</v>
      </c>
      <c r="AC2194" s="1" t="str">
        <f t="shared" si="80"/>
        <v>ALDI 60205</v>
      </c>
      <c r="AD2194" s="1" t="str">
        <f t="shared" si="81"/>
        <v>3500 Aramingo Ave, Philadelphia, PA, 19134</v>
      </c>
      <c r="AE2194" s="1" t="str">
        <f t="shared" si="82"/>
        <v>3556 FRANKFORD AVE</v>
      </c>
      <c r="AF2194" s="1">
        <f t="shared" si="83"/>
        <v>39.998066000000001</v>
      </c>
      <c r="AG2194" s="1">
        <f t="shared" si="84"/>
        <v>-75.101664</v>
      </c>
      <c r="AH2194" s="1" t="str">
        <f>IF(I2194=0,"Not contacted",IF(INDEX('Staff Review'!$J$8:$J$507,I2194)="","Not contacted",INDEX('Staff Review'!$J$8:$J$507,I2194)))</f>
        <v>Not contacted</v>
      </c>
      <c r="AI2194" s="1" t="str">
        <f ca="1">IF(I2194=0,"No",IF(AND(COUNT(INDEX('Staff Review'!$D$8:$D$507,I2194))=1,INDEX('Staff Review'!$D$8:$D$507,I2194)&gt;=0,COUNT(INDEX('Staff Review'!$E$8:$E$507,I2194))=1,INDEX('Staff Review'!$E$8:$E$507,I2194)&gt;0,INDEX('Staff Review'!$E$8:$E$507,I2194)&lt;='Top 25'!$E$5,'Top 25'!$E$5-INDEX('Staff Review'!$E$8:$E$507,I2194)&lt;='Top 25'!$H$5,LEN(INDEX('Staff Review'!$H$8:$H$507,I2194))&gt;0),"Yes","No"))</f>
        <v>No</v>
      </c>
      <c r="AJ2194" s="1" t="str">
        <f>IF(I2194=0,"No",IF(COUNT(INDEX('Staff Review'!$F$8:$F$507,I2194))&lt;&gt;1,"No",IF(AND(INDEX('Staff Review'!$F$8:$F$507,I2194)&gt;=0,MOD(INDEX('Staff Review'!$F$8:$F$507,I2194),1)=0,COUNT(INDEX('Staff Review'!$G$8:$G$507,I2194))=1,INDEX('Staff Review'!$G$8:$G$507,I2194)&gt;0,INDEX('Staff Review'!$G$8:$G$507,I2194)&lt;='Top 25'!$E$5,'Top 25'!$E$5-INDEX('Staff Review'!$G$8:$G$507,I2194)&lt;='Top 25'!$H$5,LEN(INDEX('Staff Review'!$H$8:$H$507,I2194))&gt;0),"Yes","No")))</f>
        <v>No</v>
      </c>
      <c r="AK2194" s="1">
        <f t="shared" si="85"/>
        <v>1</v>
      </c>
      <c r="AL2194" s="1">
        <f t="shared" ca="1" si="86"/>
        <v>1</v>
      </c>
      <c r="AM2194" s="1">
        <f t="shared" si="87"/>
        <v>3438</v>
      </c>
      <c r="AN2194" s="1">
        <f t="shared" si="88"/>
        <v>144</v>
      </c>
      <c r="AO2194">
        <f t="shared" ca="1" si="89"/>
        <v>108</v>
      </c>
      <c r="AP2194" s="105">
        <f ca="1">IF(AND(AL2194=1,OR('Top 25'!$A$10="All",C2194='Top 25'!$A$10),OR('Top 25'!$D$10="All",D2194='Top 25'!$D$10)),1,0)</f>
        <v>0</v>
      </c>
      <c r="AQ2194" s="105" t="str">
        <f ca="1">IF(AP2194=0,"",CHOOSE(MATCH('Top 25'!$G$10,{"Priority score","Economic need","Enrollment","Fresh miles","Nearby resources"},0),T2194,G2194,F2194,K2194,L2194))</f>
        <v/>
      </c>
      <c r="AR2194" s="105" t="str">
        <f ca="1">IF(AP2194=0,"",1+COUNTIFS($AP$2051:$AP$2550,1,$AQ$2051:$AQ$2550,IF('Top 25'!$J$10="Ascending","&lt;","&gt;")&amp;AQ2194)+COUNTIFS($AP$2051:$AP$2550,1,$AQ$2051:$AQ$2550,AQ2194,$W$2051:$W$2550,"&lt;"&amp;W2194))</f>
        <v/>
      </c>
      <c r="AT2194" s="105">
        <f ca="1">IF(AND(AL2194=1,OR(Master_rankableSchools!$A$10="All",C2194=Master_rankableSchools!$A$10),OR(Master_rankableSchools!$D$10="All",D2194=Master_rankableSchools!$D$10)),1,0)</f>
        <v>1</v>
      </c>
      <c r="AU2194" s="105">
        <f ca="1">IF(AT2194=0,"",CHOOSE(MATCH(Master_rankableSchools!$G$10,{"Priority score","Economic need","Enrollment","Fresh miles","Nearby resources"},0),T2194,G2194,F2194,K2194,L2194))</f>
        <v>42</v>
      </c>
      <c r="AV2194" s="105">
        <f ca="1">IF(AT2194=0,"",1+COUNTIFS($AT$2051:$AT$2550,1,$AU$2051:$AU$2550,IF(Master_rankableSchools!$J$10="Ascending","&lt;","&gt;")&amp;AU2194)+COUNTIFS($AT$2051:$AT$2550,1,$AU$2051:$AU$2550,AU2194,$W$2051:$W$2550,"&lt;"&amp;W2194))</f>
        <v>108</v>
      </c>
    </row>
    <row r="2195" spans="1:48" ht="22" customHeight="1">
      <c r="A2195" s="1" t="str">
        <f t="shared" si="60"/>
        <v>3439</v>
      </c>
      <c r="B2195" s="1" t="str">
        <f t="shared" si="61"/>
        <v>Mastery Prep Elementary Charter School</v>
      </c>
      <c r="C2195" s="1" t="str">
        <f t="shared" si="62"/>
        <v>Charter</v>
      </c>
      <c r="D2195" s="1" t="str">
        <f t="shared" si="63"/>
        <v>Elementary</v>
      </c>
      <c r="E2195" s="1" t="str">
        <f t="shared" si="64"/>
        <v>19140</v>
      </c>
      <c r="F2195" s="1">
        <f t="shared" si="65"/>
        <v>602</v>
      </c>
      <c r="G2195" s="1">
        <f t="shared" si="66"/>
        <v>0.91520000000000001</v>
      </c>
      <c r="H2195" s="1" t="str">
        <f t="shared" si="67"/>
        <v>Yes</v>
      </c>
      <c r="I2195" s="1">
        <f>IF(OR(A2195="",COUNTIFS('Staff Review'!$A$8:$A$507,A2195)&lt;&gt;1),0,MATCH(A2195,'Staff Review'!$A$8:$A$507,0))</f>
        <v>195</v>
      </c>
      <c r="J2195" s="1" t="str">
        <f>IF(I2195=0,"No",IF(INDEX('Staff Review'!$C$8:$C$507,I2195)="Yes","Yes","No"))</f>
        <v>No</v>
      </c>
      <c r="K2195" s="1">
        <f ca="1">IF(AI2195="Yes",INDEX('Staff Review'!$D$8:$D$507,I2195),IF(AB2195=0,"",IF(COUNT(INDEX($C$1531:$C$2030,AB2195))=1,INDEX($C$1531:$C$2030,AB2195),"")))</f>
        <v>0.65998673866220969</v>
      </c>
      <c r="L2195" s="1">
        <f>IF(AJ2195="Yes",INDEX('Staff Review'!$F$8:$F$507,I2195),IF(AB2195=0,"",IF(COUNT(INDEX($G$1531:$G$2030,AB2195))=1,INDEX($G$1531:$G$2030,AB2195),"")))</f>
        <v>9</v>
      </c>
      <c r="M2195" s="1" t="str">
        <f t="shared" ca="1" si="68"/>
        <v>Listed</v>
      </c>
      <c r="N2195" s="1" t="str">
        <f t="shared" si="69"/>
        <v>Listed</v>
      </c>
      <c r="O2195" s="1">
        <f t="shared" si="70"/>
        <v>30</v>
      </c>
      <c r="P2195" s="1">
        <f t="shared" ca="1" si="71"/>
        <v>15</v>
      </c>
      <c r="Q2195" s="1">
        <f t="shared" si="72"/>
        <v>0</v>
      </c>
      <c r="R2195" s="1">
        <f t="shared" si="73"/>
        <v>4</v>
      </c>
      <c r="S2195" s="1">
        <f t="shared" ca="1" si="74"/>
        <v>49</v>
      </c>
      <c r="T2195" s="1">
        <f ca="1">IF(OR(COUNT(O2195:R2195)&lt;&gt;4,COUNT('Top 25'!$B$45:$E$45)&lt;&gt;4,MIN('Top 25'!$B$45:$E$45)&lt;0,SUM('Top 25'!$B$45:$E$45)&lt;=0),"",ROUND(85*(O2195/30*'Top 25'!$B$45+P2195/25*'Top 25'!$C$45+Q2195/25*'Top 25'!$D$45+R2195/5*'Top 25'!$E$45)/SUM('Top 25'!$B$45:$E$45),6))</f>
        <v>49</v>
      </c>
      <c r="U2195" s="1" t="str">
        <f t="shared" ca="1" si="75"/>
        <v>Listed</v>
      </c>
      <c r="V2195" s="1" t="str">
        <f ca="1">IF(A2195="","",IF(AK2195&lt;&gt;1,"Duplicate source ID",IF(COUNTIFS('Staff Review'!$A$8:$A$507,A2195)&gt;1,"Duplicate review ID",IF(H2195&lt;&gt;"Yes","Outside scope",IF(J2195="Yes","Already served",IF(NOT(ISNUMBER(T2195)),"Missing data","Candidate"))))))</f>
        <v>Candidate</v>
      </c>
      <c r="W2195" s="1">
        <f t="shared" ca="1" si="76"/>
        <v>48</v>
      </c>
      <c r="X2195" s="1">
        <f t="shared" ca="1" si="77"/>
        <v>46</v>
      </c>
      <c r="Y2195" s="1">
        <f ca="1">IF(AND(H2195="Yes",OR(LEN('School Search'!$B$5)=0,ISNUMBER(SEARCH('School Search'!$B$5,B2195&amp;" "&amp;E2195&amp;" "&amp;A2195))),OR('School Search'!$D$5="All",C2195='School Search'!$D$5),OR('School Search'!$G$5="All eligible",AND('School Search'!$G$5="Not marked served",J2195&lt;&gt;"Yes"),AND('School Search'!$G$5="Missing data",V2195="Missing data"),AND('School Search'!$G$5="Marked served",J2195="Yes"))),1,0)</f>
        <v>1</v>
      </c>
      <c r="Z2195" s="1">
        <f ca="1">IF(Y2195=0,"",COUNTIFS($Y$2051:$Y$2550,1,$AO$2051:$AO$2550,"&lt;"&amp;AO2195)+COUNTIFS($Y$2051:Y2195,1,$AO$2051:AO2195,AO2195))</f>
        <v>48</v>
      </c>
      <c r="AA2195" s="1" t="str">
        <f t="shared" ca="1" si="78"/>
        <v>92% economic need; 0.66 mi fresh access; 9 nearby resources</v>
      </c>
      <c r="AB2195" s="1">
        <f t="shared" si="79"/>
        <v>145</v>
      </c>
      <c r="AC2195" s="1" t="str">
        <f t="shared" si="80"/>
        <v>Save-A-Lot 60138</v>
      </c>
      <c r="AD2195" s="1" t="str">
        <f t="shared" si="81"/>
        <v>4424 N Broad St, Philadelphia, PA, 19140</v>
      </c>
      <c r="AE2195" s="1" t="str">
        <f t="shared" si="82"/>
        <v>1801 W PIKE ST</v>
      </c>
      <c r="AF2195" s="1">
        <f t="shared" si="83"/>
        <v>40.013457000000002</v>
      </c>
      <c r="AG2195" s="1">
        <f t="shared" si="84"/>
        <v>-75.156127999999995</v>
      </c>
      <c r="AH2195" s="1" t="str">
        <f>IF(I2195=0,"Not contacted",IF(INDEX('Staff Review'!$J$8:$J$507,I2195)="","Not contacted",INDEX('Staff Review'!$J$8:$J$507,I2195)))</f>
        <v>Not contacted</v>
      </c>
      <c r="AI2195" s="1" t="str">
        <f ca="1">IF(I2195=0,"No",IF(AND(COUNT(INDEX('Staff Review'!$D$8:$D$507,I2195))=1,INDEX('Staff Review'!$D$8:$D$507,I2195)&gt;=0,COUNT(INDEX('Staff Review'!$E$8:$E$507,I2195))=1,INDEX('Staff Review'!$E$8:$E$507,I2195)&gt;0,INDEX('Staff Review'!$E$8:$E$507,I2195)&lt;='Top 25'!$E$5,'Top 25'!$E$5-INDEX('Staff Review'!$E$8:$E$507,I2195)&lt;='Top 25'!$H$5,LEN(INDEX('Staff Review'!$H$8:$H$507,I2195))&gt;0),"Yes","No"))</f>
        <v>No</v>
      </c>
      <c r="AJ2195" s="1" t="str">
        <f>IF(I2195=0,"No",IF(COUNT(INDEX('Staff Review'!$F$8:$F$507,I2195))&lt;&gt;1,"No",IF(AND(INDEX('Staff Review'!$F$8:$F$507,I2195)&gt;=0,MOD(INDEX('Staff Review'!$F$8:$F$507,I2195),1)=0,COUNT(INDEX('Staff Review'!$G$8:$G$507,I2195))=1,INDEX('Staff Review'!$G$8:$G$507,I2195)&gt;0,INDEX('Staff Review'!$G$8:$G$507,I2195)&lt;='Top 25'!$E$5,'Top 25'!$E$5-INDEX('Staff Review'!$G$8:$G$507,I2195)&lt;='Top 25'!$H$5,LEN(INDEX('Staff Review'!$H$8:$H$507,I2195))&gt;0),"Yes","No")))</f>
        <v>No</v>
      </c>
      <c r="AK2195" s="1">
        <f t="shared" si="85"/>
        <v>1</v>
      </c>
      <c r="AL2195" s="1">
        <f t="shared" ca="1" si="86"/>
        <v>1</v>
      </c>
      <c r="AM2195" s="1">
        <f t="shared" si="87"/>
        <v>3439</v>
      </c>
      <c r="AN2195" s="1">
        <f t="shared" si="88"/>
        <v>145</v>
      </c>
      <c r="AO2195">
        <f t="shared" ca="1" si="89"/>
        <v>48</v>
      </c>
      <c r="AP2195" s="105">
        <f ca="1">IF(AND(AL2195=1,OR('Top 25'!$A$10="All",C2195='Top 25'!$A$10),OR('Top 25'!$D$10="All",D2195='Top 25'!$D$10)),1,0)</f>
        <v>0</v>
      </c>
      <c r="AQ2195" s="105" t="str">
        <f ca="1">IF(AP2195=0,"",CHOOSE(MATCH('Top 25'!$G$10,{"Priority score","Economic need","Enrollment","Fresh miles","Nearby resources"},0),T2195,G2195,F2195,K2195,L2195))</f>
        <v/>
      </c>
      <c r="AR2195" s="105" t="str">
        <f ca="1">IF(AP2195=0,"",1+COUNTIFS($AP$2051:$AP$2550,1,$AQ$2051:$AQ$2550,IF('Top 25'!$J$10="Ascending","&lt;","&gt;")&amp;AQ2195)+COUNTIFS($AP$2051:$AP$2550,1,$AQ$2051:$AQ$2550,AQ2195,$W$2051:$W$2550,"&lt;"&amp;W2195))</f>
        <v/>
      </c>
      <c r="AT2195" s="105">
        <f ca="1">IF(AND(AL2195=1,OR(Master_rankableSchools!$A$10="All",C2195=Master_rankableSchools!$A$10),OR(Master_rankableSchools!$D$10="All",D2195=Master_rankableSchools!$D$10)),1,0)</f>
        <v>1</v>
      </c>
      <c r="AU2195" s="105">
        <f ca="1">IF(AT2195=0,"",CHOOSE(MATCH(Master_rankableSchools!$G$10,{"Priority score","Economic need","Enrollment","Fresh miles","Nearby resources"},0),T2195,G2195,F2195,K2195,L2195))</f>
        <v>49</v>
      </c>
      <c r="AV2195" s="105">
        <f ca="1">IF(AT2195=0,"",1+COUNTIFS($AT$2051:$AT$2550,1,$AU$2051:$AU$2550,IF(Master_rankableSchools!$J$10="Ascending","&lt;","&gt;")&amp;AU2195)+COUNTIFS($AT$2051:$AT$2550,1,$AU$2051:$AU$2550,AU2195,$W$2051:$W$2550,"&lt;"&amp;W2195))</f>
        <v>48</v>
      </c>
    </row>
    <row r="2196" spans="1:48" ht="22" customHeight="1">
      <c r="A2196" s="1" t="str">
        <f t="shared" si="60"/>
        <v>3440</v>
      </c>
      <c r="B2196" s="1" t="str">
        <f t="shared" si="61"/>
        <v>MaST Community Charter School II</v>
      </c>
      <c r="C2196" s="1" t="str">
        <f t="shared" si="62"/>
        <v>Charter</v>
      </c>
      <c r="D2196" s="1" t="str">
        <f t="shared" si="63"/>
        <v>Elementary-High</v>
      </c>
      <c r="E2196" s="1" t="str">
        <f t="shared" si="64"/>
        <v>19135</v>
      </c>
      <c r="F2196" s="1">
        <f t="shared" si="65"/>
        <v>1903</v>
      </c>
      <c r="G2196" s="1">
        <f t="shared" si="66"/>
        <v>0.54510000000000003</v>
      </c>
      <c r="H2196" s="1" t="str">
        <f t="shared" si="67"/>
        <v>Yes</v>
      </c>
      <c r="I2196" s="1">
        <f>IF(OR(A2196="",COUNTIFS('Staff Review'!$A$8:$A$507,A2196)&lt;&gt;1),0,MATCH(A2196,'Staff Review'!$A$8:$A$507,0))</f>
        <v>179</v>
      </c>
      <c r="J2196" s="1" t="str">
        <f>IF(I2196=0,"No",IF(INDEX('Staff Review'!$C$8:$C$507,I2196)="Yes","Yes","No"))</f>
        <v>No</v>
      </c>
      <c r="K2196" s="1">
        <f ca="1">IF(AI2196="Yes",INDEX('Staff Review'!$D$8:$D$507,I2196),IF(AB2196=0,"",IF(COUNT(INDEX($C$1531:$C$2030,AB2196))=1,INDEX($C$1531:$C$2030,AB2196),"")))</f>
        <v>0.47445885090459661</v>
      </c>
      <c r="L2196" s="1">
        <f>IF(AJ2196="Yes",INDEX('Staff Review'!$F$8:$F$507,I2196),IF(AB2196=0,"",IF(COUNT(INDEX($G$1531:$G$2030,AB2196))=1,INDEX($G$1531:$G$2030,AB2196),"")))</f>
        <v>3</v>
      </c>
      <c r="M2196" s="1" t="str">
        <f t="shared" ca="1" si="68"/>
        <v>Listed</v>
      </c>
      <c r="N2196" s="1" t="str">
        <f t="shared" si="69"/>
        <v>Listed</v>
      </c>
      <c r="O2196" s="1">
        <f t="shared" si="70"/>
        <v>10</v>
      </c>
      <c r="P2196" s="1">
        <f t="shared" ca="1" si="71"/>
        <v>10</v>
      </c>
      <c r="Q2196" s="1">
        <f t="shared" si="72"/>
        <v>10</v>
      </c>
      <c r="R2196" s="1">
        <f t="shared" si="73"/>
        <v>5</v>
      </c>
      <c r="S2196" s="1">
        <f t="shared" ca="1" si="74"/>
        <v>35</v>
      </c>
      <c r="T2196" s="1">
        <f ca="1">IF(OR(COUNT(O2196:R2196)&lt;&gt;4,COUNT('Top 25'!$B$45:$E$45)&lt;&gt;4,MIN('Top 25'!$B$45:$E$45)&lt;0,SUM('Top 25'!$B$45:$E$45)&lt;=0),"",ROUND(85*(O2196/30*'Top 25'!$B$45+P2196/25*'Top 25'!$C$45+Q2196/25*'Top 25'!$D$45+R2196/5*'Top 25'!$E$45)/SUM('Top 25'!$B$45:$E$45),6))</f>
        <v>35</v>
      </c>
      <c r="U2196" s="1" t="str">
        <f t="shared" ca="1" si="75"/>
        <v>Listed</v>
      </c>
      <c r="V2196" s="1" t="str">
        <f ca="1">IF(A2196="","",IF(AK2196&lt;&gt;1,"Duplicate source ID",IF(COUNTIFS('Staff Review'!$A$8:$A$507,A2196)&gt;1,"Duplicate review ID",IF(H2196&lt;&gt;"Yes","Outside scope",IF(J2196="Yes","Already served",IF(NOT(ISNUMBER(T2196)),"Missing data","Candidate"))))))</f>
        <v>Candidate</v>
      </c>
      <c r="W2196" s="1">
        <f t="shared" ca="1" si="76"/>
        <v>219</v>
      </c>
      <c r="X2196" s="1">
        <f t="shared" ca="1" si="77"/>
        <v>210</v>
      </c>
      <c r="Y2196" s="1">
        <f ca="1">IF(AND(H2196="Yes",OR(LEN('School Search'!$B$5)=0,ISNUMBER(SEARCH('School Search'!$B$5,B2196&amp;" "&amp;E2196&amp;" "&amp;A2196))),OR('School Search'!$D$5="All",C2196='School Search'!$D$5),OR('School Search'!$G$5="All eligible",AND('School Search'!$G$5="Not marked served",J2196&lt;&gt;"Yes"),AND('School Search'!$G$5="Missing data",V2196="Missing data"),AND('School Search'!$G$5="Marked served",J2196="Yes"))),1,0)</f>
        <v>1</v>
      </c>
      <c r="Z2196" s="1">
        <f ca="1">IF(Y2196=0,"",COUNTIFS($Y$2051:$Y$2550,1,$AO$2051:$AO$2550,"&lt;"&amp;AO2196)+COUNTIFS($Y$2051:Y2196,1,$AO$2051:AO2196,AO2196))</f>
        <v>219</v>
      </c>
      <c r="AA2196" s="1" t="str">
        <f t="shared" ca="1" si="78"/>
        <v>55% economic need; 0.47 mi fresh access; 3 nearby resources</v>
      </c>
      <c r="AB2196" s="1">
        <f t="shared" si="79"/>
        <v>146</v>
      </c>
      <c r="AC2196" s="1" t="str">
        <f t="shared" si="80"/>
        <v>6327 Meat Corp DBA Food Town</v>
      </c>
      <c r="AD2196" s="1" t="str">
        <f t="shared" si="81"/>
        <v>6327 Torresdale Ave, Philadelphia, PA, 19135</v>
      </c>
      <c r="AE2196" s="1" t="str">
        <f t="shared" si="82"/>
        <v>6501 STATE RD</v>
      </c>
      <c r="AF2196" s="1">
        <f t="shared" si="83"/>
        <v>40.017476000000002</v>
      </c>
      <c r="AG2196" s="1">
        <f t="shared" si="84"/>
        <v>-75.044371999999996</v>
      </c>
      <c r="AH2196" s="1" t="str">
        <f>IF(I2196=0,"Not contacted",IF(INDEX('Staff Review'!$J$8:$J$507,I2196)="","Not contacted",INDEX('Staff Review'!$J$8:$J$507,I2196)))</f>
        <v>Not contacted</v>
      </c>
      <c r="AI2196" s="1" t="str">
        <f ca="1">IF(I2196=0,"No",IF(AND(COUNT(INDEX('Staff Review'!$D$8:$D$507,I2196))=1,INDEX('Staff Review'!$D$8:$D$507,I2196)&gt;=0,COUNT(INDEX('Staff Review'!$E$8:$E$507,I2196))=1,INDEX('Staff Review'!$E$8:$E$507,I2196)&gt;0,INDEX('Staff Review'!$E$8:$E$507,I2196)&lt;='Top 25'!$E$5,'Top 25'!$E$5-INDEX('Staff Review'!$E$8:$E$507,I2196)&lt;='Top 25'!$H$5,LEN(INDEX('Staff Review'!$H$8:$H$507,I2196))&gt;0),"Yes","No"))</f>
        <v>No</v>
      </c>
      <c r="AJ2196" s="1" t="str">
        <f>IF(I2196=0,"No",IF(COUNT(INDEX('Staff Review'!$F$8:$F$507,I2196))&lt;&gt;1,"No",IF(AND(INDEX('Staff Review'!$F$8:$F$507,I2196)&gt;=0,MOD(INDEX('Staff Review'!$F$8:$F$507,I2196),1)=0,COUNT(INDEX('Staff Review'!$G$8:$G$507,I2196))=1,INDEX('Staff Review'!$G$8:$G$507,I2196)&gt;0,INDEX('Staff Review'!$G$8:$G$507,I2196)&lt;='Top 25'!$E$5,'Top 25'!$E$5-INDEX('Staff Review'!$G$8:$G$507,I2196)&lt;='Top 25'!$H$5,LEN(INDEX('Staff Review'!$H$8:$H$507,I2196))&gt;0),"Yes","No")))</f>
        <v>No</v>
      </c>
      <c r="AK2196" s="1">
        <f t="shared" si="85"/>
        <v>1</v>
      </c>
      <c r="AL2196" s="1">
        <f t="shared" ca="1" si="86"/>
        <v>1</v>
      </c>
      <c r="AM2196" s="1">
        <f t="shared" si="87"/>
        <v>3440</v>
      </c>
      <c r="AN2196" s="1">
        <f t="shared" si="88"/>
        <v>146</v>
      </c>
      <c r="AO2196">
        <f t="shared" ca="1" si="89"/>
        <v>219</v>
      </c>
      <c r="AP2196" s="105">
        <f ca="1">IF(AND(AL2196=1,OR('Top 25'!$A$10="All",C2196='Top 25'!$A$10),OR('Top 25'!$D$10="All",D2196='Top 25'!$D$10)),1,0)</f>
        <v>0</v>
      </c>
      <c r="AQ2196" s="105" t="str">
        <f ca="1">IF(AP2196=0,"",CHOOSE(MATCH('Top 25'!$G$10,{"Priority score","Economic need","Enrollment","Fresh miles","Nearby resources"},0),T2196,G2196,F2196,K2196,L2196))</f>
        <v/>
      </c>
      <c r="AR2196" s="105" t="str">
        <f ca="1">IF(AP2196=0,"",1+COUNTIFS($AP$2051:$AP$2550,1,$AQ$2051:$AQ$2550,IF('Top 25'!$J$10="Ascending","&lt;","&gt;")&amp;AQ2196)+COUNTIFS($AP$2051:$AP$2550,1,$AQ$2051:$AQ$2550,AQ2196,$W$2051:$W$2550,"&lt;"&amp;W2196))</f>
        <v/>
      </c>
      <c r="AT2196" s="105">
        <f ca="1">IF(AND(AL2196=1,OR(Master_rankableSchools!$A$10="All",C2196=Master_rankableSchools!$A$10),OR(Master_rankableSchools!$D$10="All",D2196=Master_rankableSchools!$D$10)),1,0)</f>
        <v>1</v>
      </c>
      <c r="AU2196" s="105">
        <f ca="1">IF(AT2196=0,"",CHOOSE(MATCH(Master_rankableSchools!$G$10,{"Priority score","Economic need","Enrollment","Fresh miles","Nearby resources"},0),T2196,G2196,F2196,K2196,L2196))</f>
        <v>35</v>
      </c>
      <c r="AV2196" s="105">
        <f ca="1">IF(AT2196=0,"",1+COUNTIFS($AT$2051:$AT$2550,1,$AU$2051:$AU$2550,IF(Master_rankableSchools!$J$10="Ascending","&lt;","&gt;")&amp;AU2196)+COUNTIFS($AT$2051:$AT$2550,1,$AU$2051:$AU$2550,AU2196,$W$2051:$W$2550,"&lt;"&amp;W2196))</f>
        <v>219</v>
      </c>
    </row>
    <row r="2197" spans="1:48" ht="22" customHeight="1">
      <c r="A2197" s="1" t="str">
        <f t="shared" si="60"/>
        <v>3441</v>
      </c>
      <c r="B2197" s="1" t="str">
        <f t="shared" si="61"/>
        <v>TECH Freire Charter School</v>
      </c>
      <c r="C2197" s="1" t="str">
        <f t="shared" si="62"/>
        <v>Charter</v>
      </c>
      <c r="D2197" s="1" t="str">
        <f t="shared" si="63"/>
        <v>High</v>
      </c>
      <c r="E2197" s="1" t="str">
        <f t="shared" si="64"/>
        <v>19132</v>
      </c>
      <c r="F2197" s="1">
        <f t="shared" si="65"/>
        <v>565</v>
      </c>
      <c r="G2197" s="1">
        <f t="shared" si="66"/>
        <v>0.79320000000000002</v>
      </c>
      <c r="H2197" s="1" t="str">
        <f t="shared" si="67"/>
        <v>Yes</v>
      </c>
      <c r="I2197" s="1">
        <f>IF(OR(A2197="",COUNTIFS('Staff Review'!$A$8:$A$507,A2197)&lt;&gt;1),0,MATCH(A2197,'Staff Review'!$A$8:$A$507,0))</f>
        <v>282</v>
      </c>
      <c r="J2197" s="1" t="str">
        <f>IF(I2197=0,"No",IF(INDEX('Staff Review'!$C$8:$C$507,I2197)="Yes","Yes","No"))</f>
        <v>No</v>
      </c>
      <c r="K2197" s="1">
        <f ca="1">IF(AI2197="Yes",INDEX('Staff Review'!$D$8:$D$507,I2197),IF(AB2197=0,"",IF(COUNT(INDEX($C$1531:$C$2030,AB2197))=1,INDEX($C$1531:$C$2030,AB2197),"")))</f>
        <v>0.71564975129558095</v>
      </c>
      <c r="L2197" s="1">
        <f>IF(AJ2197="Yes",INDEX('Staff Review'!$F$8:$F$507,I2197),IF(AB2197=0,"",IF(COUNT(INDEX($G$1531:$G$2030,AB2197))=1,INDEX($G$1531:$G$2030,AB2197),"")))</f>
        <v>16</v>
      </c>
      <c r="M2197" s="1" t="str">
        <f t="shared" ca="1" si="68"/>
        <v>Listed</v>
      </c>
      <c r="N2197" s="1" t="str">
        <f t="shared" si="69"/>
        <v>Listed</v>
      </c>
      <c r="O2197" s="1">
        <f t="shared" si="70"/>
        <v>20</v>
      </c>
      <c r="P2197" s="1">
        <f t="shared" ca="1" si="71"/>
        <v>15</v>
      </c>
      <c r="Q2197" s="1">
        <f t="shared" si="72"/>
        <v>0</v>
      </c>
      <c r="R2197" s="1">
        <f t="shared" si="73"/>
        <v>4</v>
      </c>
      <c r="S2197" s="1">
        <f t="shared" ca="1" si="74"/>
        <v>39</v>
      </c>
      <c r="T2197" s="1">
        <f ca="1">IF(OR(COUNT(O2197:R2197)&lt;&gt;4,COUNT('Top 25'!$B$45:$E$45)&lt;&gt;4,MIN('Top 25'!$B$45:$E$45)&lt;0,SUM('Top 25'!$B$45:$E$45)&lt;=0),"",ROUND(85*(O2197/30*'Top 25'!$B$45+P2197/25*'Top 25'!$C$45+Q2197/25*'Top 25'!$D$45+R2197/5*'Top 25'!$E$45)/SUM('Top 25'!$B$45:$E$45),6))</f>
        <v>39</v>
      </c>
      <c r="U2197" s="1" t="str">
        <f t="shared" ca="1" si="75"/>
        <v>Listed</v>
      </c>
      <c r="V2197" s="1" t="str">
        <f ca="1">IF(A2197="","",IF(AK2197&lt;&gt;1,"Duplicate source ID",IF(COUNTIFS('Staff Review'!$A$8:$A$507,A2197)&gt;1,"Duplicate review ID",IF(H2197&lt;&gt;"Yes","Outside scope",IF(J2197="Yes","Already served",IF(NOT(ISNUMBER(T2197)),"Missing data","Candidate"))))))</f>
        <v>Candidate</v>
      </c>
      <c r="W2197" s="1">
        <f t="shared" ca="1" si="76"/>
        <v>162</v>
      </c>
      <c r="X2197" s="1">
        <f t="shared" ca="1" si="77"/>
        <v>148</v>
      </c>
      <c r="Y2197" s="1">
        <f ca="1">IF(AND(H2197="Yes",OR(LEN('School Search'!$B$5)=0,ISNUMBER(SEARCH('School Search'!$B$5,B2197&amp;" "&amp;E2197&amp;" "&amp;A2197))),OR('School Search'!$D$5="All",C2197='School Search'!$D$5),OR('School Search'!$G$5="All eligible",AND('School Search'!$G$5="Not marked served",J2197&lt;&gt;"Yes"),AND('School Search'!$G$5="Missing data",V2197="Missing data"),AND('School Search'!$G$5="Marked served",J2197="Yes"))),1,0)</f>
        <v>1</v>
      </c>
      <c r="Z2197" s="1">
        <f ca="1">IF(Y2197=0,"",COUNTIFS($Y$2051:$Y$2550,1,$AO$2051:$AO$2550,"&lt;"&amp;AO2197)+COUNTIFS($Y$2051:Y2197,1,$AO$2051:AO2197,AO2197))</f>
        <v>162</v>
      </c>
      <c r="AA2197" s="1" t="str">
        <f t="shared" ca="1" si="78"/>
        <v>79% economic need; 0.72 mi fresh access; 16 nearby resources</v>
      </c>
      <c r="AB2197" s="1">
        <f t="shared" si="79"/>
        <v>147</v>
      </c>
      <c r="AC2197" s="1" t="str">
        <f t="shared" si="80"/>
        <v>Cousins Supermarket Inc 1</v>
      </c>
      <c r="AD2197" s="1" t="str">
        <f t="shared" si="81"/>
        <v>1943 N 6th St, Philadelphia, PA, 19122</v>
      </c>
      <c r="AE2197" s="1" t="str">
        <f t="shared" si="82"/>
        <v>2221 N BROAD ST</v>
      </c>
      <c r="AF2197" s="1">
        <f t="shared" si="83"/>
        <v>39.986868999999999</v>
      </c>
      <c r="AG2197" s="1">
        <f t="shared" si="84"/>
        <v>-75.155669000000003</v>
      </c>
      <c r="AH2197" s="1" t="str">
        <f>IF(I2197=0,"Not contacted",IF(INDEX('Staff Review'!$J$8:$J$507,I2197)="","Not contacted",INDEX('Staff Review'!$J$8:$J$507,I2197)))</f>
        <v>Not contacted</v>
      </c>
      <c r="AI2197" s="1" t="str">
        <f ca="1">IF(I2197=0,"No",IF(AND(COUNT(INDEX('Staff Review'!$D$8:$D$507,I2197))=1,INDEX('Staff Review'!$D$8:$D$507,I2197)&gt;=0,COUNT(INDEX('Staff Review'!$E$8:$E$507,I2197))=1,INDEX('Staff Review'!$E$8:$E$507,I2197)&gt;0,INDEX('Staff Review'!$E$8:$E$507,I2197)&lt;='Top 25'!$E$5,'Top 25'!$E$5-INDEX('Staff Review'!$E$8:$E$507,I2197)&lt;='Top 25'!$H$5,LEN(INDEX('Staff Review'!$H$8:$H$507,I2197))&gt;0),"Yes","No"))</f>
        <v>No</v>
      </c>
      <c r="AJ2197" s="1" t="str">
        <f>IF(I2197=0,"No",IF(COUNT(INDEX('Staff Review'!$F$8:$F$507,I2197))&lt;&gt;1,"No",IF(AND(INDEX('Staff Review'!$F$8:$F$507,I2197)&gt;=0,MOD(INDEX('Staff Review'!$F$8:$F$507,I2197),1)=0,COUNT(INDEX('Staff Review'!$G$8:$G$507,I2197))=1,INDEX('Staff Review'!$G$8:$G$507,I2197)&gt;0,INDEX('Staff Review'!$G$8:$G$507,I2197)&lt;='Top 25'!$E$5,'Top 25'!$E$5-INDEX('Staff Review'!$G$8:$G$507,I2197)&lt;='Top 25'!$H$5,LEN(INDEX('Staff Review'!$H$8:$H$507,I2197))&gt;0),"Yes","No")))</f>
        <v>No</v>
      </c>
      <c r="AK2197" s="1">
        <f t="shared" si="85"/>
        <v>1</v>
      </c>
      <c r="AL2197" s="1">
        <f t="shared" ca="1" si="86"/>
        <v>1</v>
      </c>
      <c r="AM2197" s="1">
        <f t="shared" si="87"/>
        <v>3441</v>
      </c>
      <c r="AN2197" s="1">
        <f t="shared" si="88"/>
        <v>147</v>
      </c>
      <c r="AO2197">
        <f t="shared" ca="1" si="89"/>
        <v>162</v>
      </c>
      <c r="AP2197" s="105">
        <f ca="1">IF(AND(AL2197=1,OR('Top 25'!$A$10="All",C2197='Top 25'!$A$10),OR('Top 25'!$D$10="All",D2197='Top 25'!$D$10)),1,0)</f>
        <v>0</v>
      </c>
      <c r="AQ2197" s="105" t="str">
        <f ca="1">IF(AP2197=0,"",CHOOSE(MATCH('Top 25'!$G$10,{"Priority score","Economic need","Enrollment","Fresh miles","Nearby resources"},0),T2197,G2197,F2197,K2197,L2197))</f>
        <v/>
      </c>
      <c r="AR2197" s="105" t="str">
        <f ca="1">IF(AP2197=0,"",1+COUNTIFS($AP$2051:$AP$2550,1,$AQ$2051:$AQ$2550,IF('Top 25'!$J$10="Ascending","&lt;","&gt;")&amp;AQ2197)+COUNTIFS($AP$2051:$AP$2550,1,$AQ$2051:$AQ$2550,AQ2197,$W$2051:$W$2550,"&lt;"&amp;W2197))</f>
        <v/>
      </c>
      <c r="AT2197" s="105">
        <f ca="1">IF(AND(AL2197=1,OR(Master_rankableSchools!$A$10="All",C2197=Master_rankableSchools!$A$10),OR(Master_rankableSchools!$D$10="All",D2197=Master_rankableSchools!$D$10)),1,0)</f>
        <v>1</v>
      </c>
      <c r="AU2197" s="105">
        <f ca="1">IF(AT2197=0,"",CHOOSE(MATCH(Master_rankableSchools!$G$10,{"Priority score","Economic need","Enrollment","Fresh miles","Nearby resources"},0),T2197,G2197,F2197,K2197,L2197))</f>
        <v>39</v>
      </c>
      <c r="AV2197" s="105">
        <f ca="1">IF(AT2197=0,"",1+COUNTIFS($AT$2051:$AT$2550,1,$AU$2051:$AU$2550,IF(Master_rankableSchools!$J$10="Ascending","&lt;","&gt;")&amp;AU2197)+COUNTIFS($AT$2051:$AT$2550,1,$AU$2051:$AU$2550,AU2197,$W$2051:$W$2550,"&lt;"&amp;W2197))</f>
        <v>162</v>
      </c>
    </row>
    <row r="2198" spans="1:48" ht="22" customHeight="1">
      <c r="A2198" s="1" t="str">
        <f t="shared" si="60"/>
        <v>3442</v>
      </c>
      <c r="B2198" s="1" t="str">
        <f t="shared" si="61"/>
        <v>Impact Charter School West</v>
      </c>
      <c r="C2198" s="1" t="str">
        <f t="shared" si="62"/>
        <v>Charter</v>
      </c>
      <c r="D2198" s="1" t="str">
        <f t="shared" si="63"/>
        <v>Elementary-Middle</v>
      </c>
      <c r="E2198" s="1" t="str">
        <f t="shared" si="64"/>
        <v>19143</v>
      </c>
      <c r="F2198" s="1">
        <f t="shared" si="65"/>
        <v>833</v>
      </c>
      <c r="G2198" s="1">
        <f t="shared" si="66"/>
        <v>0.874</v>
      </c>
      <c r="H2198" s="1" t="str">
        <f t="shared" si="67"/>
        <v>Yes</v>
      </c>
      <c r="I2198" s="1">
        <f>IF(OR(A2198="",COUNTIFS('Staff Review'!$A$8:$A$507,A2198)&lt;&gt;1),0,MATCH(A2198,'Staff Review'!$A$8:$A$507,0))</f>
        <v>120</v>
      </c>
      <c r="J2198" s="1" t="str">
        <f>IF(I2198=0,"No",IF(INDEX('Staff Review'!$C$8:$C$507,I2198)="Yes","Yes","No"))</f>
        <v>No</v>
      </c>
      <c r="K2198" s="1">
        <f ca="1">IF(AI2198="Yes",INDEX('Staff Review'!$D$8:$D$507,I2198),IF(AB2198=0,"",IF(COUNT(INDEX($C$1531:$C$2030,AB2198))=1,INDEX($C$1531:$C$2030,AB2198),"")))</f>
        <v>0.36316271827883184</v>
      </c>
      <c r="L2198" s="1">
        <f>IF(AJ2198="Yes",INDEX('Staff Review'!$F$8:$F$507,I2198),IF(AB2198=0,"",IF(COUNT(INDEX($G$1531:$G$2030,AB2198))=1,INDEX($G$1531:$G$2030,AB2198),"")))</f>
        <v>10</v>
      </c>
      <c r="M2198" s="1" t="str">
        <f t="shared" ca="1" si="68"/>
        <v>Listed</v>
      </c>
      <c r="N2198" s="1" t="str">
        <f t="shared" si="69"/>
        <v>Listed</v>
      </c>
      <c r="O2198" s="1">
        <f t="shared" si="70"/>
        <v>25</v>
      </c>
      <c r="P2198" s="1">
        <f t="shared" ca="1" si="71"/>
        <v>10</v>
      </c>
      <c r="Q2198" s="1">
        <f t="shared" si="72"/>
        <v>0</v>
      </c>
      <c r="R2198" s="1">
        <f t="shared" si="73"/>
        <v>5</v>
      </c>
      <c r="S2198" s="1">
        <f t="shared" ca="1" si="74"/>
        <v>40</v>
      </c>
      <c r="T2198" s="1">
        <f ca="1">IF(OR(COUNT(O2198:R2198)&lt;&gt;4,COUNT('Top 25'!$B$45:$E$45)&lt;&gt;4,MIN('Top 25'!$B$45:$E$45)&lt;0,SUM('Top 25'!$B$45:$E$45)&lt;=0),"",ROUND(85*(O2198/30*'Top 25'!$B$45+P2198/25*'Top 25'!$C$45+Q2198/25*'Top 25'!$D$45+R2198/5*'Top 25'!$E$45)/SUM('Top 25'!$B$45:$E$45),6))</f>
        <v>40</v>
      </c>
      <c r="U2198" s="1" t="str">
        <f t="shared" ca="1" si="75"/>
        <v>Listed</v>
      </c>
      <c r="V2198" s="1" t="str">
        <f ca="1">IF(A2198="","",IF(AK2198&lt;&gt;1,"Duplicate source ID",IF(COUNTIFS('Staff Review'!$A$8:$A$507,A2198)&gt;1,"Duplicate review ID",IF(H2198&lt;&gt;"Yes","Outside scope",IF(J2198="Yes","Already served",IF(NOT(ISNUMBER(T2198)),"Missing data","Candidate"))))))</f>
        <v>Candidate</v>
      </c>
      <c r="W2198" s="1">
        <f t="shared" ca="1" si="76"/>
        <v>136</v>
      </c>
      <c r="X2198" s="1">
        <f t="shared" ca="1" si="77"/>
        <v>133</v>
      </c>
      <c r="Y2198" s="1">
        <f ca="1">IF(AND(H2198="Yes",OR(LEN('School Search'!$B$5)=0,ISNUMBER(SEARCH('School Search'!$B$5,B2198&amp;" "&amp;E2198&amp;" "&amp;A2198))),OR('School Search'!$D$5="All",C2198='School Search'!$D$5),OR('School Search'!$G$5="All eligible",AND('School Search'!$G$5="Not marked served",J2198&lt;&gt;"Yes"),AND('School Search'!$G$5="Missing data",V2198="Missing data"),AND('School Search'!$G$5="Marked served",J2198="Yes"))),1,0)</f>
        <v>1</v>
      </c>
      <c r="Z2198" s="1">
        <f ca="1">IF(Y2198=0,"",COUNTIFS($Y$2051:$Y$2550,1,$AO$2051:$AO$2550,"&lt;"&amp;AO2198)+COUNTIFS($Y$2051:Y2198,1,$AO$2051:AO2198,AO2198))</f>
        <v>136</v>
      </c>
      <c r="AA2198" s="1" t="str">
        <f t="shared" ca="1" si="78"/>
        <v>87% economic need; 0.36 mi fresh access; 10 nearby resources</v>
      </c>
      <c r="AB2198" s="1">
        <f t="shared" si="79"/>
        <v>148</v>
      </c>
      <c r="AC2198" s="1" t="str">
        <f t="shared" si="80"/>
        <v>SAVE-A-LOT 60135</v>
      </c>
      <c r="AD2198" s="1" t="str">
        <f t="shared" si="81"/>
        <v>5800 Woodland Ave, Philadelphia, PA, 19143</v>
      </c>
      <c r="AE2198" s="1" t="str">
        <f t="shared" si="82"/>
        <v>5600 CHESTER AVE</v>
      </c>
      <c r="AF2198" s="1">
        <f t="shared" si="83"/>
        <v>39.937313660000001</v>
      </c>
      <c r="AG2198" s="1">
        <f t="shared" si="84"/>
        <v>-75.226140360000002</v>
      </c>
      <c r="AH2198" s="1" t="str">
        <f>IF(I2198=0,"Not contacted",IF(INDEX('Staff Review'!$J$8:$J$507,I2198)="","Not contacted",INDEX('Staff Review'!$J$8:$J$507,I2198)))</f>
        <v>Not contacted</v>
      </c>
      <c r="AI2198" s="1" t="str">
        <f ca="1">IF(I2198=0,"No",IF(AND(COUNT(INDEX('Staff Review'!$D$8:$D$507,I2198))=1,INDEX('Staff Review'!$D$8:$D$507,I2198)&gt;=0,COUNT(INDEX('Staff Review'!$E$8:$E$507,I2198))=1,INDEX('Staff Review'!$E$8:$E$507,I2198)&gt;0,INDEX('Staff Review'!$E$8:$E$507,I2198)&lt;='Top 25'!$E$5,'Top 25'!$E$5-INDEX('Staff Review'!$E$8:$E$507,I2198)&lt;='Top 25'!$H$5,LEN(INDEX('Staff Review'!$H$8:$H$507,I2198))&gt;0),"Yes","No"))</f>
        <v>No</v>
      </c>
      <c r="AJ2198" s="1" t="str">
        <f>IF(I2198=0,"No",IF(COUNT(INDEX('Staff Review'!$F$8:$F$507,I2198))&lt;&gt;1,"No",IF(AND(INDEX('Staff Review'!$F$8:$F$507,I2198)&gt;=0,MOD(INDEX('Staff Review'!$F$8:$F$507,I2198),1)=0,COUNT(INDEX('Staff Review'!$G$8:$G$507,I2198))=1,INDEX('Staff Review'!$G$8:$G$507,I2198)&gt;0,INDEX('Staff Review'!$G$8:$G$507,I2198)&lt;='Top 25'!$E$5,'Top 25'!$E$5-INDEX('Staff Review'!$G$8:$G$507,I2198)&lt;='Top 25'!$H$5,LEN(INDEX('Staff Review'!$H$8:$H$507,I2198))&gt;0),"Yes","No")))</f>
        <v>No</v>
      </c>
      <c r="AK2198" s="1">
        <f t="shared" si="85"/>
        <v>1</v>
      </c>
      <c r="AL2198" s="1">
        <f t="shared" ca="1" si="86"/>
        <v>1</v>
      </c>
      <c r="AM2198" s="1">
        <f t="shared" si="87"/>
        <v>3442</v>
      </c>
      <c r="AN2198" s="1">
        <f t="shared" si="88"/>
        <v>148</v>
      </c>
      <c r="AO2198">
        <f t="shared" ca="1" si="89"/>
        <v>136</v>
      </c>
      <c r="AP2198" s="105">
        <f ca="1">IF(AND(AL2198=1,OR('Top 25'!$A$10="All",C2198='Top 25'!$A$10),OR('Top 25'!$D$10="All",D2198='Top 25'!$D$10)),1,0)</f>
        <v>0</v>
      </c>
      <c r="AQ2198" s="105" t="str">
        <f ca="1">IF(AP2198=0,"",CHOOSE(MATCH('Top 25'!$G$10,{"Priority score","Economic need","Enrollment","Fresh miles","Nearby resources"},0),T2198,G2198,F2198,K2198,L2198))</f>
        <v/>
      </c>
      <c r="AR2198" s="105" t="str">
        <f ca="1">IF(AP2198=0,"",1+COUNTIFS($AP$2051:$AP$2550,1,$AQ$2051:$AQ$2550,IF('Top 25'!$J$10="Ascending","&lt;","&gt;")&amp;AQ2198)+COUNTIFS($AP$2051:$AP$2550,1,$AQ$2051:$AQ$2550,AQ2198,$W$2051:$W$2550,"&lt;"&amp;W2198))</f>
        <v/>
      </c>
      <c r="AT2198" s="105">
        <f ca="1">IF(AND(AL2198=1,OR(Master_rankableSchools!$A$10="All",C2198=Master_rankableSchools!$A$10),OR(Master_rankableSchools!$D$10="All",D2198=Master_rankableSchools!$D$10)),1,0)</f>
        <v>1</v>
      </c>
      <c r="AU2198" s="105">
        <f ca="1">IF(AT2198=0,"",CHOOSE(MATCH(Master_rankableSchools!$G$10,{"Priority score","Economic need","Enrollment","Fresh miles","Nearby resources"},0),T2198,G2198,F2198,K2198,L2198))</f>
        <v>40</v>
      </c>
      <c r="AV2198" s="105">
        <f ca="1">IF(AT2198=0,"",1+COUNTIFS($AT$2051:$AT$2550,1,$AU$2051:$AU$2550,IF(Master_rankableSchools!$J$10="Ascending","&lt;","&gt;")&amp;AU2198)+COUNTIFS($AT$2051:$AT$2550,1,$AU$2051:$AU$2550,AU2198,$W$2051:$W$2550,"&lt;"&amp;W2198))</f>
        <v>136</v>
      </c>
    </row>
    <row r="2199" spans="1:48" ht="22" customHeight="1">
      <c r="A2199" s="1" t="str">
        <f t="shared" si="60"/>
        <v>3443</v>
      </c>
      <c r="B2199" s="1" t="str">
        <f t="shared" si="61"/>
        <v>KIPP West Philadelphia Charter School</v>
      </c>
      <c r="C2199" s="1" t="str">
        <f t="shared" si="62"/>
        <v>Charter</v>
      </c>
      <c r="D2199" s="1" t="str">
        <f t="shared" si="63"/>
        <v>Elementary</v>
      </c>
      <c r="E2199" s="1" t="str">
        <f t="shared" si="64"/>
        <v>19131</v>
      </c>
      <c r="F2199" s="1">
        <f t="shared" si="65"/>
        <v>823</v>
      </c>
      <c r="G2199" s="1" t="str">
        <f t="shared" si="66"/>
        <v/>
      </c>
      <c r="H2199" s="1" t="str">
        <f t="shared" si="67"/>
        <v>Yes</v>
      </c>
      <c r="I2199" s="1">
        <f>IF(OR(A2199="",COUNTIFS('Staff Review'!$A$8:$A$507,A2199)&lt;&gt;1),0,MATCH(A2199,'Staff Review'!$A$8:$A$507,0))</f>
        <v>165</v>
      </c>
      <c r="J2199" s="1" t="str">
        <f>IF(I2199=0,"No",IF(INDEX('Staff Review'!$C$8:$C$507,I2199)="Yes","Yes","No"))</f>
        <v>No</v>
      </c>
      <c r="K2199" s="1">
        <f ca="1">IF(AI2199="Yes",INDEX('Staff Review'!$D$8:$D$507,I2199),IF(AB2199=0,"",IF(COUNT(INDEX($C$1531:$C$2030,AB2199))=1,INDEX($C$1531:$C$2030,AB2199),"")))</f>
        <v>0.22272035791186792</v>
      </c>
      <c r="L2199" s="1">
        <f>IF(AJ2199="Yes",INDEX('Staff Review'!$F$8:$F$507,I2199),IF(AB2199=0,"",IF(COUNT(INDEX($G$1531:$G$2030,AB2199))=1,INDEX($G$1531:$G$2030,AB2199),"")))</f>
        <v>5</v>
      </c>
      <c r="M2199" s="1" t="str">
        <f t="shared" ca="1" si="68"/>
        <v>Listed</v>
      </c>
      <c r="N2199" s="1" t="str">
        <f t="shared" si="69"/>
        <v>Listed</v>
      </c>
      <c r="O2199" s="1" t="str">
        <f t="shared" si="70"/>
        <v/>
      </c>
      <c r="P2199" s="1">
        <f t="shared" ca="1" si="71"/>
        <v>5</v>
      </c>
      <c r="Q2199" s="1">
        <f t="shared" si="72"/>
        <v>0</v>
      </c>
      <c r="R2199" s="1">
        <f t="shared" si="73"/>
        <v>5</v>
      </c>
      <c r="S2199" s="1" t="str">
        <f t="shared" ca="1" si="74"/>
        <v/>
      </c>
      <c r="T2199" s="1" t="str">
        <f ca="1">IF(OR(COUNT(O2199:R2199)&lt;&gt;4,COUNT('Top 25'!$B$45:$E$45)&lt;&gt;4,MIN('Top 25'!$B$45:$E$45)&lt;0,SUM('Top 25'!$B$45:$E$45)&lt;=0),"",ROUND(85*(O2199/30*'Top 25'!$B$45+P2199/25*'Top 25'!$C$45+Q2199/25*'Top 25'!$D$45+R2199/5*'Top 25'!$E$45)/SUM('Top 25'!$B$45:$E$45),6))</f>
        <v/>
      </c>
      <c r="U2199" s="1" t="str">
        <f t="shared" ca="1" si="75"/>
        <v>Listed</v>
      </c>
      <c r="V2199" s="1" t="str">
        <f ca="1">IF(A2199="","",IF(AK2199&lt;&gt;1,"Duplicate source ID",IF(COUNTIFS('Staff Review'!$A$8:$A$507,A2199)&gt;1,"Duplicate review ID",IF(H2199&lt;&gt;"Yes","Outside scope",IF(J2199="Yes","Already served",IF(NOT(ISNUMBER(T2199)),"Missing data","Candidate"))))))</f>
        <v>Missing data</v>
      </c>
      <c r="W2199" s="1" t="str">
        <f t="shared" ca="1" si="76"/>
        <v/>
      </c>
      <c r="X2199" s="1" t="str">
        <f t="shared" ca="1" si="77"/>
        <v/>
      </c>
      <c r="Y2199" s="1">
        <f ca="1">IF(AND(H2199="Yes",OR(LEN('School Search'!$B$5)=0,ISNUMBER(SEARCH('School Search'!$B$5,B2199&amp;" "&amp;E2199&amp;" "&amp;A2199))),OR('School Search'!$D$5="All",C2199='School Search'!$D$5),OR('School Search'!$G$5="All eligible",AND('School Search'!$G$5="Not marked served",J2199&lt;&gt;"Yes"),AND('School Search'!$G$5="Missing data",V2199="Missing data"),AND('School Search'!$G$5="Marked served",J2199="Yes"))),1,0)</f>
        <v>1</v>
      </c>
      <c r="Z2199" s="1">
        <f ca="1">IF(Y2199=0,"",COUNTIFS($Y$2051:$Y$2550,1,$AO$2051:$AO$2550,"&lt;"&amp;AO2199)+COUNTIFS($Y$2051:Y2199,1,$AO$2051:AO2199,AO2199))</f>
        <v>299</v>
      </c>
      <c r="AA2199" s="1" t="str">
        <f t="shared" ca="1" si="78"/>
        <v>Missing demographic or access input</v>
      </c>
      <c r="AB2199" s="1">
        <f t="shared" si="79"/>
        <v>149</v>
      </c>
      <c r="AC2199" s="1" t="str">
        <f t="shared" si="80"/>
        <v>Shoprite of Parkside 419</v>
      </c>
      <c r="AD2199" s="1" t="str">
        <f t="shared" si="81"/>
        <v>1575 N 52nd St, Philadelphia, PA, 19131</v>
      </c>
      <c r="AE2199" s="1" t="str">
        <f t="shared" si="82"/>
        <v>5070 PARKSIDE AVE</v>
      </c>
      <c r="AF2199" s="1">
        <f t="shared" si="83"/>
        <v>39.979687300000002</v>
      </c>
      <c r="AG2199" s="1">
        <f t="shared" si="84"/>
        <v>-75.221085299999999</v>
      </c>
      <c r="AH2199" s="1" t="str">
        <f>IF(I2199=0,"Not contacted",IF(INDEX('Staff Review'!$J$8:$J$507,I2199)="","Not contacted",INDEX('Staff Review'!$J$8:$J$507,I2199)))</f>
        <v>Not contacted</v>
      </c>
      <c r="AI2199" s="1" t="str">
        <f ca="1">IF(I2199=0,"No",IF(AND(COUNT(INDEX('Staff Review'!$D$8:$D$507,I2199))=1,INDEX('Staff Review'!$D$8:$D$507,I2199)&gt;=0,COUNT(INDEX('Staff Review'!$E$8:$E$507,I2199))=1,INDEX('Staff Review'!$E$8:$E$507,I2199)&gt;0,INDEX('Staff Review'!$E$8:$E$507,I2199)&lt;='Top 25'!$E$5,'Top 25'!$E$5-INDEX('Staff Review'!$E$8:$E$507,I2199)&lt;='Top 25'!$H$5,LEN(INDEX('Staff Review'!$H$8:$H$507,I2199))&gt;0),"Yes","No"))</f>
        <v>No</v>
      </c>
      <c r="AJ2199" s="1" t="str">
        <f>IF(I2199=0,"No",IF(COUNT(INDEX('Staff Review'!$F$8:$F$507,I2199))&lt;&gt;1,"No",IF(AND(INDEX('Staff Review'!$F$8:$F$507,I2199)&gt;=0,MOD(INDEX('Staff Review'!$F$8:$F$507,I2199),1)=0,COUNT(INDEX('Staff Review'!$G$8:$G$507,I2199))=1,INDEX('Staff Review'!$G$8:$G$507,I2199)&gt;0,INDEX('Staff Review'!$G$8:$G$507,I2199)&lt;='Top 25'!$E$5,'Top 25'!$E$5-INDEX('Staff Review'!$G$8:$G$507,I2199)&lt;='Top 25'!$H$5,LEN(INDEX('Staff Review'!$H$8:$H$507,I2199))&gt;0),"Yes","No")))</f>
        <v>No</v>
      </c>
      <c r="AK2199" s="1">
        <f t="shared" si="85"/>
        <v>1</v>
      </c>
      <c r="AL2199" s="1">
        <f t="shared" ca="1" si="86"/>
        <v>0</v>
      </c>
      <c r="AM2199" s="1">
        <f t="shared" si="87"/>
        <v>3443</v>
      </c>
      <c r="AN2199" s="1">
        <f t="shared" si="88"/>
        <v>149</v>
      </c>
      <c r="AO2199">
        <f t="shared" ca="1" si="89"/>
        <v>13443</v>
      </c>
      <c r="AP2199" s="105">
        <f ca="1">IF(AND(AL2199=1,OR('Top 25'!$A$10="All",C2199='Top 25'!$A$10),OR('Top 25'!$D$10="All",D2199='Top 25'!$D$10)),1,0)</f>
        <v>0</v>
      </c>
      <c r="AQ2199" s="105" t="str">
        <f ca="1">IF(AP2199=0,"",CHOOSE(MATCH('Top 25'!$G$10,{"Priority score","Economic need","Enrollment","Fresh miles","Nearby resources"},0),T2199,G2199,F2199,K2199,L2199))</f>
        <v/>
      </c>
      <c r="AR2199" s="105" t="str">
        <f ca="1">IF(AP2199=0,"",1+COUNTIFS($AP$2051:$AP$2550,1,$AQ$2051:$AQ$2550,IF('Top 25'!$J$10="Ascending","&lt;","&gt;")&amp;AQ2199)+COUNTIFS($AP$2051:$AP$2550,1,$AQ$2051:$AQ$2550,AQ2199,$W$2051:$W$2550,"&lt;"&amp;W2199))</f>
        <v/>
      </c>
      <c r="AT2199" s="105">
        <f ca="1">IF(AND(AL2199=1,OR(Master_rankableSchools!$A$10="All",C2199=Master_rankableSchools!$A$10),OR(Master_rankableSchools!$D$10="All",D2199=Master_rankableSchools!$D$10)),1,0)</f>
        <v>0</v>
      </c>
      <c r="AU2199" s="105" t="str">
        <f ca="1">IF(AT2199=0,"",CHOOSE(MATCH(Master_rankableSchools!$G$10,{"Priority score","Economic need","Enrollment","Fresh miles","Nearby resources"},0),T2199,G2199,F2199,K2199,L2199))</f>
        <v/>
      </c>
      <c r="AV2199" s="105" t="str">
        <f ca="1">IF(AT2199=0,"",1+COUNTIFS($AT$2051:$AT$2550,1,$AU$2051:$AU$2550,IF(Master_rankableSchools!$J$10="Ascending","&lt;","&gt;")&amp;AU2199)+COUNTIFS($AT$2051:$AT$2550,1,$AU$2051:$AU$2550,AU2199,$W$2051:$W$2550,"&lt;"&amp;W2199))</f>
        <v/>
      </c>
    </row>
    <row r="2200" spans="1:48" ht="22" customHeight="1">
      <c r="A2200" s="1" t="str">
        <f t="shared" si="60"/>
        <v>3445</v>
      </c>
      <c r="B2200" s="1" t="str">
        <f t="shared" si="61"/>
        <v>MAST Community Charter School III</v>
      </c>
      <c r="C2200" s="1" t="str">
        <f t="shared" si="62"/>
        <v>Charter</v>
      </c>
      <c r="D2200" s="1" t="str">
        <f t="shared" si="63"/>
        <v>Elementary</v>
      </c>
      <c r="E2200" s="1" t="str">
        <f t="shared" si="64"/>
        <v>19154</v>
      </c>
      <c r="F2200" s="1">
        <f t="shared" si="65"/>
        <v>1328</v>
      </c>
      <c r="G2200" s="1">
        <f t="shared" si="66"/>
        <v>0.68469999999999998</v>
      </c>
      <c r="H2200" s="1" t="str">
        <f t="shared" si="67"/>
        <v>Yes</v>
      </c>
      <c r="I2200" s="1">
        <f>IF(OR(A2200="",COUNTIFS('Staff Review'!$A$8:$A$507,A2200)&lt;&gt;1),0,MATCH(A2200,'Staff Review'!$A$8:$A$507,0))</f>
        <v>180</v>
      </c>
      <c r="J2200" s="1" t="str">
        <f>IF(I2200=0,"No",IF(INDEX('Staff Review'!$C$8:$C$507,I2200)="Yes","Yes","No"))</f>
        <v>No</v>
      </c>
      <c r="K2200" s="1">
        <f ca="1">IF(AI2200="Yes",INDEX('Staff Review'!$D$8:$D$507,I2200),IF(AB2200=0,"",IF(COUNT(INDEX($C$1531:$C$2030,AB2200))=1,INDEX($C$1531:$C$2030,AB2200),"")))</f>
        <v>0.56566903169902805</v>
      </c>
      <c r="L2200" s="1">
        <f>IF(AJ2200="Yes",INDEX('Staff Review'!$F$8:$F$507,I2200),IF(AB2200=0,"",IF(COUNT(INDEX($G$1531:$G$2030,AB2200))=1,INDEX($G$1531:$G$2030,AB2200),"")))</f>
        <v>1</v>
      </c>
      <c r="M2200" s="1" t="str">
        <f t="shared" ca="1" si="68"/>
        <v>Listed</v>
      </c>
      <c r="N2200" s="1" t="str">
        <f t="shared" si="69"/>
        <v>Listed</v>
      </c>
      <c r="O2200" s="1">
        <f t="shared" si="70"/>
        <v>15</v>
      </c>
      <c r="P2200" s="1">
        <f t="shared" ca="1" si="71"/>
        <v>15</v>
      </c>
      <c r="Q2200" s="1">
        <f t="shared" si="72"/>
        <v>20</v>
      </c>
      <c r="R2200" s="1">
        <f t="shared" si="73"/>
        <v>5</v>
      </c>
      <c r="S2200" s="1">
        <f t="shared" ca="1" si="74"/>
        <v>55</v>
      </c>
      <c r="T2200" s="1">
        <f ca="1">IF(OR(COUNT(O2200:R2200)&lt;&gt;4,COUNT('Top 25'!$B$45:$E$45)&lt;&gt;4,MIN('Top 25'!$B$45:$E$45)&lt;0,SUM('Top 25'!$B$45:$E$45)&lt;=0),"",ROUND(85*(O2200/30*'Top 25'!$B$45+P2200/25*'Top 25'!$C$45+Q2200/25*'Top 25'!$D$45+R2200/5*'Top 25'!$E$45)/SUM('Top 25'!$B$45:$E$45),6))</f>
        <v>55</v>
      </c>
      <c r="U2200" s="1" t="str">
        <f t="shared" ca="1" si="75"/>
        <v>Listed</v>
      </c>
      <c r="V2200" s="1" t="str">
        <f ca="1">IF(A2200="","",IF(AK2200&lt;&gt;1,"Duplicate source ID",IF(COUNTIFS('Staff Review'!$A$8:$A$507,A2200)&gt;1,"Duplicate review ID",IF(H2200&lt;&gt;"Yes","Outside scope",IF(J2200="Yes","Already served",IF(NOT(ISNUMBER(T2200)),"Missing data","Candidate"))))))</f>
        <v>Candidate</v>
      </c>
      <c r="W2200" s="1">
        <f t="shared" ca="1" si="76"/>
        <v>30</v>
      </c>
      <c r="X2200" s="1">
        <f t="shared" ca="1" si="77"/>
        <v>24</v>
      </c>
      <c r="Y2200" s="1">
        <f ca="1">IF(AND(H2200="Yes",OR(LEN('School Search'!$B$5)=0,ISNUMBER(SEARCH('School Search'!$B$5,B2200&amp;" "&amp;E2200&amp;" "&amp;A2200))),OR('School Search'!$D$5="All",C2200='School Search'!$D$5),OR('School Search'!$G$5="All eligible",AND('School Search'!$G$5="Not marked served",J2200&lt;&gt;"Yes"),AND('School Search'!$G$5="Missing data",V2200="Missing data"),AND('School Search'!$G$5="Marked served",J2200="Yes"))),1,0)</f>
        <v>1</v>
      </c>
      <c r="Z2200" s="1">
        <f ca="1">IF(Y2200=0,"",COUNTIFS($Y$2051:$Y$2550,1,$AO$2051:$AO$2550,"&lt;"&amp;AO2200)+COUNTIFS($Y$2051:Y2200,1,$AO$2051:AO2200,AO2200))</f>
        <v>30</v>
      </c>
      <c r="AA2200" s="1" t="str">
        <f t="shared" ca="1" si="78"/>
        <v>68% economic need; 0.57 mi fresh access; 1 nearby resources</v>
      </c>
      <c r="AB2200" s="1">
        <f t="shared" si="79"/>
        <v>150</v>
      </c>
      <c r="AC2200" s="1" t="str">
        <f t="shared" si="80"/>
        <v>ALDI 60191</v>
      </c>
      <c r="AD2200" s="1" t="str">
        <f t="shared" si="81"/>
        <v>12002 Roosevelt Blvd, Philadelphia, PA, 19116</v>
      </c>
      <c r="AE2200" s="1" t="str">
        <f t="shared" si="82"/>
        <v>1 CROWN WAY</v>
      </c>
      <c r="AF2200" s="1">
        <f t="shared" si="83"/>
        <v>40.109575</v>
      </c>
      <c r="AG2200" s="1">
        <f t="shared" si="84"/>
        <v>-74.991670999999997</v>
      </c>
      <c r="AH2200" s="1" t="str">
        <f>IF(I2200=0,"Not contacted",IF(INDEX('Staff Review'!$J$8:$J$507,I2200)="","Not contacted",INDEX('Staff Review'!$J$8:$J$507,I2200)))</f>
        <v>Not contacted</v>
      </c>
      <c r="AI2200" s="1" t="str">
        <f ca="1">IF(I2200=0,"No",IF(AND(COUNT(INDEX('Staff Review'!$D$8:$D$507,I2200))=1,INDEX('Staff Review'!$D$8:$D$507,I2200)&gt;=0,COUNT(INDEX('Staff Review'!$E$8:$E$507,I2200))=1,INDEX('Staff Review'!$E$8:$E$507,I2200)&gt;0,INDEX('Staff Review'!$E$8:$E$507,I2200)&lt;='Top 25'!$E$5,'Top 25'!$E$5-INDEX('Staff Review'!$E$8:$E$507,I2200)&lt;='Top 25'!$H$5,LEN(INDEX('Staff Review'!$H$8:$H$507,I2200))&gt;0),"Yes","No"))</f>
        <v>No</v>
      </c>
      <c r="AJ2200" s="1" t="str">
        <f>IF(I2200=0,"No",IF(COUNT(INDEX('Staff Review'!$F$8:$F$507,I2200))&lt;&gt;1,"No",IF(AND(INDEX('Staff Review'!$F$8:$F$507,I2200)&gt;=0,MOD(INDEX('Staff Review'!$F$8:$F$507,I2200),1)=0,COUNT(INDEX('Staff Review'!$G$8:$G$507,I2200))=1,INDEX('Staff Review'!$G$8:$G$507,I2200)&gt;0,INDEX('Staff Review'!$G$8:$G$507,I2200)&lt;='Top 25'!$E$5,'Top 25'!$E$5-INDEX('Staff Review'!$G$8:$G$507,I2200)&lt;='Top 25'!$H$5,LEN(INDEX('Staff Review'!$H$8:$H$507,I2200))&gt;0),"Yes","No")))</f>
        <v>No</v>
      </c>
      <c r="AK2200" s="1">
        <f t="shared" si="85"/>
        <v>1</v>
      </c>
      <c r="AL2200" s="1">
        <f t="shared" ca="1" si="86"/>
        <v>1</v>
      </c>
      <c r="AM2200" s="1">
        <f t="shared" si="87"/>
        <v>3445</v>
      </c>
      <c r="AN2200" s="1">
        <f t="shared" si="88"/>
        <v>150</v>
      </c>
      <c r="AO2200">
        <f t="shared" ca="1" si="89"/>
        <v>30</v>
      </c>
      <c r="AP2200" s="105">
        <f ca="1">IF(AND(AL2200=1,OR('Top 25'!$A$10="All",C2200='Top 25'!$A$10),OR('Top 25'!$D$10="All",D2200='Top 25'!$D$10)),1,0)</f>
        <v>0</v>
      </c>
      <c r="AQ2200" s="105" t="str">
        <f ca="1">IF(AP2200=0,"",CHOOSE(MATCH('Top 25'!$G$10,{"Priority score","Economic need","Enrollment","Fresh miles","Nearby resources"},0),T2200,G2200,F2200,K2200,L2200))</f>
        <v/>
      </c>
      <c r="AR2200" s="105" t="str">
        <f ca="1">IF(AP2200=0,"",1+COUNTIFS($AP$2051:$AP$2550,1,$AQ$2051:$AQ$2550,IF('Top 25'!$J$10="Ascending","&lt;","&gt;")&amp;AQ2200)+COUNTIFS($AP$2051:$AP$2550,1,$AQ$2051:$AQ$2550,AQ2200,$W$2051:$W$2550,"&lt;"&amp;W2200))</f>
        <v/>
      </c>
      <c r="AT2200" s="105">
        <f ca="1">IF(AND(AL2200=1,OR(Master_rankableSchools!$A$10="All",C2200=Master_rankableSchools!$A$10),OR(Master_rankableSchools!$D$10="All",D2200=Master_rankableSchools!$D$10)),1,0)</f>
        <v>1</v>
      </c>
      <c r="AU2200" s="105">
        <f ca="1">IF(AT2200=0,"",CHOOSE(MATCH(Master_rankableSchools!$G$10,{"Priority score","Economic need","Enrollment","Fresh miles","Nearby resources"},0),T2200,G2200,F2200,K2200,L2200))</f>
        <v>55</v>
      </c>
      <c r="AV2200" s="105">
        <f ca="1">IF(AT2200=0,"",1+COUNTIFS($AT$2051:$AT$2550,1,$AU$2051:$AU$2550,IF(Master_rankableSchools!$J$10="Ascending","&lt;","&gt;")&amp;AU2200)+COUNTIFS($AT$2051:$AT$2550,1,$AU$2051:$AU$2550,AU2200,$W$2051:$W$2550,"&lt;"&amp;W2200))</f>
        <v>30</v>
      </c>
    </row>
    <row r="2201" spans="1:48" ht="22" customHeight="1">
      <c r="A2201" s="1" t="str">
        <f t="shared" si="60"/>
        <v>3446</v>
      </c>
      <c r="B2201" s="1" t="str">
        <f t="shared" si="61"/>
        <v>Philadelphia Hebrew Public Charter School</v>
      </c>
      <c r="C2201" s="1" t="str">
        <f t="shared" si="62"/>
        <v>Charter</v>
      </c>
      <c r="D2201" s="1" t="str">
        <f t="shared" si="63"/>
        <v>Elementary</v>
      </c>
      <c r="E2201" s="1" t="str">
        <f t="shared" si="64"/>
        <v>19129</v>
      </c>
      <c r="F2201" s="1">
        <f t="shared" si="65"/>
        <v>614</v>
      </c>
      <c r="G2201" s="1">
        <f t="shared" si="66"/>
        <v>0.78690000000000004</v>
      </c>
      <c r="H2201" s="1" t="str">
        <f t="shared" si="67"/>
        <v>Yes</v>
      </c>
      <c r="I2201" s="1">
        <f>IF(OR(A2201="",COUNTIFS('Staff Review'!$A$8:$A$507,A2201)&lt;&gt;1),0,MATCH(A2201,'Staff Review'!$A$8:$A$507,0))</f>
        <v>234</v>
      </c>
      <c r="J2201" s="1" t="str">
        <f>IF(I2201=0,"No",IF(INDEX('Staff Review'!$C$8:$C$507,I2201)="Yes","Yes","No"))</f>
        <v>No</v>
      </c>
      <c r="K2201" s="1">
        <f ca="1">IF(AI2201="Yes",INDEX('Staff Review'!$D$8:$D$507,I2201),IF(AB2201=0,"",IF(COUNT(INDEX($C$1531:$C$2030,AB2201))=1,INDEX($C$1531:$C$2030,AB2201),"")))</f>
        <v>0.4940020933208758</v>
      </c>
      <c r="L2201" s="1">
        <f>IF(AJ2201="Yes",INDEX('Staff Review'!$F$8:$F$507,I2201),IF(AB2201=0,"",IF(COUNT(INDEX($G$1531:$G$2030,AB2201))=1,INDEX($G$1531:$G$2030,AB2201),"")))</f>
        <v>3</v>
      </c>
      <c r="M2201" s="1" t="str">
        <f t="shared" ca="1" si="68"/>
        <v>Listed</v>
      </c>
      <c r="N2201" s="1" t="str">
        <f t="shared" si="69"/>
        <v>Listed</v>
      </c>
      <c r="O2201" s="1">
        <f t="shared" si="70"/>
        <v>20</v>
      </c>
      <c r="P2201" s="1">
        <f t="shared" ca="1" si="71"/>
        <v>10</v>
      </c>
      <c r="Q2201" s="1">
        <f t="shared" si="72"/>
        <v>10</v>
      </c>
      <c r="R2201" s="1">
        <f t="shared" si="73"/>
        <v>4</v>
      </c>
      <c r="S2201" s="1">
        <f t="shared" ca="1" si="74"/>
        <v>44</v>
      </c>
      <c r="T2201" s="1">
        <f ca="1">IF(OR(COUNT(O2201:R2201)&lt;&gt;4,COUNT('Top 25'!$B$45:$E$45)&lt;&gt;4,MIN('Top 25'!$B$45:$E$45)&lt;0,SUM('Top 25'!$B$45:$E$45)&lt;=0),"",ROUND(85*(O2201/30*'Top 25'!$B$45+P2201/25*'Top 25'!$C$45+Q2201/25*'Top 25'!$D$45+R2201/5*'Top 25'!$E$45)/SUM('Top 25'!$B$45:$E$45),6))</f>
        <v>44</v>
      </c>
      <c r="U2201" s="1" t="str">
        <f t="shared" ca="1" si="75"/>
        <v>Listed</v>
      </c>
      <c r="V2201" s="1" t="str">
        <f ca="1">IF(A2201="","",IF(AK2201&lt;&gt;1,"Duplicate source ID",IF(COUNTIFS('Staff Review'!$A$8:$A$507,A2201)&gt;1,"Duplicate review ID",IF(H2201&lt;&gt;"Yes","Outside scope",IF(J2201="Yes","Already served",IF(NOT(ISNUMBER(T2201)),"Missing data","Candidate"))))))</f>
        <v>Candidate</v>
      </c>
      <c r="W2201" s="1">
        <f t="shared" ca="1" si="76"/>
        <v>88</v>
      </c>
      <c r="X2201" s="1">
        <f t="shared" ca="1" si="77"/>
        <v>81</v>
      </c>
      <c r="Y2201" s="1">
        <f ca="1">IF(AND(H2201="Yes",OR(LEN('School Search'!$B$5)=0,ISNUMBER(SEARCH('School Search'!$B$5,B2201&amp;" "&amp;E2201&amp;" "&amp;A2201))),OR('School Search'!$D$5="All",C2201='School Search'!$D$5),OR('School Search'!$G$5="All eligible",AND('School Search'!$G$5="Not marked served",J2201&lt;&gt;"Yes"),AND('School Search'!$G$5="Missing data",V2201="Missing data"),AND('School Search'!$G$5="Marked served",J2201="Yes"))),1,0)</f>
        <v>1</v>
      </c>
      <c r="Z2201" s="1">
        <f ca="1">IF(Y2201=0,"",COUNTIFS($Y$2051:$Y$2550,1,$AO$2051:$AO$2550,"&lt;"&amp;AO2201)+COUNTIFS($Y$2051:Y2201,1,$AO$2051:AO2201,AO2201))</f>
        <v>88</v>
      </c>
      <c r="AA2201" s="1" t="str">
        <f t="shared" ca="1" si="78"/>
        <v>79% economic need; 0.49 mi fresh access; 3 nearby resources</v>
      </c>
      <c r="AB2201" s="1">
        <f t="shared" si="79"/>
        <v>151</v>
      </c>
      <c r="AC2201" s="1" t="str">
        <f t="shared" si="80"/>
        <v>Shoprite of Fox Street 430</v>
      </c>
      <c r="AD2201" s="1" t="str">
        <f t="shared" si="81"/>
        <v>2800 Fox Street, Philadelphia, PA, 19129</v>
      </c>
      <c r="AE2201" s="1" t="str">
        <f t="shared" si="82"/>
        <v>3300 HENRY AVE</v>
      </c>
      <c r="AF2201" s="1">
        <f t="shared" si="83"/>
        <v>40.012045000000001</v>
      </c>
      <c r="AG2201" s="1">
        <f t="shared" si="84"/>
        <v>-75.184376</v>
      </c>
      <c r="AH2201" s="1" t="str">
        <f>IF(I2201=0,"Not contacted",IF(INDEX('Staff Review'!$J$8:$J$507,I2201)="","Not contacted",INDEX('Staff Review'!$J$8:$J$507,I2201)))</f>
        <v>Not contacted</v>
      </c>
      <c r="AI2201" s="1" t="str">
        <f ca="1">IF(I2201=0,"No",IF(AND(COUNT(INDEX('Staff Review'!$D$8:$D$507,I2201))=1,INDEX('Staff Review'!$D$8:$D$507,I2201)&gt;=0,COUNT(INDEX('Staff Review'!$E$8:$E$507,I2201))=1,INDEX('Staff Review'!$E$8:$E$507,I2201)&gt;0,INDEX('Staff Review'!$E$8:$E$507,I2201)&lt;='Top 25'!$E$5,'Top 25'!$E$5-INDEX('Staff Review'!$E$8:$E$507,I2201)&lt;='Top 25'!$H$5,LEN(INDEX('Staff Review'!$H$8:$H$507,I2201))&gt;0),"Yes","No"))</f>
        <v>No</v>
      </c>
      <c r="AJ2201" s="1" t="str">
        <f>IF(I2201=0,"No",IF(COUNT(INDEX('Staff Review'!$F$8:$F$507,I2201))&lt;&gt;1,"No",IF(AND(INDEX('Staff Review'!$F$8:$F$507,I2201)&gt;=0,MOD(INDEX('Staff Review'!$F$8:$F$507,I2201),1)=0,COUNT(INDEX('Staff Review'!$G$8:$G$507,I2201))=1,INDEX('Staff Review'!$G$8:$G$507,I2201)&gt;0,INDEX('Staff Review'!$G$8:$G$507,I2201)&lt;='Top 25'!$E$5,'Top 25'!$E$5-INDEX('Staff Review'!$G$8:$G$507,I2201)&lt;='Top 25'!$H$5,LEN(INDEX('Staff Review'!$H$8:$H$507,I2201))&gt;0),"Yes","No")))</f>
        <v>No</v>
      </c>
      <c r="AK2201" s="1">
        <f t="shared" si="85"/>
        <v>1</v>
      </c>
      <c r="AL2201" s="1">
        <f t="shared" ca="1" si="86"/>
        <v>1</v>
      </c>
      <c r="AM2201" s="1">
        <f t="shared" si="87"/>
        <v>3446</v>
      </c>
      <c r="AN2201" s="1">
        <f t="shared" si="88"/>
        <v>151</v>
      </c>
      <c r="AO2201">
        <f t="shared" ca="1" si="89"/>
        <v>88</v>
      </c>
      <c r="AP2201" s="105">
        <f ca="1">IF(AND(AL2201=1,OR('Top 25'!$A$10="All",C2201='Top 25'!$A$10),OR('Top 25'!$D$10="All",D2201='Top 25'!$D$10)),1,0)</f>
        <v>0</v>
      </c>
      <c r="AQ2201" s="105" t="str">
        <f ca="1">IF(AP2201=0,"",CHOOSE(MATCH('Top 25'!$G$10,{"Priority score","Economic need","Enrollment","Fresh miles","Nearby resources"},0),T2201,G2201,F2201,K2201,L2201))</f>
        <v/>
      </c>
      <c r="AR2201" s="105" t="str">
        <f ca="1">IF(AP2201=0,"",1+COUNTIFS($AP$2051:$AP$2550,1,$AQ$2051:$AQ$2550,IF('Top 25'!$J$10="Ascending","&lt;","&gt;")&amp;AQ2201)+COUNTIFS($AP$2051:$AP$2550,1,$AQ$2051:$AQ$2550,AQ2201,$W$2051:$W$2550,"&lt;"&amp;W2201))</f>
        <v/>
      </c>
      <c r="AT2201" s="105">
        <f ca="1">IF(AND(AL2201=1,OR(Master_rankableSchools!$A$10="All",C2201=Master_rankableSchools!$A$10),OR(Master_rankableSchools!$D$10="All",D2201=Master_rankableSchools!$D$10)),1,0)</f>
        <v>1</v>
      </c>
      <c r="AU2201" s="105">
        <f ca="1">IF(AT2201=0,"",CHOOSE(MATCH(Master_rankableSchools!$G$10,{"Priority score","Economic need","Enrollment","Fresh miles","Nearby resources"},0),T2201,G2201,F2201,K2201,L2201))</f>
        <v>44</v>
      </c>
      <c r="AV2201" s="105">
        <f ca="1">IF(AT2201=0,"",1+COUNTIFS($AT$2051:$AT$2550,1,$AU$2051:$AU$2550,IF(Master_rankableSchools!$J$10="Ascending","&lt;","&gt;")&amp;AU2201)+COUNTIFS($AT$2051:$AT$2550,1,$AU$2051:$AU$2550,AU2201,$W$2051:$W$2550,"&lt;"&amp;W2201))</f>
        <v>88</v>
      </c>
    </row>
    <row r="2202" spans="1:48" ht="22" customHeight="1">
      <c r="A2202" s="1" t="str">
        <f t="shared" si="60"/>
        <v>3510</v>
      </c>
      <c r="B2202" s="1" t="str">
        <f t="shared" si="61"/>
        <v>El Centro de Estudiantes</v>
      </c>
      <c r="C2202" s="1" t="str">
        <f t="shared" si="62"/>
        <v>Contracted</v>
      </c>
      <c r="D2202" s="1" t="str">
        <f t="shared" si="63"/>
        <v>Transition/Overage School</v>
      </c>
      <c r="E2202" s="1" t="str">
        <f t="shared" si="64"/>
        <v>19134</v>
      </c>
      <c r="F2202" s="1">
        <f t="shared" si="65"/>
        <v>146</v>
      </c>
      <c r="G2202" s="1" t="str">
        <f t="shared" si="66"/>
        <v/>
      </c>
      <c r="H2202" s="1" t="str">
        <f t="shared" si="67"/>
        <v>No</v>
      </c>
      <c r="I2202" s="1">
        <f>IF(OR(A2202="",COUNTIFS('Staff Review'!$A$8:$A$507,A2202)&lt;&gt;1),0,MATCH(A2202,'Staff Review'!$A$8:$A$507,0))</f>
        <v>60</v>
      </c>
      <c r="J2202" s="1" t="str">
        <f>IF(I2202=0,"No",IF(INDEX('Staff Review'!$C$8:$C$507,I2202)="Yes","Yes","No"))</f>
        <v>No</v>
      </c>
      <c r="K2202" s="1">
        <f ca="1">IF(AI2202="Yes",INDEX('Staff Review'!$D$8:$D$507,I2202),IF(AB2202=0,"",IF(COUNT(INDEX($C$1531:$C$2030,AB2202))=1,INDEX($C$1531:$C$2030,AB2202),"")))</f>
        <v>0.45756944650038078</v>
      </c>
      <c r="L2202" s="1">
        <f>IF(AJ2202="Yes",INDEX('Staff Review'!$F$8:$F$507,I2202),IF(AB2202=0,"",IF(COUNT(INDEX($G$1531:$G$2030,AB2202))=1,INDEX($G$1531:$G$2030,AB2202),"")))</f>
        <v>7</v>
      </c>
      <c r="M2202" s="1" t="str">
        <f t="shared" ca="1" si="68"/>
        <v>Listed</v>
      </c>
      <c r="N2202" s="1" t="str">
        <f t="shared" si="69"/>
        <v>Listed</v>
      </c>
      <c r="O2202" s="1" t="str">
        <f t="shared" si="70"/>
        <v/>
      </c>
      <c r="P2202" s="1">
        <f t="shared" ca="1" si="71"/>
        <v>10</v>
      </c>
      <c r="Q2202" s="1">
        <f t="shared" si="72"/>
        <v>0</v>
      </c>
      <c r="R2202" s="1">
        <f t="shared" si="73"/>
        <v>1</v>
      </c>
      <c r="S2202" s="1" t="str">
        <f t="shared" ca="1" si="74"/>
        <v/>
      </c>
      <c r="T2202" s="1" t="str">
        <f ca="1">IF(OR(COUNT(O2202:R2202)&lt;&gt;4,COUNT('Top 25'!$B$45:$E$45)&lt;&gt;4,MIN('Top 25'!$B$45:$E$45)&lt;0,SUM('Top 25'!$B$45:$E$45)&lt;=0),"",ROUND(85*(O2202/30*'Top 25'!$B$45+P2202/25*'Top 25'!$C$45+Q2202/25*'Top 25'!$D$45+R2202/5*'Top 25'!$E$45)/SUM('Top 25'!$B$45:$E$45),6))</f>
        <v/>
      </c>
      <c r="U2202" s="1" t="str">
        <f t="shared" ca="1" si="75"/>
        <v>Listed</v>
      </c>
      <c r="V2202" s="1" t="str">
        <f>IF(A2202="","",IF(AK2202&lt;&gt;1,"Duplicate source ID",IF(COUNTIFS('Staff Review'!$A$8:$A$507,A2202)&gt;1,"Duplicate review ID",IF(H2202&lt;&gt;"Yes","Outside scope",IF(J2202="Yes","Already served",IF(NOT(ISNUMBER(T2202)),"Missing data","Candidate"))))))</f>
        <v>Outside scope</v>
      </c>
      <c r="W2202" s="1" t="str">
        <f t="shared" si="76"/>
        <v/>
      </c>
      <c r="X2202" s="1" t="str">
        <f t="shared" si="77"/>
        <v/>
      </c>
      <c r="Y2202" s="1">
        <f>IF(AND(H2202="Yes",OR(LEN('School Search'!$B$5)=0,ISNUMBER(SEARCH('School Search'!$B$5,B2202&amp;" "&amp;E2202&amp;" "&amp;A2202))),OR('School Search'!$D$5="All",C2202='School Search'!$D$5),OR('School Search'!$G$5="All eligible",AND('School Search'!$G$5="Not marked served",J2202&lt;&gt;"Yes"),AND('School Search'!$G$5="Missing data",V2202="Missing data"),AND('School Search'!$G$5="Marked served",J2202="Yes"))),1,0)</f>
        <v>0</v>
      </c>
      <c r="Z2202" s="1" t="str">
        <f>IF(Y2202=0,"",COUNTIFS($Y$2051:$Y$2550,1,$AO$2051:$AO$2550,"&lt;"&amp;AO2202)+COUNTIFS($Y$2051:Y2202,1,$AO$2051:AO2202,AO2202))</f>
        <v/>
      </c>
      <c r="AA2202" s="1" t="str">
        <f t="shared" ca="1" si="78"/>
        <v>Missing demographic or access input</v>
      </c>
      <c r="AB2202" s="1">
        <f t="shared" si="79"/>
        <v>152</v>
      </c>
      <c r="AC2202" s="1" t="str">
        <f t="shared" si="80"/>
        <v>ALDI 60205</v>
      </c>
      <c r="AD2202" s="1" t="str">
        <f t="shared" si="81"/>
        <v>3500 Aramingo Ave, Philadelphia, PA, 19134</v>
      </c>
      <c r="AE2202" s="1" t="str">
        <f t="shared" si="82"/>
        <v>3360 FRANKFORD AVE</v>
      </c>
      <c r="AF2202" s="1">
        <f t="shared" si="83"/>
        <v>39.995608949999998</v>
      </c>
      <c r="AG2202" s="1">
        <f t="shared" si="84"/>
        <v>-75.106616990000006</v>
      </c>
      <c r="AH2202" s="1" t="str">
        <f>IF(I2202=0,"Not contacted",IF(INDEX('Staff Review'!$J$8:$J$507,I2202)="","Not contacted",INDEX('Staff Review'!$J$8:$J$507,I2202)))</f>
        <v>Not contacted</v>
      </c>
      <c r="AI2202" s="1" t="str">
        <f ca="1">IF(I2202=0,"No",IF(AND(COUNT(INDEX('Staff Review'!$D$8:$D$507,I2202))=1,INDEX('Staff Review'!$D$8:$D$507,I2202)&gt;=0,COUNT(INDEX('Staff Review'!$E$8:$E$507,I2202))=1,INDEX('Staff Review'!$E$8:$E$507,I2202)&gt;0,INDEX('Staff Review'!$E$8:$E$507,I2202)&lt;='Top 25'!$E$5,'Top 25'!$E$5-INDEX('Staff Review'!$E$8:$E$507,I2202)&lt;='Top 25'!$H$5,LEN(INDEX('Staff Review'!$H$8:$H$507,I2202))&gt;0),"Yes","No"))</f>
        <v>No</v>
      </c>
      <c r="AJ2202" s="1" t="str">
        <f>IF(I2202=0,"No",IF(COUNT(INDEX('Staff Review'!$F$8:$F$507,I2202))&lt;&gt;1,"No",IF(AND(INDEX('Staff Review'!$F$8:$F$507,I2202)&gt;=0,MOD(INDEX('Staff Review'!$F$8:$F$507,I2202),1)=0,COUNT(INDEX('Staff Review'!$G$8:$G$507,I2202))=1,INDEX('Staff Review'!$G$8:$G$507,I2202)&gt;0,INDEX('Staff Review'!$G$8:$G$507,I2202)&lt;='Top 25'!$E$5,'Top 25'!$E$5-INDEX('Staff Review'!$G$8:$G$507,I2202)&lt;='Top 25'!$H$5,LEN(INDEX('Staff Review'!$H$8:$H$507,I2202))&gt;0),"Yes","No")))</f>
        <v>No</v>
      </c>
      <c r="AK2202" s="1">
        <f t="shared" si="85"/>
        <v>1</v>
      </c>
      <c r="AL2202" s="1">
        <f t="shared" si="86"/>
        <v>0</v>
      </c>
      <c r="AM2202" s="1">
        <f t="shared" si="87"/>
        <v>3510</v>
      </c>
      <c r="AN2202" s="1">
        <f t="shared" si="88"/>
        <v>152</v>
      </c>
      <c r="AO2202">
        <f t="shared" si="89"/>
        <v>13510</v>
      </c>
      <c r="AP2202" s="105">
        <f>IF(AND(AL2202=1,OR('Top 25'!$A$10="All",C2202='Top 25'!$A$10),OR('Top 25'!$D$10="All",D2202='Top 25'!$D$10)),1,0)</f>
        <v>0</v>
      </c>
      <c r="AQ2202" s="105" t="str">
        <f>IF(AP2202=0,"",CHOOSE(MATCH('Top 25'!$G$10,{"Priority score","Economic need","Enrollment","Fresh miles","Nearby resources"},0),T2202,G2202,F2202,K2202,L2202))</f>
        <v/>
      </c>
      <c r="AR2202" s="105" t="str">
        <f>IF(AP2202=0,"",1+COUNTIFS($AP$2051:$AP$2550,1,$AQ$2051:$AQ$2550,IF('Top 25'!$J$10="Ascending","&lt;","&gt;")&amp;AQ2202)+COUNTIFS($AP$2051:$AP$2550,1,$AQ$2051:$AQ$2550,AQ2202,$W$2051:$W$2550,"&lt;"&amp;W2202))</f>
        <v/>
      </c>
      <c r="AT2202" s="105">
        <f>IF(AND(AL2202=1,OR(Master_rankableSchools!$A$10="All",C2202=Master_rankableSchools!$A$10),OR(Master_rankableSchools!$D$10="All",D2202=Master_rankableSchools!$D$10)),1,0)</f>
        <v>0</v>
      </c>
      <c r="AU2202" s="105" t="str">
        <f>IF(AT2202=0,"",CHOOSE(MATCH(Master_rankableSchools!$G$10,{"Priority score","Economic need","Enrollment","Fresh miles","Nearby resources"},0),T2202,G2202,F2202,K2202,L2202))</f>
        <v/>
      </c>
      <c r="AV2202" s="105" t="str">
        <f>IF(AT2202=0,"",1+COUNTIFS($AT$2051:$AT$2550,1,$AU$2051:$AU$2550,IF(Master_rankableSchools!$J$10="Ascending","&lt;","&gt;")&amp;AU2202)+COUNTIFS($AT$2051:$AT$2550,1,$AU$2051:$AU$2550,AU2202,$W$2051:$W$2550,"&lt;"&amp;W2202))</f>
        <v/>
      </c>
    </row>
    <row r="2203" spans="1:48" ht="22" customHeight="1">
      <c r="A2203" s="1" t="str">
        <f t="shared" si="60"/>
        <v>3810</v>
      </c>
      <c r="B2203" s="1" t="str">
        <f t="shared" si="61"/>
        <v>One Bright Ray - Elmwood</v>
      </c>
      <c r="C2203" s="1" t="str">
        <f t="shared" si="62"/>
        <v>Contracted</v>
      </c>
      <c r="D2203" s="1" t="str">
        <f t="shared" si="63"/>
        <v>Transition/Overage School</v>
      </c>
      <c r="E2203" s="1" t="str">
        <f t="shared" si="64"/>
        <v>19142</v>
      </c>
      <c r="F2203" s="1">
        <f t="shared" si="65"/>
        <v>102</v>
      </c>
      <c r="G2203" s="1" t="str">
        <f t="shared" si="66"/>
        <v/>
      </c>
      <c r="H2203" s="1" t="str">
        <f t="shared" si="67"/>
        <v>No</v>
      </c>
      <c r="I2203" s="1">
        <f>IF(OR(A2203="",COUNTIFS('Staff Review'!$A$8:$A$507,A2203)&lt;&gt;1),0,MATCH(A2203,'Staff Review'!$A$8:$A$507,0))</f>
        <v>213</v>
      </c>
      <c r="J2203" s="1" t="str">
        <f>IF(I2203=0,"No",IF(INDEX('Staff Review'!$C$8:$C$507,I2203)="Yes","Yes","No"))</f>
        <v>No</v>
      </c>
      <c r="K2203" s="1">
        <f ca="1">IF(AI2203="Yes",INDEX('Staff Review'!$D$8:$D$507,I2203),IF(AB2203=0,"",IF(COUNT(INDEX($C$1531:$C$2030,AB2203))=1,INDEX($C$1531:$C$2030,AB2203),"")))</f>
        <v>0.36299937586084763</v>
      </c>
      <c r="L2203" s="1">
        <f>IF(AJ2203="Yes",INDEX('Staff Review'!$F$8:$F$507,I2203),IF(AB2203=0,"",IF(COUNT(INDEX($G$1531:$G$2030,AB2203))=1,INDEX($G$1531:$G$2030,AB2203),"")))</f>
        <v>5</v>
      </c>
      <c r="M2203" s="1" t="str">
        <f t="shared" ca="1" si="68"/>
        <v>Listed</v>
      </c>
      <c r="N2203" s="1" t="str">
        <f t="shared" si="69"/>
        <v>Listed</v>
      </c>
      <c r="O2203" s="1" t="str">
        <f t="shared" si="70"/>
        <v/>
      </c>
      <c r="P2203" s="1">
        <f t="shared" ca="1" si="71"/>
        <v>10</v>
      </c>
      <c r="Q2203" s="1">
        <f t="shared" si="72"/>
        <v>0</v>
      </c>
      <c r="R2203" s="1">
        <f t="shared" si="73"/>
        <v>1</v>
      </c>
      <c r="S2203" s="1" t="str">
        <f t="shared" ca="1" si="74"/>
        <v/>
      </c>
      <c r="T2203" s="1" t="str">
        <f ca="1">IF(OR(COUNT(O2203:R2203)&lt;&gt;4,COUNT('Top 25'!$B$45:$E$45)&lt;&gt;4,MIN('Top 25'!$B$45:$E$45)&lt;0,SUM('Top 25'!$B$45:$E$45)&lt;=0),"",ROUND(85*(O2203/30*'Top 25'!$B$45+P2203/25*'Top 25'!$C$45+Q2203/25*'Top 25'!$D$45+R2203/5*'Top 25'!$E$45)/SUM('Top 25'!$B$45:$E$45),6))</f>
        <v/>
      </c>
      <c r="U2203" s="1" t="str">
        <f t="shared" ca="1" si="75"/>
        <v>Listed</v>
      </c>
      <c r="V2203" s="1" t="str">
        <f>IF(A2203="","",IF(AK2203&lt;&gt;1,"Duplicate source ID",IF(COUNTIFS('Staff Review'!$A$8:$A$507,A2203)&gt;1,"Duplicate review ID",IF(H2203&lt;&gt;"Yes","Outside scope",IF(J2203="Yes","Already served",IF(NOT(ISNUMBER(T2203)),"Missing data","Candidate"))))))</f>
        <v>Outside scope</v>
      </c>
      <c r="W2203" s="1" t="str">
        <f t="shared" si="76"/>
        <v/>
      </c>
      <c r="X2203" s="1" t="str">
        <f t="shared" si="77"/>
        <v/>
      </c>
      <c r="Y2203" s="1">
        <f>IF(AND(H2203="Yes",OR(LEN('School Search'!$B$5)=0,ISNUMBER(SEARCH('School Search'!$B$5,B2203&amp;" "&amp;E2203&amp;" "&amp;A2203))),OR('School Search'!$D$5="All",C2203='School Search'!$D$5),OR('School Search'!$G$5="All eligible",AND('School Search'!$G$5="Not marked served",J2203&lt;&gt;"Yes"),AND('School Search'!$G$5="Missing data",V2203="Missing data"),AND('School Search'!$G$5="Marked served",J2203="Yes"))),1,0)</f>
        <v>0</v>
      </c>
      <c r="Z2203" s="1" t="str">
        <f>IF(Y2203=0,"",COUNTIFS($Y$2051:$Y$2550,1,$AO$2051:$AO$2550,"&lt;"&amp;AO2203)+COUNTIFS($Y$2051:Y2203,1,$AO$2051:AO2203,AO2203))</f>
        <v/>
      </c>
      <c r="AA2203" s="1" t="str">
        <f t="shared" ca="1" si="78"/>
        <v>Missing demographic or access input</v>
      </c>
      <c r="AB2203" s="1">
        <f t="shared" si="79"/>
        <v>153</v>
      </c>
      <c r="AC2203" s="1" t="str">
        <f t="shared" si="80"/>
        <v>Cousin's Fresh Market Inc</v>
      </c>
      <c r="AD2203" s="1" t="str">
        <f t="shared" si="81"/>
        <v>6411 Woodland Ave, Philadelphia, PA, 19142</v>
      </c>
      <c r="AE2203" s="1" t="str">
        <f t="shared" si="82"/>
        <v>6404 ELMWOOD AVE</v>
      </c>
      <c r="AF2203" s="1">
        <f t="shared" si="83"/>
        <v>39.922515910000001</v>
      </c>
      <c r="AG2203" s="1">
        <f t="shared" si="84"/>
        <v>-75.229084929999999</v>
      </c>
      <c r="AH2203" s="1" t="str">
        <f>IF(I2203=0,"Not contacted",IF(INDEX('Staff Review'!$J$8:$J$507,I2203)="","Not contacted",INDEX('Staff Review'!$J$8:$J$507,I2203)))</f>
        <v>Not contacted</v>
      </c>
      <c r="AI2203" s="1" t="str">
        <f ca="1">IF(I2203=0,"No",IF(AND(COUNT(INDEX('Staff Review'!$D$8:$D$507,I2203))=1,INDEX('Staff Review'!$D$8:$D$507,I2203)&gt;=0,COUNT(INDEX('Staff Review'!$E$8:$E$507,I2203))=1,INDEX('Staff Review'!$E$8:$E$507,I2203)&gt;0,INDEX('Staff Review'!$E$8:$E$507,I2203)&lt;='Top 25'!$E$5,'Top 25'!$E$5-INDEX('Staff Review'!$E$8:$E$507,I2203)&lt;='Top 25'!$H$5,LEN(INDEX('Staff Review'!$H$8:$H$507,I2203))&gt;0),"Yes","No"))</f>
        <v>No</v>
      </c>
      <c r="AJ2203" s="1" t="str">
        <f>IF(I2203=0,"No",IF(COUNT(INDEX('Staff Review'!$F$8:$F$507,I2203))&lt;&gt;1,"No",IF(AND(INDEX('Staff Review'!$F$8:$F$507,I2203)&gt;=0,MOD(INDEX('Staff Review'!$F$8:$F$507,I2203),1)=0,COUNT(INDEX('Staff Review'!$G$8:$G$507,I2203))=1,INDEX('Staff Review'!$G$8:$G$507,I2203)&gt;0,INDEX('Staff Review'!$G$8:$G$507,I2203)&lt;='Top 25'!$E$5,'Top 25'!$E$5-INDEX('Staff Review'!$G$8:$G$507,I2203)&lt;='Top 25'!$H$5,LEN(INDEX('Staff Review'!$H$8:$H$507,I2203))&gt;0),"Yes","No")))</f>
        <v>No</v>
      </c>
      <c r="AK2203" s="1">
        <f t="shared" si="85"/>
        <v>1</v>
      </c>
      <c r="AL2203" s="1">
        <f t="shared" si="86"/>
        <v>0</v>
      </c>
      <c r="AM2203" s="1">
        <f t="shared" si="87"/>
        <v>3810</v>
      </c>
      <c r="AN2203" s="1">
        <f t="shared" si="88"/>
        <v>153</v>
      </c>
      <c r="AO2203">
        <f t="shared" si="89"/>
        <v>13810</v>
      </c>
      <c r="AP2203" s="105">
        <f>IF(AND(AL2203=1,OR('Top 25'!$A$10="All",C2203='Top 25'!$A$10),OR('Top 25'!$D$10="All",D2203='Top 25'!$D$10)),1,0)</f>
        <v>0</v>
      </c>
      <c r="AQ2203" s="105" t="str">
        <f>IF(AP2203=0,"",CHOOSE(MATCH('Top 25'!$G$10,{"Priority score","Economic need","Enrollment","Fresh miles","Nearby resources"},0),T2203,G2203,F2203,K2203,L2203))</f>
        <v/>
      </c>
      <c r="AR2203" s="105" t="str">
        <f>IF(AP2203=0,"",1+COUNTIFS($AP$2051:$AP$2550,1,$AQ$2051:$AQ$2550,IF('Top 25'!$J$10="Ascending","&lt;","&gt;")&amp;AQ2203)+COUNTIFS($AP$2051:$AP$2550,1,$AQ$2051:$AQ$2550,AQ2203,$W$2051:$W$2550,"&lt;"&amp;W2203))</f>
        <v/>
      </c>
      <c r="AT2203" s="105">
        <f>IF(AND(AL2203=1,OR(Master_rankableSchools!$A$10="All",C2203=Master_rankableSchools!$A$10),OR(Master_rankableSchools!$D$10="All",D2203=Master_rankableSchools!$D$10)),1,0)</f>
        <v>0</v>
      </c>
      <c r="AU2203" s="105" t="str">
        <f>IF(AT2203=0,"",CHOOSE(MATCH(Master_rankableSchools!$G$10,{"Priority score","Economic need","Enrollment","Fresh miles","Nearby resources"},0),T2203,G2203,F2203,K2203,L2203))</f>
        <v/>
      </c>
      <c r="AV2203" s="105" t="str">
        <f>IF(AT2203=0,"",1+COUNTIFS($AT$2051:$AT$2550,1,$AU$2051:$AU$2550,IF(Master_rankableSchools!$J$10="Ascending","&lt;","&gt;")&amp;AU2203)+COUNTIFS($AT$2051:$AT$2550,1,$AU$2051:$AU$2550,AU2203,$W$2051:$W$2550,"&lt;"&amp;W2203))</f>
        <v/>
      </c>
    </row>
    <row r="2204" spans="1:48" ht="22" customHeight="1">
      <c r="A2204" s="1" t="str">
        <f t="shared" si="60"/>
        <v>3820</v>
      </c>
      <c r="B2204" s="1" t="str">
        <f t="shared" si="61"/>
        <v>Achieve Academy of Philadelphia - East Campus</v>
      </c>
      <c r="C2204" s="1" t="str">
        <f t="shared" si="62"/>
        <v>Contracted</v>
      </c>
      <c r="D2204" s="1" t="str">
        <f t="shared" si="63"/>
        <v>Transition/Overage School</v>
      </c>
      <c r="E2204" s="1" t="str">
        <f t="shared" si="64"/>
        <v>19140</v>
      </c>
      <c r="F2204" s="1">
        <f t="shared" si="65"/>
        <v>46</v>
      </c>
      <c r="G2204" s="1" t="str">
        <f t="shared" si="66"/>
        <v/>
      </c>
      <c r="H2204" s="1" t="str">
        <f t="shared" si="67"/>
        <v>No</v>
      </c>
      <c r="I2204" s="1">
        <f>IF(OR(A2204="",COUNTIFS('Staff Review'!$A$8:$A$507,A2204)&lt;&gt;1),0,MATCH(A2204,'Staff Review'!$A$8:$A$507,0))</f>
        <v>7</v>
      </c>
      <c r="J2204" s="1" t="str">
        <f>IF(I2204=0,"No",IF(INDEX('Staff Review'!$C$8:$C$507,I2204)="Yes","Yes","No"))</f>
        <v>No</v>
      </c>
      <c r="K2204" s="1">
        <f ca="1">IF(AI2204="Yes",INDEX('Staff Review'!$D$8:$D$507,I2204),IF(AB2204=0,"",IF(COUNT(INDEX($C$1531:$C$2030,AB2204))=1,INDEX($C$1531:$C$2030,AB2204),"")))</f>
        <v>0.51816367324305457</v>
      </c>
      <c r="L2204" s="1">
        <f>IF(AJ2204="Yes",INDEX('Staff Review'!$F$8:$F$507,I2204),IF(AB2204=0,"",IF(COUNT(INDEX($G$1531:$G$2030,AB2204))=1,INDEX($G$1531:$G$2030,AB2204),"")))</f>
        <v>10</v>
      </c>
      <c r="M2204" s="1" t="str">
        <f t="shared" ca="1" si="68"/>
        <v>Listed</v>
      </c>
      <c r="N2204" s="1" t="str">
        <f t="shared" si="69"/>
        <v>Listed</v>
      </c>
      <c r="O2204" s="1" t="str">
        <f t="shared" si="70"/>
        <v/>
      </c>
      <c r="P2204" s="1">
        <f t="shared" ca="1" si="71"/>
        <v>15</v>
      </c>
      <c r="Q2204" s="1">
        <f t="shared" si="72"/>
        <v>0</v>
      </c>
      <c r="R2204" s="1">
        <f t="shared" si="73"/>
        <v>1</v>
      </c>
      <c r="S2204" s="1" t="str">
        <f t="shared" ca="1" si="74"/>
        <v/>
      </c>
      <c r="T2204" s="1" t="str">
        <f ca="1">IF(OR(COUNT(O2204:R2204)&lt;&gt;4,COUNT('Top 25'!$B$45:$E$45)&lt;&gt;4,MIN('Top 25'!$B$45:$E$45)&lt;0,SUM('Top 25'!$B$45:$E$45)&lt;=0),"",ROUND(85*(O2204/30*'Top 25'!$B$45+P2204/25*'Top 25'!$C$45+Q2204/25*'Top 25'!$D$45+R2204/5*'Top 25'!$E$45)/SUM('Top 25'!$B$45:$E$45),6))</f>
        <v/>
      </c>
      <c r="U2204" s="1" t="str">
        <f t="shared" ca="1" si="75"/>
        <v>Listed</v>
      </c>
      <c r="V2204" s="1" t="str">
        <f>IF(A2204="","",IF(AK2204&lt;&gt;1,"Duplicate source ID",IF(COUNTIFS('Staff Review'!$A$8:$A$507,A2204)&gt;1,"Duplicate review ID",IF(H2204&lt;&gt;"Yes","Outside scope",IF(J2204="Yes","Already served",IF(NOT(ISNUMBER(T2204)),"Missing data","Candidate"))))))</f>
        <v>Outside scope</v>
      </c>
      <c r="W2204" s="1" t="str">
        <f t="shared" si="76"/>
        <v/>
      </c>
      <c r="X2204" s="1" t="str">
        <f t="shared" si="77"/>
        <v/>
      </c>
      <c r="Y2204" s="1">
        <f>IF(AND(H2204="Yes",OR(LEN('School Search'!$B$5)=0,ISNUMBER(SEARCH('School Search'!$B$5,B2204&amp;" "&amp;E2204&amp;" "&amp;A2204))),OR('School Search'!$D$5="All",C2204='School Search'!$D$5),OR('School Search'!$G$5="All eligible",AND('School Search'!$G$5="Not marked served",J2204&lt;&gt;"Yes"),AND('School Search'!$G$5="Missing data",V2204="Missing data"),AND('School Search'!$G$5="Marked served",J2204="Yes"))),1,0)</f>
        <v>0</v>
      </c>
      <c r="Z2204" s="1" t="str">
        <f>IF(Y2204=0,"",COUNTIFS($Y$2051:$Y$2550,1,$AO$2051:$AO$2550,"&lt;"&amp;AO2204)+COUNTIFS($Y$2051:Y2204,1,$AO$2051:AO2204,AO2204))</f>
        <v/>
      </c>
      <c r="AA2204" s="1" t="str">
        <f t="shared" ca="1" si="78"/>
        <v>Missing demographic or access input</v>
      </c>
      <c r="AB2204" s="1">
        <f t="shared" si="79"/>
        <v>154</v>
      </c>
      <c r="AC2204" s="1" t="str">
        <f t="shared" si="80"/>
        <v>COUSINS SUPERMARKET INC. #2</v>
      </c>
      <c r="AD2204" s="1" t="str">
        <f t="shared" si="81"/>
        <v>4037 N 5th St, Philadelphia, PA, 19140</v>
      </c>
      <c r="AE2204" s="1" t="str">
        <f t="shared" si="82"/>
        <v>4224 N FRONT ST</v>
      </c>
      <c r="AF2204" s="1">
        <f t="shared" si="83"/>
        <v>40.014255249999998</v>
      </c>
      <c r="AG2204" s="1">
        <f t="shared" si="84"/>
        <v>-75.125996790000002</v>
      </c>
      <c r="AH2204" s="1" t="str">
        <f>IF(I2204=0,"Not contacted",IF(INDEX('Staff Review'!$J$8:$J$507,I2204)="","Not contacted",INDEX('Staff Review'!$J$8:$J$507,I2204)))</f>
        <v>Not contacted</v>
      </c>
      <c r="AI2204" s="1" t="str">
        <f ca="1">IF(I2204=0,"No",IF(AND(COUNT(INDEX('Staff Review'!$D$8:$D$507,I2204))=1,INDEX('Staff Review'!$D$8:$D$507,I2204)&gt;=0,COUNT(INDEX('Staff Review'!$E$8:$E$507,I2204))=1,INDEX('Staff Review'!$E$8:$E$507,I2204)&gt;0,INDEX('Staff Review'!$E$8:$E$507,I2204)&lt;='Top 25'!$E$5,'Top 25'!$E$5-INDEX('Staff Review'!$E$8:$E$507,I2204)&lt;='Top 25'!$H$5,LEN(INDEX('Staff Review'!$H$8:$H$507,I2204))&gt;0),"Yes","No"))</f>
        <v>No</v>
      </c>
      <c r="AJ2204" s="1" t="str">
        <f>IF(I2204=0,"No",IF(COUNT(INDEX('Staff Review'!$F$8:$F$507,I2204))&lt;&gt;1,"No",IF(AND(INDEX('Staff Review'!$F$8:$F$507,I2204)&gt;=0,MOD(INDEX('Staff Review'!$F$8:$F$507,I2204),1)=0,COUNT(INDEX('Staff Review'!$G$8:$G$507,I2204))=1,INDEX('Staff Review'!$G$8:$G$507,I2204)&gt;0,INDEX('Staff Review'!$G$8:$G$507,I2204)&lt;='Top 25'!$E$5,'Top 25'!$E$5-INDEX('Staff Review'!$G$8:$G$507,I2204)&lt;='Top 25'!$H$5,LEN(INDEX('Staff Review'!$H$8:$H$507,I2204))&gt;0),"Yes","No")))</f>
        <v>No</v>
      </c>
      <c r="AK2204" s="1">
        <f t="shared" si="85"/>
        <v>1</v>
      </c>
      <c r="AL2204" s="1">
        <f t="shared" si="86"/>
        <v>0</v>
      </c>
      <c r="AM2204" s="1">
        <f t="shared" si="87"/>
        <v>3820</v>
      </c>
      <c r="AN2204" s="1">
        <f t="shared" si="88"/>
        <v>154</v>
      </c>
      <c r="AO2204">
        <f t="shared" si="89"/>
        <v>13820</v>
      </c>
      <c r="AP2204" s="105">
        <f>IF(AND(AL2204=1,OR('Top 25'!$A$10="All",C2204='Top 25'!$A$10),OR('Top 25'!$D$10="All",D2204='Top 25'!$D$10)),1,0)</f>
        <v>0</v>
      </c>
      <c r="AQ2204" s="105" t="str">
        <f>IF(AP2204=0,"",CHOOSE(MATCH('Top 25'!$G$10,{"Priority score","Economic need","Enrollment","Fresh miles","Nearby resources"},0),T2204,G2204,F2204,K2204,L2204))</f>
        <v/>
      </c>
      <c r="AR2204" s="105" t="str">
        <f>IF(AP2204=0,"",1+COUNTIFS($AP$2051:$AP$2550,1,$AQ$2051:$AQ$2550,IF('Top 25'!$J$10="Ascending","&lt;","&gt;")&amp;AQ2204)+COUNTIFS($AP$2051:$AP$2550,1,$AQ$2051:$AQ$2550,AQ2204,$W$2051:$W$2550,"&lt;"&amp;W2204))</f>
        <v/>
      </c>
      <c r="AT2204" s="105">
        <f>IF(AND(AL2204=1,OR(Master_rankableSchools!$A$10="All",C2204=Master_rankableSchools!$A$10),OR(Master_rankableSchools!$D$10="All",D2204=Master_rankableSchools!$D$10)),1,0)</f>
        <v>0</v>
      </c>
      <c r="AU2204" s="105" t="str">
        <f>IF(AT2204=0,"",CHOOSE(MATCH(Master_rankableSchools!$G$10,{"Priority score","Economic need","Enrollment","Fresh miles","Nearby resources"},0),T2204,G2204,F2204,K2204,L2204))</f>
        <v/>
      </c>
      <c r="AV2204" s="105" t="str">
        <f>IF(AT2204=0,"",1+COUNTIFS($AT$2051:$AT$2550,1,$AU$2051:$AU$2550,IF(Master_rankableSchools!$J$10="Ascending","&lt;","&gt;")&amp;AU2204)+COUNTIFS($AT$2051:$AT$2550,1,$AU$2051:$AU$2550,AU2204,$W$2051:$W$2550,"&lt;"&amp;W2204))</f>
        <v/>
      </c>
    </row>
    <row r="2205" spans="1:48" ht="22" customHeight="1">
      <c r="A2205" s="1" t="str">
        <f t="shared" si="60"/>
        <v>3850</v>
      </c>
      <c r="B2205" s="1" t="str">
        <f t="shared" si="61"/>
        <v>Northeast High School EOP</v>
      </c>
      <c r="C2205" s="1" t="str">
        <f t="shared" si="62"/>
        <v>District</v>
      </c>
      <c r="D2205" s="1" t="str">
        <f t="shared" si="63"/>
        <v>Transition/Overage School</v>
      </c>
      <c r="E2205" s="1" t="str">
        <f t="shared" si="64"/>
        <v>19111</v>
      </c>
      <c r="F2205" s="1">
        <f t="shared" si="65"/>
        <v>185</v>
      </c>
      <c r="G2205" s="1" t="str">
        <f t="shared" si="66"/>
        <v/>
      </c>
      <c r="H2205" s="1" t="str">
        <f t="shared" si="67"/>
        <v>Yes</v>
      </c>
      <c r="I2205" s="1">
        <f>IF(OR(A2205="",COUNTIFS('Staff Review'!$A$8:$A$507,A2205)&lt;&gt;1),0,MATCH(A2205,'Staff Review'!$A$8:$A$507,0))</f>
        <v>207</v>
      </c>
      <c r="J2205" s="1" t="str">
        <f>IF(I2205=0,"No",IF(INDEX('Staff Review'!$C$8:$C$507,I2205)="Yes","Yes","No"))</f>
        <v>No</v>
      </c>
      <c r="K2205" s="1">
        <f ca="1">IF(AI2205="Yes",INDEX('Staff Review'!$D$8:$D$507,I2205),IF(AB2205=0,"",IF(COUNT(INDEX($C$1531:$C$2030,AB2205))=1,INDEX($C$1531:$C$2030,AB2205),"")))</f>
        <v>0.38029979381130363</v>
      </c>
      <c r="L2205" s="1">
        <f>IF(AJ2205="Yes",INDEX('Staff Review'!$F$8:$F$507,I2205),IF(AB2205=0,"",IF(COUNT(INDEX($G$1531:$G$2030,AB2205))=1,INDEX($G$1531:$G$2030,AB2205),"")))</f>
        <v>0</v>
      </c>
      <c r="M2205" s="1" t="str">
        <f t="shared" ca="1" si="68"/>
        <v>Listed</v>
      </c>
      <c r="N2205" s="1" t="str">
        <f t="shared" si="69"/>
        <v>Listed</v>
      </c>
      <c r="O2205" s="1" t="str">
        <f t="shared" si="70"/>
        <v/>
      </c>
      <c r="P2205" s="1">
        <f t="shared" ca="1" si="71"/>
        <v>10</v>
      </c>
      <c r="Q2205" s="1">
        <f t="shared" si="72"/>
        <v>25</v>
      </c>
      <c r="R2205" s="1">
        <f t="shared" si="73"/>
        <v>1</v>
      </c>
      <c r="S2205" s="1" t="str">
        <f t="shared" ca="1" si="74"/>
        <v/>
      </c>
      <c r="T2205" s="1" t="str">
        <f ca="1">IF(OR(COUNT(O2205:R2205)&lt;&gt;4,COUNT('Top 25'!$B$45:$E$45)&lt;&gt;4,MIN('Top 25'!$B$45:$E$45)&lt;0,SUM('Top 25'!$B$45:$E$45)&lt;=0),"",ROUND(85*(O2205/30*'Top 25'!$B$45+P2205/25*'Top 25'!$C$45+Q2205/25*'Top 25'!$D$45+R2205/5*'Top 25'!$E$45)/SUM('Top 25'!$B$45:$E$45),6))</f>
        <v/>
      </c>
      <c r="U2205" s="1" t="str">
        <f t="shared" ca="1" si="75"/>
        <v>Listed</v>
      </c>
      <c r="V2205" s="1" t="str">
        <f ca="1">IF(A2205="","",IF(AK2205&lt;&gt;1,"Duplicate source ID",IF(COUNTIFS('Staff Review'!$A$8:$A$507,A2205)&gt;1,"Duplicate review ID",IF(H2205&lt;&gt;"Yes","Outside scope",IF(J2205="Yes","Already served",IF(NOT(ISNUMBER(T2205)),"Missing data","Candidate"))))))</f>
        <v>Missing data</v>
      </c>
      <c r="W2205" s="1" t="str">
        <f t="shared" ca="1" si="76"/>
        <v/>
      </c>
      <c r="X2205" s="1" t="str">
        <f t="shared" ca="1" si="77"/>
        <v/>
      </c>
      <c r="Y2205" s="1">
        <f ca="1">IF(AND(H2205="Yes",OR(LEN('School Search'!$B$5)=0,ISNUMBER(SEARCH('School Search'!$B$5,B2205&amp;" "&amp;E2205&amp;" "&amp;A2205))),OR('School Search'!$D$5="All",C2205='School Search'!$D$5),OR('School Search'!$G$5="All eligible",AND('School Search'!$G$5="Not marked served",J2205&lt;&gt;"Yes"),AND('School Search'!$G$5="Missing data",V2205="Missing data"),AND('School Search'!$G$5="Marked served",J2205="Yes"))),1,0)</f>
        <v>1</v>
      </c>
      <c r="Z2205" s="1">
        <f ca="1">IF(Y2205=0,"",COUNTIFS($Y$2051:$Y$2550,1,$AO$2051:$AO$2550,"&lt;"&amp;AO2205)+COUNTIFS($Y$2051:Y2205,1,$AO$2051:AO2205,AO2205))</f>
        <v>300</v>
      </c>
      <c r="AA2205" s="1" t="str">
        <f t="shared" ca="1" si="78"/>
        <v>Missing demographic or access input</v>
      </c>
      <c r="AB2205" s="1">
        <f t="shared" si="79"/>
        <v>155</v>
      </c>
      <c r="AC2205" s="1" t="str">
        <f t="shared" si="80"/>
        <v>Jumbo Meat Market</v>
      </c>
      <c r="AD2205" s="1" t="str">
        <f t="shared" si="81"/>
        <v>7322 Castor Ave, Philadelphia, PA, 19152</v>
      </c>
      <c r="AE2205" s="1" t="str">
        <f t="shared" si="82"/>
        <v>1601 COTTMAN AVE</v>
      </c>
      <c r="AF2205" s="1">
        <f t="shared" si="83"/>
        <v>40.055681</v>
      </c>
      <c r="AG2205" s="1">
        <f t="shared" si="84"/>
        <v>-75.071168</v>
      </c>
      <c r="AH2205" s="1" t="str">
        <f>IF(I2205=0,"Not contacted",IF(INDEX('Staff Review'!$J$8:$J$507,I2205)="","Not contacted",INDEX('Staff Review'!$J$8:$J$507,I2205)))</f>
        <v>Not contacted</v>
      </c>
      <c r="AI2205" s="1" t="str">
        <f ca="1">IF(I2205=0,"No",IF(AND(COUNT(INDEX('Staff Review'!$D$8:$D$507,I2205))=1,INDEX('Staff Review'!$D$8:$D$507,I2205)&gt;=0,COUNT(INDEX('Staff Review'!$E$8:$E$507,I2205))=1,INDEX('Staff Review'!$E$8:$E$507,I2205)&gt;0,INDEX('Staff Review'!$E$8:$E$507,I2205)&lt;='Top 25'!$E$5,'Top 25'!$E$5-INDEX('Staff Review'!$E$8:$E$507,I2205)&lt;='Top 25'!$H$5,LEN(INDEX('Staff Review'!$H$8:$H$507,I2205))&gt;0),"Yes","No"))</f>
        <v>No</v>
      </c>
      <c r="AJ2205" s="1" t="str">
        <f>IF(I2205=0,"No",IF(COUNT(INDEX('Staff Review'!$F$8:$F$507,I2205))&lt;&gt;1,"No",IF(AND(INDEX('Staff Review'!$F$8:$F$507,I2205)&gt;=0,MOD(INDEX('Staff Review'!$F$8:$F$507,I2205),1)=0,COUNT(INDEX('Staff Review'!$G$8:$G$507,I2205))=1,INDEX('Staff Review'!$G$8:$G$507,I2205)&gt;0,INDEX('Staff Review'!$G$8:$G$507,I2205)&lt;='Top 25'!$E$5,'Top 25'!$E$5-INDEX('Staff Review'!$G$8:$G$507,I2205)&lt;='Top 25'!$H$5,LEN(INDEX('Staff Review'!$H$8:$H$507,I2205))&gt;0),"Yes","No")))</f>
        <v>No</v>
      </c>
      <c r="AK2205" s="1">
        <f t="shared" si="85"/>
        <v>1</v>
      </c>
      <c r="AL2205" s="1">
        <f t="shared" ca="1" si="86"/>
        <v>0</v>
      </c>
      <c r="AM2205" s="1">
        <f t="shared" si="87"/>
        <v>3850</v>
      </c>
      <c r="AN2205" s="1">
        <f t="shared" si="88"/>
        <v>155</v>
      </c>
      <c r="AO2205">
        <f t="shared" ca="1" si="89"/>
        <v>13850</v>
      </c>
      <c r="AP2205" s="105">
        <f ca="1">IF(AND(AL2205=1,OR('Top 25'!$A$10="All",C2205='Top 25'!$A$10),OR('Top 25'!$D$10="All",D2205='Top 25'!$D$10)),1,0)</f>
        <v>0</v>
      </c>
      <c r="AQ2205" s="105" t="str">
        <f ca="1">IF(AP2205=0,"",CHOOSE(MATCH('Top 25'!$G$10,{"Priority score","Economic need","Enrollment","Fresh miles","Nearby resources"},0),T2205,G2205,F2205,K2205,L2205))</f>
        <v/>
      </c>
      <c r="AR2205" s="105" t="str">
        <f ca="1">IF(AP2205=0,"",1+COUNTIFS($AP$2051:$AP$2550,1,$AQ$2051:$AQ$2550,IF('Top 25'!$J$10="Ascending","&lt;","&gt;")&amp;AQ2205)+COUNTIFS($AP$2051:$AP$2550,1,$AQ$2051:$AQ$2550,AQ2205,$W$2051:$W$2550,"&lt;"&amp;W2205))</f>
        <v/>
      </c>
      <c r="AT2205" s="105">
        <f ca="1">IF(AND(AL2205=1,OR(Master_rankableSchools!$A$10="All",C2205=Master_rankableSchools!$A$10),OR(Master_rankableSchools!$D$10="All",D2205=Master_rankableSchools!$D$10)),1,0)</f>
        <v>0</v>
      </c>
      <c r="AU2205" s="105" t="str">
        <f ca="1">IF(AT2205=0,"",CHOOSE(MATCH(Master_rankableSchools!$G$10,{"Priority score","Economic need","Enrollment","Fresh miles","Nearby resources"},0),T2205,G2205,F2205,K2205,L2205))</f>
        <v/>
      </c>
      <c r="AV2205" s="105" t="str">
        <f ca="1">IF(AT2205=0,"",1+COUNTIFS($AT$2051:$AT$2550,1,$AU$2051:$AU$2550,IF(Master_rankableSchools!$J$10="Ascending","&lt;","&gt;")&amp;AU2205)+COUNTIFS($AT$2051:$AT$2550,1,$AU$2051:$AU$2550,AU2205,$W$2051:$W$2550,"&lt;"&amp;W2205))</f>
        <v/>
      </c>
    </row>
    <row r="2206" spans="1:48" ht="22" customHeight="1">
      <c r="A2206" s="1" t="str">
        <f t="shared" si="60"/>
        <v>3880</v>
      </c>
      <c r="B2206" s="1" t="str">
        <f t="shared" si="61"/>
        <v>South Philadelphia High School EOP</v>
      </c>
      <c r="C2206" s="1" t="str">
        <f t="shared" si="62"/>
        <v>District</v>
      </c>
      <c r="D2206" s="1" t="str">
        <f t="shared" si="63"/>
        <v>Transition/Overage School</v>
      </c>
      <c r="E2206" s="1" t="str">
        <f t="shared" si="64"/>
        <v>19148</v>
      </c>
      <c r="F2206" s="1">
        <f t="shared" si="65"/>
        <v>121</v>
      </c>
      <c r="G2206" s="1" t="str">
        <f t="shared" si="66"/>
        <v/>
      </c>
      <c r="H2206" s="1" t="str">
        <f t="shared" si="67"/>
        <v>Yes</v>
      </c>
      <c r="I2206" s="1">
        <f>IF(OR(A2206="",COUNTIFS('Staff Review'!$A$8:$A$507,A2206)&lt;&gt;1),0,MATCH(A2206,'Staff Review'!$A$8:$A$507,0))</f>
        <v>271</v>
      </c>
      <c r="J2206" s="1" t="str">
        <f>IF(I2206=0,"No",IF(INDEX('Staff Review'!$C$8:$C$507,I2206)="Yes","Yes","No"))</f>
        <v>No</v>
      </c>
      <c r="K2206" s="1">
        <f ca="1">IF(AI2206="Yes",INDEX('Staff Review'!$D$8:$D$507,I2206),IF(AB2206=0,"",IF(COUNT(INDEX($C$1531:$C$2030,AB2206))=1,INDEX($C$1531:$C$2030,AB2206),"")))</f>
        <v>6.7715010080251201E-2</v>
      </c>
      <c r="L2206" s="1">
        <f>IF(AJ2206="Yes",INDEX('Staff Review'!$F$8:$F$507,I2206),IF(AB2206=0,"",IF(COUNT(INDEX($G$1531:$G$2030,AB2206))=1,INDEX($G$1531:$G$2030,AB2206),"")))</f>
        <v>10</v>
      </c>
      <c r="M2206" s="1" t="str">
        <f t="shared" ca="1" si="68"/>
        <v>Listed</v>
      </c>
      <c r="N2206" s="1" t="str">
        <f t="shared" si="69"/>
        <v>Listed</v>
      </c>
      <c r="O2206" s="1" t="str">
        <f t="shared" si="70"/>
        <v/>
      </c>
      <c r="P2206" s="1">
        <f t="shared" ca="1" si="71"/>
        <v>5</v>
      </c>
      <c r="Q2206" s="1">
        <f t="shared" si="72"/>
        <v>0</v>
      </c>
      <c r="R2206" s="1">
        <f t="shared" si="73"/>
        <v>1</v>
      </c>
      <c r="S2206" s="1" t="str">
        <f t="shared" ca="1" si="74"/>
        <v/>
      </c>
      <c r="T2206" s="1" t="str">
        <f ca="1">IF(OR(COUNT(O2206:R2206)&lt;&gt;4,COUNT('Top 25'!$B$45:$E$45)&lt;&gt;4,MIN('Top 25'!$B$45:$E$45)&lt;0,SUM('Top 25'!$B$45:$E$45)&lt;=0),"",ROUND(85*(O2206/30*'Top 25'!$B$45+P2206/25*'Top 25'!$C$45+Q2206/25*'Top 25'!$D$45+R2206/5*'Top 25'!$E$45)/SUM('Top 25'!$B$45:$E$45),6))</f>
        <v/>
      </c>
      <c r="U2206" s="1" t="str">
        <f t="shared" ca="1" si="75"/>
        <v>Listed</v>
      </c>
      <c r="V2206" s="1" t="str">
        <f ca="1">IF(A2206="","",IF(AK2206&lt;&gt;1,"Duplicate source ID",IF(COUNTIFS('Staff Review'!$A$8:$A$507,A2206)&gt;1,"Duplicate review ID",IF(H2206&lt;&gt;"Yes","Outside scope",IF(J2206="Yes","Already served",IF(NOT(ISNUMBER(T2206)),"Missing data","Candidate"))))))</f>
        <v>Missing data</v>
      </c>
      <c r="W2206" s="1" t="str">
        <f t="shared" ca="1" si="76"/>
        <v/>
      </c>
      <c r="X2206" s="1" t="str">
        <f t="shared" ca="1" si="77"/>
        <v/>
      </c>
      <c r="Y2206" s="1">
        <f ca="1">IF(AND(H2206="Yes",OR(LEN('School Search'!$B$5)=0,ISNUMBER(SEARCH('School Search'!$B$5,B2206&amp;" "&amp;E2206&amp;" "&amp;A2206))),OR('School Search'!$D$5="All",C2206='School Search'!$D$5),OR('School Search'!$G$5="All eligible",AND('School Search'!$G$5="Not marked served",J2206&lt;&gt;"Yes"),AND('School Search'!$G$5="Missing data",V2206="Missing data"),AND('School Search'!$G$5="Marked served",J2206="Yes"))),1,0)</f>
        <v>1</v>
      </c>
      <c r="Z2206" s="1">
        <f ca="1">IF(Y2206=0,"",COUNTIFS($Y$2051:$Y$2550,1,$AO$2051:$AO$2550,"&lt;"&amp;AO2206)+COUNTIFS($Y$2051:Y2206,1,$AO$2051:AO2206,AO2206))</f>
        <v>301</v>
      </c>
      <c r="AA2206" s="1" t="str">
        <f t="shared" ca="1" si="78"/>
        <v>Missing demographic or access input</v>
      </c>
      <c r="AB2206" s="1">
        <f t="shared" si="79"/>
        <v>156</v>
      </c>
      <c r="AC2206" s="1" t="str">
        <f t="shared" si="80"/>
        <v>South Philly Food Co-op</v>
      </c>
      <c r="AD2206" s="1" t="str">
        <f t="shared" si="81"/>
        <v>2031 S Juniper St, Philadelphia, PA, 19148</v>
      </c>
      <c r="AE2206" s="1" t="str">
        <f t="shared" si="82"/>
        <v>2101 S BROAD ST</v>
      </c>
      <c r="AF2206" s="1">
        <f t="shared" si="83"/>
        <v>39.923898700000002</v>
      </c>
      <c r="AG2206" s="1">
        <f t="shared" si="84"/>
        <v>-75.169106499999998</v>
      </c>
      <c r="AH2206" s="1" t="str">
        <f>IF(I2206=0,"Not contacted",IF(INDEX('Staff Review'!$J$8:$J$507,I2206)="","Not contacted",INDEX('Staff Review'!$J$8:$J$507,I2206)))</f>
        <v>Not contacted</v>
      </c>
      <c r="AI2206" s="1" t="str">
        <f ca="1">IF(I2206=0,"No",IF(AND(COUNT(INDEX('Staff Review'!$D$8:$D$507,I2206))=1,INDEX('Staff Review'!$D$8:$D$507,I2206)&gt;=0,COUNT(INDEX('Staff Review'!$E$8:$E$507,I2206))=1,INDEX('Staff Review'!$E$8:$E$507,I2206)&gt;0,INDEX('Staff Review'!$E$8:$E$507,I2206)&lt;='Top 25'!$E$5,'Top 25'!$E$5-INDEX('Staff Review'!$E$8:$E$507,I2206)&lt;='Top 25'!$H$5,LEN(INDEX('Staff Review'!$H$8:$H$507,I2206))&gt;0),"Yes","No"))</f>
        <v>No</v>
      </c>
      <c r="AJ2206" s="1" t="str">
        <f>IF(I2206=0,"No",IF(COUNT(INDEX('Staff Review'!$F$8:$F$507,I2206))&lt;&gt;1,"No",IF(AND(INDEX('Staff Review'!$F$8:$F$507,I2206)&gt;=0,MOD(INDEX('Staff Review'!$F$8:$F$507,I2206),1)=0,COUNT(INDEX('Staff Review'!$G$8:$G$507,I2206))=1,INDEX('Staff Review'!$G$8:$G$507,I2206)&gt;0,INDEX('Staff Review'!$G$8:$G$507,I2206)&lt;='Top 25'!$E$5,'Top 25'!$E$5-INDEX('Staff Review'!$G$8:$G$507,I2206)&lt;='Top 25'!$H$5,LEN(INDEX('Staff Review'!$H$8:$H$507,I2206))&gt;0),"Yes","No")))</f>
        <v>No</v>
      </c>
      <c r="AK2206" s="1">
        <f t="shared" si="85"/>
        <v>1</v>
      </c>
      <c r="AL2206" s="1">
        <f t="shared" ca="1" si="86"/>
        <v>0</v>
      </c>
      <c r="AM2206" s="1">
        <f t="shared" si="87"/>
        <v>3880</v>
      </c>
      <c r="AN2206" s="1">
        <f t="shared" si="88"/>
        <v>156</v>
      </c>
      <c r="AO2206">
        <f t="shared" ca="1" si="89"/>
        <v>13880</v>
      </c>
      <c r="AP2206" s="105">
        <f ca="1">IF(AND(AL2206=1,OR('Top 25'!$A$10="All",C2206='Top 25'!$A$10),OR('Top 25'!$D$10="All",D2206='Top 25'!$D$10)),1,0)</f>
        <v>0</v>
      </c>
      <c r="AQ2206" s="105" t="str">
        <f ca="1">IF(AP2206=0,"",CHOOSE(MATCH('Top 25'!$G$10,{"Priority score","Economic need","Enrollment","Fresh miles","Nearby resources"},0),T2206,G2206,F2206,K2206,L2206))</f>
        <v/>
      </c>
      <c r="AR2206" s="105" t="str">
        <f ca="1">IF(AP2206=0,"",1+COUNTIFS($AP$2051:$AP$2550,1,$AQ$2051:$AQ$2550,IF('Top 25'!$J$10="Ascending","&lt;","&gt;")&amp;AQ2206)+COUNTIFS($AP$2051:$AP$2550,1,$AQ$2051:$AQ$2550,AQ2206,$W$2051:$W$2550,"&lt;"&amp;W2206))</f>
        <v/>
      </c>
      <c r="AT2206" s="105">
        <f ca="1">IF(AND(AL2206=1,OR(Master_rankableSchools!$A$10="All",C2206=Master_rankableSchools!$A$10),OR(Master_rankableSchools!$D$10="All",D2206=Master_rankableSchools!$D$10)),1,0)</f>
        <v>0</v>
      </c>
      <c r="AU2206" s="105" t="str">
        <f ca="1">IF(AT2206=0,"",CHOOSE(MATCH(Master_rankableSchools!$G$10,{"Priority score","Economic need","Enrollment","Fresh miles","Nearby resources"},0),T2206,G2206,F2206,K2206,L2206))</f>
        <v/>
      </c>
      <c r="AV2206" s="105" t="str">
        <f ca="1">IF(AT2206=0,"",1+COUNTIFS($AT$2051:$AT$2550,1,$AU$2051:$AU$2550,IF(Master_rankableSchools!$J$10="Ascending","&lt;","&gt;")&amp;AU2206)+COUNTIFS($AT$2051:$AT$2550,1,$AU$2051:$AU$2550,AU2206,$W$2051:$W$2550,"&lt;"&amp;W2206))</f>
        <v/>
      </c>
    </row>
    <row r="2207" spans="1:48" ht="22" customHeight="1">
      <c r="A2207" s="1" t="str">
        <f t="shared" si="60"/>
        <v>4020</v>
      </c>
      <c r="B2207" s="1" t="str">
        <f t="shared" si="61"/>
        <v>Overbrook High School</v>
      </c>
      <c r="C2207" s="1" t="str">
        <f t="shared" si="62"/>
        <v>District</v>
      </c>
      <c r="D2207" s="1" t="str">
        <f t="shared" si="63"/>
        <v>High</v>
      </c>
      <c r="E2207" s="1" t="str">
        <f t="shared" si="64"/>
        <v>19131</v>
      </c>
      <c r="F2207" s="1">
        <f t="shared" si="65"/>
        <v>466</v>
      </c>
      <c r="G2207" s="1">
        <f t="shared" si="66"/>
        <v>0.82320000000000004</v>
      </c>
      <c r="H2207" s="1" t="str">
        <f t="shared" si="67"/>
        <v>Yes</v>
      </c>
      <c r="I2207" s="1">
        <f>IF(OR(A2207="",COUNTIFS('Staff Review'!$A$8:$A$507,A2207)&lt;&gt;1),0,MATCH(A2207,'Staff Review'!$A$8:$A$507,0))</f>
        <v>220</v>
      </c>
      <c r="J2207" s="1" t="str">
        <f>IF(I2207=0,"No",IF(INDEX('Staff Review'!$C$8:$C$507,I2207)="Yes","Yes","No"))</f>
        <v>No</v>
      </c>
      <c r="K2207" s="1">
        <f ca="1">IF(AI2207="Yes",INDEX('Staff Review'!$D$8:$D$507,I2207),IF(AB2207=0,"",IF(COUNT(INDEX($C$1531:$C$2030,AB2207))=1,INDEX($C$1531:$C$2030,AB2207),"")))</f>
        <v>0.72953283618444287</v>
      </c>
      <c r="L2207" s="1">
        <f>IF(AJ2207="Yes",INDEX('Staff Review'!$F$8:$F$507,I2207),IF(AB2207=0,"",IF(COUNT(INDEX($G$1531:$G$2030,AB2207))=1,INDEX($G$1531:$G$2030,AB2207),"")))</f>
        <v>8</v>
      </c>
      <c r="M2207" s="1" t="str">
        <f t="shared" ca="1" si="68"/>
        <v>Listed</v>
      </c>
      <c r="N2207" s="1" t="str">
        <f t="shared" si="69"/>
        <v>Listed</v>
      </c>
      <c r="O2207" s="1">
        <f t="shared" si="70"/>
        <v>25</v>
      </c>
      <c r="P2207" s="1">
        <f t="shared" ca="1" si="71"/>
        <v>15</v>
      </c>
      <c r="Q2207" s="1">
        <f t="shared" si="72"/>
        <v>0</v>
      </c>
      <c r="R2207" s="1">
        <f t="shared" si="73"/>
        <v>3</v>
      </c>
      <c r="S2207" s="1">
        <f t="shared" ca="1" si="74"/>
        <v>43</v>
      </c>
      <c r="T2207" s="1">
        <f ca="1">IF(OR(COUNT(O2207:R2207)&lt;&gt;4,COUNT('Top 25'!$B$45:$E$45)&lt;&gt;4,MIN('Top 25'!$B$45:$E$45)&lt;0,SUM('Top 25'!$B$45:$E$45)&lt;=0),"",ROUND(85*(O2207/30*'Top 25'!$B$45+P2207/25*'Top 25'!$C$45+Q2207/25*'Top 25'!$D$45+R2207/5*'Top 25'!$E$45)/SUM('Top 25'!$B$45:$E$45),6))</f>
        <v>43</v>
      </c>
      <c r="U2207" s="1" t="str">
        <f t="shared" ca="1" si="75"/>
        <v>Listed</v>
      </c>
      <c r="V2207" s="1" t="str">
        <f ca="1">IF(A2207="","",IF(AK2207&lt;&gt;1,"Duplicate source ID",IF(COUNTIFS('Staff Review'!$A$8:$A$507,A2207)&gt;1,"Duplicate review ID",IF(H2207&lt;&gt;"Yes","Outside scope",IF(J2207="Yes","Already served",IF(NOT(ISNUMBER(T2207)),"Missing data","Candidate"))))))</f>
        <v>Candidate</v>
      </c>
      <c r="W2207" s="1">
        <f t="shared" ca="1" si="76"/>
        <v>97</v>
      </c>
      <c r="X2207" s="1">
        <f t="shared" ca="1" si="77"/>
        <v>90</v>
      </c>
      <c r="Y2207" s="1">
        <f ca="1">IF(AND(H2207="Yes",OR(LEN('School Search'!$B$5)=0,ISNUMBER(SEARCH('School Search'!$B$5,B2207&amp;" "&amp;E2207&amp;" "&amp;A2207))),OR('School Search'!$D$5="All",C2207='School Search'!$D$5),OR('School Search'!$G$5="All eligible",AND('School Search'!$G$5="Not marked served",J2207&lt;&gt;"Yes"),AND('School Search'!$G$5="Missing data",V2207="Missing data"),AND('School Search'!$G$5="Marked served",J2207="Yes"))),1,0)</f>
        <v>1</v>
      </c>
      <c r="Z2207" s="1">
        <f ca="1">IF(Y2207=0,"",COUNTIFS($Y$2051:$Y$2550,1,$AO$2051:$AO$2550,"&lt;"&amp;AO2207)+COUNTIFS($Y$2051:Y2207,1,$AO$2051:AO2207,AO2207))</f>
        <v>97</v>
      </c>
      <c r="AA2207" s="1" t="str">
        <f t="shared" ca="1" si="78"/>
        <v>82% economic need; 0.73 mi fresh access; 8 nearby resources</v>
      </c>
      <c r="AB2207" s="1">
        <f t="shared" si="79"/>
        <v>157</v>
      </c>
      <c r="AC2207" s="1" t="str">
        <f t="shared" si="80"/>
        <v>Shoprite of Parkside 419</v>
      </c>
      <c r="AD2207" s="1" t="str">
        <f t="shared" si="81"/>
        <v>1575 N 52nd St, Philadelphia, PA, 19131</v>
      </c>
      <c r="AE2207" s="1" t="str">
        <f t="shared" si="82"/>
        <v>5898 LANCASTER AVE</v>
      </c>
      <c r="AF2207" s="1">
        <f t="shared" si="83"/>
        <v>39.981028000000002</v>
      </c>
      <c r="AG2207" s="1">
        <f t="shared" si="84"/>
        <v>-75.238556000000003</v>
      </c>
      <c r="AH2207" s="1" t="str">
        <f>IF(I2207=0,"Not contacted",IF(INDEX('Staff Review'!$J$8:$J$507,I2207)="","Not contacted",INDEX('Staff Review'!$J$8:$J$507,I2207)))</f>
        <v>Not contacted</v>
      </c>
      <c r="AI2207" s="1" t="str">
        <f ca="1">IF(I2207=0,"No",IF(AND(COUNT(INDEX('Staff Review'!$D$8:$D$507,I2207))=1,INDEX('Staff Review'!$D$8:$D$507,I2207)&gt;=0,COUNT(INDEX('Staff Review'!$E$8:$E$507,I2207))=1,INDEX('Staff Review'!$E$8:$E$507,I2207)&gt;0,INDEX('Staff Review'!$E$8:$E$507,I2207)&lt;='Top 25'!$E$5,'Top 25'!$E$5-INDEX('Staff Review'!$E$8:$E$507,I2207)&lt;='Top 25'!$H$5,LEN(INDEX('Staff Review'!$H$8:$H$507,I2207))&gt;0),"Yes","No"))</f>
        <v>No</v>
      </c>
      <c r="AJ2207" s="1" t="str">
        <f>IF(I2207=0,"No",IF(COUNT(INDEX('Staff Review'!$F$8:$F$507,I2207))&lt;&gt;1,"No",IF(AND(INDEX('Staff Review'!$F$8:$F$507,I2207)&gt;=0,MOD(INDEX('Staff Review'!$F$8:$F$507,I2207),1)=0,COUNT(INDEX('Staff Review'!$G$8:$G$507,I2207))=1,INDEX('Staff Review'!$G$8:$G$507,I2207)&gt;0,INDEX('Staff Review'!$G$8:$G$507,I2207)&lt;='Top 25'!$E$5,'Top 25'!$E$5-INDEX('Staff Review'!$G$8:$G$507,I2207)&lt;='Top 25'!$H$5,LEN(INDEX('Staff Review'!$H$8:$H$507,I2207))&gt;0),"Yes","No")))</f>
        <v>No</v>
      </c>
      <c r="AK2207" s="1">
        <f t="shared" si="85"/>
        <v>1</v>
      </c>
      <c r="AL2207" s="1">
        <f t="shared" ca="1" si="86"/>
        <v>1</v>
      </c>
      <c r="AM2207" s="1">
        <f t="shared" si="87"/>
        <v>4020</v>
      </c>
      <c r="AN2207" s="1">
        <f t="shared" si="88"/>
        <v>157</v>
      </c>
      <c r="AO2207">
        <f t="shared" ca="1" si="89"/>
        <v>97</v>
      </c>
      <c r="AP2207" s="105">
        <f ca="1">IF(AND(AL2207=1,OR('Top 25'!$A$10="All",C2207='Top 25'!$A$10),OR('Top 25'!$D$10="All",D2207='Top 25'!$D$10)),1,0)</f>
        <v>0</v>
      </c>
      <c r="AQ2207" s="105" t="str">
        <f ca="1">IF(AP2207=0,"",CHOOSE(MATCH('Top 25'!$G$10,{"Priority score","Economic need","Enrollment","Fresh miles","Nearby resources"},0),T2207,G2207,F2207,K2207,L2207))</f>
        <v/>
      </c>
      <c r="AR2207" s="105" t="str">
        <f ca="1">IF(AP2207=0,"",1+COUNTIFS($AP$2051:$AP$2550,1,$AQ$2051:$AQ$2550,IF('Top 25'!$J$10="Ascending","&lt;","&gt;")&amp;AQ2207)+COUNTIFS($AP$2051:$AP$2550,1,$AQ$2051:$AQ$2550,AQ2207,$W$2051:$W$2550,"&lt;"&amp;W2207))</f>
        <v/>
      </c>
      <c r="AT2207" s="105">
        <f ca="1">IF(AND(AL2207=1,OR(Master_rankableSchools!$A$10="All",C2207=Master_rankableSchools!$A$10),OR(Master_rankableSchools!$D$10="All",D2207=Master_rankableSchools!$D$10)),1,0)</f>
        <v>1</v>
      </c>
      <c r="AU2207" s="105">
        <f ca="1">IF(AT2207=0,"",CHOOSE(MATCH(Master_rankableSchools!$G$10,{"Priority score","Economic need","Enrollment","Fresh miles","Nearby resources"},0),T2207,G2207,F2207,K2207,L2207))</f>
        <v>43</v>
      </c>
      <c r="AV2207" s="105">
        <f ca="1">IF(AT2207=0,"",1+COUNTIFS($AT$2051:$AT$2550,1,$AU$2051:$AU$2550,IF(Master_rankableSchools!$J$10="Ascending","&lt;","&gt;")&amp;AU2207)+COUNTIFS($AT$2051:$AT$2550,1,$AU$2051:$AU$2550,AU2207,$W$2051:$W$2550,"&lt;"&amp;W2207))</f>
        <v>97</v>
      </c>
    </row>
    <row r="2208" spans="1:48" ht="22" customHeight="1">
      <c r="A2208" s="1" t="str">
        <f t="shared" si="60"/>
        <v>4030</v>
      </c>
      <c r="B2208" s="1" t="str">
        <f t="shared" si="61"/>
        <v>Carver High School of Engineering and Science</v>
      </c>
      <c r="C2208" s="1" t="str">
        <f t="shared" si="62"/>
        <v>District</v>
      </c>
      <c r="D2208" s="1" t="str">
        <f t="shared" si="63"/>
        <v>Middle-High</v>
      </c>
      <c r="E2208" s="1" t="str">
        <f t="shared" si="64"/>
        <v>19121</v>
      </c>
      <c r="F2208" s="1">
        <f t="shared" si="65"/>
        <v>906</v>
      </c>
      <c r="G2208" s="1">
        <f t="shared" si="66"/>
        <v>0.5444</v>
      </c>
      <c r="H2208" s="1" t="str">
        <f t="shared" si="67"/>
        <v>Yes</v>
      </c>
      <c r="I2208" s="1">
        <f>IF(OR(A2208="",COUNTIFS('Staff Review'!$A$8:$A$507,A2208)&lt;&gt;1),0,MATCH(A2208,'Staff Review'!$A$8:$A$507,0))</f>
        <v>36</v>
      </c>
      <c r="J2208" s="1" t="str">
        <f>IF(I2208=0,"No",IF(INDEX('Staff Review'!$C$8:$C$507,I2208)="Yes","Yes","No"))</f>
        <v>No</v>
      </c>
      <c r="K2208" s="1">
        <f ca="1">IF(AI2208="Yes",INDEX('Staff Review'!$D$8:$D$507,I2208),IF(AB2208=0,"",IF(COUNT(INDEX($C$1531:$C$2030,AB2208))=1,INDEX($C$1531:$C$2030,AB2208),"")))</f>
        <v>0.51247886527807518</v>
      </c>
      <c r="L2208" s="1">
        <f>IF(AJ2208="Yes",INDEX('Staff Review'!$F$8:$F$507,I2208),IF(AB2208=0,"",IF(COUNT(INDEX($G$1531:$G$2030,AB2208))=1,INDEX($G$1531:$G$2030,AB2208),"")))</f>
        <v>13</v>
      </c>
      <c r="M2208" s="1" t="str">
        <f t="shared" ca="1" si="68"/>
        <v>Listed</v>
      </c>
      <c r="N2208" s="1" t="str">
        <f t="shared" si="69"/>
        <v>Listed</v>
      </c>
      <c r="O2208" s="1">
        <f t="shared" si="70"/>
        <v>10</v>
      </c>
      <c r="P2208" s="1">
        <f t="shared" ca="1" si="71"/>
        <v>15</v>
      </c>
      <c r="Q2208" s="1">
        <f t="shared" si="72"/>
        <v>0</v>
      </c>
      <c r="R2208" s="1">
        <f t="shared" si="73"/>
        <v>5</v>
      </c>
      <c r="S2208" s="1">
        <f t="shared" ca="1" si="74"/>
        <v>30</v>
      </c>
      <c r="T2208" s="1">
        <f ca="1">IF(OR(COUNT(O2208:R2208)&lt;&gt;4,COUNT('Top 25'!$B$45:$E$45)&lt;&gt;4,MIN('Top 25'!$B$45:$E$45)&lt;0,SUM('Top 25'!$B$45:$E$45)&lt;=0),"",ROUND(85*(O2208/30*'Top 25'!$B$45+P2208/25*'Top 25'!$C$45+Q2208/25*'Top 25'!$D$45+R2208/5*'Top 25'!$E$45)/SUM('Top 25'!$B$45:$E$45),6))</f>
        <v>30</v>
      </c>
      <c r="U2208" s="1" t="str">
        <f t="shared" ca="1" si="75"/>
        <v>Listed</v>
      </c>
      <c r="V2208" s="1" t="str">
        <f ca="1">IF(A2208="","",IF(AK2208&lt;&gt;1,"Duplicate source ID",IF(COUNTIFS('Staff Review'!$A$8:$A$507,A2208)&gt;1,"Duplicate review ID",IF(H2208&lt;&gt;"Yes","Outside scope",IF(J2208="Yes","Already served",IF(NOT(ISNUMBER(T2208)),"Missing data","Candidate"))))))</f>
        <v>Candidate</v>
      </c>
      <c r="W2208" s="1">
        <f t="shared" ca="1" si="76"/>
        <v>260</v>
      </c>
      <c r="X2208" s="1">
        <f t="shared" ca="1" si="77"/>
        <v>253</v>
      </c>
      <c r="Y2208" s="1">
        <f ca="1">IF(AND(H2208="Yes",OR(LEN('School Search'!$B$5)=0,ISNUMBER(SEARCH('School Search'!$B$5,B2208&amp;" "&amp;E2208&amp;" "&amp;A2208))),OR('School Search'!$D$5="All",C2208='School Search'!$D$5),OR('School Search'!$G$5="All eligible",AND('School Search'!$G$5="Not marked served",J2208&lt;&gt;"Yes"),AND('School Search'!$G$5="Missing data",V2208="Missing data"),AND('School Search'!$G$5="Marked served",J2208="Yes"))),1,0)</f>
        <v>1</v>
      </c>
      <c r="Z2208" s="1">
        <f ca="1">IF(Y2208=0,"",COUNTIFS($Y$2051:$Y$2550,1,$AO$2051:$AO$2550,"&lt;"&amp;AO2208)+COUNTIFS($Y$2051:Y2208,1,$AO$2051:AO2208,AO2208))</f>
        <v>260</v>
      </c>
      <c r="AA2208" s="1" t="str">
        <f t="shared" ca="1" si="78"/>
        <v>54% economic need; 0.51 mi fresh access; 13 nearby resources</v>
      </c>
      <c r="AB2208" s="1">
        <f t="shared" si="79"/>
        <v>158</v>
      </c>
      <c r="AC2208" s="1" t="str">
        <f t="shared" si="80"/>
        <v>The Fresh Grocer</v>
      </c>
      <c r="AD2208" s="1" t="str">
        <f t="shared" si="81"/>
        <v>1501 N Broad St, Philadelphia, PA, 19122</v>
      </c>
      <c r="AE2208" s="1" t="str">
        <f t="shared" si="82"/>
        <v>1600 W NORRIS ST</v>
      </c>
      <c r="AF2208" s="1">
        <f t="shared" si="83"/>
        <v>39.983418090000001</v>
      </c>
      <c r="AG2208" s="1">
        <f t="shared" si="84"/>
        <v>-75.161277889999994</v>
      </c>
      <c r="AH2208" s="1" t="str">
        <f>IF(I2208=0,"Not contacted",IF(INDEX('Staff Review'!$J$8:$J$507,I2208)="","Not contacted",INDEX('Staff Review'!$J$8:$J$507,I2208)))</f>
        <v>Not contacted</v>
      </c>
      <c r="AI2208" s="1" t="str">
        <f ca="1">IF(I2208=0,"No",IF(AND(COUNT(INDEX('Staff Review'!$D$8:$D$507,I2208))=1,INDEX('Staff Review'!$D$8:$D$507,I2208)&gt;=0,COUNT(INDEX('Staff Review'!$E$8:$E$507,I2208))=1,INDEX('Staff Review'!$E$8:$E$507,I2208)&gt;0,INDEX('Staff Review'!$E$8:$E$507,I2208)&lt;='Top 25'!$E$5,'Top 25'!$E$5-INDEX('Staff Review'!$E$8:$E$507,I2208)&lt;='Top 25'!$H$5,LEN(INDEX('Staff Review'!$H$8:$H$507,I2208))&gt;0),"Yes","No"))</f>
        <v>No</v>
      </c>
      <c r="AJ2208" s="1" t="str">
        <f>IF(I2208=0,"No",IF(COUNT(INDEX('Staff Review'!$F$8:$F$507,I2208))&lt;&gt;1,"No",IF(AND(INDEX('Staff Review'!$F$8:$F$507,I2208)&gt;=0,MOD(INDEX('Staff Review'!$F$8:$F$507,I2208),1)=0,COUNT(INDEX('Staff Review'!$G$8:$G$507,I2208))=1,INDEX('Staff Review'!$G$8:$G$507,I2208)&gt;0,INDEX('Staff Review'!$G$8:$G$507,I2208)&lt;='Top 25'!$E$5,'Top 25'!$E$5-INDEX('Staff Review'!$G$8:$G$507,I2208)&lt;='Top 25'!$H$5,LEN(INDEX('Staff Review'!$H$8:$H$507,I2208))&gt;0),"Yes","No")))</f>
        <v>No</v>
      </c>
      <c r="AK2208" s="1">
        <f t="shared" si="85"/>
        <v>1</v>
      </c>
      <c r="AL2208" s="1">
        <f t="shared" ca="1" si="86"/>
        <v>1</v>
      </c>
      <c r="AM2208" s="1">
        <f t="shared" si="87"/>
        <v>4030</v>
      </c>
      <c r="AN2208" s="1">
        <f t="shared" si="88"/>
        <v>158</v>
      </c>
      <c r="AO2208">
        <f t="shared" ca="1" si="89"/>
        <v>260</v>
      </c>
      <c r="AP2208" s="105">
        <f ca="1">IF(AND(AL2208=1,OR('Top 25'!$A$10="All",C2208='Top 25'!$A$10),OR('Top 25'!$D$10="All",D2208='Top 25'!$D$10)),1,0)</f>
        <v>0</v>
      </c>
      <c r="AQ2208" s="105" t="str">
        <f ca="1">IF(AP2208=0,"",CHOOSE(MATCH('Top 25'!$G$10,{"Priority score","Economic need","Enrollment","Fresh miles","Nearby resources"},0),T2208,G2208,F2208,K2208,L2208))</f>
        <v/>
      </c>
      <c r="AR2208" s="105" t="str">
        <f ca="1">IF(AP2208=0,"",1+COUNTIFS($AP$2051:$AP$2550,1,$AQ$2051:$AQ$2550,IF('Top 25'!$J$10="Ascending","&lt;","&gt;")&amp;AQ2208)+COUNTIFS($AP$2051:$AP$2550,1,$AQ$2051:$AQ$2550,AQ2208,$W$2051:$W$2550,"&lt;"&amp;W2208))</f>
        <v/>
      </c>
      <c r="AT2208" s="105">
        <f ca="1">IF(AND(AL2208=1,OR(Master_rankableSchools!$A$10="All",C2208=Master_rankableSchools!$A$10),OR(Master_rankableSchools!$D$10="All",D2208=Master_rankableSchools!$D$10)),1,0)</f>
        <v>1</v>
      </c>
      <c r="AU2208" s="105">
        <f ca="1">IF(AT2208=0,"",CHOOSE(MATCH(Master_rankableSchools!$G$10,{"Priority score","Economic need","Enrollment","Fresh miles","Nearby resources"},0),T2208,G2208,F2208,K2208,L2208))</f>
        <v>30</v>
      </c>
      <c r="AV2208" s="105">
        <f ca="1">IF(AT2208=0,"",1+COUNTIFS($AT$2051:$AT$2550,1,$AU$2051:$AU$2550,IF(Master_rankableSchools!$J$10="Ascending","&lt;","&gt;")&amp;AU2208)+COUNTIFS($AT$2051:$AT$2550,1,$AU$2051:$AU$2550,AU2208,$W$2051:$W$2550,"&lt;"&amp;W2208))</f>
        <v>260</v>
      </c>
    </row>
    <row r="2209" spans="1:48" ht="22" customHeight="1">
      <c r="A2209" s="1" t="str">
        <f t="shared" si="60"/>
        <v>4060</v>
      </c>
      <c r="B2209" s="1" t="str">
        <f t="shared" si="61"/>
        <v>Murrell Dobbins Career and Technical High School</v>
      </c>
      <c r="C2209" s="1" t="str">
        <f t="shared" si="62"/>
        <v>District</v>
      </c>
      <c r="D2209" s="1" t="str">
        <f t="shared" si="63"/>
        <v>High</v>
      </c>
      <c r="E2209" s="1" t="str">
        <f t="shared" si="64"/>
        <v>19132</v>
      </c>
      <c r="F2209" s="1">
        <f t="shared" si="65"/>
        <v>535</v>
      </c>
      <c r="G2209" s="1">
        <f t="shared" si="66"/>
        <v>0.90639999999999998</v>
      </c>
      <c r="H2209" s="1" t="str">
        <f t="shared" si="67"/>
        <v>Yes</v>
      </c>
      <c r="I2209" s="1">
        <f>IF(OR(A2209="",COUNTIFS('Staff Review'!$A$8:$A$507,A2209)&lt;&gt;1),0,MATCH(A2209,'Staff Review'!$A$8:$A$507,0))</f>
        <v>203</v>
      </c>
      <c r="J2209" s="1" t="str">
        <f>IF(I2209=0,"No",IF(INDEX('Staff Review'!$C$8:$C$507,I2209)="Yes","Yes","No"))</f>
        <v>No</v>
      </c>
      <c r="K2209" s="1">
        <f ca="1">IF(AI2209="Yes",INDEX('Staff Review'!$D$8:$D$507,I2209),IF(AB2209=0,"",IF(COUNT(INDEX($C$1531:$C$2030,AB2209))=1,INDEX($C$1531:$C$2030,AB2209),"")))</f>
        <v>4.4839469695336018E-2</v>
      </c>
      <c r="L2209" s="1">
        <f>IF(AJ2209="Yes",INDEX('Staff Review'!$F$8:$F$507,I2209),IF(AB2209=0,"",IF(COUNT(INDEX($G$1531:$G$2030,AB2209))=1,INDEX($G$1531:$G$2030,AB2209),"")))</f>
        <v>14</v>
      </c>
      <c r="M2209" s="1" t="str">
        <f t="shared" ca="1" si="68"/>
        <v>Listed</v>
      </c>
      <c r="N2209" s="1" t="str">
        <f t="shared" si="69"/>
        <v>Listed</v>
      </c>
      <c r="O2209" s="1">
        <f t="shared" si="70"/>
        <v>30</v>
      </c>
      <c r="P2209" s="1">
        <f t="shared" ca="1" si="71"/>
        <v>5</v>
      </c>
      <c r="Q2209" s="1">
        <f t="shared" si="72"/>
        <v>0</v>
      </c>
      <c r="R2209" s="1">
        <f t="shared" si="73"/>
        <v>4</v>
      </c>
      <c r="S2209" s="1">
        <f t="shared" ca="1" si="74"/>
        <v>39</v>
      </c>
      <c r="T2209" s="1">
        <f ca="1">IF(OR(COUNT(O2209:R2209)&lt;&gt;4,COUNT('Top 25'!$B$45:$E$45)&lt;&gt;4,MIN('Top 25'!$B$45:$E$45)&lt;0,SUM('Top 25'!$B$45:$E$45)&lt;=0),"",ROUND(85*(O2209/30*'Top 25'!$B$45+P2209/25*'Top 25'!$C$45+Q2209/25*'Top 25'!$D$45+R2209/5*'Top 25'!$E$45)/SUM('Top 25'!$B$45:$E$45),6))</f>
        <v>39</v>
      </c>
      <c r="U2209" s="1" t="str">
        <f t="shared" ca="1" si="75"/>
        <v>Listed</v>
      </c>
      <c r="V2209" s="1" t="str">
        <f ca="1">IF(A2209="","",IF(AK2209&lt;&gt;1,"Duplicate source ID",IF(COUNTIFS('Staff Review'!$A$8:$A$507,A2209)&gt;1,"Duplicate review ID",IF(H2209&lt;&gt;"Yes","Outside scope",IF(J2209="Yes","Already served",IF(NOT(ISNUMBER(T2209)),"Missing data","Candidate"))))))</f>
        <v>Candidate</v>
      </c>
      <c r="W2209" s="1">
        <f t="shared" ca="1" si="76"/>
        <v>150</v>
      </c>
      <c r="X2209" s="1">
        <f t="shared" ca="1" si="77"/>
        <v>148</v>
      </c>
      <c r="Y2209" s="1">
        <f ca="1">IF(AND(H2209="Yes",OR(LEN('School Search'!$B$5)=0,ISNUMBER(SEARCH('School Search'!$B$5,B2209&amp;" "&amp;E2209&amp;" "&amp;A2209))),OR('School Search'!$D$5="All",C2209='School Search'!$D$5),OR('School Search'!$G$5="All eligible",AND('School Search'!$G$5="Not marked served",J2209&lt;&gt;"Yes"),AND('School Search'!$G$5="Missing data",V2209="Missing data"),AND('School Search'!$G$5="Marked served",J2209="Yes"))),1,0)</f>
        <v>1</v>
      </c>
      <c r="Z2209" s="1">
        <f ca="1">IF(Y2209=0,"",COUNTIFS($Y$2051:$Y$2550,1,$AO$2051:$AO$2550,"&lt;"&amp;AO2209)+COUNTIFS($Y$2051:Y2209,1,$AO$2051:AO2209,AO2209))</f>
        <v>150</v>
      </c>
      <c r="AA2209" s="1" t="str">
        <f t="shared" ca="1" si="78"/>
        <v>91% economic need; 0.04 mi fresh access; 14 nearby resources</v>
      </c>
      <c r="AB2209" s="1">
        <f t="shared" si="79"/>
        <v>159</v>
      </c>
      <c r="AC2209" s="1" t="str">
        <f t="shared" si="80"/>
        <v>Save-A-Lot 60142</v>
      </c>
      <c r="AD2209" s="1" t="str">
        <f t="shared" si="81"/>
        <v>2101 W Lehigh Ave, Philadelphia, PA, 19132</v>
      </c>
      <c r="AE2209" s="1" t="str">
        <f t="shared" si="82"/>
        <v>2150 W LEHIGH AVE</v>
      </c>
      <c r="AF2209" s="1">
        <f t="shared" si="83"/>
        <v>39.995429299999998</v>
      </c>
      <c r="AG2209" s="1">
        <f t="shared" si="84"/>
        <v>-75.166793339999998</v>
      </c>
      <c r="AH2209" s="1" t="str">
        <f>IF(I2209=0,"Not contacted",IF(INDEX('Staff Review'!$J$8:$J$507,I2209)="","Not contacted",INDEX('Staff Review'!$J$8:$J$507,I2209)))</f>
        <v>Not contacted</v>
      </c>
      <c r="AI2209" s="1" t="str">
        <f ca="1">IF(I2209=0,"No",IF(AND(COUNT(INDEX('Staff Review'!$D$8:$D$507,I2209))=1,INDEX('Staff Review'!$D$8:$D$507,I2209)&gt;=0,COUNT(INDEX('Staff Review'!$E$8:$E$507,I2209))=1,INDEX('Staff Review'!$E$8:$E$507,I2209)&gt;0,INDEX('Staff Review'!$E$8:$E$507,I2209)&lt;='Top 25'!$E$5,'Top 25'!$E$5-INDEX('Staff Review'!$E$8:$E$507,I2209)&lt;='Top 25'!$H$5,LEN(INDEX('Staff Review'!$H$8:$H$507,I2209))&gt;0),"Yes","No"))</f>
        <v>No</v>
      </c>
      <c r="AJ2209" s="1" t="str">
        <f>IF(I2209=0,"No",IF(COUNT(INDEX('Staff Review'!$F$8:$F$507,I2209))&lt;&gt;1,"No",IF(AND(INDEX('Staff Review'!$F$8:$F$507,I2209)&gt;=0,MOD(INDEX('Staff Review'!$F$8:$F$507,I2209),1)=0,COUNT(INDEX('Staff Review'!$G$8:$G$507,I2209))=1,INDEX('Staff Review'!$G$8:$G$507,I2209)&gt;0,INDEX('Staff Review'!$G$8:$G$507,I2209)&lt;='Top 25'!$E$5,'Top 25'!$E$5-INDEX('Staff Review'!$G$8:$G$507,I2209)&lt;='Top 25'!$H$5,LEN(INDEX('Staff Review'!$H$8:$H$507,I2209))&gt;0),"Yes","No")))</f>
        <v>No</v>
      </c>
      <c r="AK2209" s="1">
        <f t="shared" si="85"/>
        <v>1</v>
      </c>
      <c r="AL2209" s="1">
        <f t="shared" ca="1" si="86"/>
        <v>1</v>
      </c>
      <c r="AM2209" s="1">
        <f t="shared" si="87"/>
        <v>4060</v>
      </c>
      <c r="AN2209" s="1">
        <f t="shared" si="88"/>
        <v>159</v>
      </c>
      <c r="AO2209">
        <f t="shared" ca="1" si="89"/>
        <v>150</v>
      </c>
      <c r="AP2209" s="105">
        <f ca="1">IF(AND(AL2209=1,OR('Top 25'!$A$10="All",C2209='Top 25'!$A$10),OR('Top 25'!$D$10="All",D2209='Top 25'!$D$10)),1,0)</f>
        <v>0</v>
      </c>
      <c r="AQ2209" s="105" t="str">
        <f ca="1">IF(AP2209=0,"",CHOOSE(MATCH('Top 25'!$G$10,{"Priority score","Economic need","Enrollment","Fresh miles","Nearby resources"},0),T2209,G2209,F2209,K2209,L2209))</f>
        <v/>
      </c>
      <c r="AR2209" s="105" t="str">
        <f ca="1">IF(AP2209=0,"",1+COUNTIFS($AP$2051:$AP$2550,1,$AQ$2051:$AQ$2550,IF('Top 25'!$J$10="Ascending","&lt;","&gt;")&amp;AQ2209)+COUNTIFS($AP$2051:$AP$2550,1,$AQ$2051:$AQ$2550,AQ2209,$W$2051:$W$2550,"&lt;"&amp;W2209))</f>
        <v/>
      </c>
      <c r="AT2209" s="105">
        <f ca="1">IF(AND(AL2209=1,OR(Master_rankableSchools!$A$10="All",C2209=Master_rankableSchools!$A$10),OR(Master_rankableSchools!$D$10="All",D2209=Master_rankableSchools!$D$10)),1,0)</f>
        <v>1</v>
      </c>
      <c r="AU2209" s="105">
        <f ca="1">IF(AT2209=0,"",CHOOSE(MATCH(Master_rankableSchools!$G$10,{"Priority score","Economic need","Enrollment","Fresh miles","Nearby resources"},0),T2209,G2209,F2209,K2209,L2209))</f>
        <v>39</v>
      </c>
      <c r="AV2209" s="105">
        <f ca="1">IF(AT2209=0,"",1+COUNTIFS($AT$2051:$AT$2550,1,$AU$2051:$AU$2550,IF(Master_rankableSchools!$J$10="Ascending","&lt;","&gt;")&amp;AU2209)+COUNTIFS($AT$2051:$AT$2550,1,$AU$2051:$AU$2550,AU2209,$W$2051:$W$2550,"&lt;"&amp;W2209))</f>
        <v>150</v>
      </c>
    </row>
    <row r="2210" spans="1:48" ht="22" customHeight="1">
      <c r="A2210" s="1" t="str">
        <f t="shared" si="60"/>
        <v>4140</v>
      </c>
      <c r="B2210" s="1" t="str">
        <f t="shared" si="61"/>
        <v>Strawberry Mansion High School</v>
      </c>
      <c r="C2210" s="1" t="str">
        <f t="shared" si="62"/>
        <v>District</v>
      </c>
      <c r="D2210" s="1" t="str">
        <f t="shared" si="63"/>
        <v>High</v>
      </c>
      <c r="E2210" s="1" t="str">
        <f t="shared" si="64"/>
        <v>19121</v>
      </c>
      <c r="F2210" s="1">
        <f t="shared" si="65"/>
        <v>275</v>
      </c>
      <c r="G2210" s="1">
        <f t="shared" si="66"/>
        <v>0.87350000000000005</v>
      </c>
      <c r="H2210" s="1" t="str">
        <f t="shared" si="67"/>
        <v>Yes</v>
      </c>
      <c r="I2210" s="1">
        <f>IF(OR(A2210="",COUNTIFS('Staff Review'!$A$8:$A$507,A2210)&lt;&gt;1),0,MATCH(A2210,'Staff Review'!$A$8:$A$507,0))</f>
        <v>278</v>
      </c>
      <c r="J2210" s="1" t="str">
        <f>IF(I2210=0,"No",IF(INDEX('Staff Review'!$C$8:$C$507,I2210)="Yes","Yes","No"))</f>
        <v>No</v>
      </c>
      <c r="K2210" s="1">
        <f ca="1">IF(AI2210="Yes",INDEX('Staff Review'!$D$8:$D$507,I2210),IF(AB2210=0,"",IF(COUNT(INDEX($C$1531:$C$2030,AB2210))=1,INDEX($C$1531:$C$2030,AB2210),"")))</f>
        <v>0.325702508834255</v>
      </c>
      <c r="L2210" s="1">
        <f>IF(AJ2210="Yes",INDEX('Staff Review'!$F$8:$F$507,I2210),IF(AB2210=0,"",IF(COUNT(INDEX($G$1531:$G$2030,AB2210))=1,INDEX($G$1531:$G$2030,AB2210),"")))</f>
        <v>12</v>
      </c>
      <c r="M2210" s="1" t="str">
        <f t="shared" ca="1" si="68"/>
        <v>Listed</v>
      </c>
      <c r="N2210" s="1" t="str">
        <f t="shared" si="69"/>
        <v>Listed</v>
      </c>
      <c r="O2210" s="1">
        <f t="shared" si="70"/>
        <v>25</v>
      </c>
      <c r="P2210" s="1">
        <f t="shared" ca="1" si="71"/>
        <v>10</v>
      </c>
      <c r="Q2210" s="1">
        <f t="shared" si="72"/>
        <v>0</v>
      </c>
      <c r="R2210" s="1">
        <f t="shared" si="73"/>
        <v>2</v>
      </c>
      <c r="S2210" s="1">
        <f t="shared" ca="1" si="74"/>
        <v>37</v>
      </c>
      <c r="T2210" s="1">
        <f ca="1">IF(OR(COUNT(O2210:R2210)&lt;&gt;4,COUNT('Top 25'!$B$45:$E$45)&lt;&gt;4,MIN('Top 25'!$B$45:$E$45)&lt;0,SUM('Top 25'!$B$45:$E$45)&lt;=0),"",ROUND(85*(O2210/30*'Top 25'!$B$45+P2210/25*'Top 25'!$C$45+Q2210/25*'Top 25'!$D$45+R2210/5*'Top 25'!$E$45)/SUM('Top 25'!$B$45:$E$45),6))</f>
        <v>37</v>
      </c>
      <c r="U2210" s="1" t="str">
        <f t="shared" ca="1" si="75"/>
        <v>Listed</v>
      </c>
      <c r="V2210" s="1" t="str">
        <f ca="1">IF(A2210="","",IF(AK2210&lt;&gt;1,"Duplicate source ID",IF(COUNTIFS('Staff Review'!$A$8:$A$507,A2210)&gt;1,"Duplicate review ID",IF(H2210&lt;&gt;"Yes","Outside scope",IF(J2210="Yes","Already served",IF(NOT(ISNUMBER(T2210)),"Missing data","Candidate"))))))</f>
        <v>Candidate</v>
      </c>
      <c r="W2210" s="1">
        <f t="shared" ca="1" si="76"/>
        <v>190</v>
      </c>
      <c r="X2210" s="1">
        <f t="shared" ca="1" si="77"/>
        <v>182</v>
      </c>
      <c r="Y2210" s="1">
        <f ca="1">IF(AND(H2210="Yes",OR(LEN('School Search'!$B$5)=0,ISNUMBER(SEARCH('School Search'!$B$5,B2210&amp;" "&amp;E2210&amp;" "&amp;A2210))),OR('School Search'!$D$5="All",C2210='School Search'!$D$5),OR('School Search'!$G$5="All eligible",AND('School Search'!$G$5="Not marked served",J2210&lt;&gt;"Yes"),AND('School Search'!$G$5="Missing data",V2210="Missing data"),AND('School Search'!$G$5="Marked served",J2210="Yes"))),1,0)</f>
        <v>1</v>
      </c>
      <c r="Z2210" s="1">
        <f ca="1">IF(Y2210=0,"",COUNTIFS($Y$2051:$Y$2550,1,$AO$2051:$AO$2550,"&lt;"&amp;AO2210)+COUNTIFS($Y$2051:Y2210,1,$AO$2051:AO2210,AO2210))</f>
        <v>190</v>
      </c>
      <c r="AA2210" s="1" t="str">
        <f t="shared" ca="1" si="78"/>
        <v>87% economic need; 0.33 mi fresh access; 12 nearby resources</v>
      </c>
      <c r="AB2210" s="1">
        <f t="shared" si="79"/>
        <v>160</v>
      </c>
      <c r="AC2210" s="1" t="str">
        <f t="shared" si="80"/>
        <v>SAVE-A-LOT 60146</v>
      </c>
      <c r="AD2210" s="1" t="str">
        <f t="shared" si="81"/>
        <v>2801 W Dauphin St, Philadelphia, PA, 19132</v>
      </c>
      <c r="AE2210" s="1" t="str">
        <f t="shared" si="82"/>
        <v>3133 RIDGE AVE</v>
      </c>
      <c r="AF2210" s="1">
        <f t="shared" si="83"/>
        <v>39.990743709999997</v>
      </c>
      <c r="AG2210" s="1">
        <f t="shared" si="84"/>
        <v>-75.184024640000004</v>
      </c>
      <c r="AH2210" s="1" t="str">
        <f>IF(I2210=0,"Not contacted",IF(INDEX('Staff Review'!$J$8:$J$507,I2210)="","Not contacted",INDEX('Staff Review'!$J$8:$J$507,I2210)))</f>
        <v>Not contacted</v>
      </c>
      <c r="AI2210" s="1" t="str">
        <f ca="1">IF(I2210=0,"No",IF(AND(COUNT(INDEX('Staff Review'!$D$8:$D$507,I2210))=1,INDEX('Staff Review'!$D$8:$D$507,I2210)&gt;=0,COUNT(INDEX('Staff Review'!$E$8:$E$507,I2210))=1,INDEX('Staff Review'!$E$8:$E$507,I2210)&gt;0,INDEX('Staff Review'!$E$8:$E$507,I2210)&lt;='Top 25'!$E$5,'Top 25'!$E$5-INDEX('Staff Review'!$E$8:$E$507,I2210)&lt;='Top 25'!$H$5,LEN(INDEX('Staff Review'!$H$8:$H$507,I2210))&gt;0),"Yes","No"))</f>
        <v>No</v>
      </c>
      <c r="AJ2210" s="1" t="str">
        <f>IF(I2210=0,"No",IF(COUNT(INDEX('Staff Review'!$F$8:$F$507,I2210))&lt;&gt;1,"No",IF(AND(INDEX('Staff Review'!$F$8:$F$507,I2210)&gt;=0,MOD(INDEX('Staff Review'!$F$8:$F$507,I2210),1)=0,COUNT(INDEX('Staff Review'!$G$8:$G$507,I2210))=1,INDEX('Staff Review'!$G$8:$G$507,I2210)&gt;0,INDEX('Staff Review'!$G$8:$G$507,I2210)&lt;='Top 25'!$E$5,'Top 25'!$E$5-INDEX('Staff Review'!$G$8:$G$507,I2210)&lt;='Top 25'!$H$5,LEN(INDEX('Staff Review'!$H$8:$H$507,I2210))&gt;0),"Yes","No")))</f>
        <v>No</v>
      </c>
      <c r="AK2210" s="1">
        <f t="shared" si="85"/>
        <v>1</v>
      </c>
      <c r="AL2210" s="1">
        <f t="shared" ca="1" si="86"/>
        <v>1</v>
      </c>
      <c r="AM2210" s="1">
        <f t="shared" si="87"/>
        <v>4140</v>
      </c>
      <c r="AN2210" s="1">
        <f t="shared" si="88"/>
        <v>160</v>
      </c>
      <c r="AO2210">
        <f t="shared" ca="1" si="89"/>
        <v>190</v>
      </c>
      <c r="AP2210" s="105">
        <f ca="1">IF(AND(AL2210=1,OR('Top 25'!$A$10="All",C2210='Top 25'!$A$10),OR('Top 25'!$D$10="All",D2210='Top 25'!$D$10)),1,0)</f>
        <v>0</v>
      </c>
      <c r="AQ2210" s="105" t="str">
        <f ca="1">IF(AP2210=0,"",CHOOSE(MATCH('Top 25'!$G$10,{"Priority score","Economic need","Enrollment","Fresh miles","Nearby resources"},0),T2210,G2210,F2210,K2210,L2210))</f>
        <v/>
      </c>
      <c r="AR2210" s="105" t="str">
        <f ca="1">IF(AP2210=0,"",1+COUNTIFS($AP$2051:$AP$2550,1,$AQ$2051:$AQ$2550,IF('Top 25'!$J$10="Ascending","&lt;","&gt;")&amp;AQ2210)+COUNTIFS($AP$2051:$AP$2550,1,$AQ$2051:$AQ$2550,AQ2210,$W$2051:$W$2550,"&lt;"&amp;W2210))</f>
        <v/>
      </c>
      <c r="AT2210" s="105">
        <f ca="1">IF(AND(AL2210=1,OR(Master_rankableSchools!$A$10="All",C2210=Master_rankableSchools!$A$10),OR(Master_rankableSchools!$D$10="All",D2210=Master_rankableSchools!$D$10)),1,0)</f>
        <v>1</v>
      </c>
      <c r="AU2210" s="105">
        <f ca="1">IF(AT2210=0,"",CHOOSE(MATCH(Master_rankableSchools!$G$10,{"Priority score","Economic need","Enrollment","Fresh miles","Nearby resources"},0),T2210,G2210,F2210,K2210,L2210))</f>
        <v>37</v>
      </c>
      <c r="AV2210" s="105">
        <f ca="1">IF(AT2210=0,"",1+COUNTIFS($AT$2051:$AT$2550,1,$AU$2051:$AU$2550,IF(Master_rankableSchools!$J$10="Ascending","&lt;","&gt;")&amp;AU2210)+COUNTIFS($AT$2051:$AT$2550,1,$AU$2051:$AU$2550,AU2210,$W$2051:$W$2550,"&lt;"&amp;W2210))</f>
        <v>190</v>
      </c>
    </row>
    <row r="2211" spans="1:48" ht="22" customHeight="1">
      <c r="A2211" s="1" t="str">
        <f t="shared" si="60"/>
        <v>4220</v>
      </c>
      <c r="B2211" s="1" t="str">
        <f t="shared" si="61"/>
        <v>James G. Blaine School</v>
      </c>
      <c r="C2211" s="1" t="str">
        <f t="shared" si="62"/>
        <v>District</v>
      </c>
      <c r="D2211" s="1" t="str">
        <f t="shared" si="63"/>
        <v>Elementary-Middle</v>
      </c>
      <c r="E2211" s="1" t="str">
        <f t="shared" si="64"/>
        <v>19121</v>
      </c>
      <c r="F2211" s="1">
        <f t="shared" si="65"/>
        <v>299</v>
      </c>
      <c r="G2211" s="1">
        <f t="shared" si="66"/>
        <v>0.89439999999999997</v>
      </c>
      <c r="H2211" s="1" t="str">
        <f t="shared" si="67"/>
        <v>Yes</v>
      </c>
      <c r="I2211" s="1">
        <f>IF(OR(A2211="",COUNTIFS('Staff Review'!$A$8:$A$507,A2211)&lt;&gt;1),0,MATCH(A2211,'Staff Review'!$A$8:$A$507,0))</f>
        <v>126</v>
      </c>
      <c r="J2211" s="1" t="str">
        <f>IF(I2211=0,"No",IF(INDEX('Staff Review'!$C$8:$C$507,I2211)="Yes","Yes","No"))</f>
        <v>No</v>
      </c>
      <c r="K2211" s="1">
        <f ca="1">IF(AI2211="Yes",INDEX('Staff Review'!$D$8:$D$507,I2211),IF(AB2211=0,"",IF(COUNT(INDEX($C$1531:$C$2030,AB2211))=1,INDEX($C$1531:$C$2030,AB2211),"")))</f>
        <v>0.46870724449513518</v>
      </c>
      <c r="L2211" s="1">
        <f>IF(AJ2211="Yes",INDEX('Staff Review'!$F$8:$F$507,I2211),IF(AB2211=0,"",IF(COUNT(INDEX($G$1531:$G$2030,AB2211))=1,INDEX($G$1531:$G$2030,AB2211),"")))</f>
        <v>11</v>
      </c>
      <c r="M2211" s="1" t="str">
        <f t="shared" ca="1" si="68"/>
        <v>Listed</v>
      </c>
      <c r="N2211" s="1" t="str">
        <f t="shared" si="69"/>
        <v>Listed</v>
      </c>
      <c r="O2211" s="1">
        <f t="shared" si="70"/>
        <v>25</v>
      </c>
      <c r="P2211" s="1">
        <f t="shared" ca="1" si="71"/>
        <v>10</v>
      </c>
      <c r="Q2211" s="1">
        <f t="shared" si="72"/>
        <v>0</v>
      </c>
      <c r="R2211" s="1">
        <f t="shared" si="73"/>
        <v>2</v>
      </c>
      <c r="S2211" s="1">
        <f t="shared" ca="1" si="74"/>
        <v>37</v>
      </c>
      <c r="T2211" s="1">
        <f ca="1">IF(OR(COUNT(O2211:R2211)&lt;&gt;4,COUNT('Top 25'!$B$45:$E$45)&lt;&gt;4,MIN('Top 25'!$B$45:$E$45)&lt;0,SUM('Top 25'!$B$45:$E$45)&lt;=0),"",ROUND(85*(O2211/30*'Top 25'!$B$45+P2211/25*'Top 25'!$C$45+Q2211/25*'Top 25'!$D$45+R2211/5*'Top 25'!$E$45)/SUM('Top 25'!$B$45:$E$45),6))</f>
        <v>37</v>
      </c>
      <c r="U2211" s="1" t="str">
        <f t="shared" ca="1" si="75"/>
        <v>Listed</v>
      </c>
      <c r="V2211" s="1" t="str">
        <f ca="1">IF(A2211="","",IF(AK2211&lt;&gt;1,"Duplicate source ID",IF(COUNTIFS('Staff Review'!$A$8:$A$507,A2211)&gt;1,"Duplicate review ID",IF(H2211&lt;&gt;"Yes","Outside scope",IF(J2211="Yes","Already served",IF(NOT(ISNUMBER(T2211)),"Missing data","Candidate"))))))</f>
        <v>Candidate</v>
      </c>
      <c r="W2211" s="1">
        <f t="shared" ca="1" si="76"/>
        <v>186</v>
      </c>
      <c r="X2211" s="1">
        <f t="shared" ca="1" si="77"/>
        <v>182</v>
      </c>
      <c r="Y2211" s="1">
        <f ca="1">IF(AND(H2211="Yes",OR(LEN('School Search'!$B$5)=0,ISNUMBER(SEARCH('School Search'!$B$5,B2211&amp;" "&amp;E2211&amp;" "&amp;A2211))),OR('School Search'!$D$5="All",C2211='School Search'!$D$5),OR('School Search'!$G$5="All eligible",AND('School Search'!$G$5="Not marked served",J2211&lt;&gt;"Yes"),AND('School Search'!$G$5="Missing data",V2211="Missing data"),AND('School Search'!$G$5="Marked served",J2211="Yes"))),1,0)</f>
        <v>1</v>
      </c>
      <c r="Z2211" s="1">
        <f ca="1">IF(Y2211=0,"",COUNTIFS($Y$2051:$Y$2550,1,$AO$2051:$AO$2550,"&lt;"&amp;AO2211)+COUNTIFS($Y$2051:Y2211,1,$AO$2051:AO2211,AO2211))</f>
        <v>186</v>
      </c>
      <c r="AA2211" s="1" t="str">
        <f t="shared" ca="1" si="78"/>
        <v>89% economic need; 0.47 mi fresh access; 11 nearby resources</v>
      </c>
      <c r="AB2211" s="1">
        <f t="shared" si="79"/>
        <v>161</v>
      </c>
      <c r="AC2211" s="1" t="str">
        <f t="shared" si="80"/>
        <v>SAVE-A-LOT 60146</v>
      </c>
      <c r="AD2211" s="1" t="str">
        <f t="shared" si="81"/>
        <v>2801 W Dauphin St, Philadelphia, PA, 19132</v>
      </c>
      <c r="AE2211" s="1" t="str">
        <f t="shared" si="82"/>
        <v>3001 W BERKS ST</v>
      </c>
      <c r="AF2211" s="1">
        <f t="shared" si="83"/>
        <v>39.985212969999999</v>
      </c>
      <c r="AG2211" s="1">
        <f t="shared" si="84"/>
        <v>-75.182938870000001</v>
      </c>
      <c r="AH2211" s="1" t="str">
        <f>IF(I2211=0,"Not contacted",IF(INDEX('Staff Review'!$J$8:$J$507,I2211)="","Not contacted",INDEX('Staff Review'!$J$8:$J$507,I2211)))</f>
        <v>Not contacted</v>
      </c>
      <c r="AI2211" s="1" t="str">
        <f ca="1">IF(I2211=0,"No",IF(AND(COUNT(INDEX('Staff Review'!$D$8:$D$507,I2211))=1,INDEX('Staff Review'!$D$8:$D$507,I2211)&gt;=0,COUNT(INDEX('Staff Review'!$E$8:$E$507,I2211))=1,INDEX('Staff Review'!$E$8:$E$507,I2211)&gt;0,INDEX('Staff Review'!$E$8:$E$507,I2211)&lt;='Top 25'!$E$5,'Top 25'!$E$5-INDEX('Staff Review'!$E$8:$E$507,I2211)&lt;='Top 25'!$H$5,LEN(INDEX('Staff Review'!$H$8:$H$507,I2211))&gt;0),"Yes","No"))</f>
        <v>No</v>
      </c>
      <c r="AJ2211" s="1" t="str">
        <f>IF(I2211=0,"No",IF(COUNT(INDEX('Staff Review'!$F$8:$F$507,I2211))&lt;&gt;1,"No",IF(AND(INDEX('Staff Review'!$F$8:$F$507,I2211)&gt;=0,MOD(INDEX('Staff Review'!$F$8:$F$507,I2211),1)=0,COUNT(INDEX('Staff Review'!$G$8:$G$507,I2211))=1,INDEX('Staff Review'!$G$8:$G$507,I2211)&gt;0,INDEX('Staff Review'!$G$8:$G$507,I2211)&lt;='Top 25'!$E$5,'Top 25'!$E$5-INDEX('Staff Review'!$G$8:$G$507,I2211)&lt;='Top 25'!$H$5,LEN(INDEX('Staff Review'!$H$8:$H$507,I2211))&gt;0),"Yes","No")))</f>
        <v>No</v>
      </c>
      <c r="AK2211" s="1">
        <f t="shared" si="85"/>
        <v>1</v>
      </c>
      <c r="AL2211" s="1">
        <f t="shared" ca="1" si="86"/>
        <v>1</v>
      </c>
      <c r="AM2211" s="1">
        <f t="shared" si="87"/>
        <v>4220</v>
      </c>
      <c r="AN2211" s="1">
        <f t="shared" si="88"/>
        <v>161</v>
      </c>
      <c r="AO2211">
        <f t="shared" ca="1" si="89"/>
        <v>186</v>
      </c>
      <c r="AP2211" s="105">
        <f ca="1">IF(AND(AL2211=1,OR('Top 25'!$A$10="All",C2211='Top 25'!$A$10),OR('Top 25'!$D$10="All",D2211='Top 25'!$D$10)),1,0)</f>
        <v>0</v>
      </c>
      <c r="AQ2211" s="105" t="str">
        <f ca="1">IF(AP2211=0,"",CHOOSE(MATCH('Top 25'!$G$10,{"Priority score","Economic need","Enrollment","Fresh miles","Nearby resources"},0),T2211,G2211,F2211,K2211,L2211))</f>
        <v/>
      </c>
      <c r="AR2211" s="105" t="str">
        <f ca="1">IF(AP2211=0,"",1+COUNTIFS($AP$2051:$AP$2550,1,$AQ$2051:$AQ$2550,IF('Top 25'!$J$10="Ascending","&lt;","&gt;")&amp;AQ2211)+COUNTIFS($AP$2051:$AP$2550,1,$AQ$2051:$AQ$2550,AQ2211,$W$2051:$W$2550,"&lt;"&amp;W2211))</f>
        <v/>
      </c>
      <c r="AT2211" s="105">
        <f ca="1">IF(AND(AL2211=1,OR(Master_rankableSchools!$A$10="All",C2211=Master_rankableSchools!$A$10),OR(Master_rankableSchools!$D$10="All",D2211=Master_rankableSchools!$D$10)),1,0)</f>
        <v>1</v>
      </c>
      <c r="AU2211" s="105">
        <f ca="1">IF(AT2211=0,"",CHOOSE(MATCH(Master_rankableSchools!$G$10,{"Priority score","Economic need","Enrollment","Fresh miles","Nearby resources"},0),T2211,G2211,F2211,K2211,L2211))</f>
        <v>37</v>
      </c>
      <c r="AV2211" s="105">
        <f ca="1">IF(AT2211=0,"",1+COUNTIFS($AT$2051:$AT$2550,1,$AU$2051:$AU$2550,IF(Master_rankableSchools!$J$10="Ascending","&lt;","&gt;")&amp;AU2211)+COUNTIFS($AT$2051:$AT$2550,1,$AU$2051:$AU$2550,AU2211,$W$2051:$W$2550,"&lt;"&amp;W2211))</f>
        <v>186</v>
      </c>
    </row>
    <row r="2212" spans="1:48" ht="22" customHeight="1">
      <c r="A2212" s="1" t="str">
        <f t="shared" si="60"/>
        <v>4240</v>
      </c>
      <c r="B2212" s="1" t="str">
        <f t="shared" si="61"/>
        <v>Lewis C. Cassidy Academics Plus School</v>
      </c>
      <c r="C2212" s="1" t="str">
        <f t="shared" si="62"/>
        <v>District</v>
      </c>
      <c r="D2212" s="1" t="str">
        <f t="shared" si="63"/>
        <v>Elementary-Middle</v>
      </c>
      <c r="E2212" s="1" t="str">
        <f t="shared" si="64"/>
        <v>19151</v>
      </c>
      <c r="F2212" s="1">
        <f t="shared" si="65"/>
        <v>363</v>
      </c>
      <c r="G2212" s="1">
        <f t="shared" si="66"/>
        <v>0.74790000000000001</v>
      </c>
      <c r="H2212" s="1" t="str">
        <f t="shared" si="67"/>
        <v>Yes</v>
      </c>
      <c r="I2212" s="1">
        <f>IF(OR(A2212="",COUNTIFS('Staff Review'!$A$8:$A$507,A2212)&lt;&gt;1),0,MATCH(A2212,'Staff Review'!$A$8:$A$507,0))</f>
        <v>170</v>
      </c>
      <c r="J2212" s="1" t="str">
        <f>IF(I2212=0,"No",IF(INDEX('Staff Review'!$C$8:$C$507,I2212)="Yes","Yes","No"))</f>
        <v>No</v>
      </c>
      <c r="K2212" s="1">
        <f ca="1">IF(AI2212="Yes",INDEX('Staff Review'!$D$8:$D$507,I2212),IF(AB2212=0,"",IF(COUNT(INDEX($C$1531:$C$2030,AB2212))=1,INDEX($C$1531:$C$2030,AB2212),"")))</f>
        <v>0.8875990918896205</v>
      </c>
      <c r="L2212" s="1">
        <f>IF(AJ2212="Yes",INDEX('Staff Review'!$F$8:$F$507,I2212),IF(AB2212=0,"",IF(COUNT(INDEX($G$1531:$G$2030,AB2212))=1,INDEX($G$1531:$G$2030,AB2212),"")))</f>
        <v>6</v>
      </c>
      <c r="M2212" s="1" t="str">
        <f t="shared" ca="1" si="68"/>
        <v>Listed</v>
      </c>
      <c r="N2212" s="1" t="str">
        <f t="shared" si="69"/>
        <v>Listed</v>
      </c>
      <c r="O2212" s="1">
        <f t="shared" si="70"/>
        <v>20</v>
      </c>
      <c r="P2212" s="1">
        <f t="shared" ca="1" si="71"/>
        <v>20</v>
      </c>
      <c r="Q2212" s="1">
        <f t="shared" si="72"/>
        <v>0</v>
      </c>
      <c r="R2212" s="1">
        <f t="shared" si="73"/>
        <v>3</v>
      </c>
      <c r="S2212" s="1">
        <f t="shared" ca="1" si="74"/>
        <v>43</v>
      </c>
      <c r="T2212" s="1">
        <f ca="1">IF(OR(COUNT(O2212:R2212)&lt;&gt;4,COUNT('Top 25'!$B$45:$E$45)&lt;&gt;4,MIN('Top 25'!$B$45:$E$45)&lt;0,SUM('Top 25'!$B$45:$E$45)&lt;=0),"",ROUND(85*(O2212/30*'Top 25'!$B$45+P2212/25*'Top 25'!$C$45+Q2212/25*'Top 25'!$D$45+R2212/5*'Top 25'!$E$45)/SUM('Top 25'!$B$45:$E$45),6))</f>
        <v>43</v>
      </c>
      <c r="U2212" s="1" t="str">
        <f t="shared" ca="1" si="75"/>
        <v>Listed</v>
      </c>
      <c r="V2212" s="1" t="str">
        <f ca="1">IF(A2212="","",IF(AK2212&lt;&gt;1,"Duplicate source ID",IF(COUNTIFS('Staff Review'!$A$8:$A$507,A2212)&gt;1,"Duplicate review ID",IF(H2212&lt;&gt;"Yes","Outside scope",IF(J2212="Yes","Already served",IF(NOT(ISNUMBER(T2212)),"Missing data","Candidate"))))))</f>
        <v>Candidate</v>
      </c>
      <c r="W2212" s="1">
        <f t="shared" ca="1" si="76"/>
        <v>99</v>
      </c>
      <c r="X2212" s="1">
        <f t="shared" ca="1" si="77"/>
        <v>90</v>
      </c>
      <c r="Y2212" s="1">
        <f ca="1">IF(AND(H2212="Yes",OR(LEN('School Search'!$B$5)=0,ISNUMBER(SEARCH('School Search'!$B$5,B2212&amp;" "&amp;E2212&amp;" "&amp;A2212))),OR('School Search'!$D$5="All",C2212='School Search'!$D$5),OR('School Search'!$G$5="All eligible",AND('School Search'!$G$5="Not marked served",J2212&lt;&gt;"Yes"),AND('School Search'!$G$5="Missing data",V2212="Missing data"),AND('School Search'!$G$5="Marked served",J2212="Yes"))),1,0)</f>
        <v>1</v>
      </c>
      <c r="Z2212" s="1">
        <f ca="1">IF(Y2212=0,"",COUNTIFS($Y$2051:$Y$2550,1,$AO$2051:$AO$2550,"&lt;"&amp;AO2212)+COUNTIFS($Y$2051:Y2212,1,$AO$2051:AO2212,AO2212))</f>
        <v>99</v>
      </c>
      <c r="AA2212" s="1" t="str">
        <f t="shared" ca="1" si="78"/>
        <v>75% economic need; 0.89 mi fresh access; 6 nearby resources</v>
      </c>
      <c r="AB2212" s="1">
        <f t="shared" si="79"/>
        <v>162</v>
      </c>
      <c r="AC2212" s="1" t="str">
        <f t="shared" si="80"/>
        <v>Al Aqsa Supermarket</v>
      </c>
      <c r="AD2212" s="1" t="str">
        <f t="shared" si="81"/>
        <v>6501 Market St, Upper Darby, PA, 19082</v>
      </c>
      <c r="AE2212" s="1" t="str">
        <f t="shared" si="82"/>
        <v>6523 LANSDOWNE AVE</v>
      </c>
      <c r="AF2212" s="1">
        <f t="shared" si="83"/>
        <v>39.975518739999998</v>
      </c>
      <c r="AG2212" s="1">
        <f t="shared" si="84"/>
        <v>-75.250774430000007</v>
      </c>
      <c r="AH2212" s="1" t="str">
        <f>IF(I2212=0,"Not contacted",IF(INDEX('Staff Review'!$J$8:$J$507,I2212)="","Not contacted",INDEX('Staff Review'!$J$8:$J$507,I2212)))</f>
        <v>Not contacted</v>
      </c>
      <c r="AI2212" s="1" t="str">
        <f ca="1">IF(I2212=0,"No",IF(AND(COUNT(INDEX('Staff Review'!$D$8:$D$507,I2212))=1,INDEX('Staff Review'!$D$8:$D$507,I2212)&gt;=0,COUNT(INDEX('Staff Review'!$E$8:$E$507,I2212))=1,INDEX('Staff Review'!$E$8:$E$507,I2212)&gt;0,INDEX('Staff Review'!$E$8:$E$507,I2212)&lt;='Top 25'!$E$5,'Top 25'!$E$5-INDEX('Staff Review'!$E$8:$E$507,I2212)&lt;='Top 25'!$H$5,LEN(INDEX('Staff Review'!$H$8:$H$507,I2212))&gt;0),"Yes","No"))</f>
        <v>No</v>
      </c>
      <c r="AJ2212" s="1" t="str">
        <f>IF(I2212=0,"No",IF(COUNT(INDEX('Staff Review'!$F$8:$F$507,I2212))&lt;&gt;1,"No",IF(AND(INDEX('Staff Review'!$F$8:$F$507,I2212)&gt;=0,MOD(INDEX('Staff Review'!$F$8:$F$507,I2212),1)=0,COUNT(INDEX('Staff Review'!$G$8:$G$507,I2212))=1,INDEX('Staff Review'!$G$8:$G$507,I2212)&gt;0,INDEX('Staff Review'!$G$8:$G$507,I2212)&lt;='Top 25'!$E$5,'Top 25'!$E$5-INDEX('Staff Review'!$G$8:$G$507,I2212)&lt;='Top 25'!$H$5,LEN(INDEX('Staff Review'!$H$8:$H$507,I2212))&gt;0),"Yes","No")))</f>
        <v>No</v>
      </c>
      <c r="AK2212" s="1">
        <f t="shared" si="85"/>
        <v>1</v>
      </c>
      <c r="AL2212" s="1">
        <f t="shared" ca="1" si="86"/>
        <v>1</v>
      </c>
      <c r="AM2212" s="1">
        <f t="shared" si="87"/>
        <v>4240</v>
      </c>
      <c r="AN2212" s="1">
        <f t="shared" si="88"/>
        <v>162</v>
      </c>
      <c r="AO2212">
        <f t="shared" ca="1" si="89"/>
        <v>99</v>
      </c>
      <c r="AP2212" s="105">
        <f ca="1">IF(AND(AL2212=1,OR('Top 25'!$A$10="All",C2212='Top 25'!$A$10),OR('Top 25'!$D$10="All",D2212='Top 25'!$D$10)),1,0)</f>
        <v>0</v>
      </c>
      <c r="AQ2212" s="105" t="str">
        <f ca="1">IF(AP2212=0,"",CHOOSE(MATCH('Top 25'!$G$10,{"Priority score","Economic need","Enrollment","Fresh miles","Nearby resources"},0),T2212,G2212,F2212,K2212,L2212))</f>
        <v/>
      </c>
      <c r="AR2212" s="105" t="str">
        <f ca="1">IF(AP2212=0,"",1+COUNTIFS($AP$2051:$AP$2550,1,$AQ$2051:$AQ$2550,IF('Top 25'!$J$10="Ascending","&lt;","&gt;")&amp;AQ2212)+COUNTIFS($AP$2051:$AP$2550,1,$AQ$2051:$AQ$2550,AQ2212,$W$2051:$W$2550,"&lt;"&amp;W2212))</f>
        <v/>
      </c>
      <c r="AT2212" s="105">
        <f ca="1">IF(AND(AL2212=1,OR(Master_rankableSchools!$A$10="All",C2212=Master_rankableSchools!$A$10),OR(Master_rankableSchools!$D$10="All",D2212=Master_rankableSchools!$D$10)),1,0)</f>
        <v>1</v>
      </c>
      <c r="AU2212" s="105">
        <f ca="1">IF(AT2212=0,"",CHOOSE(MATCH(Master_rankableSchools!$G$10,{"Priority score","Economic need","Enrollment","Fresh miles","Nearby resources"},0),T2212,G2212,F2212,K2212,L2212))</f>
        <v>43</v>
      </c>
      <c r="AV2212" s="105">
        <f ca="1">IF(AT2212=0,"",1+COUNTIFS($AT$2051:$AT$2550,1,$AU$2051:$AU$2550,IF(Master_rankableSchools!$J$10="Ascending","&lt;","&gt;")&amp;AU2212)+COUNTIFS($AT$2051:$AT$2550,1,$AU$2051:$AU$2550,AU2212,$W$2051:$W$2550,"&lt;"&amp;W2212))</f>
        <v>99</v>
      </c>
    </row>
    <row r="2213" spans="1:48" ht="22" customHeight="1">
      <c r="A2213" s="1" t="str">
        <f t="shared" si="60"/>
        <v>4270</v>
      </c>
      <c r="B2213" s="1" t="str">
        <f t="shared" si="61"/>
        <v>William Dick School</v>
      </c>
      <c r="C2213" s="1" t="str">
        <f t="shared" si="62"/>
        <v>District</v>
      </c>
      <c r="D2213" s="1" t="str">
        <f t="shared" si="63"/>
        <v>Elementary-Middle</v>
      </c>
      <c r="E2213" s="1" t="str">
        <f t="shared" si="64"/>
        <v>19121</v>
      </c>
      <c r="F2213" s="1">
        <f t="shared" si="65"/>
        <v>306</v>
      </c>
      <c r="G2213" s="1">
        <f t="shared" si="66"/>
        <v>0.96379999999999999</v>
      </c>
      <c r="H2213" s="1" t="str">
        <f t="shared" si="67"/>
        <v>Yes</v>
      </c>
      <c r="I2213" s="1">
        <f>IF(OR(A2213="",COUNTIFS('Staff Review'!$A$8:$A$507,A2213)&lt;&gt;1),0,MATCH(A2213,'Staff Review'!$A$8:$A$507,0))</f>
        <v>316</v>
      </c>
      <c r="J2213" s="1" t="str">
        <f>IF(I2213=0,"No",IF(INDEX('Staff Review'!$C$8:$C$507,I2213)="Yes","Yes","No"))</f>
        <v>No</v>
      </c>
      <c r="K2213" s="1">
        <f ca="1">IF(AI2213="Yes",INDEX('Staff Review'!$D$8:$D$507,I2213),IF(AB2213=0,"",IF(COUNT(INDEX($C$1531:$C$2030,AB2213))=1,INDEX($C$1531:$C$2030,AB2213),"")))</f>
        <v>0.35343027900899937</v>
      </c>
      <c r="L2213" s="1">
        <f>IF(AJ2213="Yes",INDEX('Staff Review'!$F$8:$F$507,I2213),IF(AB2213=0,"",IF(COUNT(INDEX($G$1531:$G$2030,AB2213))=1,INDEX($G$1531:$G$2030,AB2213),"")))</f>
        <v>18</v>
      </c>
      <c r="M2213" s="1" t="str">
        <f t="shared" ca="1" si="68"/>
        <v>Listed</v>
      </c>
      <c r="N2213" s="1" t="str">
        <f t="shared" si="69"/>
        <v>Listed</v>
      </c>
      <c r="O2213" s="1">
        <f t="shared" si="70"/>
        <v>30</v>
      </c>
      <c r="P2213" s="1">
        <f t="shared" ca="1" si="71"/>
        <v>10</v>
      </c>
      <c r="Q2213" s="1">
        <f t="shared" si="72"/>
        <v>0</v>
      </c>
      <c r="R2213" s="1">
        <f t="shared" si="73"/>
        <v>2</v>
      </c>
      <c r="S2213" s="1">
        <f t="shared" ca="1" si="74"/>
        <v>42</v>
      </c>
      <c r="T2213" s="1">
        <f ca="1">IF(OR(COUNT(O2213:R2213)&lt;&gt;4,COUNT('Top 25'!$B$45:$E$45)&lt;&gt;4,MIN('Top 25'!$B$45:$E$45)&lt;0,SUM('Top 25'!$B$45:$E$45)&lt;=0),"",ROUND(85*(O2213/30*'Top 25'!$B$45+P2213/25*'Top 25'!$C$45+Q2213/25*'Top 25'!$D$45+R2213/5*'Top 25'!$E$45)/SUM('Top 25'!$B$45:$E$45),6))</f>
        <v>42</v>
      </c>
      <c r="U2213" s="1" t="str">
        <f t="shared" ca="1" si="75"/>
        <v>Listed</v>
      </c>
      <c r="V2213" s="1" t="str">
        <f ca="1">IF(A2213="","",IF(AK2213&lt;&gt;1,"Duplicate source ID",IF(COUNTIFS('Staff Review'!$A$8:$A$507,A2213)&gt;1,"Duplicate review ID",IF(H2213&lt;&gt;"Yes","Outside scope",IF(J2213="Yes","Already served",IF(NOT(ISNUMBER(T2213)),"Missing data","Candidate"))))))</f>
        <v>Candidate</v>
      </c>
      <c r="W2213" s="1">
        <f t="shared" ca="1" si="76"/>
        <v>102</v>
      </c>
      <c r="X2213" s="1">
        <f t="shared" ca="1" si="77"/>
        <v>101</v>
      </c>
      <c r="Y2213" s="1">
        <f ca="1">IF(AND(H2213="Yes",OR(LEN('School Search'!$B$5)=0,ISNUMBER(SEARCH('School Search'!$B$5,B2213&amp;" "&amp;E2213&amp;" "&amp;A2213))),OR('School Search'!$D$5="All",C2213='School Search'!$D$5),OR('School Search'!$G$5="All eligible",AND('School Search'!$G$5="Not marked served",J2213&lt;&gt;"Yes"),AND('School Search'!$G$5="Missing data",V2213="Missing data"),AND('School Search'!$G$5="Marked served",J2213="Yes"))),1,0)</f>
        <v>1</v>
      </c>
      <c r="Z2213" s="1">
        <f ca="1">IF(Y2213=0,"",COUNTIFS($Y$2051:$Y$2550,1,$AO$2051:$AO$2550,"&lt;"&amp;AO2213)+COUNTIFS($Y$2051:Y2213,1,$AO$2051:AO2213,AO2213))</f>
        <v>102</v>
      </c>
      <c r="AA2213" s="1" t="str">
        <f t="shared" ca="1" si="78"/>
        <v>96% economic need; 0.35 mi fresh access; 18 nearby resources</v>
      </c>
      <c r="AB2213" s="1">
        <f t="shared" si="79"/>
        <v>163</v>
      </c>
      <c r="AC2213" s="1" t="str">
        <f t="shared" si="80"/>
        <v>SAVE-A-LOT 60146</v>
      </c>
      <c r="AD2213" s="1" t="str">
        <f t="shared" si="81"/>
        <v>2801 W Dauphin St, Philadelphia, PA, 19132</v>
      </c>
      <c r="AE2213" s="1" t="str">
        <f t="shared" si="82"/>
        <v>2498 W DIAMOND ST</v>
      </c>
      <c r="AF2213" s="1">
        <f t="shared" si="83"/>
        <v>39.986730000000001</v>
      </c>
      <c r="AG2213" s="1">
        <f t="shared" si="84"/>
        <v>-75.173787000000004</v>
      </c>
      <c r="AH2213" s="1" t="str">
        <f>IF(I2213=0,"Not contacted",IF(INDEX('Staff Review'!$J$8:$J$507,I2213)="","Not contacted",INDEX('Staff Review'!$J$8:$J$507,I2213)))</f>
        <v>Not contacted</v>
      </c>
      <c r="AI2213" s="1" t="str">
        <f ca="1">IF(I2213=0,"No",IF(AND(COUNT(INDEX('Staff Review'!$D$8:$D$507,I2213))=1,INDEX('Staff Review'!$D$8:$D$507,I2213)&gt;=0,COUNT(INDEX('Staff Review'!$E$8:$E$507,I2213))=1,INDEX('Staff Review'!$E$8:$E$507,I2213)&gt;0,INDEX('Staff Review'!$E$8:$E$507,I2213)&lt;='Top 25'!$E$5,'Top 25'!$E$5-INDEX('Staff Review'!$E$8:$E$507,I2213)&lt;='Top 25'!$H$5,LEN(INDEX('Staff Review'!$H$8:$H$507,I2213))&gt;0),"Yes","No"))</f>
        <v>No</v>
      </c>
      <c r="AJ2213" s="1" t="str">
        <f>IF(I2213=0,"No",IF(COUNT(INDEX('Staff Review'!$F$8:$F$507,I2213))&lt;&gt;1,"No",IF(AND(INDEX('Staff Review'!$F$8:$F$507,I2213)&gt;=0,MOD(INDEX('Staff Review'!$F$8:$F$507,I2213),1)=0,COUNT(INDEX('Staff Review'!$G$8:$G$507,I2213))=1,INDEX('Staff Review'!$G$8:$G$507,I2213)&gt;0,INDEX('Staff Review'!$G$8:$G$507,I2213)&lt;='Top 25'!$E$5,'Top 25'!$E$5-INDEX('Staff Review'!$G$8:$G$507,I2213)&lt;='Top 25'!$H$5,LEN(INDEX('Staff Review'!$H$8:$H$507,I2213))&gt;0),"Yes","No")))</f>
        <v>No</v>
      </c>
      <c r="AK2213" s="1">
        <f t="shared" si="85"/>
        <v>1</v>
      </c>
      <c r="AL2213" s="1">
        <f t="shared" ca="1" si="86"/>
        <v>1</v>
      </c>
      <c r="AM2213" s="1">
        <f t="shared" si="87"/>
        <v>4270</v>
      </c>
      <c r="AN2213" s="1">
        <f t="shared" si="88"/>
        <v>163</v>
      </c>
      <c r="AO2213">
        <f t="shared" ca="1" si="89"/>
        <v>102</v>
      </c>
      <c r="AP2213" s="105">
        <f ca="1">IF(AND(AL2213=1,OR('Top 25'!$A$10="All",C2213='Top 25'!$A$10),OR('Top 25'!$D$10="All",D2213='Top 25'!$D$10)),1,0)</f>
        <v>0</v>
      </c>
      <c r="AQ2213" s="105" t="str">
        <f ca="1">IF(AP2213=0,"",CHOOSE(MATCH('Top 25'!$G$10,{"Priority score","Economic need","Enrollment","Fresh miles","Nearby resources"},0),T2213,G2213,F2213,K2213,L2213))</f>
        <v/>
      </c>
      <c r="AR2213" s="105" t="str">
        <f ca="1">IF(AP2213=0,"",1+COUNTIFS($AP$2051:$AP$2550,1,$AQ$2051:$AQ$2550,IF('Top 25'!$J$10="Ascending","&lt;","&gt;")&amp;AQ2213)+COUNTIFS($AP$2051:$AP$2550,1,$AQ$2051:$AQ$2550,AQ2213,$W$2051:$W$2550,"&lt;"&amp;W2213))</f>
        <v/>
      </c>
      <c r="AT2213" s="105">
        <f ca="1">IF(AND(AL2213=1,OR(Master_rankableSchools!$A$10="All",C2213=Master_rankableSchools!$A$10),OR(Master_rankableSchools!$D$10="All",D2213=Master_rankableSchools!$D$10)),1,0)</f>
        <v>1</v>
      </c>
      <c r="AU2213" s="105">
        <f ca="1">IF(AT2213=0,"",CHOOSE(MATCH(Master_rankableSchools!$G$10,{"Priority score","Economic need","Enrollment","Fresh miles","Nearby resources"},0),T2213,G2213,F2213,K2213,L2213))</f>
        <v>42</v>
      </c>
      <c r="AV2213" s="105">
        <f ca="1">IF(AT2213=0,"",1+COUNTIFS($AT$2051:$AT$2550,1,$AU$2051:$AU$2550,IF(Master_rankableSchools!$J$10="Ascending","&lt;","&gt;")&amp;AU2213)+COUNTIFS($AT$2051:$AT$2550,1,$AU$2051:$AU$2550,AU2213,$W$2051:$W$2550,"&lt;"&amp;W2213))</f>
        <v>102</v>
      </c>
    </row>
    <row r="2214" spans="1:48" ht="22" customHeight="1">
      <c r="A2214" s="1" t="str">
        <f t="shared" si="60"/>
        <v>4280</v>
      </c>
      <c r="B2214" s="1" t="str">
        <f t="shared" si="61"/>
        <v>Samuel Gompers School</v>
      </c>
      <c r="C2214" s="1" t="str">
        <f t="shared" si="62"/>
        <v>District</v>
      </c>
      <c r="D2214" s="1" t="str">
        <f t="shared" si="63"/>
        <v>Elementary-Middle</v>
      </c>
      <c r="E2214" s="1" t="str">
        <f t="shared" si="64"/>
        <v>19131</v>
      </c>
      <c r="F2214" s="1">
        <f t="shared" si="65"/>
        <v>236</v>
      </c>
      <c r="G2214" s="1">
        <f t="shared" si="66"/>
        <v>0.72030000000000005</v>
      </c>
      <c r="H2214" s="1" t="str">
        <f t="shared" si="67"/>
        <v>Yes</v>
      </c>
      <c r="I2214" s="1">
        <f>IF(OR(A2214="",COUNTIFS('Staff Review'!$A$8:$A$507,A2214)&lt;&gt;1),0,MATCH(A2214,'Staff Review'!$A$8:$A$507,0))</f>
        <v>262</v>
      </c>
      <c r="J2214" s="1" t="str">
        <f>IF(I2214=0,"No",IF(INDEX('Staff Review'!$C$8:$C$507,I2214)="Yes","Yes","No"))</f>
        <v>No</v>
      </c>
      <c r="K2214" s="1">
        <f ca="1">IF(AI2214="Yes",INDEX('Staff Review'!$D$8:$D$507,I2214),IF(AB2214=0,"",IF(COUNT(INDEX($C$1531:$C$2030,AB2214))=1,INDEX($C$1531:$C$2030,AB2214),"")))</f>
        <v>1.0969192688329938</v>
      </c>
      <c r="L2214" s="1">
        <f>IF(AJ2214="Yes",INDEX('Staff Review'!$F$8:$F$507,I2214),IF(AB2214=0,"",IF(COUNT(INDEX($G$1531:$G$2030,AB2214))=1,INDEX($G$1531:$G$2030,AB2214),"")))</f>
        <v>3</v>
      </c>
      <c r="M2214" s="1" t="str">
        <f t="shared" ca="1" si="68"/>
        <v>Listed</v>
      </c>
      <c r="N2214" s="1" t="str">
        <f t="shared" si="69"/>
        <v>Listed</v>
      </c>
      <c r="O2214" s="1">
        <f t="shared" si="70"/>
        <v>20</v>
      </c>
      <c r="P2214" s="1">
        <f t="shared" ca="1" si="71"/>
        <v>25</v>
      </c>
      <c r="Q2214" s="1">
        <f t="shared" si="72"/>
        <v>10</v>
      </c>
      <c r="R2214" s="1">
        <f t="shared" si="73"/>
        <v>2</v>
      </c>
      <c r="S2214" s="1">
        <f t="shared" ca="1" si="74"/>
        <v>57</v>
      </c>
      <c r="T2214" s="1">
        <f ca="1">IF(OR(COUNT(O2214:R2214)&lt;&gt;4,COUNT('Top 25'!$B$45:$E$45)&lt;&gt;4,MIN('Top 25'!$B$45:$E$45)&lt;0,SUM('Top 25'!$B$45:$E$45)&lt;=0),"",ROUND(85*(O2214/30*'Top 25'!$B$45+P2214/25*'Top 25'!$C$45+Q2214/25*'Top 25'!$D$45+R2214/5*'Top 25'!$E$45)/SUM('Top 25'!$B$45:$E$45),6))</f>
        <v>57</v>
      </c>
      <c r="U2214" s="1" t="str">
        <f t="shared" ca="1" si="75"/>
        <v>Listed</v>
      </c>
      <c r="V2214" s="1" t="str">
        <f ca="1">IF(A2214="","",IF(AK2214&lt;&gt;1,"Duplicate source ID",IF(COUNTIFS('Staff Review'!$A$8:$A$507,A2214)&gt;1,"Duplicate review ID",IF(H2214&lt;&gt;"Yes","Outside scope",IF(J2214="Yes","Already served",IF(NOT(ISNUMBER(T2214)),"Missing data","Candidate"))))))</f>
        <v>Candidate</v>
      </c>
      <c r="W2214" s="1">
        <f t="shared" ca="1" si="76"/>
        <v>22</v>
      </c>
      <c r="X2214" s="1">
        <f t="shared" ca="1" si="77"/>
        <v>20</v>
      </c>
      <c r="Y2214" s="1">
        <f ca="1">IF(AND(H2214="Yes",OR(LEN('School Search'!$B$5)=0,ISNUMBER(SEARCH('School Search'!$B$5,B2214&amp;" "&amp;E2214&amp;" "&amp;A2214))),OR('School Search'!$D$5="All",C2214='School Search'!$D$5),OR('School Search'!$G$5="All eligible",AND('School Search'!$G$5="Not marked served",J2214&lt;&gt;"Yes"),AND('School Search'!$G$5="Missing data",V2214="Missing data"),AND('School Search'!$G$5="Marked served",J2214="Yes"))),1,0)</f>
        <v>1</v>
      </c>
      <c r="Z2214" s="1">
        <f ca="1">IF(Y2214=0,"",COUNTIFS($Y$2051:$Y$2550,1,$AO$2051:$AO$2550,"&lt;"&amp;AO2214)+COUNTIFS($Y$2051:Y2214,1,$AO$2051:AO2214,AO2214))</f>
        <v>22</v>
      </c>
      <c r="AA2214" s="1" t="str">
        <f t="shared" ca="1" si="78"/>
        <v>72% economic need; 1.10 mi fresh access; 3 nearby resources</v>
      </c>
      <c r="AB2214" s="1">
        <f t="shared" si="79"/>
        <v>164</v>
      </c>
      <c r="AC2214" s="1" t="str">
        <f t="shared" si="80"/>
        <v>ACME 3711</v>
      </c>
      <c r="AD2214" s="1" t="str">
        <f t="shared" si="81"/>
        <v>121 E City Ave, Bala Cynwyd, PA, 19004</v>
      </c>
      <c r="AE2214" s="1" t="str">
        <f t="shared" si="82"/>
        <v>5701 WYNNEFIELD AVE</v>
      </c>
      <c r="AF2214" s="1">
        <f t="shared" si="83"/>
        <v>39.992057629999998</v>
      </c>
      <c r="AG2214" s="1">
        <f t="shared" si="84"/>
        <v>-75.237540280000005</v>
      </c>
      <c r="AH2214" s="1" t="str">
        <f>IF(I2214=0,"Not contacted",IF(INDEX('Staff Review'!$J$8:$J$507,I2214)="","Not contacted",INDEX('Staff Review'!$J$8:$J$507,I2214)))</f>
        <v>Not contacted</v>
      </c>
      <c r="AI2214" s="1" t="str">
        <f ca="1">IF(I2214=0,"No",IF(AND(COUNT(INDEX('Staff Review'!$D$8:$D$507,I2214))=1,INDEX('Staff Review'!$D$8:$D$507,I2214)&gt;=0,COUNT(INDEX('Staff Review'!$E$8:$E$507,I2214))=1,INDEX('Staff Review'!$E$8:$E$507,I2214)&gt;0,INDEX('Staff Review'!$E$8:$E$507,I2214)&lt;='Top 25'!$E$5,'Top 25'!$E$5-INDEX('Staff Review'!$E$8:$E$507,I2214)&lt;='Top 25'!$H$5,LEN(INDEX('Staff Review'!$H$8:$H$507,I2214))&gt;0),"Yes","No"))</f>
        <v>No</v>
      </c>
      <c r="AJ2214" s="1" t="str">
        <f>IF(I2214=0,"No",IF(COUNT(INDEX('Staff Review'!$F$8:$F$507,I2214))&lt;&gt;1,"No",IF(AND(INDEX('Staff Review'!$F$8:$F$507,I2214)&gt;=0,MOD(INDEX('Staff Review'!$F$8:$F$507,I2214),1)=0,COUNT(INDEX('Staff Review'!$G$8:$G$507,I2214))=1,INDEX('Staff Review'!$G$8:$G$507,I2214)&gt;0,INDEX('Staff Review'!$G$8:$G$507,I2214)&lt;='Top 25'!$E$5,'Top 25'!$E$5-INDEX('Staff Review'!$G$8:$G$507,I2214)&lt;='Top 25'!$H$5,LEN(INDEX('Staff Review'!$H$8:$H$507,I2214))&gt;0),"Yes","No")))</f>
        <v>No</v>
      </c>
      <c r="AK2214" s="1">
        <f t="shared" si="85"/>
        <v>1</v>
      </c>
      <c r="AL2214" s="1">
        <f t="shared" ca="1" si="86"/>
        <v>1</v>
      </c>
      <c r="AM2214" s="1">
        <f t="shared" si="87"/>
        <v>4280</v>
      </c>
      <c r="AN2214" s="1">
        <f t="shared" si="88"/>
        <v>164</v>
      </c>
      <c r="AO2214">
        <f t="shared" ca="1" si="89"/>
        <v>22</v>
      </c>
      <c r="AP2214" s="105">
        <f ca="1">IF(AND(AL2214=1,OR('Top 25'!$A$10="All",C2214='Top 25'!$A$10),OR('Top 25'!$D$10="All",D2214='Top 25'!$D$10)),1,0)</f>
        <v>0</v>
      </c>
      <c r="AQ2214" s="105" t="str">
        <f ca="1">IF(AP2214=0,"",CHOOSE(MATCH('Top 25'!$G$10,{"Priority score","Economic need","Enrollment","Fresh miles","Nearby resources"},0),T2214,G2214,F2214,K2214,L2214))</f>
        <v/>
      </c>
      <c r="AR2214" s="105" t="str">
        <f ca="1">IF(AP2214=0,"",1+COUNTIFS($AP$2051:$AP$2550,1,$AQ$2051:$AQ$2550,IF('Top 25'!$J$10="Ascending","&lt;","&gt;")&amp;AQ2214)+COUNTIFS($AP$2051:$AP$2550,1,$AQ$2051:$AQ$2550,AQ2214,$W$2051:$W$2550,"&lt;"&amp;W2214))</f>
        <v/>
      </c>
      <c r="AT2214" s="105">
        <f ca="1">IF(AND(AL2214=1,OR(Master_rankableSchools!$A$10="All",C2214=Master_rankableSchools!$A$10),OR(Master_rankableSchools!$D$10="All",D2214=Master_rankableSchools!$D$10)),1,0)</f>
        <v>1</v>
      </c>
      <c r="AU2214" s="105">
        <f ca="1">IF(AT2214=0,"",CHOOSE(MATCH(Master_rankableSchools!$G$10,{"Priority score","Economic need","Enrollment","Fresh miles","Nearby resources"},0),T2214,G2214,F2214,K2214,L2214))</f>
        <v>57</v>
      </c>
      <c r="AV2214" s="105">
        <f ca="1">IF(AT2214=0,"",1+COUNTIFS($AT$2051:$AT$2550,1,$AU$2051:$AU$2550,IF(Master_rankableSchools!$J$10="Ascending","&lt;","&gt;")&amp;AU2214)+COUNTIFS($AT$2051:$AT$2550,1,$AU$2051:$AU$2550,AU2214,$W$2051:$W$2550,"&lt;"&amp;W2214))</f>
        <v>22</v>
      </c>
    </row>
    <row r="2215" spans="1:48" ht="22" customHeight="1">
      <c r="A2215" s="1" t="str">
        <f t="shared" si="60"/>
        <v>4300</v>
      </c>
      <c r="B2215" s="1" t="str">
        <f t="shared" si="61"/>
        <v>Edward Heston School</v>
      </c>
      <c r="C2215" s="1" t="str">
        <f t="shared" si="62"/>
        <v>District</v>
      </c>
      <c r="D2215" s="1" t="str">
        <f t="shared" si="63"/>
        <v>Elementary-Middle</v>
      </c>
      <c r="E2215" s="1" t="str">
        <f t="shared" si="64"/>
        <v>19131</v>
      </c>
      <c r="F2215" s="1">
        <f t="shared" si="65"/>
        <v>219</v>
      </c>
      <c r="G2215" s="1">
        <f t="shared" si="66"/>
        <v>0.91110000000000002</v>
      </c>
      <c r="H2215" s="1" t="str">
        <f t="shared" si="67"/>
        <v>Yes</v>
      </c>
      <c r="I2215" s="1">
        <f>IF(OR(A2215="",COUNTIFS('Staff Review'!$A$8:$A$507,A2215)&lt;&gt;1),0,MATCH(A2215,'Staff Review'!$A$8:$A$507,0))</f>
        <v>56</v>
      </c>
      <c r="J2215" s="1" t="str">
        <f>IF(I2215=0,"No",IF(INDEX('Staff Review'!$C$8:$C$507,I2215)="Yes","Yes","No"))</f>
        <v>No</v>
      </c>
      <c r="K2215" s="1">
        <f ca="1">IF(AI2215="Yes",INDEX('Staff Review'!$D$8:$D$507,I2215),IF(AB2215=0,"",IF(COUNT(INDEX($C$1531:$C$2030,AB2215))=1,INDEX($C$1531:$C$2030,AB2215),"")))</f>
        <v>0.25223782033026793</v>
      </c>
      <c r="L2215" s="1">
        <f>IF(AJ2215="Yes",INDEX('Staff Review'!$F$8:$F$507,I2215),IF(AB2215=0,"",IF(COUNT(INDEX($G$1531:$G$2030,AB2215))=1,INDEX($G$1531:$G$2030,AB2215),"")))</f>
        <v>11</v>
      </c>
      <c r="M2215" s="1" t="str">
        <f t="shared" ca="1" si="68"/>
        <v>Listed</v>
      </c>
      <c r="N2215" s="1" t="str">
        <f t="shared" si="69"/>
        <v>Listed</v>
      </c>
      <c r="O2215" s="1">
        <f t="shared" si="70"/>
        <v>30</v>
      </c>
      <c r="P2215" s="1">
        <f t="shared" ca="1" si="71"/>
        <v>10</v>
      </c>
      <c r="Q2215" s="1">
        <f t="shared" si="72"/>
        <v>0</v>
      </c>
      <c r="R2215" s="1">
        <f t="shared" si="73"/>
        <v>2</v>
      </c>
      <c r="S2215" s="1">
        <f t="shared" ca="1" si="74"/>
        <v>42</v>
      </c>
      <c r="T2215" s="1">
        <f ca="1">IF(OR(COUNT(O2215:R2215)&lt;&gt;4,COUNT('Top 25'!$B$45:$E$45)&lt;&gt;4,MIN('Top 25'!$B$45:$E$45)&lt;0,SUM('Top 25'!$B$45:$E$45)&lt;=0),"",ROUND(85*(O2215/30*'Top 25'!$B$45+P2215/25*'Top 25'!$C$45+Q2215/25*'Top 25'!$D$45+R2215/5*'Top 25'!$E$45)/SUM('Top 25'!$B$45:$E$45),6))</f>
        <v>42</v>
      </c>
      <c r="U2215" s="1" t="str">
        <f t="shared" ca="1" si="75"/>
        <v>Listed</v>
      </c>
      <c r="V2215" s="1" t="str">
        <f ca="1">IF(A2215="","",IF(AK2215&lt;&gt;1,"Duplicate source ID",IF(COUNTIFS('Staff Review'!$A$8:$A$507,A2215)&gt;1,"Duplicate review ID",IF(H2215&lt;&gt;"Yes","Outside scope",IF(J2215="Yes","Already served",IF(NOT(ISNUMBER(T2215)),"Missing data","Candidate"))))))</f>
        <v>Candidate</v>
      </c>
      <c r="W2215" s="1">
        <f t="shared" ca="1" si="76"/>
        <v>107</v>
      </c>
      <c r="X2215" s="1">
        <f t="shared" ca="1" si="77"/>
        <v>101</v>
      </c>
      <c r="Y2215" s="1">
        <f ca="1">IF(AND(H2215="Yes",OR(LEN('School Search'!$B$5)=0,ISNUMBER(SEARCH('School Search'!$B$5,B2215&amp;" "&amp;E2215&amp;" "&amp;A2215))),OR('School Search'!$D$5="All",C2215='School Search'!$D$5),OR('School Search'!$G$5="All eligible",AND('School Search'!$G$5="Not marked served",J2215&lt;&gt;"Yes"),AND('School Search'!$G$5="Missing data",V2215="Missing data"),AND('School Search'!$G$5="Marked served",J2215="Yes"))),1,0)</f>
        <v>1</v>
      </c>
      <c r="Z2215" s="1">
        <f ca="1">IF(Y2215=0,"",COUNTIFS($Y$2051:$Y$2550,1,$AO$2051:$AO$2550,"&lt;"&amp;AO2215)+COUNTIFS($Y$2051:Y2215,1,$AO$2051:AO2215,AO2215))</f>
        <v>107</v>
      </c>
      <c r="AA2215" s="1" t="str">
        <f t="shared" ca="1" si="78"/>
        <v>91% economic need; 0.25 mi fresh access; 11 nearby resources</v>
      </c>
      <c r="AB2215" s="1">
        <f t="shared" si="79"/>
        <v>165</v>
      </c>
      <c r="AC2215" s="1" t="str">
        <f t="shared" si="80"/>
        <v>Shoprite of Parkside 419</v>
      </c>
      <c r="AD2215" s="1" t="str">
        <f t="shared" si="81"/>
        <v>1575 N 52nd St, Philadelphia, PA, 19131</v>
      </c>
      <c r="AE2215" s="1" t="str">
        <f t="shared" si="82"/>
        <v>1621 N 54TH ST</v>
      </c>
      <c r="AF2215" s="1">
        <f t="shared" si="83"/>
        <v>39.977851999999999</v>
      </c>
      <c r="AG2215" s="1">
        <f t="shared" si="84"/>
        <v>-75.229726999999997</v>
      </c>
      <c r="AH2215" s="1" t="str">
        <f>IF(I2215=0,"Not contacted",IF(INDEX('Staff Review'!$J$8:$J$507,I2215)="","Not contacted",INDEX('Staff Review'!$J$8:$J$507,I2215)))</f>
        <v>Not contacted</v>
      </c>
      <c r="AI2215" s="1" t="str">
        <f ca="1">IF(I2215=0,"No",IF(AND(COUNT(INDEX('Staff Review'!$D$8:$D$507,I2215))=1,INDEX('Staff Review'!$D$8:$D$507,I2215)&gt;=0,COUNT(INDEX('Staff Review'!$E$8:$E$507,I2215))=1,INDEX('Staff Review'!$E$8:$E$507,I2215)&gt;0,INDEX('Staff Review'!$E$8:$E$507,I2215)&lt;='Top 25'!$E$5,'Top 25'!$E$5-INDEX('Staff Review'!$E$8:$E$507,I2215)&lt;='Top 25'!$H$5,LEN(INDEX('Staff Review'!$H$8:$H$507,I2215))&gt;0),"Yes","No"))</f>
        <v>No</v>
      </c>
      <c r="AJ2215" s="1" t="str">
        <f>IF(I2215=0,"No",IF(COUNT(INDEX('Staff Review'!$F$8:$F$507,I2215))&lt;&gt;1,"No",IF(AND(INDEX('Staff Review'!$F$8:$F$507,I2215)&gt;=0,MOD(INDEX('Staff Review'!$F$8:$F$507,I2215),1)=0,COUNT(INDEX('Staff Review'!$G$8:$G$507,I2215))=1,INDEX('Staff Review'!$G$8:$G$507,I2215)&gt;0,INDEX('Staff Review'!$G$8:$G$507,I2215)&lt;='Top 25'!$E$5,'Top 25'!$E$5-INDEX('Staff Review'!$G$8:$G$507,I2215)&lt;='Top 25'!$H$5,LEN(INDEX('Staff Review'!$H$8:$H$507,I2215))&gt;0),"Yes","No")))</f>
        <v>No</v>
      </c>
      <c r="AK2215" s="1">
        <f t="shared" si="85"/>
        <v>1</v>
      </c>
      <c r="AL2215" s="1">
        <f t="shared" ca="1" si="86"/>
        <v>1</v>
      </c>
      <c r="AM2215" s="1">
        <f t="shared" si="87"/>
        <v>4300</v>
      </c>
      <c r="AN2215" s="1">
        <f t="shared" si="88"/>
        <v>165</v>
      </c>
      <c r="AO2215">
        <f t="shared" ca="1" si="89"/>
        <v>107</v>
      </c>
      <c r="AP2215" s="105">
        <f ca="1">IF(AND(AL2215=1,OR('Top 25'!$A$10="All",C2215='Top 25'!$A$10),OR('Top 25'!$D$10="All",D2215='Top 25'!$D$10)),1,0)</f>
        <v>0</v>
      </c>
      <c r="AQ2215" s="105" t="str">
        <f ca="1">IF(AP2215=0,"",CHOOSE(MATCH('Top 25'!$G$10,{"Priority score","Economic need","Enrollment","Fresh miles","Nearby resources"},0),T2215,G2215,F2215,K2215,L2215))</f>
        <v/>
      </c>
      <c r="AR2215" s="105" t="str">
        <f ca="1">IF(AP2215=0,"",1+COUNTIFS($AP$2051:$AP$2550,1,$AQ$2051:$AQ$2550,IF('Top 25'!$J$10="Ascending","&lt;","&gt;")&amp;AQ2215)+COUNTIFS($AP$2051:$AP$2550,1,$AQ$2051:$AQ$2550,AQ2215,$W$2051:$W$2550,"&lt;"&amp;W2215))</f>
        <v/>
      </c>
      <c r="AT2215" s="105">
        <f ca="1">IF(AND(AL2215=1,OR(Master_rankableSchools!$A$10="All",C2215=Master_rankableSchools!$A$10),OR(Master_rankableSchools!$D$10="All",D2215=Master_rankableSchools!$D$10)),1,0)</f>
        <v>1</v>
      </c>
      <c r="AU2215" s="105">
        <f ca="1">IF(AT2215=0,"",CHOOSE(MATCH(Master_rankableSchools!$G$10,{"Priority score","Economic need","Enrollment","Fresh miles","Nearby resources"},0),T2215,G2215,F2215,K2215,L2215))</f>
        <v>42</v>
      </c>
      <c r="AV2215" s="105">
        <f ca="1">IF(AT2215=0,"",1+COUNTIFS($AT$2051:$AT$2550,1,$AU$2051:$AU$2550,IF(Master_rankableSchools!$J$10="Ascending","&lt;","&gt;")&amp;AU2215)+COUNTIFS($AT$2051:$AT$2550,1,$AU$2051:$AU$2550,AU2215,$W$2051:$W$2550,"&lt;"&amp;W2215))</f>
        <v>107</v>
      </c>
    </row>
    <row r="2216" spans="1:48" ht="22" customHeight="1">
      <c r="A2216" s="1" t="str">
        <f t="shared" si="60"/>
        <v>4320</v>
      </c>
      <c r="B2216" s="1" t="str">
        <f t="shared" si="61"/>
        <v>Robert E. Lamberton School</v>
      </c>
      <c r="C2216" s="1" t="str">
        <f t="shared" si="62"/>
        <v>District</v>
      </c>
      <c r="D2216" s="1" t="str">
        <f t="shared" si="63"/>
        <v>Elementary-Middle</v>
      </c>
      <c r="E2216" s="1" t="str">
        <f t="shared" si="64"/>
        <v>19151</v>
      </c>
      <c r="F2216" s="1">
        <f t="shared" si="65"/>
        <v>362</v>
      </c>
      <c r="G2216" s="1">
        <f t="shared" si="66"/>
        <v>0.83550000000000002</v>
      </c>
      <c r="H2216" s="1" t="str">
        <f t="shared" si="67"/>
        <v>Yes</v>
      </c>
      <c r="I2216" s="1">
        <f>IF(OR(A2216="",COUNTIFS('Staff Review'!$A$8:$A$507,A2216)&lt;&gt;1),0,MATCH(A2216,'Staff Review'!$A$8:$A$507,0))</f>
        <v>252</v>
      </c>
      <c r="J2216" s="1" t="str">
        <f>IF(I2216=0,"No",IF(INDEX('Staff Review'!$C$8:$C$507,I2216)="Yes","Yes","No"))</f>
        <v>No</v>
      </c>
      <c r="K2216" s="1">
        <f ca="1">IF(AI2216="Yes",INDEX('Staff Review'!$D$8:$D$507,I2216),IF(AB2216=0,"",IF(COUNT(INDEX($C$1531:$C$2030,AB2216))=1,INDEX($C$1531:$C$2030,AB2216),"")))</f>
        <v>0.31893513589770489</v>
      </c>
      <c r="L2216" s="1">
        <f>IF(AJ2216="Yes",INDEX('Staff Review'!$F$8:$F$507,I2216),IF(AB2216=0,"",IF(COUNT(INDEX($G$1531:$G$2030,AB2216))=1,INDEX($G$1531:$G$2030,AB2216),"")))</f>
        <v>0</v>
      </c>
      <c r="M2216" s="1" t="str">
        <f t="shared" ca="1" si="68"/>
        <v>Listed</v>
      </c>
      <c r="N2216" s="1" t="str">
        <f t="shared" si="69"/>
        <v>Listed</v>
      </c>
      <c r="O2216" s="1">
        <f t="shared" si="70"/>
        <v>25</v>
      </c>
      <c r="P2216" s="1">
        <f t="shared" ca="1" si="71"/>
        <v>10</v>
      </c>
      <c r="Q2216" s="1">
        <f t="shared" si="72"/>
        <v>25</v>
      </c>
      <c r="R2216" s="1">
        <f t="shared" si="73"/>
        <v>3</v>
      </c>
      <c r="S2216" s="1">
        <f t="shared" ca="1" si="74"/>
        <v>63</v>
      </c>
      <c r="T2216" s="1">
        <f ca="1">IF(OR(COUNT(O2216:R2216)&lt;&gt;4,COUNT('Top 25'!$B$45:$E$45)&lt;&gt;4,MIN('Top 25'!$B$45:$E$45)&lt;0,SUM('Top 25'!$B$45:$E$45)&lt;=0),"",ROUND(85*(O2216/30*'Top 25'!$B$45+P2216/25*'Top 25'!$C$45+Q2216/25*'Top 25'!$D$45+R2216/5*'Top 25'!$E$45)/SUM('Top 25'!$B$45:$E$45),6))</f>
        <v>63</v>
      </c>
      <c r="U2216" s="1" t="str">
        <f t="shared" ca="1" si="75"/>
        <v>Listed</v>
      </c>
      <c r="V2216" s="1" t="str">
        <f ca="1">IF(A2216="","",IF(AK2216&lt;&gt;1,"Duplicate source ID",IF(COUNTIFS('Staff Review'!$A$8:$A$507,A2216)&gt;1,"Duplicate review ID",IF(H2216&lt;&gt;"Yes","Outside scope",IF(J2216="Yes","Already served",IF(NOT(ISNUMBER(T2216)),"Missing data","Candidate"))))))</f>
        <v>Candidate</v>
      </c>
      <c r="W2216" s="1">
        <f t="shared" ca="1" si="76"/>
        <v>8</v>
      </c>
      <c r="X2216" s="1">
        <f t="shared" ca="1" si="77"/>
        <v>7</v>
      </c>
      <c r="Y2216" s="1">
        <f ca="1">IF(AND(H2216="Yes",OR(LEN('School Search'!$B$5)=0,ISNUMBER(SEARCH('School Search'!$B$5,B2216&amp;" "&amp;E2216&amp;" "&amp;A2216))),OR('School Search'!$D$5="All",C2216='School Search'!$D$5),OR('School Search'!$G$5="All eligible",AND('School Search'!$G$5="Not marked served",J2216&lt;&gt;"Yes"),AND('School Search'!$G$5="Missing data",V2216="Missing data"),AND('School Search'!$G$5="Marked served",J2216="Yes"))),1,0)</f>
        <v>1</v>
      </c>
      <c r="Z2216" s="1">
        <f ca="1">IF(Y2216=0,"",COUNTIFS($Y$2051:$Y$2550,1,$AO$2051:$AO$2550,"&lt;"&amp;AO2216)+COUNTIFS($Y$2051:Y2216,1,$AO$2051:AO2216,AO2216))</f>
        <v>8</v>
      </c>
      <c r="AA2216" s="1" t="str">
        <f t="shared" ca="1" si="78"/>
        <v>84% economic need; 0.32 mi fresh access; 0 nearby resources</v>
      </c>
      <c r="AB2216" s="1">
        <f t="shared" si="79"/>
        <v>166</v>
      </c>
      <c r="AC2216" s="1" t="str">
        <f t="shared" si="80"/>
        <v>ALDI 60024 60024</v>
      </c>
      <c r="AD2216" s="1" t="str">
        <f t="shared" si="81"/>
        <v>1911 N 76th St, Philadelphia, PA, 19151</v>
      </c>
      <c r="AE2216" s="1" t="str">
        <f t="shared" si="82"/>
        <v>7501 WOODBINE AVE</v>
      </c>
      <c r="AF2216" s="1">
        <f t="shared" si="83"/>
        <v>39.975465</v>
      </c>
      <c r="AG2216" s="1">
        <f t="shared" si="84"/>
        <v>-75.266328999999999</v>
      </c>
      <c r="AH2216" s="1" t="str">
        <f>IF(I2216=0,"Not contacted",IF(INDEX('Staff Review'!$J$8:$J$507,I2216)="","Not contacted",INDEX('Staff Review'!$J$8:$J$507,I2216)))</f>
        <v>Not contacted</v>
      </c>
      <c r="AI2216" s="1" t="str">
        <f ca="1">IF(I2216=0,"No",IF(AND(COUNT(INDEX('Staff Review'!$D$8:$D$507,I2216))=1,INDEX('Staff Review'!$D$8:$D$507,I2216)&gt;=0,COUNT(INDEX('Staff Review'!$E$8:$E$507,I2216))=1,INDEX('Staff Review'!$E$8:$E$507,I2216)&gt;0,INDEX('Staff Review'!$E$8:$E$507,I2216)&lt;='Top 25'!$E$5,'Top 25'!$E$5-INDEX('Staff Review'!$E$8:$E$507,I2216)&lt;='Top 25'!$H$5,LEN(INDEX('Staff Review'!$H$8:$H$507,I2216))&gt;0),"Yes","No"))</f>
        <v>No</v>
      </c>
      <c r="AJ2216" s="1" t="str">
        <f>IF(I2216=0,"No",IF(COUNT(INDEX('Staff Review'!$F$8:$F$507,I2216))&lt;&gt;1,"No",IF(AND(INDEX('Staff Review'!$F$8:$F$507,I2216)&gt;=0,MOD(INDEX('Staff Review'!$F$8:$F$507,I2216),1)=0,COUNT(INDEX('Staff Review'!$G$8:$G$507,I2216))=1,INDEX('Staff Review'!$G$8:$G$507,I2216)&gt;0,INDEX('Staff Review'!$G$8:$G$507,I2216)&lt;='Top 25'!$E$5,'Top 25'!$E$5-INDEX('Staff Review'!$G$8:$G$507,I2216)&lt;='Top 25'!$H$5,LEN(INDEX('Staff Review'!$H$8:$H$507,I2216))&gt;0),"Yes","No")))</f>
        <v>No</v>
      </c>
      <c r="AK2216" s="1">
        <f t="shared" si="85"/>
        <v>1</v>
      </c>
      <c r="AL2216" s="1">
        <f t="shared" ca="1" si="86"/>
        <v>1</v>
      </c>
      <c r="AM2216" s="1">
        <f t="shared" si="87"/>
        <v>4320</v>
      </c>
      <c r="AN2216" s="1">
        <f t="shared" si="88"/>
        <v>166</v>
      </c>
      <c r="AO2216">
        <f t="shared" ca="1" si="89"/>
        <v>8</v>
      </c>
      <c r="AP2216" s="105">
        <f ca="1">IF(AND(AL2216=1,OR('Top 25'!$A$10="All",C2216='Top 25'!$A$10),OR('Top 25'!$D$10="All",D2216='Top 25'!$D$10)),1,0)</f>
        <v>0</v>
      </c>
      <c r="AQ2216" s="105" t="str">
        <f ca="1">IF(AP2216=0,"",CHOOSE(MATCH('Top 25'!$G$10,{"Priority score","Economic need","Enrollment","Fresh miles","Nearby resources"},0),T2216,G2216,F2216,K2216,L2216))</f>
        <v/>
      </c>
      <c r="AR2216" s="105" t="str">
        <f ca="1">IF(AP2216=0,"",1+COUNTIFS($AP$2051:$AP$2550,1,$AQ$2051:$AQ$2550,IF('Top 25'!$J$10="Ascending","&lt;","&gt;")&amp;AQ2216)+COUNTIFS($AP$2051:$AP$2550,1,$AQ$2051:$AQ$2550,AQ2216,$W$2051:$W$2550,"&lt;"&amp;W2216))</f>
        <v/>
      </c>
      <c r="AT2216" s="105">
        <f ca="1">IF(AND(AL2216=1,OR(Master_rankableSchools!$A$10="All",C2216=Master_rankableSchools!$A$10),OR(Master_rankableSchools!$D$10="All",D2216=Master_rankableSchools!$D$10)),1,0)</f>
        <v>1</v>
      </c>
      <c r="AU2216" s="105">
        <f ca="1">IF(AT2216=0,"",CHOOSE(MATCH(Master_rankableSchools!$G$10,{"Priority score","Economic need","Enrollment","Fresh miles","Nearby resources"},0),T2216,G2216,F2216,K2216,L2216))</f>
        <v>63</v>
      </c>
      <c r="AV2216" s="105">
        <f ca="1">IF(AT2216=0,"",1+COUNTIFS($AT$2051:$AT$2550,1,$AU$2051:$AU$2550,IF(Master_rankableSchools!$J$10="Ascending","&lt;","&gt;")&amp;AU2216)+COUNTIFS($AT$2051:$AT$2550,1,$AU$2051:$AU$2550,AU2216,$W$2051:$W$2550,"&lt;"&amp;W2216))</f>
        <v>8</v>
      </c>
    </row>
    <row r="2217" spans="1:48" ht="22" customHeight="1">
      <c r="A2217" s="1" t="str">
        <f t="shared" si="60"/>
        <v>4350</v>
      </c>
      <c r="B2217" s="1" t="str">
        <f t="shared" si="61"/>
        <v>E. Washington Rhodes School</v>
      </c>
      <c r="C2217" s="1" t="str">
        <f t="shared" si="62"/>
        <v>District</v>
      </c>
      <c r="D2217" s="1" t="str">
        <f t="shared" si="63"/>
        <v>Elementary-Middle</v>
      </c>
      <c r="E2217" s="1" t="str">
        <f t="shared" si="64"/>
        <v>19132</v>
      </c>
      <c r="F2217" s="1">
        <f t="shared" si="65"/>
        <v>350</v>
      </c>
      <c r="G2217" s="1">
        <f t="shared" si="66"/>
        <v>0.92479999999999996</v>
      </c>
      <c r="H2217" s="1" t="str">
        <f t="shared" si="67"/>
        <v>Yes</v>
      </c>
      <c r="I2217" s="1">
        <f>IF(OR(A2217="",COUNTIFS('Staff Review'!$A$8:$A$507,A2217)&lt;&gt;1),0,MATCH(A2217,'Staff Review'!$A$8:$A$507,0))</f>
        <v>53</v>
      </c>
      <c r="J2217" s="1" t="str">
        <f>IF(I2217=0,"No",IF(INDEX('Staff Review'!$C$8:$C$507,I2217)="Yes","Yes","No"))</f>
        <v>No</v>
      </c>
      <c r="K2217" s="1">
        <f ca="1">IF(AI2217="Yes",INDEX('Staff Review'!$D$8:$D$507,I2217),IF(AB2217=0,"",IF(COUNT(INDEX($C$1531:$C$2030,AB2217))=1,INDEX($C$1531:$C$2030,AB2217),"")))</f>
        <v>0.5272856449124409</v>
      </c>
      <c r="L2217" s="1">
        <f>IF(AJ2217="Yes",INDEX('Staff Review'!$F$8:$F$507,I2217),IF(AB2217=0,"",IF(COUNT(INDEX($G$1531:$G$2030,AB2217))=1,INDEX($G$1531:$G$2030,AB2217),"")))</f>
        <v>9</v>
      </c>
      <c r="M2217" s="1" t="str">
        <f t="shared" ca="1" si="68"/>
        <v>Listed</v>
      </c>
      <c r="N2217" s="1" t="str">
        <f t="shared" si="69"/>
        <v>Listed</v>
      </c>
      <c r="O2217" s="1">
        <f t="shared" si="70"/>
        <v>30</v>
      </c>
      <c r="P2217" s="1">
        <f t="shared" ca="1" si="71"/>
        <v>15</v>
      </c>
      <c r="Q2217" s="1">
        <f t="shared" si="72"/>
        <v>0</v>
      </c>
      <c r="R2217" s="1">
        <f t="shared" si="73"/>
        <v>3</v>
      </c>
      <c r="S2217" s="1">
        <f t="shared" ca="1" si="74"/>
        <v>48</v>
      </c>
      <c r="T2217" s="1">
        <f ca="1">IF(OR(COUNT(O2217:R2217)&lt;&gt;4,COUNT('Top 25'!$B$45:$E$45)&lt;&gt;4,MIN('Top 25'!$B$45:$E$45)&lt;0,SUM('Top 25'!$B$45:$E$45)&lt;=0),"",ROUND(85*(O2217/30*'Top 25'!$B$45+P2217/25*'Top 25'!$C$45+Q2217/25*'Top 25'!$D$45+R2217/5*'Top 25'!$E$45)/SUM('Top 25'!$B$45:$E$45),6))</f>
        <v>48</v>
      </c>
      <c r="U2217" s="1" t="str">
        <f t="shared" ca="1" si="75"/>
        <v>Listed</v>
      </c>
      <c r="V2217" s="1" t="str">
        <f ca="1">IF(A2217="","",IF(AK2217&lt;&gt;1,"Duplicate source ID",IF(COUNTIFS('Staff Review'!$A$8:$A$507,A2217)&gt;1,"Duplicate review ID",IF(H2217&lt;&gt;"Yes","Outside scope",IF(J2217="Yes","Already served",IF(NOT(ISNUMBER(T2217)),"Missing data","Candidate"))))))</f>
        <v>Candidate</v>
      </c>
      <c r="W2217" s="1">
        <f t="shared" ca="1" si="76"/>
        <v>57</v>
      </c>
      <c r="X2217" s="1">
        <f t="shared" ca="1" si="77"/>
        <v>56</v>
      </c>
      <c r="Y2217" s="1">
        <f ca="1">IF(AND(H2217="Yes",OR(LEN('School Search'!$B$5)=0,ISNUMBER(SEARCH('School Search'!$B$5,B2217&amp;" "&amp;E2217&amp;" "&amp;A2217))),OR('School Search'!$D$5="All",C2217='School Search'!$D$5),OR('School Search'!$G$5="All eligible",AND('School Search'!$G$5="Not marked served",J2217&lt;&gt;"Yes"),AND('School Search'!$G$5="Missing data",V2217="Missing data"),AND('School Search'!$G$5="Marked served",J2217="Yes"))),1,0)</f>
        <v>1</v>
      </c>
      <c r="Z2217" s="1">
        <f ca="1">IF(Y2217=0,"",COUNTIFS($Y$2051:$Y$2550,1,$AO$2051:$AO$2550,"&lt;"&amp;AO2217)+COUNTIFS($Y$2051:Y2217,1,$AO$2051:AO2217,AO2217))</f>
        <v>57</v>
      </c>
      <c r="AA2217" s="1" t="str">
        <f t="shared" ca="1" si="78"/>
        <v>92% economic need; 0.53 mi fresh access; 9 nearby resources</v>
      </c>
      <c r="AB2217" s="1">
        <f t="shared" si="79"/>
        <v>167</v>
      </c>
      <c r="AC2217" s="1" t="str">
        <f t="shared" si="80"/>
        <v>Shop Mark Supermarket</v>
      </c>
      <c r="AD2217" s="1" t="str">
        <f t="shared" si="81"/>
        <v>2522 W Lehigh Ave, Philadelphia, PA, 19132</v>
      </c>
      <c r="AE2217" s="1" t="str">
        <f t="shared" si="82"/>
        <v>2900 W CLEARFIELD ST</v>
      </c>
      <c r="AF2217" s="1">
        <f t="shared" si="83"/>
        <v>40.00275594</v>
      </c>
      <c r="AG2217" s="1">
        <f t="shared" si="84"/>
        <v>-75.17812979</v>
      </c>
      <c r="AH2217" s="1" t="str">
        <f>IF(I2217=0,"Not contacted",IF(INDEX('Staff Review'!$J$8:$J$507,I2217)="","Not contacted",INDEX('Staff Review'!$J$8:$J$507,I2217)))</f>
        <v>Not contacted</v>
      </c>
      <c r="AI2217" s="1" t="str">
        <f ca="1">IF(I2217=0,"No",IF(AND(COUNT(INDEX('Staff Review'!$D$8:$D$507,I2217))=1,INDEX('Staff Review'!$D$8:$D$507,I2217)&gt;=0,COUNT(INDEX('Staff Review'!$E$8:$E$507,I2217))=1,INDEX('Staff Review'!$E$8:$E$507,I2217)&gt;0,INDEX('Staff Review'!$E$8:$E$507,I2217)&lt;='Top 25'!$E$5,'Top 25'!$E$5-INDEX('Staff Review'!$E$8:$E$507,I2217)&lt;='Top 25'!$H$5,LEN(INDEX('Staff Review'!$H$8:$H$507,I2217))&gt;0),"Yes","No"))</f>
        <v>No</v>
      </c>
      <c r="AJ2217" s="1" t="str">
        <f>IF(I2217=0,"No",IF(COUNT(INDEX('Staff Review'!$F$8:$F$507,I2217))&lt;&gt;1,"No",IF(AND(INDEX('Staff Review'!$F$8:$F$507,I2217)&gt;=0,MOD(INDEX('Staff Review'!$F$8:$F$507,I2217),1)=0,COUNT(INDEX('Staff Review'!$G$8:$G$507,I2217))=1,INDEX('Staff Review'!$G$8:$G$507,I2217)&gt;0,INDEX('Staff Review'!$G$8:$G$507,I2217)&lt;='Top 25'!$E$5,'Top 25'!$E$5-INDEX('Staff Review'!$G$8:$G$507,I2217)&lt;='Top 25'!$H$5,LEN(INDEX('Staff Review'!$H$8:$H$507,I2217))&gt;0),"Yes","No")))</f>
        <v>No</v>
      </c>
      <c r="AK2217" s="1">
        <f t="shared" si="85"/>
        <v>1</v>
      </c>
      <c r="AL2217" s="1">
        <f t="shared" ca="1" si="86"/>
        <v>1</v>
      </c>
      <c r="AM2217" s="1">
        <f t="shared" si="87"/>
        <v>4350</v>
      </c>
      <c r="AN2217" s="1">
        <f t="shared" si="88"/>
        <v>167</v>
      </c>
      <c r="AO2217">
        <f t="shared" ca="1" si="89"/>
        <v>57</v>
      </c>
      <c r="AP2217" s="105">
        <f ca="1">IF(AND(AL2217=1,OR('Top 25'!$A$10="All",C2217='Top 25'!$A$10),OR('Top 25'!$D$10="All",D2217='Top 25'!$D$10)),1,0)</f>
        <v>0</v>
      </c>
      <c r="AQ2217" s="105" t="str">
        <f ca="1">IF(AP2217=0,"",CHOOSE(MATCH('Top 25'!$G$10,{"Priority score","Economic need","Enrollment","Fresh miles","Nearby resources"},0),T2217,G2217,F2217,K2217,L2217))</f>
        <v/>
      </c>
      <c r="AR2217" s="105" t="str">
        <f ca="1">IF(AP2217=0,"",1+COUNTIFS($AP$2051:$AP$2550,1,$AQ$2051:$AQ$2550,IF('Top 25'!$J$10="Ascending","&lt;","&gt;")&amp;AQ2217)+COUNTIFS($AP$2051:$AP$2550,1,$AQ$2051:$AQ$2550,AQ2217,$W$2051:$W$2550,"&lt;"&amp;W2217))</f>
        <v/>
      </c>
      <c r="AT2217" s="105">
        <f ca="1">IF(AND(AL2217=1,OR(Master_rankableSchools!$A$10="All",C2217=Master_rankableSchools!$A$10),OR(Master_rankableSchools!$D$10="All",D2217=Master_rankableSchools!$D$10)),1,0)</f>
        <v>1</v>
      </c>
      <c r="AU2217" s="105">
        <f ca="1">IF(AT2217=0,"",CHOOSE(MATCH(Master_rankableSchools!$G$10,{"Priority score","Economic need","Enrollment","Fresh miles","Nearby resources"},0),T2217,G2217,F2217,K2217,L2217))</f>
        <v>48</v>
      </c>
      <c r="AV2217" s="105">
        <f ca="1">IF(AT2217=0,"",1+COUNTIFS($AT$2051:$AT$2550,1,$AU$2051:$AU$2550,IF(Master_rankableSchools!$J$10="Ascending","&lt;","&gt;")&amp;AU2217)+COUNTIFS($AT$2051:$AT$2550,1,$AU$2051:$AU$2550,AU2217,$W$2051:$W$2550,"&lt;"&amp;W2217))</f>
        <v>57</v>
      </c>
    </row>
    <row r="2218" spans="1:48" ht="22" customHeight="1">
      <c r="A2218" s="1" t="str">
        <f t="shared" si="60"/>
        <v>4360</v>
      </c>
      <c r="B2218" s="1" t="str">
        <f t="shared" si="61"/>
        <v>Kenderton School</v>
      </c>
      <c r="C2218" s="1" t="str">
        <f t="shared" si="62"/>
        <v>District</v>
      </c>
      <c r="D2218" s="1" t="str">
        <f t="shared" si="63"/>
        <v>Elementary-Middle</v>
      </c>
      <c r="E2218" s="1" t="str">
        <f t="shared" si="64"/>
        <v>19140</v>
      </c>
      <c r="F2218" s="1">
        <f t="shared" si="65"/>
        <v>271</v>
      </c>
      <c r="G2218" s="1">
        <f t="shared" si="66"/>
        <v>0.91249999999999998</v>
      </c>
      <c r="H2218" s="1" t="str">
        <f t="shared" si="67"/>
        <v>Yes</v>
      </c>
      <c r="I2218" s="1">
        <f>IF(OR(A2218="",COUNTIFS('Staff Review'!$A$8:$A$507,A2218)&lt;&gt;1),0,MATCH(A2218,'Staff Review'!$A$8:$A$507,0))</f>
        <v>155</v>
      </c>
      <c r="J2218" s="1" t="str">
        <f>IF(I2218=0,"No",IF(INDEX('Staff Review'!$C$8:$C$507,I2218)="Yes","Yes","No"))</f>
        <v>No</v>
      </c>
      <c r="K2218" s="1">
        <f ca="1">IF(AI2218="Yes",INDEX('Staff Review'!$D$8:$D$507,I2218),IF(AB2218=0,"",IF(COUNT(INDEX($C$1531:$C$2030,AB2218))=1,INDEX($C$1531:$C$2030,AB2218),"")))</f>
        <v>0.90176727678550506</v>
      </c>
      <c r="L2218" s="1">
        <f>IF(AJ2218="Yes",INDEX('Staff Review'!$F$8:$F$507,I2218),IF(AB2218=0,"",IF(COUNT(INDEX($G$1531:$G$2030,AB2218))=1,INDEX($G$1531:$G$2030,AB2218),"")))</f>
        <v>10</v>
      </c>
      <c r="M2218" s="1" t="str">
        <f t="shared" ca="1" si="68"/>
        <v>Listed</v>
      </c>
      <c r="N2218" s="1" t="str">
        <f t="shared" si="69"/>
        <v>Listed</v>
      </c>
      <c r="O2218" s="1">
        <f t="shared" si="70"/>
        <v>30</v>
      </c>
      <c r="P2218" s="1">
        <f t="shared" ca="1" si="71"/>
        <v>20</v>
      </c>
      <c r="Q2218" s="1">
        <f t="shared" si="72"/>
        <v>0</v>
      </c>
      <c r="R2218" s="1">
        <f t="shared" si="73"/>
        <v>2</v>
      </c>
      <c r="S2218" s="1">
        <f t="shared" ca="1" si="74"/>
        <v>52</v>
      </c>
      <c r="T2218" s="1">
        <f ca="1">IF(OR(COUNT(O2218:R2218)&lt;&gt;4,COUNT('Top 25'!$B$45:$E$45)&lt;&gt;4,MIN('Top 25'!$B$45:$E$45)&lt;0,SUM('Top 25'!$B$45:$E$45)&lt;=0),"",ROUND(85*(O2218/30*'Top 25'!$B$45+P2218/25*'Top 25'!$C$45+Q2218/25*'Top 25'!$D$45+R2218/5*'Top 25'!$E$45)/SUM('Top 25'!$B$45:$E$45),6))</f>
        <v>52</v>
      </c>
      <c r="U2218" s="1" t="str">
        <f t="shared" ca="1" si="75"/>
        <v>Listed</v>
      </c>
      <c r="V2218" s="1" t="str">
        <f ca="1">IF(A2218="","",IF(AK2218&lt;&gt;1,"Duplicate source ID",IF(COUNTIFS('Staff Review'!$A$8:$A$507,A2218)&gt;1,"Duplicate review ID",IF(H2218&lt;&gt;"Yes","Outside scope",IF(J2218="Yes","Already served",IF(NOT(ISNUMBER(T2218)),"Missing data","Candidate"))))))</f>
        <v>Candidate</v>
      </c>
      <c r="W2218" s="1">
        <f t="shared" ca="1" si="76"/>
        <v>36</v>
      </c>
      <c r="X2218" s="1">
        <f t="shared" ca="1" si="77"/>
        <v>36</v>
      </c>
      <c r="Y2218" s="1">
        <f ca="1">IF(AND(H2218="Yes",OR(LEN('School Search'!$B$5)=0,ISNUMBER(SEARCH('School Search'!$B$5,B2218&amp;" "&amp;E2218&amp;" "&amp;A2218))),OR('School Search'!$D$5="All",C2218='School Search'!$D$5),OR('School Search'!$G$5="All eligible",AND('School Search'!$G$5="Not marked served",J2218&lt;&gt;"Yes"),AND('School Search'!$G$5="Missing data",V2218="Missing data"),AND('School Search'!$G$5="Marked served",J2218="Yes"))),1,0)</f>
        <v>1</v>
      </c>
      <c r="Z2218" s="1">
        <f ca="1">IF(Y2218=0,"",COUNTIFS($Y$2051:$Y$2550,1,$AO$2051:$AO$2550,"&lt;"&amp;AO2218)+COUNTIFS($Y$2051:Y2218,1,$AO$2051:AO2218,AO2218))</f>
        <v>36</v>
      </c>
      <c r="AA2218" s="1" t="str">
        <f t="shared" ca="1" si="78"/>
        <v>91% economic need; 0.90 mi fresh access; 10 nearby resources</v>
      </c>
      <c r="AB2218" s="1">
        <f t="shared" si="79"/>
        <v>168</v>
      </c>
      <c r="AC2218" s="1" t="str">
        <f t="shared" si="80"/>
        <v>Save-A-Lot 60142</v>
      </c>
      <c r="AD2218" s="1" t="str">
        <f t="shared" si="81"/>
        <v>2101 W Lehigh Ave, Philadelphia, PA, 19132</v>
      </c>
      <c r="AE2218" s="1" t="str">
        <f t="shared" si="82"/>
        <v>1500 W ONTARIO ST</v>
      </c>
      <c r="AF2218" s="1">
        <f t="shared" si="83"/>
        <v>40.004939999999998</v>
      </c>
      <c r="AG2218" s="1">
        <f t="shared" si="84"/>
        <v>-75.154240999999999</v>
      </c>
      <c r="AH2218" s="1" t="str">
        <f>IF(I2218=0,"Not contacted",IF(INDEX('Staff Review'!$J$8:$J$507,I2218)="","Not contacted",INDEX('Staff Review'!$J$8:$J$507,I2218)))</f>
        <v>Not contacted</v>
      </c>
      <c r="AI2218" s="1" t="str">
        <f ca="1">IF(I2218=0,"No",IF(AND(COUNT(INDEX('Staff Review'!$D$8:$D$507,I2218))=1,INDEX('Staff Review'!$D$8:$D$507,I2218)&gt;=0,COUNT(INDEX('Staff Review'!$E$8:$E$507,I2218))=1,INDEX('Staff Review'!$E$8:$E$507,I2218)&gt;0,INDEX('Staff Review'!$E$8:$E$507,I2218)&lt;='Top 25'!$E$5,'Top 25'!$E$5-INDEX('Staff Review'!$E$8:$E$507,I2218)&lt;='Top 25'!$H$5,LEN(INDEX('Staff Review'!$H$8:$H$507,I2218))&gt;0),"Yes","No"))</f>
        <v>No</v>
      </c>
      <c r="AJ2218" s="1" t="str">
        <f>IF(I2218=0,"No",IF(COUNT(INDEX('Staff Review'!$F$8:$F$507,I2218))&lt;&gt;1,"No",IF(AND(INDEX('Staff Review'!$F$8:$F$507,I2218)&gt;=0,MOD(INDEX('Staff Review'!$F$8:$F$507,I2218),1)=0,COUNT(INDEX('Staff Review'!$G$8:$G$507,I2218))=1,INDEX('Staff Review'!$G$8:$G$507,I2218)&gt;0,INDEX('Staff Review'!$G$8:$G$507,I2218)&lt;='Top 25'!$E$5,'Top 25'!$E$5-INDEX('Staff Review'!$G$8:$G$507,I2218)&lt;='Top 25'!$H$5,LEN(INDEX('Staff Review'!$H$8:$H$507,I2218))&gt;0),"Yes","No")))</f>
        <v>No</v>
      </c>
      <c r="AK2218" s="1">
        <f t="shared" si="85"/>
        <v>1</v>
      </c>
      <c r="AL2218" s="1">
        <f t="shared" ca="1" si="86"/>
        <v>1</v>
      </c>
      <c r="AM2218" s="1">
        <f t="shared" si="87"/>
        <v>4360</v>
      </c>
      <c r="AN2218" s="1">
        <f t="shared" si="88"/>
        <v>168</v>
      </c>
      <c r="AO2218">
        <f t="shared" ca="1" si="89"/>
        <v>36</v>
      </c>
      <c r="AP2218" s="105">
        <f ca="1">IF(AND(AL2218=1,OR('Top 25'!$A$10="All",C2218='Top 25'!$A$10),OR('Top 25'!$D$10="All",D2218='Top 25'!$D$10)),1,0)</f>
        <v>0</v>
      </c>
      <c r="AQ2218" s="105" t="str">
        <f ca="1">IF(AP2218=0,"",CHOOSE(MATCH('Top 25'!$G$10,{"Priority score","Economic need","Enrollment","Fresh miles","Nearby resources"},0),T2218,G2218,F2218,K2218,L2218))</f>
        <v/>
      </c>
      <c r="AR2218" s="105" t="str">
        <f ca="1">IF(AP2218=0,"",1+COUNTIFS($AP$2051:$AP$2550,1,$AQ$2051:$AQ$2550,IF('Top 25'!$J$10="Ascending","&lt;","&gt;")&amp;AQ2218)+COUNTIFS($AP$2051:$AP$2550,1,$AQ$2051:$AQ$2550,AQ2218,$W$2051:$W$2550,"&lt;"&amp;W2218))</f>
        <v/>
      </c>
      <c r="AT2218" s="105">
        <f ca="1">IF(AND(AL2218=1,OR(Master_rankableSchools!$A$10="All",C2218=Master_rankableSchools!$A$10),OR(Master_rankableSchools!$D$10="All",D2218=Master_rankableSchools!$D$10)),1,0)</f>
        <v>1</v>
      </c>
      <c r="AU2218" s="105">
        <f ca="1">IF(AT2218=0,"",CHOOSE(MATCH(Master_rankableSchools!$G$10,{"Priority score","Economic need","Enrollment","Fresh miles","Nearby resources"},0),T2218,G2218,F2218,K2218,L2218))</f>
        <v>52</v>
      </c>
      <c r="AV2218" s="105">
        <f ca="1">IF(AT2218=0,"",1+COUNTIFS($AT$2051:$AT$2550,1,$AU$2051:$AU$2550,IF(Master_rankableSchools!$J$10="Ascending","&lt;","&gt;")&amp;AU2218)+COUNTIFS($AT$2051:$AT$2550,1,$AU$2051:$AU$2550,AU2218,$W$2051:$W$2550,"&lt;"&amp;W2218))</f>
        <v>36</v>
      </c>
    </row>
    <row r="2219" spans="1:48" ht="22" customHeight="1">
      <c r="A2219" s="1" t="str">
        <f t="shared" si="60"/>
        <v>4370</v>
      </c>
      <c r="B2219" s="1" t="str">
        <f t="shared" si="61"/>
        <v>Overbrook Elementary School</v>
      </c>
      <c r="C2219" s="1" t="str">
        <f t="shared" si="62"/>
        <v>District</v>
      </c>
      <c r="D2219" s="1" t="str">
        <f t="shared" si="63"/>
        <v>Elementary-Middle</v>
      </c>
      <c r="E2219" s="1" t="str">
        <f t="shared" si="64"/>
        <v>19151</v>
      </c>
      <c r="F2219" s="1">
        <f t="shared" si="65"/>
        <v>215</v>
      </c>
      <c r="G2219" s="1">
        <f t="shared" si="66"/>
        <v>0.85580000000000001</v>
      </c>
      <c r="H2219" s="1" t="str">
        <f t="shared" si="67"/>
        <v>Yes</v>
      </c>
      <c r="I2219" s="1">
        <f>IF(OR(A2219="",COUNTIFS('Staff Review'!$A$8:$A$507,A2219)&lt;&gt;1),0,MATCH(A2219,'Staff Review'!$A$8:$A$507,0))</f>
        <v>219</v>
      </c>
      <c r="J2219" s="1" t="str">
        <f>IF(I2219=0,"No",IF(INDEX('Staff Review'!$C$8:$C$507,I2219)="Yes","Yes","No"))</f>
        <v>No</v>
      </c>
      <c r="K2219" s="1">
        <f ca="1">IF(AI2219="Yes",INDEX('Staff Review'!$D$8:$D$507,I2219),IF(AB2219=0,"",IF(COUNT(INDEX($C$1531:$C$2030,AB2219))=1,INDEX($C$1531:$C$2030,AB2219),"")))</f>
        <v>1.1247382610709691</v>
      </c>
      <c r="L2219" s="1">
        <f>IF(AJ2219="Yes",INDEX('Staff Review'!$F$8:$F$507,I2219),IF(AB2219=0,"",IF(COUNT(INDEX($G$1531:$G$2030,AB2219))=1,INDEX($G$1531:$G$2030,AB2219),"")))</f>
        <v>6</v>
      </c>
      <c r="M2219" s="1" t="str">
        <f t="shared" ca="1" si="68"/>
        <v>Listed</v>
      </c>
      <c r="N2219" s="1" t="str">
        <f t="shared" si="69"/>
        <v>Listed</v>
      </c>
      <c r="O2219" s="1">
        <f t="shared" si="70"/>
        <v>25</v>
      </c>
      <c r="P2219" s="1">
        <f t="shared" ca="1" si="71"/>
        <v>25</v>
      </c>
      <c r="Q2219" s="1">
        <f t="shared" si="72"/>
        <v>0</v>
      </c>
      <c r="R2219" s="1">
        <f t="shared" si="73"/>
        <v>2</v>
      </c>
      <c r="S2219" s="1">
        <f t="shared" ca="1" si="74"/>
        <v>52</v>
      </c>
      <c r="T2219" s="1">
        <f ca="1">IF(OR(COUNT(O2219:R2219)&lt;&gt;4,COUNT('Top 25'!$B$45:$E$45)&lt;&gt;4,MIN('Top 25'!$B$45:$E$45)&lt;0,SUM('Top 25'!$B$45:$E$45)&lt;=0),"",ROUND(85*(O2219/30*'Top 25'!$B$45+P2219/25*'Top 25'!$C$45+Q2219/25*'Top 25'!$D$45+R2219/5*'Top 25'!$E$45)/SUM('Top 25'!$B$45:$E$45),6))</f>
        <v>52</v>
      </c>
      <c r="U2219" s="1" t="str">
        <f t="shared" ca="1" si="75"/>
        <v>Listed</v>
      </c>
      <c r="V2219" s="1" t="str">
        <f ca="1">IF(A2219="","",IF(AK2219&lt;&gt;1,"Duplicate source ID",IF(COUNTIFS('Staff Review'!$A$8:$A$507,A2219)&gt;1,"Duplicate review ID",IF(H2219&lt;&gt;"Yes","Outside scope",IF(J2219="Yes","Already served",IF(NOT(ISNUMBER(T2219)),"Missing data","Candidate"))))))</f>
        <v>Candidate</v>
      </c>
      <c r="W2219" s="1">
        <f t="shared" ca="1" si="76"/>
        <v>37</v>
      </c>
      <c r="X2219" s="1">
        <f t="shared" ca="1" si="77"/>
        <v>36</v>
      </c>
      <c r="Y2219" s="1">
        <f ca="1">IF(AND(H2219="Yes",OR(LEN('School Search'!$B$5)=0,ISNUMBER(SEARCH('School Search'!$B$5,B2219&amp;" "&amp;E2219&amp;" "&amp;A2219))),OR('School Search'!$D$5="All",C2219='School Search'!$D$5),OR('School Search'!$G$5="All eligible",AND('School Search'!$G$5="Not marked served",J2219&lt;&gt;"Yes"),AND('School Search'!$G$5="Missing data",V2219="Missing data"),AND('School Search'!$G$5="Marked served",J2219="Yes"))),1,0)</f>
        <v>1</v>
      </c>
      <c r="Z2219" s="1">
        <f ca="1">IF(Y2219=0,"",COUNTIFS($Y$2051:$Y$2550,1,$AO$2051:$AO$2550,"&lt;"&amp;AO2219)+COUNTIFS($Y$2051:Y2219,1,$AO$2051:AO2219,AO2219))</f>
        <v>37</v>
      </c>
      <c r="AA2219" s="1" t="str">
        <f t="shared" ca="1" si="78"/>
        <v>86% economic need; 1.12 mi fresh access; 6 nearby resources</v>
      </c>
      <c r="AB2219" s="1">
        <f t="shared" si="79"/>
        <v>169</v>
      </c>
      <c r="AC2219" s="1" t="str">
        <f t="shared" si="80"/>
        <v>Shoprite of Parkside 419</v>
      </c>
      <c r="AD2219" s="1" t="str">
        <f t="shared" si="81"/>
        <v>1575 N 52nd St, Philadelphia, PA, 19131</v>
      </c>
      <c r="AE2219" s="1" t="str">
        <f t="shared" si="82"/>
        <v>2032 N 62ND ST</v>
      </c>
      <c r="AF2219" s="1">
        <f t="shared" si="83"/>
        <v>39.982258059999999</v>
      </c>
      <c r="AG2219" s="1">
        <f t="shared" si="84"/>
        <v>-75.245846110000002</v>
      </c>
      <c r="AH2219" s="1" t="str">
        <f>IF(I2219=0,"Not contacted",IF(INDEX('Staff Review'!$J$8:$J$507,I2219)="","Not contacted",INDEX('Staff Review'!$J$8:$J$507,I2219)))</f>
        <v>Not contacted</v>
      </c>
      <c r="AI2219" s="1" t="str">
        <f ca="1">IF(I2219=0,"No",IF(AND(COUNT(INDEX('Staff Review'!$D$8:$D$507,I2219))=1,INDEX('Staff Review'!$D$8:$D$507,I2219)&gt;=0,COUNT(INDEX('Staff Review'!$E$8:$E$507,I2219))=1,INDEX('Staff Review'!$E$8:$E$507,I2219)&gt;0,INDEX('Staff Review'!$E$8:$E$507,I2219)&lt;='Top 25'!$E$5,'Top 25'!$E$5-INDEX('Staff Review'!$E$8:$E$507,I2219)&lt;='Top 25'!$H$5,LEN(INDEX('Staff Review'!$H$8:$H$507,I2219))&gt;0),"Yes","No"))</f>
        <v>No</v>
      </c>
      <c r="AJ2219" s="1" t="str">
        <f>IF(I2219=0,"No",IF(COUNT(INDEX('Staff Review'!$F$8:$F$507,I2219))&lt;&gt;1,"No",IF(AND(INDEX('Staff Review'!$F$8:$F$507,I2219)&gt;=0,MOD(INDEX('Staff Review'!$F$8:$F$507,I2219),1)=0,COUNT(INDEX('Staff Review'!$G$8:$G$507,I2219))=1,INDEX('Staff Review'!$G$8:$G$507,I2219)&gt;0,INDEX('Staff Review'!$G$8:$G$507,I2219)&lt;='Top 25'!$E$5,'Top 25'!$E$5-INDEX('Staff Review'!$G$8:$G$507,I2219)&lt;='Top 25'!$H$5,LEN(INDEX('Staff Review'!$H$8:$H$507,I2219))&gt;0),"Yes","No")))</f>
        <v>No</v>
      </c>
      <c r="AK2219" s="1">
        <f t="shared" si="85"/>
        <v>1</v>
      </c>
      <c r="AL2219" s="1">
        <f t="shared" ca="1" si="86"/>
        <v>1</v>
      </c>
      <c r="AM2219" s="1">
        <f t="shared" si="87"/>
        <v>4370</v>
      </c>
      <c r="AN2219" s="1">
        <f t="shared" si="88"/>
        <v>169</v>
      </c>
      <c r="AO2219">
        <f t="shared" ca="1" si="89"/>
        <v>37</v>
      </c>
      <c r="AP2219" s="105">
        <f ca="1">IF(AND(AL2219=1,OR('Top 25'!$A$10="All",C2219='Top 25'!$A$10),OR('Top 25'!$D$10="All",D2219='Top 25'!$D$10)),1,0)</f>
        <v>0</v>
      </c>
      <c r="AQ2219" s="105" t="str">
        <f ca="1">IF(AP2219=0,"",CHOOSE(MATCH('Top 25'!$G$10,{"Priority score","Economic need","Enrollment","Fresh miles","Nearby resources"},0),T2219,G2219,F2219,K2219,L2219))</f>
        <v/>
      </c>
      <c r="AR2219" s="105" t="str">
        <f ca="1">IF(AP2219=0,"",1+COUNTIFS($AP$2051:$AP$2550,1,$AQ$2051:$AQ$2550,IF('Top 25'!$J$10="Ascending","&lt;","&gt;")&amp;AQ2219)+COUNTIFS($AP$2051:$AP$2550,1,$AQ$2051:$AQ$2550,AQ2219,$W$2051:$W$2550,"&lt;"&amp;W2219))</f>
        <v/>
      </c>
      <c r="AT2219" s="105">
        <f ca="1">IF(AND(AL2219=1,OR(Master_rankableSchools!$A$10="All",C2219=Master_rankableSchools!$A$10),OR(Master_rankableSchools!$D$10="All",D2219=Master_rankableSchools!$D$10)),1,0)</f>
        <v>1</v>
      </c>
      <c r="AU2219" s="105">
        <f ca="1">IF(AT2219=0,"",CHOOSE(MATCH(Master_rankableSchools!$G$10,{"Priority score","Economic need","Enrollment","Fresh miles","Nearby resources"},0),T2219,G2219,F2219,K2219,L2219))</f>
        <v>52</v>
      </c>
      <c r="AV2219" s="105">
        <f ca="1">IF(AT2219=0,"",1+COUNTIFS($AT$2051:$AT$2550,1,$AU$2051:$AU$2550,IF(Master_rankableSchools!$J$10="Ascending","&lt;","&gt;")&amp;AU2219)+COUNTIFS($AT$2051:$AT$2550,1,$AU$2051:$AU$2550,AU2219,$W$2051:$W$2550,"&lt;"&amp;W2219))</f>
        <v>37</v>
      </c>
    </row>
    <row r="2220" spans="1:48" ht="22" customHeight="1">
      <c r="A2220" s="1" t="str">
        <f t="shared" si="60"/>
        <v>4380</v>
      </c>
      <c r="B2220" s="1" t="str">
        <f t="shared" si="61"/>
        <v>Thomas M. Peirce School</v>
      </c>
      <c r="C2220" s="1" t="str">
        <f t="shared" si="62"/>
        <v>District</v>
      </c>
      <c r="D2220" s="1" t="str">
        <f t="shared" si="63"/>
        <v>Elementary</v>
      </c>
      <c r="E2220" s="1" t="str">
        <f t="shared" si="64"/>
        <v>19132</v>
      </c>
      <c r="F2220" s="1">
        <f t="shared" si="65"/>
        <v>292</v>
      </c>
      <c r="G2220" s="1">
        <f t="shared" si="66"/>
        <v>0.9375</v>
      </c>
      <c r="H2220" s="1" t="str">
        <f t="shared" si="67"/>
        <v>Yes</v>
      </c>
      <c r="I2220" s="1">
        <f>IF(OR(A2220="",COUNTIFS('Staff Review'!$A$8:$A$507,A2220)&lt;&gt;1),0,MATCH(A2220,'Staff Review'!$A$8:$A$507,0))</f>
        <v>296</v>
      </c>
      <c r="J2220" s="1" t="str">
        <f>IF(I2220=0,"No",IF(INDEX('Staff Review'!$C$8:$C$507,I2220)="Yes","Yes","No"))</f>
        <v>No</v>
      </c>
      <c r="K2220" s="1">
        <f ca="1">IF(AI2220="Yes",INDEX('Staff Review'!$D$8:$D$507,I2220),IF(AB2220=0,"",IF(COUNT(INDEX($C$1531:$C$2030,AB2220))=1,INDEX($C$1531:$C$2030,AB2220),"")))</f>
        <v>0.26794264837210008</v>
      </c>
      <c r="L2220" s="1">
        <f>IF(AJ2220="Yes",INDEX('Staff Review'!$F$8:$F$507,I2220),IF(AB2220=0,"",IF(COUNT(INDEX($G$1531:$G$2030,AB2220))=1,INDEX($G$1531:$G$2030,AB2220),"")))</f>
        <v>12</v>
      </c>
      <c r="M2220" s="1" t="str">
        <f t="shared" ca="1" si="68"/>
        <v>Listed</v>
      </c>
      <c r="N2220" s="1" t="str">
        <f t="shared" si="69"/>
        <v>Listed</v>
      </c>
      <c r="O2220" s="1">
        <f t="shared" si="70"/>
        <v>30</v>
      </c>
      <c r="P2220" s="1">
        <f t="shared" ca="1" si="71"/>
        <v>10</v>
      </c>
      <c r="Q2220" s="1">
        <f t="shared" si="72"/>
        <v>0</v>
      </c>
      <c r="R2220" s="1">
        <f t="shared" si="73"/>
        <v>2</v>
      </c>
      <c r="S2220" s="1">
        <f t="shared" ca="1" si="74"/>
        <v>42</v>
      </c>
      <c r="T2220" s="1">
        <f ca="1">IF(OR(COUNT(O2220:R2220)&lt;&gt;4,COUNT('Top 25'!$B$45:$E$45)&lt;&gt;4,MIN('Top 25'!$B$45:$E$45)&lt;0,SUM('Top 25'!$B$45:$E$45)&lt;=0),"",ROUND(85*(O2220/30*'Top 25'!$B$45+P2220/25*'Top 25'!$C$45+Q2220/25*'Top 25'!$D$45+R2220/5*'Top 25'!$E$45)/SUM('Top 25'!$B$45:$E$45),6))</f>
        <v>42</v>
      </c>
      <c r="U2220" s="1" t="str">
        <f t="shared" ca="1" si="75"/>
        <v>Listed</v>
      </c>
      <c r="V2220" s="1" t="str">
        <f ca="1">IF(A2220="","",IF(AK2220&lt;&gt;1,"Duplicate source ID",IF(COUNTIFS('Staff Review'!$A$8:$A$507,A2220)&gt;1,"Duplicate review ID",IF(H2220&lt;&gt;"Yes","Outside scope",IF(J2220="Yes","Already served",IF(NOT(ISNUMBER(T2220)),"Missing data","Candidate"))))))</f>
        <v>Candidate</v>
      </c>
      <c r="W2220" s="1">
        <f t="shared" ca="1" si="76"/>
        <v>103</v>
      </c>
      <c r="X2220" s="1">
        <f t="shared" ca="1" si="77"/>
        <v>101</v>
      </c>
      <c r="Y2220" s="1">
        <f ca="1">IF(AND(H2220="Yes",OR(LEN('School Search'!$B$5)=0,ISNUMBER(SEARCH('School Search'!$B$5,B2220&amp;" "&amp;E2220&amp;" "&amp;A2220))),OR('School Search'!$D$5="All",C2220='School Search'!$D$5),OR('School Search'!$G$5="All eligible",AND('School Search'!$G$5="Not marked served",J2220&lt;&gt;"Yes"),AND('School Search'!$G$5="Missing data",V2220="Missing data"),AND('School Search'!$G$5="Marked served",J2220="Yes"))),1,0)</f>
        <v>1</v>
      </c>
      <c r="Z2220" s="1">
        <f ca="1">IF(Y2220=0,"",COUNTIFS($Y$2051:$Y$2550,1,$AO$2051:$AO$2550,"&lt;"&amp;AO2220)+COUNTIFS($Y$2051:Y2220,1,$AO$2051:AO2220,AO2220))</f>
        <v>103</v>
      </c>
      <c r="AA2220" s="1" t="str">
        <f t="shared" ca="1" si="78"/>
        <v>94% economic need; 0.27 mi fresh access; 12 nearby resources</v>
      </c>
      <c r="AB2220" s="1">
        <f t="shared" si="79"/>
        <v>170</v>
      </c>
      <c r="AC2220" s="1" t="str">
        <f t="shared" si="80"/>
        <v>Save-A-Lot 60142</v>
      </c>
      <c r="AD2220" s="1" t="str">
        <f t="shared" si="81"/>
        <v>2101 W Lehigh Ave, Philadelphia, PA, 19132</v>
      </c>
      <c r="AE2220" s="1" t="str">
        <f t="shared" si="82"/>
        <v>2300 W CAMBRIA ST</v>
      </c>
      <c r="AF2220" s="1">
        <f t="shared" si="83"/>
        <v>39.998838999999997</v>
      </c>
      <c r="AG2220" s="1">
        <f t="shared" si="84"/>
        <v>-75.168424000000002</v>
      </c>
      <c r="AH2220" s="1" t="str">
        <f>IF(I2220=0,"Not contacted",IF(INDEX('Staff Review'!$J$8:$J$507,I2220)="","Not contacted",INDEX('Staff Review'!$J$8:$J$507,I2220)))</f>
        <v>Not contacted</v>
      </c>
      <c r="AI2220" s="1" t="str">
        <f ca="1">IF(I2220=0,"No",IF(AND(COUNT(INDEX('Staff Review'!$D$8:$D$507,I2220))=1,INDEX('Staff Review'!$D$8:$D$507,I2220)&gt;=0,COUNT(INDEX('Staff Review'!$E$8:$E$507,I2220))=1,INDEX('Staff Review'!$E$8:$E$507,I2220)&gt;0,INDEX('Staff Review'!$E$8:$E$507,I2220)&lt;='Top 25'!$E$5,'Top 25'!$E$5-INDEX('Staff Review'!$E$8:$E$507,I2220)&lt;='Top 25'!$H$5,LEN(INDEX('Staff Review'!$H$8:$H$507,I2220))&gt;0),"Yes","No"))</f>
        <v>No</v>
      </c>
      <c r="AJ2220" s="1" t="str">
        <f>IF(I2220=0,"No",IF(COUNT(INDEX('Staff Review'!$F$8:$F$507,I2220))&lt;&gt;1,"No",IF(AND(INDEX('Staff Review'!$F$8:$F$507,I2220)&gt;=0,MOD(INDEX('Staff Review'!$F$8:$F$507,I2220),1)=0,COUNT(INDEX('Staff Review'!$G$8:$G$507,I2220))=1,INDEX('Staff Review'!$G$8:$G$507,I2220)&gt;0,INDEX('Staff Review'!$G$8:$G$507,I2220)&lt;='Top 25'!$E$5,'Top 25'!$E$5-INDEX('Staff Review'!$G$8:$G$507,I2220)&lt;='Top 25'!$H$5,LEN(INDEX('Staff Review'!$H$8:$H$507,I2220))&gt;0),"Yes","No")))</f>
        <v>No</v>
      </c>
      <c r="AK2220" s="1">
        <f t="shared" si="85"/>
        <v>1</v>
      </c>
      <c r="AL2220" s="1">
        <f t="shared" ca="1" si="86"/>
        <v>1</v>
      </c>
      <c r="AM2220" s="1">
        <f t="shared" si="87"/>
        <v>4380</v>
      </c>
      <c r="AN2220" s="1">
        <f t="shared" si="88"/>
        <v>170</v>
      </c>
      <c r="AO2220">
        <f t="shared" ca="1" si="89"/>
        <v>103</v>
      </c>
      <c r="AP2220" s="105">
        <f ca="1">IF(AND(AL2220=1,OR('Top 25'!$A$10="All",C2220='Top 25'!$A$10),OR('Top 25'!$D$10="All",D2220='Top 25'!$D$10)),1,0)</f>
        <v>1</v>
      </c>
      <c r="AQ2220" s="105">
        <f ca="1">IF(AP2220=0,"",CHOOSE(MATCH('Top 25'!$G$10,{"Priority score","Economic need","Enrollment","Fresh miles","Nearby resources"},0),T2220,G2220,F2220,K2220,L2220))</f>
        <v>42</v>
      </c>
      <c r="AR2220" s="105">
        <f ca="1">IF(AP2220=0,"",1+COUNTIFS($AP$2051:$AP$2550,1,$AQ$2051:$AQ$2550,IF('Top 25'!$J$10="Ascending","&lt;","&gt;")&amp;AQ2220)+COUNTIFS($AP$2051:$AP$2550,1,$AQ$2051:$AQ$2550,AQ2220,$W$2051:$W$2550,"&lt;"&amp;W2220))</f>
        <v>15</v>
      </c>
      <c r="AT2220" s="105">
        <f ca="1">IF(AND(AL2220=1,OR(Master_rankableSchools!$A$10="All",C2220=Master_rankableSchools!$A$10),OR(Master_rankableSchools!$D$10="All",D2220=Master_rankableSchools!$D$10)),1,0)</f>
        <v>1</v>
      </c>
      <c r="AU2220" s="105">
        <f ca="1">IF(AT2220=0,"",CHOOSE(MATCH(Master_rankableSchools!$G$10,{"Priority score","Economic need","Enrollment","Fresh miles","Nearby resources"},0),T2220,G2220,F2220,K2220,L2220))</f>
        <v>42</v>
      </c>
      <c r="AV2220" s="105">
        <f ca="1">IF(AT2220=0,"",1+COUNTIFS($AT$2051:$AT$2550,1,$AU$2051:$AU$2550,IF(Master_rankableSchools!$J$10="Ascending","&lt;","&gt;")&amp;AU2220)+COUNTIFS($AT$2051:$AT$2550,1,$AU$2051:$AU$2550,AU2220,$W$2051:$W$2550,"&lt;"&amp;W2220))</f>
        <v>103</v>
      </c>
    </row>
    <row r="2221" spans="1:48" ht="22" customHeight="1">
      <c r="A2221" s="1" t="str">
        <f t="shared" si="60"/>
        <v>4440</v>
      </c>
      <c r="B2221" s="1" t="str">
        <f t="shared" si="61"/>
        <v>Dr. Ethel Allen School</v>
      </c>
      <c r="C2221" s="1" t="str">
        <f t="shared" si="62"/>
        <v>District</v>
      </c>
      <c r="D2221" s="1" t="str">
        <f t="shared" si="63"/>
        <v>Elementary-Middle</v>
      </c>
      <c r="E2221" s="1" t="str">
        <f t="shared" si="64"/>
        <v>19132</v>
      </c>
      <c r="F2221" s="1">
        <f t="shared" si="65"/>
        <v>274</v>
      </c>
      <c r="G2221" s="1">
        <f t="shared" si="66"/>
        <v>0.90620000000000001</v>
      </c>
      <c r="H2221" s="1" t="str">
        <f t="shared" si="67"/>
        <v>Yes</v>
      </c>
      <c r="I2221" s="1">
        <f>IF(OR(A2221="",COUNTIFS('Staff Review'!$A$8:$A$507,A2221)&lt;&gt;1),0,MATCH(A2221,'Staff Review'!$A$8:$A$507,0))</f>
        <v>52</v>
      </c>
      <c r="J2221" s="1" t="str">
        <f>IF(I2221=0,"No",IF(INDEX('Staff Review'!$C$8:$C$507,I2221)="Yes","Yes","No"))</f>
        <v>No</v>
      </c>
      <c r="K2221" s="1">
        <f ca="1">IF(AI2221="Yes",INDEX('Staff Review'!$D$8:$D$507,I2221),IF(AB2221=0,"",IF(COUNT(INDEX($C$1531:$C$2030,AB2221))=1,INDEX($C$1531:$C$2030,AB2221),"")))</f>
        <v>0.55178441743296414</v>
      </c>
      <c r="L2221" s="1">
        <f>IF(AJ2221="Yes",INDEX('Staff Review'!$F$8:$F$507,I2221),IF(AB2221=0,"",IF(COUNT(INDEX($G$1531:$G$2030,AB2221))=1,INDEX($G$1531:$G$2030,AB2221),"")))</f>
        <v>10</v>
      </c>
      <c r="M2221" s="1" t="str">
        <f t="shared" ca="1" si="68"/>
        <v>Listed</v>
      </c>
      <c r="N2221" s="1" t="str">
        <f t="shared" si="69"/>
        <v>Listed</v>
      </c>
      <c r="O2221" s="1">
        <f t="shared" si="70"/>
        <v>30</v>
      </c>
      <c r="P2221" s="1">
        <f t="shared" ca="1" si="71"/>
        <v>15</v>
      </c>
      <c r="Q2221" s="1">
        <f t="shared" si="72"/>
        <v>0</v>
      </c>
      <c r="R2221" s="1">
        <f t="shared" si="73"/>
        <v>2</v>
      </c>
      <c r="S2221" s="1">
        <f t="shared" ca="1" si="74"/>
        <v>47</v>
      </c>
      <c r="T2221" s="1">
        <f ca="1">IF(OR(COUNT(O2221:R2221)&lt;&gt;4,COUNT('Top 25'!$B$45:$E$45)&lt;&gt;4,MIN('Top 25'!$B$45:$E$45)&lt;0,SUM('Top 25'!$B$45:$E$45)&lt;=0),"",ROUND(85*(O2221/30*'Top 25'!$B$45+P2221/25*'Top 25'!$C$45+Q2221/25*'Top 25'!$D$45+R2221/5*'Top 25'!$E$45)/SUM('Top 25'!$B$45:$E$45),6))</f>
        <v>47</v>
      </c>
      <c r="U2221" s="1" t="str">
        <f t="shared" ca="1" si="75"/>
        <v>Listed</v>
      </c>
      <c r="V2221" s="1" t="str">
        <f ca="1">IF(A2221="","",IF(AK2221&lt;&gt;1,"Duplicate source ID",IF(COUNTIFS('Staff Review'!$A$8:$A$507,A2221)&gt;1,"Duplicate review ID",IF(H2221&lt;&gt;"Yes","Outside scope",IF(J2221="Yes","Already served",IF(NOT(ISNUMBER(T2221)),"Missing data","Candidate"))))))</f>
        <v>Candidate</v>
      </c>
      <c r="W2221" s="1">
        <f t="shared" ca="1" si="76"/>
        <v>66</v>
      </c>
      <c r="X2221" s="1">
        <f t="shared" ca="1" si="77"/>
        <v>64</v>
      </c>
      <c r="Y2221" s="1">
        <f ca="1">IF(AND(H2221="Yes",OR(LEN('School Search'!$B$5)=0,ISNUMBER(SEARCH('School Search'!$B$5,B2221&amp;" "&amp;E2221&amp;" "&amp;A2221))),OR('School Search'!$D$5="All",C2221='School Search'!$D$5),OR('School Search'!$G$5="All eligible",AND('School Search'!$G$5="Not marked served",J2221&lt;&gt;"Yes"),AND('School Search'!$G$5="Missing data",V2221="Missing data"),AND('School Search'!$G$5="Marked served",J2221="Yes"))),1,0)</f>
        <v>1</v>
      </c>
      <c r="Z2221" s="1">
        <f ca="1">IF(Y2221=0,"",COUNTIFS($Y$2051:$Y$2550,1,$AO$2051:$AO$2550,"&lt;"&amp;AO2221)+COUNTIFS($Y$2051:Y2221,1,$AO$2051:AO2221,AO2221))</f>
        <v>66</v>
      </c>
      <c r="AA2221" s="1" t="str">
        <f t="shared" ca="1" si="78"/>
        <v>91% economic need; 0.55 mi fresh access; 10 nearby resources</v>
      </c>
      <c r="AB2221" s="1">
        <f t="shared" si="79"/>
        <v>171</v>
      </c>
      <c r="AC2221" s="1" t="str">
        <f t="shared" si="80"/>
        <v>Shop Mark Supermarket</v>
      </c>
      <c r="AD2221" s="1" t="str">
        <f t="shared" si="81"/>
        <v>2522 W Lehigh Ave, Philadelphia, PA, 19132</v>
      </c>
      <c r="AE2221" s="1" t="str">
        <f t="shared" si="82"/>
        <v>3200 W LEHIGH AVE</v>
      </c>
      <c r="AF2221" s="1">
        <f t="shared" si="83"/>
        <v>39.997576969999997</v>
      </c>
      <c r="AG2221" s="1">
        <f t="shared" si="84"/>
        <v>-75.183459630000002</v>
      </c>
      <c r="AH2221" s="1" t="str">
        <f>IF(I2221=0,"Not contacted",IF(INDEX('Staff Review'!$J$8:$J$507,I2221)="","Not contacted",INDEX('Staff Review'!$J$8:$J$507,I2221)))</f>
        <v>Not contacted</v>
      </c>
      <c r="AI2221" s="1" t="str">
        <f ca="1">IF(I2221=0,"No",IF(AND(COUNT(INDEX('Staff Review'!$D$8:$D$507,I2221))=1,INDEX('Staff Review'!$D$8:$D$507,I2221)&gt;=0,COUNT(INDEX('Staff Review'!$E$8:$E$507,I2221))=1,INDEX('Staff Review'!$E$8:$E$507,I2221)&gt;0,INDEX('Staff Review'!$E$8:$E$507,I2221)&lt;='Top 25'!$E$5,'Top 25'!$E$5-INDEX('Staff Review'!$E$8:$E$507,I2221)&lt;='Top 25'!$H$5,LEN(INDEX('Staff Review'!$H$8:$H$507,I2221))&gt;0),"Yes","No"))</f>
        <v>No</v>
      </c>
      <c r="AJ2221" s="1" t="str">
        <f>IF(I2221=0,"No",IF(COUNT(INDEX('Staff Review'!$F$8:$F$507,I2221))&lt;&gt;1,"No",IF(AND(INDEX('Staff Review'!$F$8:$F$507,I2221)&gt;=0,MOD(INDEX('Staff Review'!$F$8:$F$507,I2221),1)=0,COUNT(INDEX('Staff Review'!$G$8:$G$507,I2221))=1,INDEX('Staff Review'!$G$8:$G$507,I2221)&gt;0,INDEX('Staff Review'!$G$8:$G$507,I2221)&lt;='Top 25'!$E$5,'Top 25'!$E$5-INDEX('Staff Review'!$G$8:$G$507,I2221)&lt;='Top 25'!$H$5,LEN(INDEX('Staff Review'!$H$8:$H$507,I2221))&gt;0),"Yes","No")))</f>
        <v>No</v>
      </c>
      <c r="AK2221" s="1">
        <f t="shared" si="85"/>
        <v>1</v>
      </c>
      <c r="AL2221" s="1">
        <f t="shared" ca="1" si="86"/>
        <v>1</v>
      </c>
      <c r="AM2221" s="1">
        <f t="shared" si="87"/>
        <v>4440</v>
      </c>
      <c r="AN2221" s="1">
        <f t="shared" si="88"/>
        <v>171</v>
      </c>
      <c r="AO2221">
        <f t="shared" ca="1" si="89"/>
        <v>66</v>
      </c>
      <c r="AP2221" s="105">
        <f ca="1">IF(AND(AL2221=1,OR('Top 25'!$A$10="All",C2221='Top 25'!$A$10),OR('Top 25'!$D$10="All",D2221='Top 25'!$D$10)),1,0)</f>
        <v>0</v>
      </c>
      <c r="AQ2221" s="105" t="str">
        <f ca="1">IF(AP2221=0,"",CHOOSE(MATCH('Top 25'!$G$10,{"Priority score","Economic need","Enrollment","Fresh miles","Nearby resources"},0),T2221,G2221,F2221,K2221,L2221))</f>
        <v/>
      </c>
      <c r="AR2221" s="105" t="str">
        <f ca="1">IF(AP2221=0,"",1+COUNTIFS($AP$2051:$AP$2550,1,$AQ$2051:$AQ$2550,IF('Top 25'!$J$10="Ascending","&lt;","&gt;")&amp;AQ2221)+COUNTIFS($AP$2051:$AP$2550,1,$AQ$2051:$AQ$2550,AQ2221,$W$2051:$W$2550,"&lt;"&amp;W2221))</f>
        <v/>
      </c>
      <c r="AT2221" s="105">
        <f ca="1">IF(AND(AL2221=1,OR(Master_rankableSchools!$A$10="All",C2221=Master_rankableSchools!$A$10),OR(Master_rankableSchools!$D$10="All",D2221=Master_rankableSchools!$D$10)),1,0)</f>
        <v>1</v>
      </c>
      <c r="AU2221" s="105">
        <f ca="1">IF(AT2221=0,"",CHOOSE(MATCH(Master_rankableSchools!$G$10,{"Priority score","Economic need","Enrollment","Fresh miles","Nearby resources"},0),T2221,G2221,F2221,K2221,L2221))</f>
        <v>47</v>
      </c>
      <c r="AV2221" s="105">
        <f ca="1">IF(AT2221=0,"",1+COUNTIFS($AT$2051:$AT$2550,1,$AU$2051:$AU$2550,IF(Master_rankableSchools!$J$10="Ascending","&lt;","&gt;")&amp;AU2221)+COUNTIFS($AT$2051:$AT$2550,1,$AU$2051:$AU$2550,AU2221,$W$2051:$W$2550,"&lt;"&amp;W2221))</f>
        <v>66</v>
      </c>
    </row>
    <row r="2222" spans="1:48" ht="22" customHeight="1">
      <c r="A2222" s="1" t="str">
        <f t="shared" si="60"/>
        <v>4460</v>
      </c>
      <c r="B2222" s="1" t="str">
        <f t="shared" si="61"/>
        <v>Tanner G. Duckrey School</v>
      </c>
      <c r="C2222" s="1" t="str">
        <f t="shared" si="62"/>
        <v>District</v>
      </c>
      <c r="D2222" s="1" t="str">
        <f t="shared" si="63"/>
        <v>Elementary-Middle</v>
      </c>
      <c r="E2222" s="1" t="str">
        <f t="shared" si="64"/>
        <v>19121</v>
      </c>
      <c r="F2222" s="1">
        <f t="shared" si="65"/>
        <v>402</v>
      </c>
      <c r="G2222" s="1">
        <f t="shared" si="66"/>
        <v>0.90469999999999995</v>
      </c>
      <c r="H2222" s="1" t="str">
        <f t="shared" si="67"/>
        <v>Yes</v>
      </c>
      <c r="I2222" s="1">
        <f>IF(OR(A2222="",COUNTIFS('Staff Review'!$A$8:$A$507,A2222)&lt;&gt;1),0,MATCH(A2222,'Staff Review'!$A$8:$A$507,0))</f>
        <v>281</v>
      </c>
      <c r="J2222" s="1" t="str">
        <f>IF(I2222=0,"No",IF(INDEX('Staff Review'!$C$8:$C$507,I2222)="Yes","Yes","No"))</f>
        <v>No</v>
      </c>
      <c r="K2222" s="1">
        <f ca="1">IF(AI2222="Yes",INDEX('Staff Review'!$D$8:$D$507,I2222),IF(AB2222=0,"",IF(COUNT(INDEX($C$1531:$C$2030,AB2222))=1,INDEX($C$1531:$C$2030,AB2222),"")))</f>
        <v>0.59754365481934968</v>
      </c>
      <c r="L2222" s="1">
        <f>IF(AJ2222="Yes",INDEX('Staff Review'!$F$8:$F$507,I2222),IF(AB2222=0,"",IF(COUNT(INDEX($G$1531:$G$2030,AB2222))=1,INDEX($G$1531:$G$2030,AB2222),"")))</f>
        <v>14</v>
      </c>
      <c r="M2222" s="1" t="str">
        <f t="shared" ca="1" si="68"/>
        <v>Listed</v>
      </c>
      <c r="N2222" s="1" t="str">
        <f t="shared" si="69"/>
        <v>Listed</v>
      </c>
      <c r="O2222" s="1">
        <f t="shared" si="70"/>
        <v>30</v>
      </c>
      <c r="P2222" s="1">
        <f t="shared" ca="1" si="71"/>
        <v>15</v>
      </c>
      <c r="Q2222" s="1">
        <f t="shared" si="72"/>
        <v>0</v>
      </c>
      <c r="R2222" s="1">
        <f t="shared" si="73"/>
        <v>3</v>
      </c>
      <c r="S2222" s="1">
        <f t="shared" ca="1" si="74"/>
        <v>48</v>
      </c>
      <c r="T2222" s="1">
        <f ca="1">IF(OR(COUNT(O2222:R2222)&lt;&gt;4,COUNT('Top 25'!$B$45:$E$45)&lt;&gt;4,MIN('Top 25'!$B$45:$E$45)&lt;0,SUM('Top 25'!$B$45:$E$45)&lt;=0),"",ROUND(85*(O2222/30*'Top 25'!$B$45+P2222/25*'Top 25'!$C$45+Q2222/25*'Top 25'!$D$45+R2222/5*'Top 25'!$E$45)/SUM('Top 25'!$B$45:$E$45),6))</f>
        <v>48</v>
      </c>
      <c r="U2222" s="1" t="str">
        <f t="shared" ca="1" si="75"/>
        <v>Listed</v>
      </c>
      <c r="V2222" s="1" t="str">
        <f ca="1">IF(A2222="","",IF(AK2222&lt;&gt;1,"Duplicate source ID",IF(COUNTIFS('Staff Review'!$A$8:$A$507,A2222)&gt;1,"Duplicate review ID",IF(H2222&lt;&gt;"Yes","Outside scope",IF(J2222="Yes","Already served",IF(NOT(ISNUMBER(T2222)),"Missing data","Candidate"))))))</f>
        <v>Candidate</v>
      </c>
      <c r="W2222" s="1">
        <f t="shared" ca="1" si="76"/>
        <v>59</v>
      </c>
      <c r="X2222" s="1">
        <f t="shared" ca="1" si="77"/>
        <v>56</v>
      </c>
      <c r="Y2222" s="1">
        <f ca="1">IF(AND(H2222="Yes",OR(LEN('School Search'!$B$5)=0,ISNUMBER(SEARCH('School Search'!$B$5,B2222&amp;" "&amp;E2222&amp;" "&amp;A2222))),OR('School Search'!$D$5="All",C2222='School Search'!$D$5),OR('School Search'!$G$5="All eligible",AND('School Search'!$G$5="Not marked served",J2222&lt;&gt;"Yes"),AND('School Search'!$G$5="Missing data",V2222="Missing data"),AND('School Search'!$G$5="Marked served",J2222="Yes"))),1,0)</f>
        <v>1</v>
      </c>
      <c r="Z2222" s="1">
        <f ca="1">IF(Y2222=0,"",COUNTIFS($Y$2051:$Y$2550,1,$AO$2051:$AO$2550,"&lt;"&amp;AO2222)+COUNTIFS($Y$2051:Y2222,1,$AO$2051:AO2222,AO2222))</f>
        <v>59</v>
      </c>
      <c r="AA2222" s="1" t="str">
        <f t="shared" ca="1" si="78"/>
        <v>90% economic need; 0.60 mi fresh access; 14 nearby resources</v>
      </c>
      <c r="AB2222" s="1">
        <f t="shared" si="79"/>
        <v>172</v>
      </c>
      <c r="AC2222" s="1" t="str">
        <f t="shared" si="80"/>
        <v>The Fresh Grocer</v>
      </c>
      <c r="AD2222" s="1" t="str">
        <f t="shared" si="81"/>
        <v>1501 N Broad St, Philadelphia, PA, 19122</v>
      </c>
      <c r="AE2222" s="1" t="str">
        <f t="shared" si="82"/>
        <v>1501 W DIAMOND ST</v>
      </c>
      <c r="AF2222" s="1">
        <f t="shared" si="83"/>
        <v>39.98520302</v>
      </c>
      <c r="AG2222" s="1">
        <f t="shared" si="84"/>
        <v>-75.158301069999993</v>
      </c>
      <c r="AH2222" s="1" t="str">
        <f>IF(I2222=0,"Not contacted",IF(INDEX('Staff Review'!$J$8:$J$507,I2222)="","Not contacted",INDEX('Staff Review'!$J$8:$J$507,I2222)))</f>
        <v>Not contacted</v>
      </c>
      <c r="AI2222" s="1" t="str">
        <f ca="1">IF(I2222=0,"No",IF(AND(COUNT(INDEX('Staff Review'!$D$8:$D$507,I2222))=1,INDEX('Staff Review'!$D$8:$D$507,I2222)&gt;=0,COUNT(INDEX('Staff Review'!$E$8:$E$507,I2222))=1,INDEX('Staff Review'!$E$8:$E$507,I2222)&gt;0,INDEX('Staff Review'!$E$8:$E$507,I2222)&lt;='Top 25'!$E$5,'Top 25'!$E$5-INDEX('Staff Review'!$E$8:$E$507,I2222)&lt;='Top 25'!$H$5,LEN(INDEX('Staff Review'!$H$8:$H$507,I2222))&gt;0),"Yes","No"))</f>
        <v>No</v>
      </c>
      <c r="AJ2222" s="1" t="str">
        <f>IF(I2222=0,"No",IF(COUNT(INDEX('Staff Review'!$F$8:$F$507,I2222))&lt;&gt;1,"No",IF(AND(INDEX('Staff Review'!$F$8:$F$507,I2222)&gt;=0,MOD(INDEX('Staff Review'!$F$8:$F$507,I2222),1)=0,COUNT(INDEX('Staff Review'!$G$8:$G$507,I2222))=1,INDEX('Staff Review'!$G$8:$G$507,I2222)&gt;0,INDEX('Staff Review'!$G$8:$G$507,I2222)&lt;='Top 25'!$E$5,'Top 25'!$E$5-INDEX('Staff Review'!$G$8:$G$507,I2222)&lt;='Top 25'!$H$5,LEN(INDEX('Staff Review'!$H$8:$H$507,I2222))&gt;0),"Yes","No")))</f>
        <v>No</v>
      </c>
      <c r="AK2222" s="1">
        <f t="shared" si="85"/>
        <v>1</v>
      </c>
      <c r="AL2222" s="1">
        <f t="shared" ca="1" si="86"/>
        <v>1</v>
      </c>
      <c r="AM2222" s="1">
        <f t="shared" si="87"/>
        <v>4460</v>
      </c>
      <c r="AN2222" s="1">
        <f t="shared" si="88"/>
        <v>172</v>
      </c>
      <c r="AO2222">
        <f t="shared" ca="1" si="89"/>
        <v>59</v>
      </c>
      <c r="AP2222" s="105">
        <f ca="1">IF(AND(AL2222=1,OR('Top 25'!$A$10="All",C2222='Top 25'!$A$10),OR('Top 25'!$D$10="All",D2222='Top 25'!$D$10)),1,0)</f>
        <v>0</v>
      </c>
      <c r="AQ2222" s="105" t="str">
        <f ca="1">IF(AP2222=0,"",CHOOSE(MATCH('Top 25'!$G$10,{"Priority score","Economic need","Enrollment","Fresh miles","Nearby resources"},0),T2222,G2222,F2222,K2222,L2222))</f>
        <v/>
      </c>
      <c r="AR2222" s="105" t="str">
        <f ca="1">IF(AP2222=0,"",1+COUNTIFS($AP$2051:$AP$2550,1,$AQ$2051:$AQ$2550,IF('Top 25'!$J$10="Ascending","&lt;","&gt;")&amp;AQ2222)+COUNTIFS($AP$2051:$AP$2550,1,$AQ$2051:$AQ$2550,AQ2222,$W$2051:$W$2550,"&lt;"&amp;W2222))</f>
        <v/>
      </c>
      <c r="AT2222" s="105">
        <f ca="1">IF(AND(AL2222=1,OR(Master_rankableSchools!$A$10="All",C2222=Master_rankableSchools!$A$10),OR(Master_rankableSchools!$D$10="All",D2222=Master_rankableSchools!$D$10)),1,0)</f>
        <v>1</v>
      </c>
      <c r="AU2222" s="105">
        <f ca="1">IF(AT2222=0,"",CHOOSE(MATCH(Master_rankableSchools!$G$10,{"Priority score","Economic need","Enrollment","Fresh miles","Nearby resources"},0),T2222,G2222,F2222,K2222,L2222))</f>
        <v>48</v>
      </c>
      <c r="AV2222" s="105">
        <f ca="1">IF(AT2222=0,"",1+COUNTIFS($AT$2051:$AT$2550,1,$AU$2051:$AU$2550,IF(Master_rankableSchools!$J$10="Ascending","&lt;","&gt;")&amp;AU2222)+COUNTIFS($AT$2051:$AT$2550,1,$AU$2051:$AU$2550,AU2222,$W$2051:$W$2550,"&lt;"&amp;W2222))</f>
        <v>59</v>
      </c>
    </row>
    <row r="2223" spans="1:48" ht="22" customHeight="1">
      <c r="A2223" s="1" t="str">
        <f t="shared" si="60"/>
        <v>4470</v>
      </c>
      <c r="B2223" s="1" t="str">
        <f t="shared" si="61"/>
        <v>Richard R. Wright School</v>
      </c>
      <c r="C2223" s="1" t="str">
        <f t="shared" si="62"/>
        <v>District</v>
      </c>
      <c r="D2223" s="1" t="str">
        <f t="shared" si="63"/>
        <v>Elementary</v>
      </c>
      <c r="E2223" s="1" t="str">
        <f t="shared" si="64"/>
        <v>19132</v>
      </c>
      <c r="F2223" s="1">
        <f t="shared" si="65"/>
        <v>201</v>
      </c>
      <c r="G2223" s="1">
        <f t="shared" si="66"/>
        <v>0.90900000000000003</v>
      </c>
      <c r="H2223" s="1" t="str">
        <f t="shared" si="67"/>
        <v>Yes</v>
      </c>
      <c r="I2223" s="1">
        <f>IF(OR(A2223="",COUNTIFS('Staff Review'!$A$8:$A$507,A2223)&lt;&gt;1),0,MATCH(A2223,'Staff Review'!$A$8:$A$507,0))</f>
        <v>249</v>
      </c>
      <c r="J2223" s="1" t="str">
        <f>IF(I2223=0,"No",IF(INDEX('Staff Review'!$C$8:$C$507,I2223)="Yes","Yes","No"))</f>
        <v>No</v>
      </c>
      <c r="K2223" s="1">
        <f ca="1">IF(AI2223="Yes",INDEX('Staff Review'!$D$8:$D$507,I2223),IF(AB2223=0,"",IF(COUNT(INDEX($C$1531:$C$2030,AB2223))=1,INDEX($C$1531:$C$2030,AB2223),"")))</f>
        <v>5.1769638776506491E-2</v>
      </c>
      <c r="L2223" s="1">
        <f>IF(AJ2223="Yes",INDEX('Staff Review'!$F$8:$F$507,I2223),IF(AB2223=0,"",IF(COUNT(INDEX($G$1531:$G$2030,AB2223))=1,INDEX($G$1531:$G$2030,AB2223),"")))</f>
        <v>16</v>
      </c>
      <c r="M2223" s="1" t="str">
        <f t="shared" ca="1" si="68"/>
        <v>Listed</v>
      </c>
      <c r="N2223" s="1" t="str">
        <f t="shared" si="69"/>
        <v>Listed</v>
      </c>
      <c r="O2223" s="1">
        <f t="shared" si="70"/>
        <v>30</v>
      </c>
      <c r="P2223" s="1">
        <f t="shared" ca="1" si="71"/>
        <v>5</v>
      </c>
      <c r="Q2223" s="1">
        <f t="shared" si="72"/>
        <v>0</v>
      </c>
      <c r="R2223" s="1">
        <f t="shared" si="73"/>
        <v>2</v>
      </c>
      <c r="S2223" s="1">
        <f t="shared" ca="1" si="74"/>
        <v>37</v>
      </c>
      <c r="T2223" s="1">
        <f ca="1">IF(OR(COUNT(O2223:R2223)&lt;&gt;4,COUNT('Top 25'!$B$45:$E$45)&lt;&gt;4,MIN('Top 25'!$B$45:$E$45)&lt;0,SUM('Top 25'!$B$45:$E$45)&lt;=0),"",ROUND(85*(O2223/30*'Top 25'!$B$45+P2223/25*'Top 25'!$C$45+Q2223/25*'Top 25'!$D$45+R2223/5*'Top 25'!$E$45)/SUM('Top 25'!$B$45:$E$45),6))</f>
        <v>37</v>
      </c>
      <c r="U2223" s="1" t="str">
        <f t="shared" ca="1" si="75"/>
        <v>Listed</v>
      </c>
      <c r="V2223" s="1" t="str">
        <f ca="1">IF(A2223="","",IF(AK2223&lt;&gt;1,"Duplicate source ID",IF(COUNTIFS('Staff Review'!$A$8:$A$507,A2223)&gt;1,"Duplicate review ID",IF(H2223&lt;&gt;"Yes","Outside scope",IF(J2223="Yes","Already served",IF(NOT(ISNUMBER(T2223)),"Missing data","Candidate"))))))</f>
        <v>Candidate</v>
      </c>
      <c r="W2223" s="1">
        <f t="shared" ca="1" si="76"/>
        <v>182</v>
      </c>
      <c r="X2223" s="1">
        <f t="shared" ca="1" si="77"/>
        <v>182</v>
      </c>
      <c r="Y2223" s="1">
        <f ca="1">IF(AND(H2223="Yes",OR(LEN('School Search'!$B$5)=0,ISNUMBER(SEARCH('School Search'!$B$5,B2223&amp;" "&amp;E2223&amp;" "&amp;A2223))),OR('School Search'!$D$5="All",C2223='School Search'!$D$5),OR('School Search'!$G$5="All eligible",AND('School Search'!$G$5="Not marked served",J2223&lt;&gt;"Yes"),AND('School Search'!$G$5="Missing data",V2223="Missing data"),AND('School Search'!$G$5="Marked served",J2223="Yes"))),1,0)</f>
        <v>1</v>
      </c>
      <c r="Z2223" s="1">
        <f ca="1">IF(Y2223=0,"",COUNTIFS($Y$2051:$Y$2550,1,$AO$2051:$AO$2550,"&lt;"&amp;AO2223)+COUNTIFS($Y$2051:Y2223,1,$AO$2051:AO2223,AO2223))</f>
        <v>182</v>
      </c>
      <c r="AA2223" s="1" t="str">
        <f t="shared" ca="1" si="78"/>
        <v>91% economic need; 0.05 mi fresh access; 16 nearby resources</v>
      </c>
      <c r="AB2223" s="1">
        <f t="shared" si="79"/>
        <v>173</v>
      </c>
      <c r="AC2223" s="1" t="str">
        <f t="shared" si="80"/>
        <v>SAVE-A-LOT 60146</v>
      </c>
      <c r="AD2223" s="1" t="str">
        <f t="shared" si="81"/>
        <v>2801 W Dauphin St, Philadelphia, PA, 19132</v>
      </c>
      <c r="AE2223" s="1" t="str">
        <f t="shared" si="82"/>
        <v>2201 N 28TH ST</v>
      </c>
      <c r="AF2223" s="1">
        <f t="shared" si="83"/>
        <v>39.990439629999997</v>
      </c>
      <c r="AG2223" s="1">
        <f t="shared" si="84"/>
        <v>-75.176998119999993</v>
      </c>
      <c r="AH2223" s="1" t="str">
        <f>IF(I2223=0,"Not contacted",IF(INDEX('Staff Review'!$J$8:$J$507,I2223)="","Not contacted",INDEX('Staff Review'!$J$8:$J$507,I2223)))</f>
        <v>Not contacted</v>
      </c>
      <c r="AI2223" s="1" t="str">
        <f ca="1">IF(I2223=0,"No",IF(AND(COUNT(INDEX('Staff Review'!$D$8:$D$507,I2223))=1,INDEX('Staff Review'!$D$8:$D$507,I2223)&gt;=0,COUNT(INDEX('Staff Review'!$E$8:$E$507,I2223))=1,INDEX('Staff Review'!$E$8:$E$507,I2223)&gt;0,INDEX('Staff Review'!$E$8:$E$507,I2223)&lt;='Top 25'!$E$5,'Top 25'!$E$5-INDEX('Staff Review'!$E$8:$E$507,I2223)&lt;='Top 25'!$H$5,LEN(INDEX('Staff Review'!$H$8:$H$507,I2223))&gt;0),"Yes","No"))</f>
        <v>No</v>
      </c>
      <c r="AJ2223" s="1" t="str">
        <f>IF(I2223=0,"No",IF(COUNT(INDEX('Staff Review'!$F$8:$F$507,I2223))&lt;&gt;1,"No",IF(AND(INDEX('Staff Review'!$F$8:$F$507,I2223)&gt;=0,MOD(INDEX('Staff Review'!$F$8:$F$507,I2223),1)=0,COUNT(INDEX('Staff Review'!$G$8:$G$507,I2223))=1,INDEX('Staff Review'!$G$8:$G$507,I2223)&gt;0,INDEX('Staff Review'!$G$8:$G$507,I2223)&lt;='Top 25'!$E$5,'Top 25'!$E$5-INDEX('Staff Review'!$G$8:$G$507,I2223)&lt;='Top 25'!$H$5,LEN(INDEX('Staff Review'!$H$8:$H$507,I2223))&gt;0),"Yes","No")))</f>
        <v>No</v>
      </c>
      <c r="AK2223" s="1">
        <f t="shared" si="85"/>
        <v>1</v>
      </c>
      <c r="AL2223" s="1">
        <f t="shared" ca="1" si="86"/>
        <v>1</v>
      </c>
      <c r="AM2223" s="1">
        <f t="shared" si="87"/>
        <v>4470</v>
      </c>
      <c r="AN2223" s="1">
        <f t="shared" si="88"/>
        <v>173</v>
      </c>
      <c r="AO2223">
        <f t="shared" ca="1" si="89"/>
        <v>182</v>
      </c>
      <c r="AP2223" s="105">
        <f ca="1">IF(AND(AL2223=1,OR('Top 25'!$A$10="All",C2223='Top 25'!$A$10),OR('Top 25'!$D$10="All",D2223='Top 25'!$D$10)),1,0)</f>
        <v>1</v>
      </c>
      <c r="AQ2223" s="105">
        <f ca="1">IF(AP2223=0,"",CHOOSE(MATCH('Top 25'!$G$10,{"Priority score","Economic need","Enrollment","Fresh miles","Nearby resources"},0),T2223,G2223,F2223,K2223,L2223))</f>
        <v>37</v>
      </c>
      <c r="AR2223" s="105">
        <f ca="1">IF(AP2223=0,"",1+COUNTIFS($AP$2051:$AP$2550,1,$AQ$2051:$AQ$2550,IF('Top 25'!$J$10="Ascending","&lt;","&gt;")&amp;AQ2223)+COUNTIFS($AP$2051:$AP$2550,1,$AQ$2051:$AQ$2550,AQ2223,$W$2051:$W$2550,"&lt;"&amp;W2223))</f>
        <v>29</v>
      </c>
      <c r="AT2223" s="105">
        <f ca="1">IF(AND(AL2223=1,OR(Master_rankableSchools!$A$10="All",C2223=Master_rankableSchools!$A$10),OR(Master_rankableSchools!$D$10="All",D2223=Master_rankableSchools!$D$10)),1,0)</f>
        <v>1</v>
      </c>
      <c r="AU2223" s="105">
        <f ca="1">IF(AT2223=0,"",CHOOSE(MATCH(Master_rankableSchools!$G$10,{"Priority score","Economic need","Enrollment","Fresh miles","Nearby resources"},0),T2223,G2223,F2223,K2223,L2223))</f>
        <v>37</v>
      </c>
      <c r="AV2223" s="105">
        <f ca="1">IF(AT2223=0,"",1+COUNTIFS($AT$2051:$AT$2550,1,$AU$2051:$AU$2550,IF(Master_rankableSchools!$J$10="Ascending","&lt;","&gt;")&amp;AU2223)+COUNTIFS($AT$2051:$AT$2550,1,$AU$2051:$AU$2550,AU2223,$W$2051:$W$2550,"&lt;"&amp;W2223))</f>
        <v>182</v>
      </c>
    </row>
    <row r="2224" spans="1:48" ht="22" customHeight="1">
      <c r="A2224" s="1" t="str">
        <f t="shared" si="60"/>
        <v>4480</v>
      </c>
      <c r="B2224" s="1" t="str">
        <f t="shared" si="61"/>
        <v>Overbrook Educational Center</v>
      </c>
      <c r="C2224" s="1" t="str">
        <f t="shared" si="62"/>
        <v>District</v>
      </c>
      <c r="D2224" s="1" t="str">
        <f t="shared" si="63"/>
        <v>Elementary-Middle</v>
      </c>
      <c r="E2224" s="1" t="str">
        <f t="shared" si="64"/>
        <v>19151</v>
      </c>
      <c r="F2224" s="1">
        <f t="shared" si="65"/>
        <v>226</v>
      </c>
      <c r="G2224" s="1">
        <f t="shared" si="66"/>
        <v>0.71109999999999995</v>
      </c>
      <c r="H2224" s="1" t="str">
        <f t="shared" si="67"/>
        <v>Yes</v>
      </c>
      <c r="I2224" s="1">
        <f>IF(OR(A2224="",COUNTIFS('Staff Review'!$A$8:$A$507,A2224)&lt;&gt;1),0,MATCH(A2224,'Staff Review'!$A$8:$A$507,0))</f>
        <v>218</v>
      </c>
      <c r="J2224" s="1" t="str">
        <f>IF(I2224=0,"No",IF(INDEX('Staff Review'!$C$8:$C$507,I2224)="Yes","Yes","No"))</f>
        <v>No</v>
      </c>
      <c r="K2224" s="1">
        <f ca="1">IF(AI2224="Yes",INDEX('Staff Review'!$D$8:$D$507,I2224),IF(AB2224=0,"",IF(COUNT(INDEX($C$1531:$C$2030,AB2224))=1,INDEX($C$1531:$C$2030,AB2224),"")))</f>
        <v>0.77835700311251033</v>
      </c>
      <c r="L2224" s="1">
        <f>IF(AJ2224="Yes",INDEX('Staff Review'!$F$8:$F$507,I2224),IF(AB2224=0,"",IF(COUNT(INDEX($G$1531:$G$2030,AB2224))=1,INDEX($G$1531:$G$2030,AB2224),"")))</f>
        <v>6</v>
      </c>
      <c r="M2224" s="1" t="str">
        <f t="shared" ca="1" si="68"/>
        <v>Listed</v>
      </c>
      <c r="N2224" s="1" t="str">
        <f t="shared" si="69"/>
        <v>Listed</v>
      </c>
      <c r="O2224" s="1">
        <f t="shared" si="70"/>
        <v>20</v>
      </c>
      <c r="P2224" s="1">
        <f t="shared" ca="1" si="71"/>
        <v>20</v>
      </c>
      <c r="Q2224" s="1">
        <f t="shared" si="72"/>
        <v>0</v>
      </c>
      <c r="R2224" s="1">
        <f t="shared" si="73"/>
        <v>2</v>
      </c>
      <c r="S2224" s="1">
        <f t="shared" ca="1" si="74"/>
        <v>42</v>
      </c>
      <c r="T2224" s="1">
        <f ca="1">IF(OR(COUNT(O2224:R2224)&lt;&gt;4,COUNT('Top 25'!$B$45:$E$45)&lt;&gt;4,MIN('Top 25'!$B$45:$E$45)&lt;0,SUM('Top 25'!$B$45:$E$45)&lt;=0),"",ROUND(85*(O2224/30*'Top 25'!$B$45+P2224/25*'Top 25'!$C$45+Q2224/25*'Top 25'!$D$45+R2224/5*'Top 25'!$E$45)/SUM('Top 25'!$B$45:$E$45),6))</f>
        <v>42</v>
      </c>
      <c r="U2224" s="1" t="str">
        <f t="shared" ca="1" si="75"/>
        <v>Listed</v>
      </c>
      <c r="V2224" s="1" t="str">
        <f ca="1">IF(A2224="","",IF(AK2224&lt;&gt;1,"Duplicate source ID",IF(COUNTIFS('Staff Review'!$A$8:$A$507,A2224)&gt;1,"Duplicate review ID",IF(H2224&lt;&gt;"Yes","Outside scope",IF(J2224="Yes","Already served",IF(NOT(ISNUMBER(T2224)),"Missing data","Candidate"))))))</f>
        <v>Candidate</v>
      </c>
      <c r="W2224" s="1">
        <f t="shared" ca="1" si="76"/>
        <v>127</v>
      </c>
      <c r="X2224" s="1">
        <f t="shared" ca="1" si="77"/>
        <v>101</v>
      </c>
      <c r="Y2224" s="1">
        <f ca="1">IF(AND(H2224="Yes",OR(LEN('School Search'!$B$5)=0,ISNUMBER(SEARCH('School Search'!$B$5,B2224&amp;" "&amp;E2224&amp;" "&amp;A2224))),OR('School Search'!$D$5="All",C2224='School Search'!$D$5),OR('School Search'!$G$5="All eligible",AND('School Search'!$G$5="Not marked served",J2224&lt;&gt;"Yes"),AND('School Search'!$G$5="Missing data",V2224="Missing data"),AND('School Search'!$G$5="Marked served",J2224="Yes"))),1,0)</f>
        <v>1</v>
      </c>
      <c r="Z2224" s="1">
        <f ca="1">IF(Y2224=0,"",COUNTIFS($Y$2051:$Y$2550,1,$AO$2051:$AO$2550,"&lt;"&amp;AO2224)+COUNTIFS($Y$2051:Y2224,1,$AO$2051:AO2224,AO2224))</f>
        <v>127</v>
      </c>
      <c r="AA2224" s="1" t="str">
        <f t="shared" ca="1" si="78"/>
        <v>71% economic need; 0.78 mi fresh access; 6 nearby resources</v>
      </c>
      <c r="AB2224" s="1">
        <f t="shared" si="79"/>
        <v>174</v>
      </c>
      <c r="AC2224" s="1" t="str">
        <f t="shared" si="80"/>
        <v>Al Aqsa Supermarket</v>
      </c>
      <c r="AD2224" s="1" t="str">
        <f t="shared" si="81"/>
        <v>6501 Market St, Upper Darby, PA, 19082</v>
      </c>
      <c r="AE2224" s="1" t="str">
        <f t="shared" si="82"/>
        <v>6722 LANSDOWNE AVE</v>
      </c>
      <c r="AF2224" s="1">
        <f t="shared" si="83"/>
        <v>39.974299520000002</v>
      </c>
      <c r="AG2224" s="1">
        <f t="shared" si="84"/>
        <v>-75.25401239</v>
      </c>
      <c r="AH2224" s="1" t="str">
        <f>IF(I2224=0,"Not contacted",IF(INDEX('Staff Review'!$J$8:$J$507,I2224)="","Not contacted",INDEX('Staff Review'!$J$8:$J$507,I2224)))</f>
        <v>Not contacted</v>
      </c>
      <c r="AI2224" s="1" t="str">
        <f ca="1">IF(I2224=0,"No",IF(AND(COUNT(INDEX('Staff Review'!$D$8:$D$507,I2224))=1,INDEX('Staff Review'!$D$8:$D$507,I2224)&gt;=0,COUNT(INDEX('Staff Review'!$E$8:$E$507,I2224))=1,INDEX('Staff Review'!$E$8:$E$507,I2224)&gt;0,INDEX('Staff Review'!$E$8:$E$507,I2224)&lt;='Top 25'!$E$5,'Top 25'!$E$5-INDEX('Staff Review'!$E$8:$E$507,I2224)&lt;='Top 25'!$H$5,LEN(INDEX('Staff Review'!$H$8:$H$507,I2224))&gt;0),"Yes","No"))</f>
        <v>No</v>
      </c>
      <c r="AJ2224" s="1" t="str">
        <f>IF(I2224=0,"No",IF(COUNT(INDEX('Staff Review'!$F$8:$F$507,I2224))&lt;&gt;1,"No",IF(AND(INDEX('Staff Review'!$F$8:$F$507,I2224)&gt;=0,MOD(INDEX('Staff Review'!$F$8:$F$507,I2224),1)=0,COUNT(INDEX('Staff Review'!$G$8:$G$507,I2224))=1,INDEX('Staff Review'!$G$8:$G$507,I2224)&gt;0,INDEX('Staff Review'!$G$8:$G$507,I2224)&lt;='Top 25'!$E$5,'Top 25'!$E$5-INDEX('Staff Review'!$G$8:$G$507,I2224)&lt;='Top 25'!$H$5,LEN(INDEX('Staff Review'!$H$8:$H$507,I2224))&gt;0),"Yes","No")))</f>
        <v>No</v>
      </c>
      <c r="AK2224" s="1">
        <f t="shared" si="85"/>
        <v>1</v>
      </c>
      <c r="AL2224" s="1">
        <f t="shared" ca="1" si="86"/>
        <v>1</v>
      </c>
      <c r="AM2224" s="1">
        <f t="shared" si="87"/>
        <v>4480</v>
      </c>
      <c r="AN2224" s="1">
        <f t="shared" si="88"/>
        <v>174</v>
      </c>
      <c r="AO2224">
        <f t="shared" ca="1" si="89"/>
        <v>127</v>
      </c>
      <c r="AP2224" s="105">
        <f ca="1">IF(AND(AL2224=1,OR('Top 25'!$A$10="All",C2224='Top 25'!$A$10),OR('Top 25'!$D$10="All",D2224='Top 25'!$D$10)),1,0)</f>
        <v>0</v>
      </c>
      <c r="AQ2224" s="105" t="str">
        <f ca="1">IF(AP2224=0,"",CHOOSE(MATCH('Top 25'!$G$10,{"Priority score","Economic need","Enrollment","Fresh miles","Nearby resources"},0),T2224,G2224,F2224,K2224,L2224))</f>
        <v/>
      </c>
      <c r="AR2224" s="105" t="str">
        <f ca="1">IF(AP2224=0,"",1+COUNTIFS($AP$2051:$AP$2550,1,$AQ$2051:$AQ$2550,IF('Top 25'!$J$10="Ascending","&lt;","&gt;")&amp;AQ2224)+COUNTIFS($AP$2051:$AP$2550,1,$AQ$2051:$AQ$2550,AQ2224,$W$2051:$W$2550,"&lt;"&amp;W2224))</f>
        <v/>
      </c>
      <c r="AT2224" s="105">
        <f ca="1">IF(AND(AL2224=1,OR(Master_rankableSchools!$A$10="All",C2224=Master_rankableSchools!$A$10),OR(Master_rankableSchools!$D$10="All",D2224=Master_rankableSchools!$D$10)),1,0)</f>
        <v>1</v>
      </c>
      <c r="AU2224" s="105">
        <f ca="1">IF(AT2224=0,"",CHOOSE(MATCH(Master_rankableSchools!$G$10,{"Priority score","Economic need","Enrollment","Fresh miles","Nearby resources"},0),T2224,G2224,F2224,K2224,L2224))</f>
        <v>42</v>
      </c>
      <c r="AV2224" s="105">
        <f ca="1">IF(AT2224=0,"",1+COUNTIFS($AT$2051:$AT$2550,1,$AU$2051:$AU$2550,IF(Master_rankableSchools!$J$10="Ascending","&lt;","&gt;")&amp;AU2224)+COUNTIFS($AT$2051:$AT$2550,1,$AU$2051:$AU$2550,AU2224,$W$2051:$W$2550,"&lt;"&amp;W2224))</f>
        <v>127</v>
      </c>
    </row>
    <row r="2225" spans="1:48" ht="22" customHeight="1">
      <c r="A2225" s="1" t="str">
        <f t="shared" si="60"/>
        <v>4520</v>
      </c>
      <c r="B2225" s="1" t="str">
        <f t="shared" si="61"/>
        <v>Guion S. Bluford School</v>
      </c>
      <c r="C2225" s="1" t="str">
        <f t="shared" si="62"/>
        <v>District</v>
      </c>
      <c r="D2225" s="1" t="str">
        <f t="shared" si="63"/>
        <v>Elementary-Middle</v>
      </c>
      <c r="E2225" s="1" t="str">
        <f t="shared" si="64"/>
        <v>19131</v>
      </c>
      <c r="F2225" s="1">
        <f t="shared" si="65"/>
        <v>490</v>
      </c>
      <c r="G2225" s="1">
        <f t="shared" si="66"/>
        <v>0.89890000000000003</v>
      </c>
      <c r="H2225" s="1" t="str">
        <f t="shared" si="67"/>
        <v>Yes</v>
      </c>
      <c r="I2225" s="1">
        <f>IF(OR(A2225="",COUNTIFS('Staff Review'!$A$8:$A$507,A2225)&lt;&gt;1),0,MATCH(A2225,'Staff Review'!$A$8:$A$507,0))</f>
        <v>105</v>
      </c>
      <c r="J2225" s="1" t="str">
        <f>IF(I2225=0,"No",IF(INDEX('Staff Review'!$C$8:$C$507,I2225)="Yes","Yes","No"))</f>
        <v>No</v>
      </c>
      <c r="K2225" s="1">
        <f ca="1">IF(AI2225="Yes",INDEX('Staff Review'!$D$8:$D$507,I2225),IF(AB2225=0,"",IF(COUNT(INDEX($C$1531:$C$2030,AB2225))=1,INDEX($C$1531:$C$2030,AB2225),"")))</f>
        <v>0.59682532312868697</v>
      </c>
      <c r="L2225" s="1">
        <f>IF(AJ2225="Yes",INDEX('Staff Review'!$F$8:$F$507,I2225),IF(AB2225=0,"",IF(COUNT(INDEX($G$1531:$G$2030,AB2225))=1,INDEX($G$1531:$G$2030,AB2225),"")))</f>
        <v>12</v>
      </c>
      <c r="M2225" s="1" t="str">
        <f t="shared" ca="1" si="68"/>
        <v>Listed</v>
      </c>
      <c r="N2225" s="1" t="str">
        <f t="shared" si="69"/>
        <v>Listed</v>
      </c>
      <c r="O2225" s="1">
        <f t="shared" si="70"/>
        <v>25</v>
      </c>
      <c r="P2225" s="1">
        <f t="shared" ca="1" si="71"/>
        <v>15</v>
      </c>
      <c r="Q2225" s="1">
        <f t="shared" si="72"/>
        <v>0</v>
      </c>
      <c r="R2225" s="1">
        <f t="shared" si="73"/>
        <v>3</v>
      </c>
      <c r="S2225" s="1">
        <f t="shared" ca="1" si="74"/>
        <v>43</v>
      </c>
      <c r="T2225" s="1">
        <f ca="1">IF(OR(COUNT(O2225:R2225)&lt;&gt;4,COUNT('Top 25'!$B$45:$E$45)&lt;&gt;4,MIN('Top 25'!$B$45:$E$45)&lt;0,SUM('Top 25'!$B$45:$E$45)&lt;=0),"",ROUND(85*(O2225/30*'Top 25'!$B$45+P2225/25*'Top 25'!$C$45+Q2225/25*'Top 25'!$D$45+R2225/5*'Top 25'!$E$45)/SUM('Top 25'!$B$45:$E$45),6))</f>
        <v>43</v>
      </c>
      <c r="U2225" s="1" t="str">
        <f t="shared" ca="1" si="75"/>
        <v>Listed</v>
      </c>
      <c r="V2225" s="1" t="str">
        <f ca="1">IF(A2225="","",IF(AK2225&lt;&gt;1,"Duplicate source ID",IF(COUNTIFS('Staff Review'!$A$8:$A$507,A2225)&gt;1,"Duplicate review ID",IF(H2225&lt;&gt;"Yes","Outside scope",IF(J2225="Yes","Already served",IF(NOT(ISNUMBER(T2225)),"Missing data","Candidate"))))))</f>
        <v>Candidate</v>
      </c>
      <c r="W2225" s="1">
        <f t="shared" ca="1" si="76"/>
        <v>96</v>
      </c>
      <c r="X2225" s="1">
        <f t="shared" ca="1" si="77"/>
        <v>90</v>
      </c>
      <c r="Y2225" s="1">
        <f ca="1">IF(AND(H2225="Yes",OR(LEN('School Search'!$B$5)=0,ISNUMBER(SEARCH('School Search'!$B$5,B2225&amp;" "&amp;E2225&amp;" "&amp;A2225))),OR('School Search'!$D$5="All",C2225='School Search'!$D$5),OR('School Search'!$G$5="All eligible",AND('School Search'!$G$5="Not marked served",J2225&lt;&gt;"Yes"),AND('School Search'!$G$5="Missing data",V2225="Missing data"),AND('School Search'!$G$5="Marked served",J2225="Yes"))),1,0)</f>
        <v>1</v>
      </c>
      <c r="Z2225" s="1">
        <f ca="1">IF(Y2225=0,"",COUNTIFS($Y$2051:$Y$2550,1,$AO$2051:$AO$2550,"&lt;"&amp;AO2225)+COUNTIFS($Y$2051:Y2225,1,$AO$2051:AO2225,AO2225))</f>
        <v>96</v>
      </c>
      <c r="AA2225" s="1" t="str">
        <f t="shared" ca="1" si="78"/>
        <v>90% economic need; 0.60 mi fresh access; 12 nearby resources</v>
      </c>
      <c r="AB2225" s="1">
        <f t="shared" si="79"/>
        <v>175</v>
      </c>
      <c r="AC2225" s="1" t="str">
        <f t="shared" si="80"/>
        <v>Save A Lot 24712</v>
      </c>
      <c r="AD2225" s="1" t="str">
        <f t="shared" si="81"/>
        <v>5601 Vine St, Philadelphia, PA, 19139</v>
      </c>
      <c r="AE2225" s="1" t="str">
        <f t="shared" si="82"/>
        <v>5720 MEDIA ST</v>
      </c>
      <c r="AF2225" s="1">
        <f t="shared" si="83"/>
        <v>39.973811320000003</v>
      </c>
      <c r="AG2225" s="1">
        <f t="shared" si="84"/>
        <v>-75.235831730000001</v>
      </c>
      <c r="AH2225" s="1" t="str">
        <f>IF(I2225=0,"Not contacted",IF(INDEX('Staff Review'!$J$8:$J$507,I2225)="","Not contacted",INDEX('Staff Review'!$J$8:$J$507,I2225)))</f>
        <v>Not contacted</v>
      </c>
      <c r="AI2225" s="1" t="str">
        <f ca="1">IF(I2225=0,"No",IF(AND(COUNT(INDEX('Staff Review'!$D$8:$D$507,I2225))=1,INDEX('Staff Review'!$D$8:$D$507,I2225)&gt;=0,COUNT(INDEX('Staff Review'!$E$8:$E$507,I2225))=1,INDEX('Staff Review'!$E$8:$E$507,I2225)&gt;0,INDEX('Staff Review'!$E$8:$E$507,I2225)&lt;='Top 25'!$E$5,'Top 25'!$E$5-INDEX('Staff Review'!$E$8:$E$507,I2225)&lt;='Top 25'!$H$5,LEN(INDEX('Staff Review'!$H$8:$H$507,I2225))&gt;0),"Yes","No"))</f>
        <v>No</v>
      </c>
      <c r="AJ2225" s="1" t="str">
        <f>IF(I2225=0,"No",IF(COUNT(INDEX('Staff Review'!$F$8:$F$507,I2225))&lt;&gt;1,"No",IF(AND(INDEX('Staff Review'!$F$8:$F$507,I2225)&gt;=0,MOD(INDEX('Staff Review'!$F$8:$F$507,I2225),1)=0,COUNT(INDEX('Staff Review'!$G$8:$G$507,I2225))=1,INDEX('Staff Review'!$G$8:$G$507,I2225)&gt;0,INDEX('Staff Review'!$G$8:$G$507,I2225)&lt;='Top 25'!$E$5,'Top 25'!$E$5-INDEX('Staff Review'!$G$8:$G$507,I2225)&lt;='Top 25'!$H$5,LEN(INDEX('Staff Review'!$H$8:$H$507,I2225))&gt;0),"Yes","No")))</f>
        <v>No</v>
      </c>
      <c r="AK2225" s="1">
        <f t="shared" si="85"/>
        <v>1</v>
      </c>
      <c r="AL2225" s="1">
        <f t="shared" ca="1" si="86"/>
        <v>1</v>
      </c>
      <c r="AM2225" s="1">
        <f t="shared" si="87"/>
        <v>4520</v>
      </c>
      <c r="AN2225" s="1">
        <f t="shared" si="88"/>
        <v>175</v>
      </c>
      <c r="AO2225">
        <f t="shared" ca="1" si="89"/>
        <v>96</v>
      </c>
      <c r="AP2225" s="105">
        <f ca="1">IF(AND(AL2225=1,OR('Top 25'!$A$10="All",C2225='Top 25'!$A$10),OR('Top 25'!$D$10="All",D2225='Top 25'!$D$10)),1,0)</f>
        <v>0</v>
      </c>
      <c r="AQ2225" s="105" t="str">
        <f ca="1">IF(AP2225=0,"",CHOOSE(MATCH('Top 25'!$G$10,{"Priority score","Economic need","Enrollment","Fresh miles","Nearby resources"},0),T2225,G2225,F2225,K2225,L2225))</f>
        <v/>
      </c>
      <c r="AR2225" s="105" t="str">
        <f ca="1">IF(AP2225=0,"",1+COUNTIFS($AP$2051:$AP$2550,1,$AQ$2051:$AQ$2550,IF('Top 25'!$J$10="Ascending","&lt;","&gt;")&amp;AQ2225)+COUNTIFS($AP$2051:$AP$2550,1,$AQ$2051:$AQ$2550,AQ2225,$W$2051:$W$2550,"&lt;"&amp;W2225))</f>
        <v/>
      </c>
      <c r="AT2225" s="105">
        <f ca="1">IF(AND(AL2225=1,OR(Master_rankableSchools!$A$10="All",C2225=Master_rankableSchools!$A$10),OR(Master_rankableSchools!$D$10="All",D2225=Master_rankableSchools!$D$10)),1,0)</f>
        <v>1</v>
      </c>
      <c r="AU2225" s="105">
        <f ca="1">IF(AT2225=0,"",CHOOSE(MATCH(Master_rankableSchools!$G$10,{"Priority score","Economic need","Enrollment","Fresh miles","Nearby resources"},0),T2225,G2225,F2225,K2225,L2225))</f>
        <v>43</v>
      </c>
      <c r="AV2225" s="105">
        <f ca="1">IF(AT2225=0,"",1+COUNTIFS($AT$2051:$AT$2550,1,$AU$2051:$AU$2550,IF(Master_rankableSchools!$J$10="Ascending","&lt;","&gt;")&amp;AU2225)+COUNTIFS($AT$2051:$AT$2550,1,$AU$2051:$AU$2550,AU2225,$W$2051:$W$2550,"&lt;"&amp;W2225))</f>
        <v>96</v>
      </c>
    </row>
    <row r="2226" spans="1:48" ht="22" customHeight="1">
      <c r="A2226" s="1" t="str">
        <f t="shared" si="60"/>
        <v>4530</v>
      </c>
      <c r="B2226" s="1" t="str">
        <f t="shared" si="61"/>
        <v>Edward Gideon School</v>
      </c>
      <c r="C2226" s="1" t="str">
        <f t="shared" si="62"/>
        <v>District</v>
      </c>
      <c r="D2226" s="1" t="str">
        <f t="shared" si="63"/>
        <v>Elementary-Middle</v>
      </c>
      <c r="E2226" s="1" t="str">
        <f t="shared" si="64"/>
        <v>19121</v>
      </c>
      <c r="F2226" s="1">
        <f t="shared" si="65"/>
        <v>184</v>
      </c>
      <c r="G2226" s="1">
        <f t="shared" si="66"/>
        <v>0.94230000000000003</v>
      </c>
      <c r="H2226" s="1" t="str">
        <f t="shared" si="67"/>
        <v>Yes</v>
      </c>
      <c r="I2226" s="1">
        <f>IF(OR(A2226="",COUNTIFS('Staff Review'!$A$8:$A$507,A2226)&lt;&gt;1),0,MATCH(A2226,'Staff Review'!$A$8:$A$507,0))</f>
        <v>55</v>
      </c>
      <c r="J2226" s="1" t="str">
        <f>IF(I2226=0,"No",IF(INDEX('Staff Review'!$C$8:$C$507,I2226)="Yes","Yes","No"))</f>
        <v>No</v>
      </c>
      <c r="K2226" s="1">
        <f ca="1">IF(AI2226="Yes",INDEX('Staff Review'!$D$8:$D$507,I2226),IF(AB2226=0,"",IF(COUNT(INDEX($C$1531:$C$2030,AB2226))=1,INDEX($C$1531:$C$2030,AB2226),"")))</f>
        <v>0.45189484768964749</v>
      </c>
      <c r="L2226" s="1">
        <f>IF(AJ2226="Yes",INDEX('Staff Review'!$F$8:$F$507,I2226),IF(AB2226=0,"",IF(COUNT(INDEX($G$1531:$G$2030,AB2226))=1,INDEX($G$1531:$G$2030,AB2226),"")))</f>
        <v>14</v>
      </c>
      <c r="M2226" s="1" t="str">
        <f t="shared" ca="1" si="68"/>
        <v>Listed</v>
      </c>
      <c r="N2226" s="1" t="str">
        <f t="shared" si="69"/>
        <v>Listed</v>
      </c>
      <c r="O2226" s="1">
        <f t="shared" si="70"/>
        <v>30</v>
      </c>
      <c r="P2226" s="1">
        <f t="shared" ca="1" si="71"/>
        <v>10</v>
      </c>
      <c r="Q2226" s="1">
        <f t="shared" si="72"/>
        <v>0</v>
      </c>
      <c r="R2226" s="1">
        <f t="shared" si="73"/>
        <v>1</v>
      </c>
      <c r="S2226" s="1">
        <f t="shared" ca="1" si="74"/>
        <v>41</v>
      </c>
      <c r="T2226" s="1">
        <f ca="1">IF(OR(COUNT(O2226:R2226)&lt;&gt;4,COUNT('Top 25'!$B$45:$E$45)&lt;&gt;4,MIN('Top 25'!$B$45:$E$45)&lt;0,SUM('Top 25'!$B$45:$E$45)&lt;=0),"",ROUND(85*(O2226/30*'Top 25'!$B$45+P2226/25*'Top 25'!$C$45+Q2226/25*'Top 25'!$D$45+R2226/5*'Top 25'!$E$45)/SUM('Top 25'!$B$45:$E$45),6))</f>
        <v>41</v>
      </c>
      <c r="U2226" s="1" t="str">
        <f t="shared" ca="1" si="75"/>
        <v>Listed</v>
      </c>
      <c r="V2226" s="1" t="str">
        <f ca="1">IF(A2226="","",IF(AK2226&lt;&gt;1,"Duplicate source ID",IF(COUNTIFS('Staff Review'!$A$8:$A$507,A2226)&gt;1,"Duplicate review ID",IF(H2226&lt;&gt;"Yes","Outside scope",IF(J2226="Yes","Already served",IF(NOT(ISNUMBER(T2226)),"Missing data","Candidate"))))))</f>
        <v>Candidate</v>
      </c>
      <c r="W2226" s="1">
        <f t="shared" ca="1" si="76"/>
        <v>128</v>
      </c>
      <c r="X2226" s="1">
        <f t="shared" ca="1" si="77"/>
        <v>128</v>
      </c>
      <c r="Y2226" s="1">
        <f ca="1">IF(AND(H2226="Yes",OR(LEN('School Search'!$B$5)=0,ISNUMBER(SEARCH('School Search'!$B$5,B2226&amp;" "&amp;E2226&amp;" "&amp;A2226))),OR('School Search'!$D$5="All",C2226='School Search'!$D$5),OR('School Search'!$G$5="All eligible",AND('School Search'!$G$5="Not marked served",J2226&lt;&gt;"Yes"),AND('School Search'!$G$5="Missing data",V2226="Missing data"),AND('School Search'!$G$5="Marked served",J2226="Yes"))),1,0)</f>
        <v>1</v>
      </c>
      <c r="Z2226" s="1">
        <f ca="1">IF(Y2226=0,"",COUNTIFS($Y$2051:$Y$2550,1,$AO$2051:$AO$2550,"&lt;"&amp;AO2226)+COUNTIFS($Y$2051:Y2226,1,$AO$2051:AO2226,AO2226))</f>
        <v>128</v>
      </c>
      <c r="AA2226" s="1" t="str">
        <f t="shared" ca="1" si="78"/>
        <v>94% economic need; 0.45 mi fresh access; 14 nearby resources</v>
      </c>
      <c r="AB2226" s="1">
        <f t="shared" si="79"/>
        <v>176</v>
      </c>
      <c r="AC2226" s="1" t="str">
        <f t="shared" si="80"/>
        <v>SAVE-A-LOT 60146</v>
      </c>
      <c r="AD2226" s="1" t="str">
        <f t="shared" si="81"/>
        <v>2801 W Dauphin St, Philadelphia, PA, 19132</v>
      </c>
      <c r="AE2226" s="1" t="str">
        <f t="shared" si="82"/>
        <v>2817 W GLENWOOD AVE</v>
      </c>
      <c r="AF2226" s="1">
        <f t="shared" si="83"/>
        <v>39.984475940000003</v>
      </c>
      <c r="AG2226" s="1">
        <f t="shared" si="84"/>
        <v>-75.180164559999994</v>
      </c>
      <c r="AH2226" s="1" t="str">
        <f>IF(I2226=0,"Not contacted",IF(INDEX('Staff Review'!$J$8:$J$507,I2226)="","Not contacted",INDEX('Staff Review'!$J$8:$J$507,I2226)))</f>
        <v>Not contacted</v>
      </c>
      <c r="AI2226" s="1" t="str">
        <f ca="1">IF(I2226=0,"No",IF(AND(COUNT(INDEX('Staff Review'!$D$8:$D$507,I2226))=1,INDEX('Staff Review'!$D$8:$D$507,I2226)&gt;=0,COUNT(INDEX('Staff Review'!$E$8:$E$507,I2226))=1,INDEX('Staff Review'!$E$8:$E$507,I2226)&gt;0,INDEX('Staff Review'!$E$8:$E$507,I2226)&lt;='Top 25'!$E$5,'Top 25'!$E$5-INDEX('Staff Review'!$E$8:$E$507,I2226)&lt;='Top 25'!$H$5,LEN(INDEX('Staff Review'!$H$8:$H$507,I2226))&gt;0),"Yes","No"))</f>
        <v>No</v>
      </c>
      <c r="AJ2226" s="1" t="str">
        <f>IF(I2226=0,"No",IF(COUNT(INDEX('Staff Review'!$F$8:$F$507,I2226))&lt;&gt;1,"No",IF(AND(INDEX('Staff Review'!$F$8:$F$507,I2226)&gt;=0,MOD(INDEX('Staff Review'!$F$8:$F$507,I2226),1)=0,COUNT(INDEX('Staff Review'!$G$8:$G$507,I2226))=1,INDEX('Staff Review'!$G$8:$G$507,I2226)&gt;0,INDEX('Staff Review'!$G$8:$G$507,I2226)&lt;='Top 25'!$E$5,'Top 25'!$E$5-INDEX('Staff Review'!$G$8:$G$507,I2226)&lt;='Top 25'!$H$5,LEN(INDEX('Staff Review'!$H$8:$H$507,I2226))&gt;0),"Yes","No")))</f>
        <v>No</v>
      </c>
      <c r="AK2226" s="1">
        <f t="shared" si="85"/>
        <v>1</v>
      </c>
      <c r="AL2226" s="1">
        <f t="shared" ca="1" si="86"/>
        <v>1</v>
      </c>
      <c r="AM2226" s="1">
        <f t="shared" si="87"/>
        <v>4530</v>
      </c>
      <c r="AN2226" s="1">
        <f t="shared" si="88"/>
        <v>176</v>
      </c>
      <c r="AO2226">
        <f t="shared" ca="1" si="89"/>
        <v>128</v>
      </c>
      <c r="AP2226" s="105">
        <f ca="1">IF(AND(AL2226=1,OR('Top 25'!$A$10="All",C2226='Top 25'!$A$10),OR('Top 25'!$D$10="All",D2226='Top 25'!$D$10)),1,0)</f>
        <v>0</v>
      </c>
      <c r="AQ2226" s="105" t="str">
        <f ca="1">IF(AP2226=0,"",CHOOSE(MATCH('Top 25'!$G$10,{"Priority score","Economic need","Enrollment","Fresh miles","Nearby resources"},0),T2226,G2226,F2226,K2226,L2226))</f>
        <v/>
      </c>
      <c r="AR2226" s="105" t="str">
        <f ca="1">IF(AP2226=0,"",1+COUNTIFS($AP$2051:$AP$2550,1,$AQ$2051:$AQ$2550,IF('Top 25'!$J$10="Ascending","&lt;","&gt;")&amp;AQ2226)+COUNTIFS($AP$2051:$AP$2550,1,$AQ$2051:$AQ$2550,AQ2226,$W$2051:$W$2550,"&lt;"&amp;W2226))</f>
        <v/>
      </c>
      <c r="AT2226" s="105">
        <f ca="1">IF(AND(AL2226=1,OR(Master_rankableSchools!$A$10="All",C2226=Master_rankableSchools!$A$10),OR(Master_rankableSchools!$D$10="All",D2226=Master_rankableSchools!$D$10)),1,0)</f>
        <v>1</v>
      </c>
      <c r="AU2226" s="105">
        <f ca="1">IF(AT2226=0,"",CHOOSE(MATCH(Master_rankableSchools!$G$10,{"Priority score","Economic need","Enrollment","Fresh miles","Nearby resources"},0),T2226,G2226,F2226,K2226,L2226))</f>
        <v>41</v>
      </c>
      <c r="AV2226" s="105">
        <f ca="1">IF(AT2226=0,"",1+COUNTIFS($AT$2051:$AT$2550,1,$AU$2051:$AU$2550,IF(Master_rankableSchools!$J$10="Ascending","&lt;","&gt;")&amp;AU2226)+COUNTIFS($AT$2051:$AT$2550,1,$AU$2051:$AU$2550,AU2226,$W$2051:$W$2550,"&lt;"&amp;W2226))</f>
        <v>128</v>
      </c>
    </row>
    <row r="2227" spans="1:48" ht="22" customHeight="1">
      <c r="A2227" s="1" t="str">
        <f t="shared" si="60"/>
        <v>4560</v>
      </c>
      <c r="B2227" s="1" t="str">
        <f t="shared" si="61"/>
        <v>William D. Kelley School</v>
      </c>
      <c r="C2227" s="1" t="str">
        <f t="shared" si="62"/>
        <v>District</v>
      </c>
      <c r="D2227" s="1" t="str">
        <f t="shared" si="63"/>
        <v>Elementary-Middle</v>
      </c>
      <c r="E2227" s="1" t="str">
        <f t="shared" si="64"/>
        <v>19121</v>
      </c>
      <c r="F2227" s="1">
        <f t="shared" si="65"/>
        <v>205</v>
      </c>
      <c r="G2227" s="1">
        <f t="shared" si="66"/>
        <v>0.91149999999999998</v>
      </c>
      <c r="H2227" s="1" t="str">
        <f t="shared" si="67"/>
        <v>Yes</v>
      </c>
      <c r="I2227" s="1">
        <f>IF(OR(A2227="",COUNTIFS('Staff Review'!$A$8:$A$507,A2227)&lt;&gt;1),0,MATCH(A2227,'Staff Review'!$A$8:$A$507,0))</f>
        <v>315</v>
      </c>
      <c r="J2227" s="1" t="str">
        <f>IF(I2227=0,"No",IF(INDEX('Staff Review'!$C$8:$C$507,I2227)="Yes","Yes","No"))</f>
        <v>No</v>
      </c>
      <c r="K2227" s="1">
        <f ca="1">IF(AI2227="Yes",INDEX('Staff Review'!$D$8:$D$507,I2227),IF(AB2227=0,"",IF(COUNT(INDEX($C$1531:$C$2030,AB2227))=1,INDEX($C$1531:$C$2030,AB2227),"")))</f>
        <v>0.51824319933366925</v>
      </c>
      <c r="L2227" s="1">
        <f>IF(AJ2227="Yes",INDEX('Staff Review'!$F$8:$F$507,I2227),IF(AB2227=0,"",IF(COUNT(INDEX($G$1531:$G$2030,AB2227))=1,INDEX($G$1531:$G$2030,AB2227),"")))</f>
        <v>11</v>
      </c>
      <c r="M2227" s="1" t="str">
        <f t="shared" ca="1" si="68"/>
        <v>Listed</v>
      </c>
      <c r="N2227" s="1" t="str">
        <f t="shared" si="69"/>
        <v>Listed</v>
      </c>
      <c r="O2227" s="1">
        <f t="shared" si="70"/>
        <v>30</v>
      </c>
      <c r="P2227" s="1">
        <f t="shared" ca="1" si="71"/>
        <v>15</v>
      </c>
      <c r="Q2227" s="1">
        <f t="shared" si="72"/>
        <v>0</v>
      </c>
      <c r="R2227" s="1">
        <f t="shared" si="73"/>
        <v>2</v>
      </c>
      <c r="S2227" s="1">
        <f t="shared" ca="1" si="74"/>
        <v>47</v>
      </c>
      <c r="T2227" s="1">
        <f ca="1">IF(OR(COUNT(O2227:R2227)&lt;&gt;4,COUNT('Top 25'!$B$45:$E$45)&lt;&gt;4,MIN('Top 25'!$B$45:$E$45)&lt;0,SUM('Top 25'!$B$45:$E$45)&lt;=0),"",ROUND(85*(O2227/30*'Top 25'!$B$45+P2227/25*'Top 25'!$C$45+Q2227/25*'Top 25'!$D$45+R2227/5*'Top 25'!$E$45)/SUM('Top 25'!$B$45:$E$45),6))</f>
        <v>47</v>
      </c>
      <c r="U2227" s="1" t="str">
        <f t="shared" ca="1" si="75"/>
        <v>Listed</v>
      </c>
      <c r="V2227" s="1" t="str">
        <f ca="1">IF(A2227="","",IF(AK2227&lt;&gt;1,"Duplicate source ID",IF(COUNTIFS('Staff Review'!$A$8:$A$507,A2227)&gt;1,"Duplicate review ID",IF(H2227&lt;&gt;"Yes","Outside scope",IF(J2227="Yes","Already served",IF(NOT(ISNUMBER(T2227)),"Missing data","Candidate"))))))</f>
        <v>Candidate</v>
      </c>
      <c r="W2227" s="1">
        <f t="shared" ca="1" si="76"/>
        <v>65</v>
      </c>
      <c r="X2227" s="1">
        <f t="shared" ca="1" si="77"/>
        <v>64</v>
      </c>
      <c r="Y2227" s="1">
        <f ca="1">IF(AND(H2227="Yes",OR(LEN('School Search'!$B$5)=0,ISNUMBER(SEARCH('School Search'!$B$5,B2227&amp;" "&amp;E2227&amp;" "&amp;A2227))),OR('School Search'!$D$5="All",C2227='School Search'!$D$5),OR('School Search'!$G$5="All eligible",AND('School Search'!$G$5="Not marked served",J2227&lt;&gt;"Yes"),AND('School Search'!$G$5="Missing data",V2227="Missing data"),AND('School Search'!$G$5="Marked served",J2227="Yes"))),1,0)</f>
        <v>1</v>
      </c>
      <c r="Z2227" s="1">
        <f ca="1">IF(Y2227=0,"",COUNTIFS($Y$2051:$Y$2550,1,$AO$2051:$AO$2550,"&lt;"&amp;AO2227)+COUNTIFS($Y$2051:Y2227,1,$AO$2051:AO2227,AO2227))</f>
        <v>65</v>
      </c>
      <c r="AA2227" s="1" t="str">
        <f t="shared" ca="1" si="78"/>
        <v>91% economic need; 0.52 mi fresh access; 11 nearby resources</v>
      </c>
      <c r="AB2227" s="1">
        <f t="shared" si="79"/>
        <v>177</v>
      </c>
      <c r="AC2227" s="1" t="str">
        <f t="shared" si="80"/>
        <v>Aldi 43</v>
      </c>
      <c r="AD2227" s="1" t="str">
        <f t="shared" si="81"/>
        <v>3101 W Girard Ave, Philadelphia, PA, 19130</v>
      </c>
      <c r="AE2227" s="1" t="str">
        <f t="shared" si="82"/>
        <v>1601 N 28TH ST</v>
      </c>
      <c r="AF2227" s="1">
        <f t="shared" si="83"/>
        <v>39.980391730000001</v>
      </c>
      <c r="AG2227" s="1">
        <f t="shared" si="84"/>
        <v>-75.180326890000003</v>
      </c>
      <c r="AH2227" s="1" t="str">
        <f>IF(I2227=0,"Not contacted",IF(INDEX('Staff Review'!$J$8:$J$507,I2227)="","Not contacted",INDEX('Staff Review'!$J$8:$J$507,I2227)))</f>
        <v>Not contacted</v>
      </c>
      <c r="AI2227" s="1" t="str">
        <f ca="1">IF(I2227=0,"No",IF(AND(COUNT(INDEX('Staff Review'!$D$8:$D$507,I2227))=1,INDEX('Staff Review'!$D$8:$D$507,I2227)&gt;=0,COUNT(INDEX('Staff Review'!$E$8:$E$507,I2227))=1,INDEX('Staff Review'!$E$8:$E$507,I2227)&gt;0,INDEX('Staff Review'!$E$8:$E$507,I2227)&lt;='Top 25'!$E$5,'Top 25'!$E$5-INDEX('Staff Review'!$E$8:$E$507,I2227)&lt;='Top 25'!$H$5,LEN(INDEX('Staff Review'!$H$8:$H$507,I2227))&gt;0),"Yes","No"))</f>
        <v>No</v>
      </c>
      <c r="AJ2227" s="1" t="str">
        <f>IF(I2227=0,"No",IF(COUNT(INDEX('Staff Review'!$F$8:$F$507,I2227))&lt;&gt;1,"No",IF(AND(INDEX('Staff Review'!$F$8:$F$507,I2227)&gt;=0,MOD(INDEX('Staff Review'!$F$8:$F$507,I2227),1)=0,COUNT(INDEX('Staff Review'!$G$8:$G$507,I2227))=1,INDEX('Staff Review'!$G$8:$G$507,I2227)&gt;0,INDEX('Staff Review'!$G$8:$G$507,I2227)&lt;='Top 25'!$E$5,'Top 25'!$E$5-INDEX('Staff Review'!$G$8:$G$507,I2227)&lt;='Top 25'!$H$5,LEN(INDEX('Staff Review'!$H$8:$H$507,I2227))&gt;0),"Yes","No")))</f>
        <v>No</v>
      </c>
      <c r="AK2227" s="1">
        <f t="shared" si="85"/>
        <v>1</v>
      </c>
      <c r="AL2227" s="1">
        <f t="shared" ca="1" si="86"/>
        <v>1</v>
      </c>
      <c r="AM2227" s="1">
        <f t="shared" si="87"/>
        <v>4560</v>
      </c>
      <c r="AN2227" s="1">
        <f t="shared" si="88"/>
        <v>177</v>
      </c>
      <c r="AO2227">
        <f t="shared" ca="1" si="89"/>
        <v>65</v>
      </c>
      <c r="AP2227" s="105">
        <f ca="1">IF(AND(AL2227=1,OR('Top 25'!$A$10="All",C2227='Top 25'!$A$10),OR('Top 25'!$D$10="All",D2227='Top 25'!$D$10)),1,0)</f>
        <v>0</v>
      </c>
      <c r="AQ2227" s="105" t="str">
        <f ca="1">IF(AP2227=0,"",CHOOSE(MATCH('Top 25'!$G$10,{"Priority score","Economic need","Enrollment","Fresh miles","Nearby resources"},0),T2227,G2227,F2227,K2227,L2227))</f>
        <v/>
      </c>
      <c r="AR2227" s="105" t="str">
        <f ca="1">IF(AP2227=0,"",1+COUNTIFS($AP$2051:$AP$2550,1,$AQ$2051:$AQ$2550,IF('Top 25'!$J$10="Ascending","&lt;","&gt;")&amp;AQ2227)+COUNTIFS($AP$2051:$AP$2550,1,$AQ$2051:$AQ$2550,AQ2227,$W$2051:$W$2550,"&lt;"&amp;W2227))</f>
        <v/>
      </c>
      <c r="AT2227" s="105">
        <f ca="1">IF(AND(AL2227=1,OR(Master_rankableSchools!$A$10="All",C2227=Master_rankableSchools!$A$10),OR(Master_rankableSchools!$D$10="All",D2227=Master_rankableSchools!$D$10)),1,0)</f>
        <v>1</v>
      </c>
      <c r="AU2227" s="105">
        <f ca="1">IF(AT2227=0,"",CHOOSE(MATCH(Master_rankableSchools!$G$10,{"Priority score","Economic need","Enrollment","Fresh miles","Nearby resources"},0),T2227,G2227,F2227,K2227,L2227))</f>
        <v>47</v>
      </c>
      <c r="AV2227" s="105">
        <f ca="1">IF(AT2227=0,"",1+COUNTIFS($AT$2051:$AT$2550,1,$AU$2051:$AU$2550,IF(Master_rankableSchools!$J$10="Ascending","&lt;","&gt;")&amp;AU2227)+COUNTIFS($AT$2051:$AT$2550,1,$AU$2051:$AU$2550,AU2227,$W$2051:$W$2550,"&lt;"&amp;W2227))</f>
        <v>65</v>
      </c>
    </row>
    <row r="2228" spans="1:48" ht="22" customHeight="1">
      <c r="A2228" s="1" t="str">
        <f t="shared" si="60"/>
        <v>4570</v>
      </c>
      <c r="B2228" s="1" t="str">
        <f t="shared" si="61"/>
        <v>General George G. Meade School</v>
      </c>
      <c r="C2228" s="1" t="str">
        <f t="shared" si="62"/>
        <v>District</v>
      </c>
      <c r="D2228" s="1" t="str">
        <f t="shared" si="63"/>
        <v>Elementary-Middle</v>
      </c>
      <c r="E2228" s="1" t="str">
        <f t="shared" si="64"/>
        <v>19121</v>
      </c>
      <c r="F2228" s="1">
        <f t="shared" si="65"/>
        <v>256</v>
      </c>
      <c r="G2228" s="1">
        <f t="shared" si="66"/>
        <v>0.89890000000000003</v>
      </c>
      <c r="H2228" s="1" t="str">
        <f t="shared" si="67"/>
        <v>Yes</v>
      </c>
      <c r="I2228" s="1">
        <f>IF(OR(A2228="",COUNTIFS('Staff Review'!$A$8:$A$507,A2228)&lt;&gt;1),0,MATCH(A2228,'Staff Review'!$A$8:$A$507,0))</f>
        <v>91</v>
      </c>
      <c r="J2228" s="1" t="str">
        <f>IF(I2228=0,"No",IF(INDEX('Staff Review'!$C$8:$C$507,I2228)="Yes","Yes","No"))</f>
        <v>No</v>
      </c>
      <c r="K2228" s="1">
        <f ca="1">IF(AI2228="Yes",INDEX('Staff Review'!$D$8:$D$507,I2228),IF(AB2228=0,"",IF(COUNT(INDEX($C$1531:$C$2030,AB2228))=1,INDEX($C$1531:$C$2030,AB2228),"")))</f>
        <v>0.21564962660321715</v>
      </c>
      <c r="L2228" s="1">
        <f>IF(AJ2228="Yes",INDEX('Staff Review'!$F$8:$F$507,I2228),IF(AB2228=0,"",IF(COUNT(INDEX($G$1531:$G$2030,AB2228))=1,INDEX($G$1531:$G$2030,AB2228),"")))</f>
        <v>15</v>
      </c>
      <c r="M2228" s="1" t="str">
        <f t="shared" ca="1" si="68"/>
        <v>Listed</v>
      </c>
      <c r="N2228" s="1" t="str">
        <f t="shared" si="69"/>
        <v>Listed</v>
      </c>
      <c r="O2228" s="1">
        <f t="shared" si="70"/>
        <v>25</v>
      </c>
      <c r="P2228" s="1">
        <f t="shared" ca="1" si="71"/>
        <v>5</v>
      </c>
      <c r="Q2228" s="1">
        <f t="shared" si="72"/>
        <v>0</v>
      </c>
      <c r="R2228" s="1">
        <f t="shared" si="73"/>
        <v>2</v>
      </c>
      <c r="S2228" s="1">
        <f t="shared" ca="1" si="74"/>
        <v>32</v>
      </c>
      <c r="T2228" s="1">
        <f ca="1">IF(OR(COUNT(O2228:R2228)&lt;&gt;4,COUNT('Top 25'!$B$45:$E$45)&lt;&gt;4,MIN('Top 25'!$B$45:$E$45)&lt;0,SUM('Top 25'!$B$45:$E$45)&lt;=0),"",ROUND(85*(O2228/30*'Top 25'!$B$45+P2228/25*'Top 25'!$C$45+Q2228/25*'Top 25'!$D$45+R2228/5*'Top 25'!$E$45)/SUM('Top 25'!$B$45:$E$45),6))</f>
        <v>32</v>
      </c>
      <c r="U2228" s="1" t="str">
        <f t="shared" ca="1" si="75"/>
        <v>Listed</v>
      </c>
      <c r="V2228" s="1" t="str">
        <f ca="1">IF(A2228="","",IF(AK2228&lt;&gt;1,"Duplicate source ID",IF(COUNTIFS('Staff Review'!$A$8:$A$507,A2228)&gt;1,"Duplicate review ID",IF(H2228&lt;&gt;"Yes","Outside scope",IF(J2228="Yes","Already served",IF(NOT(ISNUMBER(T2228)),"Missing data","Candidate"))))))</f>
        <v>Candidate</v>
      </c>
      <c r="W2228" s="1">
        <f t="shared" ca="1" si="76"/>
        <v>243</v>
      </c>
      <c r="X2228" s="1">
        <f t="shared" ca="1" si="77"/>
        <v>243</v>
      </c>
      <c r="Y2228" s="1">
        <f ca="1">IF(AND(H2228="Yes",OR(LEN('School Search'!$B$5)=0,ISNUMBER(SEARCH('School Search'!$B$5,B2228&amp;" "&amp;E2228&amp;" "&amp;A2228))),OR('School Search'!$D$5="All",C2228='School Search'!$D$5),OR('School Search'!$G$5="All eligible",AND('School Search'!$G$5="Not marked served",J2228&lt;&gt;"Yes"),AND('School Search'!$G$5="Missing data",V2228="Missing data"),AND('School Search'!$G$5="Marked served",J2228="Yes"))),1,0)</f>
        <v>1</v>
      </c>
      <c r="Z2228" s="1">
        <f ca="1">IF(Y2228=0,"",COUNTIFS($Y$2051:$Y$2550,1,$AO$2051:$AO$2550,"&lt;"&amp;AO2228)+COUNTIFS($Y$2051:Y2228,1,$AO$2051:AO2228,AO2228))</f>
        <v>243</v>
      </c>
      <c r="AA2228" s="1" t="str">
        <f t="shared" ca="1" si="78"/>
        <v>90% economic need; 0.22 mi fresh access; 15 nearby resources</v>
      </c>
      <c r="AB2228" s="1">
        <f t="shared" si="79"/>
        <v>178</v>
      </c>
      <c r="AC2228" s="1" t="str">
        <f t="shared" si="80"/>
        <v>Grocery Outlet</v>
      </c>
      <c r="AD2228" s="1" t="str">
        <f t="shared" si="81"/>
        <v>2077 Ridge Ave, Philadelphia, PA, 19121</v>
      </c>
      <c r="AE2228" s="1" t="str">
        <f t="shared" si="82"/>
        <v>1600 N 18TH ST</v>
      </c>
      <c r="AF2228" s="1">
        <f t="shared" si="83"/>
        <v>39.978586999999997</v>
      </c>
      <c r="AG2228" s="1">
        <f t="shared" si="84"/>
        <v>-75.164717999999993</v>
      </c>
      <c r="AH2228" s="1" t="str">
        <f>IF(I2228=0,"Not contacted",IF(INDEX('Staff Review'!$J$8:$J$507,I2228)="","Not contacted",INDEX('Staff Review'!$J$8:$J$507,I2228)))</f>
        <v>Not contacted</v>
      </c>
      <c r="AI2228" s="1" t="str">
        <f ca="1">IF(I2228=0,"No",IF(AND(COUNT(INDEX('Staff Review'!$D$8:$D$507,I2228))=1,INDEX('Staff Review'!$D$8:$D$507,I2228)&gt;=0,COUNT(INDEX('Staff Review'!$E$8:$E$507,I2228))=1,INDEX('Staff Review'!$E$8:$E$507,I2228)&gt;0,INDEX('Staff Review'!$E$8:$E$507,I2228)&lt;='Top 25'!$E$5,'Top 25'!$E$5-INDEX('Staff Review'!$E$8:$E$507,I2228)&lt;='Top 25'!$H$5,LEN(INDEX('Staff Review'!$H$8:$H$507,I2228))&gt;0),"Yes","No"))</f>
        <v>No</v>
      </c>
      <c r="AJ2228" s="1" t="str">
        <f>IF(I2228=0,"No",IF(COUNT(INDEX('Staff Review'!$F$8:$F$507,I2228))&lt;&gt;1,"No",IF(AND(INDEX('Staff Review'!$F$8:$F$507,I2228)&gt;=0,MOD(INDEX('Staff Review'!$F$8:$F$507,I2228),1)=0,COUNT(INDEX('Staff Review'!$G$8:$G$507,I2228))=1,INDEX('Staff Review'!$G$8:$G$507,I2228)&gt;0,INDEX('Staff Review'!$G$8:$G$507,I2228)&lt;='Top 25'!$E$5,'Top 25'!$E$5-INDEX('Staff Review'!$G$8:$G$507,I2228)&lt;='Top 25'!$H$5,LEN(INDEX('Staff Review'!$H$8:$H$507,I2228))&gt;0),"Yes","No")))</f>
        <v>No</v>
      </c>
      <c r="AK2228" s="1">
        <f t="shared" si="85"/>
        <v>1</v>
      </c>
      <c r="AL2228" s="1">
        <f t="shared" ca="1" si="86"/>
        <v>1</v>
      </c>
      <c r="AM2228" s="1">
        <f t="shared" si="87"/>
        <v>4570</v>
      </c>
      <c r="AN2228" s="1">
        <f t="shared" si="88"/>
        <v>178</v>
      </c>
      <c r="AO2228">
        <f t="shared" ca="1" si="89"/>
        <v>243</v>
      </c>
      <c r="AP2228" s="105">
        <f ca="1">IF(AND(AL2228=1,OR('Top 25'!$A$10="All",C2228='Top 25'!$A$10),OR('Top 25'!$D$10="All",D2228='Top 25'!$D$10)),1,0)</f>
        <v>0</v>
      </c>
      <c r="AQ2228" s="105" t="str">
        <f ca="1">IF(AP2228=0,"",CHOOSE(MATCH('Top 25'!$G$10,{"Priority score","Economic need","Enrollment","Fresh miles","Nearby resources"},0),T2228,G2228,F2228,K2228,L2228))</f>
        <v/>
      </c>
      <c r="AR2228" s="105" t="str">
        <f ca="1">IF(AP2228=0,"",1+COUNTIFS($AP$2051:$AP$2550,1,$AQ$2051:$AQ$2550,IF('Top 25'!$J$10="Ascending","&lt;","&gt;")&amp;AQ2228)+COUNTIFS($AP$2051:$AP$2550,1,$AQ$2051:$AQ$2550,AQ2228,$W$2051:$W$2550,"&lt;"&amp;W2228))</f>
        <v/>
      </c>
      <c r="AT2228" s="105">
        <f ca="1">IF(AND(AL2228=1,OR(Master_rankableSchools!$A$10="All",C2228=Master_rankableSchools!$A$10),OR(Master_rankableSchools!$D$10="All",D2228=Master_rankableSchools!$D$10)),1,0)</f>
        <v>1</v>
      </c>
      <c r="AU2228" s="105">
        <f ca="1">IF(AT2228=0,"",CHOOSE(MATCH(Master_rankableSchools!$G$10,{"Priority score","Economic need","Enrollment","Fresh miles","Nearby resources"},0),T2228,G2228,F2228,K2228,L2228))</f>
        <v>32</v>
      </c>
      <c r="AV2228" s="105">
        <f ca="1">IF(AT2228=0,"",1+COUNTIFS($AT$2051:$AT$2550,1,$AU$2051:$AU$2550,IF(Master_rankableSchools!$J$10="Ascending","&lt;","&gt;")&amp;AU2228)+COUNTIFS($AT$2051:$AT$2550,1,$AU$2051:$AU$2550,AU2228,$W$2051:$W$2550,"&lt;"&amp;W2228))</f>
        <v>243</v>
      </c>
    </row>
    <row r="2229" spans="1:48" ht="22" customHeight="1">
      <c r="A2229" s="1" t="str">
        <f t="shared" si="60"/>
        <v>5020</v>
      </c>
      <c r="B2229" s="1" t="str">
        <f t="shared" si="61"/>
        <v>Thomas A. Edison High School</v>
      </c>
      <c r="C2229" s="1" t="str">
        <f t="shared" si="62"/>
        <v>District</v>
      </c>
      <c r="D2229" s="1" t="str">
        <f t="shared" si="63"/>
        <v>High</v>
      </c>
      <c r="E2229" s="1" t="str">
        <f t="shared" si="64"/>
        <v>19140</v>
      </c>
      <c r="F2229" s="1">
        <f t="shared" si="65"/>
        <v>1022</v>
      </c>
      <c r="G2229" s="1">
        <f t="shared" si="66"/>
        <v>0.84179999999999999</v>
      </c>
      <c r="H2229" s="1" t="str">
        <f t="shared" si="67"/>
        <v>Yes</v>
      </c>
      <c r="I2229" s="1">
        <f>IF(OR(A2229="",COUNTIFS('Staff Review'!$A$8:$A$507,A2229)&lt;&gt;1),0,MATCH(A2229,'Staff Review'!$A$8:$A$507,0))</f>
        <v>292</v>
      </c>
      <c r="J2229" s="1" t="str">
        <f>IF(I2229=0,"No",IF(INDEX('Staff Review'!$C$8:$C$507,I2229)="Yes","Yes","No"))</f>
        <v>No</v>
      </c>
      <c r="K2229" s="1">
        <f ca="1">IF(AI2229="Yes",INDEX('Staff Review'!$D$8:$D$507,I2229),IF(AB2229=0,"",IF(COUNT(INDEX($C$1531:$C$2030,AB2229))=1,INDEX($C$1531:$C$2030,AB2229),"")))</f>
        <v>0.38478756667770925</v>
      </c>
      <c r="L2229" s="1">
        <f>IF(AJ2229="Yes",INDEX('Staff Review'!$F$8:$F$507,I2229),IF(AB2229=0,"",IF(COUNT(INDEX($G$1531:$G$2030,AB2229))=1,INDEX($G$1531:$G$2030,AB2229),"")))</f>
        <v>11</v>
      </c>
      <c r="M2229" s="1" t="str">
        <f t="shared" ca="1" si="68"/>
        <v>Listed</v>
      </c>
      <c r="N2229" s="1" t="str">
        <f t="shared" si="69"/>
        <v>Listed</v>
      </c>
      <c r="O2229" s="1">
        <f t="shared" si="70"/>
        <v>25</v>
      </c>
      <c r="P2229" s="1">
        <f t="shared" ca="1" si="71"/>
        <v>10</v>
      </c>
      <c r="Q2229" s="1">
        <f t="shared" si="72"/>
        <v>0</v>
      </c>
      <c r="R2229" s="1">
        <f t="shared" si="73"/>
        <v>5</v>
      </c>
      <c r="S2229" s="1">
        <f t="shared" ca="1" si="74"/>
        <v>40</v>
      </c>
      <c r="T2229" s="1">
        <f ca="1">IF(OR(COUNT(O2229:R2229)&lt;&gt;4,COUNT('Top 25'!$B$45:$E$45)&lt;&gt;4,MIN('Top 25'!$B$45:$E$45)&lt;0,SUM('Top 25'!$B$45:$E$45)&lt;=0),"",ROUND(85*(O2229/30*'Top 25'!$B$45+P2229/25*'Top 25'!$C$45+Q2229/25*'Top 25'!$D$45+R2229/5*'Top 25'!$E$45)/SUM('Top 25'!$B$45:$E$45),6))</f>
        <v>40</v>
      </c>
      <c r="U2229" s="1" t="str">
        <f t="shared" ca="1" si="75"/>
        <v>Listed</v>
      </c>
      <c r="V2229" s="1" t="str">
        <f ca="1">IF(A2229="","",IF(AK2229&lt;&gt;1,"Duplicate source ID",IF(COUNTIFS('Staff Review'!$A$8:$A$507,A2229)&gt;1,"Duplicate review ID",IF(H2229&lt;&gt;"Yes","Outside scope",IF(J2229="Yes","Already served",IF(NOT(ISNUMBER(T2229)),"Missing data","Candidate"))))))</f>
        <v>Candidate</v>
      </c>
      <c r="W2229" s="1">
        <f t="shared" ca="1" si="76"/>
        <v>140</v>
      </c>
      <c r="X2229" s="1">
        <f t="shared" ca="1" si="77"/>
        <v>133</v>
      </c>
      <c r="Y2229" s="1">
        <f ca="1">IF(AND(H2229="Yes",OR(LEN('School Search'!$B$5)=0,ISNUMBER(SEARCH('School Search'!$B$5,B2229&amp;" "&amp;E2229&amp;" "&amp;A2229))),OR('School Search'!$D$5="All",C2229='School Search'!$D$5),OR('School Search'!$G$5="All eligible",AND('School Search'!$G$5="Not marked served",J2229&lt;&gt;"Yes"),AND('School Search'!$G$5="Missing data",V2229="Missing data"),AND('School Search'!$G$5="Marked served",J2229="Yes"))),1,0)</f>
        <v>1</v>
      </c>
      <c r="Z2229" s="1">
        <f ca="1">IF(Y2229=0,"",COUNTIFS($Y$2051:$Y$2550,1,$AO$2051:$AO$2550,"&lt;"&amp;AO2229)+COUNTIFS($Y$2051:Y2229,1,$AO$2051:AO2229,AO2229))</f>
        <v>140</v>
      </c>
      <c r="AA2229" s="1" t="str">
        <f t="shared" ca="1" si="78"/>
        <v>84% economic need; 0.38 mi fresh access; 11 nearby resources</v>
      </c>
      <c r="AB2229" s="1">
        <f t="shared" si="79"/>
        <v>179</v>
      </c>
      <c r="AC2229" s="1" t="str">
        <f t="shared" si="80"/>
        <v>COUSINS SUPERMARKET INC. #2</v>
      </c>
      <c r="AD2229" s="1" t="str">
        <f t="shared" si="81"/>
        <v>4037 N 5th St, Philadelphia, PA, 19140</v>
      </c>
      <c r="AE2229" s="1" t="str">
        <f t="shared" si="82"/>
        <v>151 W LUZERNE ST</v>
      </c>
      <c r="AF2229" s="1">
        <f t="shared" si="83"/>
        <v>40.01116485</v>
      </c>
      <c r="AG2229" s="1">
        <f t="shared" si="84"/>
        <v>-75.128637909999995</v>
      </c>
      <c r="AH2229" s="1" t="str">
        <f>IF(I2229=0,"Not contacted",IF(INDEX('Staff Review'!$J$8:$J$507,I2229)="","Not contacted",INDEX('Staff Review'!$J$8:$J$507,I2229)))</f>
        <v>Not contacted</v>
      </c>
      <c r="AI2229" s="1" t="str">
        <f ca="1">IF(I2229=0,"No",IF(AND(COUNT(INDEX('Staff Review'!$D$8:$D$507,I2229))=1,INDEX('Staff Review'!$D$8:$D$507,I2229)&gt;=0,COUNT(INDEX('Staff Review'!$E$8:$E$507,I2229))=1,INDEX('Staff Review'!$E$8:$E$507,I2229)&gt;0,INDEX('Staff Review'!$E$8:$E$507,I2229)&lt;='Top 25'!$E$5,'Top 25'!$E$5-INDEX('Staff Review'!$E$8:$E$507,I2229)&lt;='Top 25'!$H$5,LEN(INDEX('Staff Review'!$H$8:$H$507,I2229))&gt;0),"Yes","No"))</f>
        <v>No</v>
      </c>
      <c r="AJ2229" s="1" t="str">
        <f>IF(I2229=0,"No",IF(COUNT(INDEX('Staff Review'!$F$8:$F$507,I2229))&lt;&gt;1,"No",IF(AND(INDEX('Staff Review'!$F$8:$F$507,I2229)&gt;=0,MOD(INDEX('Staff Review'!$F$8:$F$507,I2229),1)=0,COUNT(INDEX('Staff Review'!$G$8:$G$507,I2229))=1,INDEX('Staff Review'!$G$8:$G$507,I2229)&gt;0,INDEX('Staff Review'!$G$8:$G$507,I2229)&lt;='Top 25'!$E$5,'Top 25'!$E$5-INDEX('Staff Review'!$G$8:$G$507,I2229)&lt;='Top 25'!$H$5,LEN(INDEX('Staff Review'!$H$8:$H$507,I2229))&gt;0),"Yes","No")))</f>
        <v>No</v>
      </c>
      <c r="AK2229" s="1">
        <f t="shared" si="85"/>
        <v>1</v>
      </c>
      <c r="AL2229" s="1">
        <f t="shared" ca="1" si="86"/>
        <v>1</v>
      </c>
      <c r="AM2229" s="1">
        <f t="shared" si="87"/>
        <v>5020</v>
      </c>
      <c r="AN2229" s="1">
        <f t="shared" si="88"/>
        <v>179</v>
      </c>
      <c r="AO2229">
        <f t="shared" ca="1" si="89"/>
        <v>140</v>
      </c>
      <c r="AP2229" s="105">
        <f ca="1">IF(AND(AL2229=1,OR('Top 25'!$A$10="All",C2229='Top 25'!$A$10),OR('Top 25'!$D$10="All",D2229='Top 25'!$D$10)),1,0)</f>
        <v>0</v>
      </c>
      <c r="AQ2229" s="105" t="str">
        <f ca="1">IF(AP2229=0,"",CHOOSE(MATCH('Top 25'!$G$10,{"Priority score","Economic need","Enrollment","Fresh miles","Nearby resources"},0),T2229,G2229,F2229,K2229,L2229))</f>
        <v/>
      </c>
      <c r="AR2229" s="105" t="str">
        <f ca="1">IF(AP2229=0,"",1+COUNTIFS($AP$2051:$AP$2550,1,$AQ$2051:$AQ$2550,IF('Top 25'!$J$10="Ascending","&lt;","&gt;")&amp;AQ2229)+COUNTIFS($AP$2051:$AP$2550,1,$AQ$2051:$AQ$2550,AQ2229,$W$2051:$W$2550,"&lt;"&amp;W2229))</f>
        <v/>
      </c>
      <c r="AT2229" s="105">
        <f ca="1">IF(AND(AL2229=1,OR(Master_rankableSchools!$A$10="All",C2229=Master_rankableSchools!$A$10),OR(Master_rankableSchools!$D$10="All",D2229=Master_rankableSchools!$D$10)),1,0)</f>
        <v>1</v>
      </c>
      <c r="AU2229" s="105">
        <f ca="1">IF(AT2229=0,"",CHOOSE(MATCH(Master_rankableSchools!$G$10,{"Priority score","Economic need","Enrollment","Fresh miles","Nearby resources"},0),T2229,G2229,F2229,K2229,L2229))</f>
        <v>40</v>
      </c>
      <c r="AV2229" s="105">
        <f ca="1">IF(AT2229=0,"",1+COUNTIFS($AT$2051:$AT$2550,1,$AU$2051:$AU$2550,IF(Master_rankableSchools!$J$10="Ascending","&lt;","&gt;")&amp;AU2229)+COUNTIFS($AT$2051:$AT$2550,1,$AU$2051:$AU$2550,AU2229,$W$2051:$W$2550,"&lt;"&amp;W2229))</f>
        <v>140</v>
      </c>
    </row>
    <row r="2230" spans="1:48" ht="22" customHeight="1">
      <c r="A2230" s="1" t="str">
        <f t="shared" si="60"/>
        <v>5050</v>
      </c>
      <c r="B2230" s="1" t="str">
        <f t="shared" si="61"/>
        <v>Philadelphia Military Academy</v>
      </c>
      <c r="C2230" s="1" t="str">
        <f t="shared" si="62"/>
        <v>District</v>
      </c>
      <c r="D2230" s="1" t="str">
        <f t="shared" si="63"/>
        <v>High</v>
      </c>
      <c r="E2230" s="1" t="str">
        <f t="shared" si="64"/>
        <v>19122</v>
      </c>
      <c r="F2230" s="1">
        <f t="shared" si="65"/>
        <v>264</v>
      </c>
      <c r="G2230" s="1">
        <f t="shared" si="66"/>
        <v>0.8972</v>
      </c>
      <c r="H2230" s="1" t="str">
        <f t="shared" si="67"/>
        <v>Yes</v>
      </c>
      <c r="I2230" s="1">
        <f>IF(OR(A2230="",COUNTIFS('Staff Review'!$A$8:$A$507,A2230)&lt;&gt;1),0,MATCH(A2230,'Staff Review'!$A$8:$A$507,0))</f>
        <v>239</v>
      </c>
      <c r="J2230" s="1" t="str">
        <f>IF(I2230=0,"No",IF(INDEX('Staff Review'!$C$8:$C$507,I2230)="Yes","Yes","No"))</f>
        <v>No</v>
      </c>
      <c r="K2230" s="1">
        <f ca="1">IF(AI2230="Yes",INDEX('Staff Review'!$D$8:$D$507,I2230),IF(AB2230=0,"",IF(COUNT(INDEX($C$1531:$C$2030,AB2230))=1,INDEX($C$1531:$C$2030,AB2230),"")))</f>
        <v>0.58577932376010866</v>
      </c>
      <c r="L2230" s="1">
        <f>IF(AJ2230="Yes",INDEX('Staff Review'!$F$8:$F$507,I2230),IF(AB2230=0,"",IF(COUNT(INDEX($G$1531:$G$2030,AB2230))=1,INDEX($G$1531:$G$2030,AB2230),"")))</f>
        <v>14</v>
      </c>
      <c r="M2230" s="1" t="str">
        <f t="shared" ca="1" si="68"/>
        <v>Listed</v>
      </c>
      <c r="N2230" s="1" t="str">
        <f t="shared" si="69"/>
        <v>Listed</v>
      </c>
      <c r="O2230" s="1">
        <f t="shared" si="70"/>
        <v>25</v>
      </c>
      <c r="P2230" s="1">
        <f t="shared" ca="1" si="71"/>
        <v>15</v>
      </c>
      <c r="Q2230" s="1">
        <f t="shared" si="72"/>
        <v>0</v>
      </c>
      <c r="R2230" s="1">
        <f t="shared" si="73"/>
        <v>2</v>
      </c>
      <c r="S2230" s="1">
        <f t="shared" ca="1" si="74"/>
        <v>42</v>
      </c>
      <c r="T2230" s="1">
        <f ca="1">IF(OR(COUNT(O2230:R2230)&lt;&gt;4,COUNT('Top 25'!$B$45:$E$45)&lt;&gt;4,MIN('Top 25'!$B$45:$E$45)&lt;0,SUM('Top 25'!$B$45:$E$45)&lt;=0),"",ROUND(85*(O2230/30*'Top 25'!$B$45+P2230/25*'Top 25'!$C$45+Q2230/25*'Top 25'!$D$45+R2230/5*'Top 25'!$E$45)/SUM('Top 25'!$B$45:$E$45),6))</f>
        <v>42</v>
      </c>
      <c r="U2230" s="1" t="str">
        <f t="shared" ca="1" si="75"/>
        <v>Listed</v>
      </c>
      <c r="V2230" s="1" t="str">
        <f ca="1">IF(A2230="","",IF(AK2230&lt;&gt;1,"Duplicate source ID",IF(COUNTIFS('Staff Review'!$A$8:$A$507,A2230)&gt;1,"Duplicate review ID",IF(H2230&lt;&gt;"Yes","Outside scope",IF(J2230="Yes","Already served",IF(NOT(ISNUMBER(T2230)),"Missing data","Candidate"))))))</f>
        <v>Candidate</v>
      </c>
      <c r="W2230" s="1">
        <f t="shared" ca="1" si="76"/>
        <v>113</v>
      </c>
      <c r="X2230" s="1">
        <f t="shared" ca="1" si="77"/>
        <v>101</v>
      </c>
      <c r="Y2230" s="1">
        <f ca="1">IF(AND(H2230="Yes",OR(LEN('School Search'!$B$5)=0,ISNUMBER(SEARCH('School Search'!$B$5,B2230&amp;" "&amp;E2230&amp;" "&amp;A2230))),OR('School Search'!$D$5="All",C2230='School Search'!$D$5),OR('School Search'!$G$5="All eligible",AND('School Search'!$G$5="Not marked served",J2230&lt;&gt;"Yes"),AND('School Search'!$G$5="Missing data",V2230="Missing data"),AND('School Search'!$G$5="Marked served",J2230="Yes"))),1,0)</f>
        <v>1</v>
      </c>
      <c r="Z2230" s="1">
        <f ca="1">IF(Y2230=0,"",COUNTIFS($Y$2051:$Y$2550,1,$AO$2051:$AO$2550,"&lt;"&amp;AO2230)+COUNTIFS($Y$2051:Y2230,1,$AO$2051:AO2230,AO2230))</f>
        <v>113</v>
      </c>
      <c r="AA2230" s="1" t="str">
        <f t="shared" ca="1" si="78"/>
        <v>90% economic need; 0.59 mi fresh access; 14 nearby resources</v>
      </c>
      <c r="AB2230" s="1">
        <f t="shared" si="79"/>
        <v>180</v>
      </c>
      <c r="AC2230" s="1" t="str">
        <f t="shared" si="80"/>
        <v>The Fresh Grocer</v>
      </c>
      <c r="AD2230" s="1" t="str">
        <f t="shared" si="81"/>
        <v>1501 N Broad St, Philadelphia, PA, 19122</v>
      </c>
      <c r="AE2230" s="1" t="str">
        <f t="shared" si="82"/>
        <v>2118 N. 13TH ST.</v>
      </c>
      <c r="AF2230" s="1">
        <f t="shared" si="83"/>
        <v>39.984709590000001</v>
      </c>
      <c r="AG2230" s="1">
        <f t="shared" si="84"/>
        <v>-75.154434010000003</v>
      </c>
      <c r="AH2230" s="1" t="str">
        <f>IF(I2230=0,"Not contacted",IF(INDEX('Staff Review'!$J$8:$J$507,I2230)="","Not contacted",INDEX('Staff Review'!$J$8:$J$507,I2230)))</f>
        <v>Not contacted</v>
      </c>
      <c r="AI2230" s="1" t="str">
        <f ca="1">IF(I2230=0,"No",IF(AND(COUNT(INDEX('Staff Review'!$D$8:$D$507,I2230))=1,INDEX('Staff Review'!$D$8:$D$507,I2230)&gt;=0,COUNT(INDEX('Staff Review'!$E$8:$E$507,I2230))=1,INDEX('Staff Review'!$E$8:$E$507,I2230)&gt;0,INDEX('Staff Review'!$E$8:$E$507,I2230)&lt;='Top 25'!$E$5,'Top 25'!$E$5-INDEX('Staff Review'!$E$8:$E$507,I2230)&lt;='Top 25'!$H$5,LEN(INDEX('Staff Review'!$H$8:$H$507,I2230))&gt;0),"Yes","No"))</f>
        <v>No</v>
      </c>
      <c r="AJ2230" s="1" t="str">
        <f>IF(I2230=0,"No",IF(COUNT(INDEX('Staff Review'!$F$8:$F$507,I2230))&lt;&gt;1,"No",IF(AND(INDEX('Staff Review'!$F$8:$F$507,I2230)&gt;=0,MOD(INDEX('Staff Review'!$F$8:$F$507,I2230),1)=0,COUNT(INDEX('Staff Review'!$G$8:$G$507,I2230))=1,INDEX('Staff Review'!$G$8:$G$507,I2230)&gt;0,INDEX('Staff Review'!$G$8:$G$507,I2230)&lt;='Top 25'!$E$5,'Top 25'!$E$5-INDEX('Staff Review'!$G$8:$G$507,I2230)&lt;='Top 25'!$H$5,LEN(INDEX('Staff Review'!$H$8:$H$507,I2230))&gt;0),"Yes","No")))</f>
        <v>No</v>
      </c>
      <c r="AK2230" s="1">
        <f t="shared" si="85"/>
        <v>1</v>
      </c>
      <c r="AL2230" s="1">
        <f t="shared" ca="1" si="86"/>
        <v>1</v>
      </c>
      <c r="AM2230" s="1">
        <f t="shared" si="87"/>
        <v>5050</v>
      </c>
      <c r="AN2230" s="1">
        <f t="shared" si="88"/>
        <v>180</v>
      </c>
      <c r="AO2230">
        <f t="shared" ca="1" si="89"/>
        <v>113</v>
      </c>
      <c r="AP2230" s="105">
        <f ca="1">IF(AND(AL2230=1,OR('Top 25'!$A$10="All",C2230='Top 25'!$A$10),OR('Top 25'!$D$10="All",D2230='Top 25'!$D$10)),1,0)</f>
        <v>0</v>
      </c>
      <c r="AQ2230" s="105" t="str">
        <f ca="1">IF(AP2230=0,"",CHOOSE(MATCH('Top 25'!$G$10,{"Priority score","Economic need","Enrollment","Fresh miles","Nearby resources"},0),T2230,G2230,F2230,K2230,L2230))</f>
        <v/>
      </c>
      <c r="AR2230" s="105" t="str">
        <f ca="1">IF(AP2230=0,"",1+COUNTIFS($AP$2051:$AP$2550,1,$AQ$2051:$AQ$2550,IF('Top 25'!$J$10="Ascending","&lt;","&gt;")&amp;AQ2230)+COUNTIFS($AP$2051:$AP$2550,1,$AQ$2051:$AQ$2550,AQ2230,$W$2051:$W$2550,"&lt;"&amp;W2230))</f>
        <v/>
      </c>
      <c r="AT2230" s="105">
        <f ca="1">IF(AND(AL2230=1,OR(Master_rankableSchools!$A$10="All",C2230=Master_rankableSchools!$A$10),OR(Master_rankableSchools!$D$10="All",D2230=Master_rankableSchools!$D$10)),1,0)</f>
        <v>1</v>
      </c>
      <c r="AU2230" s="105">
        <f ca="1">IF(AT2230=0,"",CHOOSE(MATCH(Master_rankableSchools!$G$10,{"Priority score","Economic need","Enrollment","Fresh miles","Nearby resources"},0),T2230,G2230,F2230,K2230,L2230))</f>
        <v>42</v>
      </c>
      <c r="AV2230" s="105">
        <f ca="1">IF(AT2230=0,"",1+COUNTIFS($AT$2051:$AT$2550,1,$AU$2051:$AU$2550,IF(Master_rankableSchools!$J$10="Ascending","&lt;","&gt;")&amp;AU2230)+COUNTIFS($AT$2051:$AT$2550,1,$AU$2051:$AU$2550,AU2230,$W$2051:$W$2550,"&lt;"&amp;W2230))</f>
        <v>113</v>
      </c>
    </row>
    <row r="2231" spans="1:48" ht="22" customHeight="1">
      <c r="A2231" s="1" t="str">
        <f t="shared" si="60"/>
        <v>5060</v>
      </c>
      <c r="B2231" s="1" t="str">
        <f t="shared" si="61"/>
        <v>Jules E. Mastbaum Area Vocational Technical High School</v>
      </c>
      <c r="C2231" s="1" t="str">
        <f t="shared" si="62"/>
        <v>District</v>
      </c>
      <c r="D2231" s="1" t="str">
        <f t="shared" si="63"/>
        <v>High</v>
      </c>
      <c r="E2231" s="1" t="str">
        <f t="shared" si="64"/>
        <v>19134</v>
      </c>
      <c r="F2231" s="1">
        <f t="shared" si="65"/>
        <v>676</v>
      </c>
      <c r="G2231" s="1">
        <f t="shared" si="66"/>
        <v>0.87949999999999995</v>
      </c>
      <c r="H2231" s="1" t="str">
        <f t="shared" si="67"/>
        <v>Yes</v>
      </c>
      <c r="I2231" s="1">
        <f>IF(OR(A2231="",COUNTIFS('Staff Review'!$A$8:$A$507,A2231)&lt;&gt;1),0,MATCH(A2231,'Staff Review'!$A$8:$A$507,0))</f>
        <v>150</v>
      </c>
      <c r="J2231" s="1" t="str">
        <f>IF(I2231=0,"No",IF(INDEX('Staff Review'!$C$8:$C$507,I2231)="Yes","Yes","No"))</f>
        <v>No</v>
      </c>
      <c r="K2231" s="1">
        <f ca="1">IF(AI2231="Yes",INDEX('Staff Review'!$D$8:$D$507,I2231),IF(AB2231=0,"",IF(COUNT(INDEX($C$1531:$C$2030,AB2231))=1,INDEX($C$1531:$C$2030,AB2231),"")))</f>
        <v>0.70127199729099987</v>
      </c>
      <c r="L2231" s="1">
        <f>IF(AJ2231="Yes",INDEX('Staff Review'!$F$8:$F$507,I2231),IF(AB2231=0,"",IF(COUNT(INDEX($G$1531:$G$2030,AB2231))=1,INDEX($G$1531:$G$2030,AB2231),"")))</f>
        <v>9</v>
      </c>
      <c r="M2231" s="1" t="str">
        <f t="shared" ca="1" si="68"/>
        <v>Listed</v>
      </c>
      <c r="N2231" s="1" t="str">
        <f t="shared" si="69"/>
        <v>Listed</v>
      </c>
      <c r="O2231" s="1">
        <f t="shared" si="70"/>
        <v>25</v>
      </c>
      <c r="P2231" s="1">
        <f t="shared" ca="1" si="71"/>
        <v>15</v>
      </c>
      <c r="Q2231" s="1">
        <f t="shared" si="72"/>
        <v>0</v>
      </c>
      <c r="R2231" s="1">
        <f t="shared" si="73"/>
        <v>4</v>
      </c>
      <c r="S2231" s="1">
        <f t="shared" ca="1" si="74"/>
        <v>44</v>
      </c>
      <c r="T2231" s="1">
        <f ca="1">IF(OR(COUNT(O2231:R2231)&lt;&gt;4,COUNT('Top 25'!$B$45:$E$45)&lt;&gt;4,MIN('Top 25'!$B$45:$E$45)&lt;0,SUM('Top 25'!$B$45:$E$45)&lt;=0),"",ROUND(85*(O2231/30*'Top 25'!$B$45+P2231/25*'Top 25'!$C$45+Q2231/25*'Top 25'!$D$45+R2231/5*'Top 25'!$E$45)/SUM('Top 25'!$B$45:$E$45),6))</f>
        <v>44</v>
      </c>
      <c r="U2231" s="1" t="str">
        <f t="shared" ca="1" si="75"/>
        <v>Listed</v>
      </c>
      <c r="V2231" s="1" t="str">
        <f ca="1">IF(A2231="","",IF(AK2231&lt;&gt;1,"Duplicate source ID",IF(COUNTIFS('Staff Review'!$A$8:$A$507,A2231)&gt;1,"Duplicate review ID",IF(H2231&lt;&gt;"Yes","Outside scope",IF(J2231="Yes","Already served",IF(NOT(ISNUMBER(T2231)),"Missing data","Candidate"))))))</f>
        <v>Candidate</v>
      </c>
      <c r="W2231" s="1">
        <f t="shared" ca="1" si="76"/>
        <v>86</v>
      </c>
      <c r="X2231" s="1">
        <f t="shared" ca="1" si="77"/>
        <v>81</v>
      </c>
      <c r="Y2231" s="1">
        <f ca="1">IF(AND(H2231="Yes",OR(LEN('School Search'!$B$5)=0,ISNUMBER(SEARCH('School Search'!$B$5,B2231&amp;" "&amp;E2231&amp;" "&amp;A2231))),OR('School Search'!$D$5="All",C2231='School Search'!$D$5),OR('School Search'!$G$5="All eligible",AND('School Search'!$G$5="Not marked served",J2231&lt;&gt;"Yes"),AND('School Search'!$G$5="Missing data",V2231="Missing data"),AND('School Search'!$G$5="Marked served",J2231="Yes"))),1,0)</f>
        <v>1</v>
      </c>
      <c r="Z2231" s="1">
        <f ca="1">IF(Y2231=0,"",COUNTIFS($Y$2051:$Y$2550,1,$AO$2051:$AO$2550,"&lt;"&amp;AO2231)+COUNTIFS($Y$2051:Y2231,1,$AO$2051:AO2231,AO2231))</f>
        <v>86</v>
      </c>
      <c r="AA2231" s="1" t="str">
        <f t="shared" ca="1" si="78"/>
        <v>88% economic need; 0.70 mi fresh access; 9 nearby resources</v>
      </c>
      <c r="AB2231" s="1">
        <f t="shared" si="79"/>
        <v>181</v>
      </c>
      <c r="AC2231" s="1" t="str">
        <f t="shared" si="80"/>
        <v>Save A Lot 30224</v>
      </c>
      <c r="AD2231" s="1" t="str">
        <f t="shared" si="81"/>
        <v>2132 E Lehigh Ave, Philadelphia, PA, 19125</v>
      </c>
      <c r="AE2231" s="1" t="str">
        <f t="shared" si="82"/>
        <v>3116 FRANKFORD AVE</v>
      </c>
      <c r="AF2231" s="1">
        <f t="shared" si="83"/>
        <v>39.992146859999998</v>
      </c>
      <c r="AG2231" s="1">
        <f t="shared" si="84"/>
        <v>-75.112135730000006</v>
      </c>
      <c r="AH2231" s="1" t="str">
        <f>IF(I2231=0,"Not contacted",IF(INDEX('Staff Review'!$J$8:$J$507,I2231)="","Not contacted",INDEX('Staff Review'!$J$8:$J$507,I2231)))</f>
        <v>Not contacted</v>
      </c>
      <c r="AI2231" s="1" t="str">
        <f ca="1">IF(I2231=0,"No",IF(AND(COUNT(INDEX('Staff Review'!$D$8:$D$507,I2231))=1,INDEX('Staff Review'!$D$8:$D$507,I2231)&gt;=0,COUNT(INDEX('Staff Review'!$E$8:$E$507,I2231))=1,INDEX('Staff Review'!$E$8:$E$507,I2231)&gt;0,INDEX('Staff Review'!$E$8:$E$507,I2231)&lt;='Top 25'!$E$5,'Top 25'!$E$5-INDEX('Staff Review'!$E$8:$E$507,I2231)&lt;='Top 25'!$H$5,LEN(INDEX('Staff Review'!$H$8:$H$507,I2231))&gt;0),"Yes","No"))</f>
        <v>No</v>
      </c>
      <c r="AJ2231" s="1" t="str">
        <f>IF(I2231=0,"No",IF(COUNT(INDEX('Staff Review'!$F$8:$F$507,I2231))&lt;&gt;1,"No",IF(AND(INDEX('Staff Review'!$F$8:$F$507,I2231)&gt;=0,MOD(INDEX('Staff Review'!$F$8:$F$507,I2231),1)=0,COUNT(INDEX('Staff Review'!$G$8:$G$507,I2231))=1,INDEX('Staff Review'!$G$8:$G$507,I2231)&gt;0,INDEX('Staff Review'!$G$8:$G$507,I2231)&lt;='Top 25'!$E$5,'Top 25'!$E$5-INDEX('Staff Review'!$G$8:$G$507,I2231)&lt;='Top 25'!$H$5,LEN(INDEX('Staff Review'!$H$8:$H$507,I2231))&gt;0),"Yes","No")))</f>
        <v>No</v>
      </c>
      <c r="AK2231" s="1">
        <f t="shared" si="85"/>
        <v>1</v>
      </c>
      <c r="AL2231" s="1">
        <f t="shared" ca="1" si="86"/>
        <v>1</v>
      </c>
      <c r="AM2231" s="1">
        <f t="shared" si="87"/>
        <v>5060</v>
      </c>
      <c r="AN2231" s="1">
        <f t="shared" si="88"/>
        <v>181</v>
      </c>
      <c r="AO2231">
        <f t="shared" ca="1" si="89"/>
        <v>86</v>
      </c>
      <c r="AP2231" s="105">
        <f ca="1">IF(AND(AL2231=1,OR('Top 25'!$A$10="All",C2231='Top 25'!$A$10),OR('Top 25'!$D$10="All",D2231='Top 25'!$D$10)),1,0)</f>
        <v>0</v>
      </c>
      <c r="AQ2231" s="105" t="str">
        <f ca="1">IF(AP2231=0,"",CHOOSE(MATCH('Top 25'!$G$10,{"Priority score","Economic need","Enrollment","Fresh miles","Nearby resources"},0),T2231,G2231,F2231,K2231,L2231))</f>
        <v/>
      </c>
      <c r="AR2231" s="105" t="str">
        <f ca="1">IF(AP2231=0,"",1+COUNTIFS($AP$2051:$AP$2550,1,$AQ$2051:$AQ$2550,IF('Top 25'!$J$10="Ascending","&lt;","&gt;")&amp;AQ2231)+COUNTIFS($AP$2051:$AP$2550,1,$AQ$2051:$AQ$2550,AQ2231,$W$2051:$W$2550,"&lt;"&amp;W2231))</f>
        <v/>
      </c>
      <c r="AT2231" s="105">
        <f ca="1">IF(AND(AL2231=1,OR(Master_rankableSchools!$A$10="All",C2231=Master_rankableSchools!$A$10),OR(Master_rankableSchools!$D$10="All",D2231=Master_rankableSchools!$D$10)),1,0)</f>
        <v>1</v>
      </c>
      <c r="AU2231" s="105">
        <f ca="1">IF(AT2231=0,"",CHOOSE(MATCH(Master_rankableSchools!$G$10,{"Priority score","Economic need","Enrollment","Fresh miles","Nearby resources"},0),T2231,G2231,F2231,K2231,L2231))</f>
        <v>44</v>
      </c>
      <c r="AV2231" s="105">
        <f ca="1">IF(AT2231=0,"",1+COUNTIFS($AT$2051:$AT$2550,1,$AU$2051:$AU$2550,IF(Master_rankableSchools!$J$10="Ascending","&lt;","&gt;")&amp;AU2231)+COUNTIFS($AT$2051:$AT$2550,1,$AU$2051:$AU$2550,AU2231,$W$2051:$W$2550,"&lt;"&amp;W2231))</f>
        <v>86</v>
      </c>
    </row>
    <row r="2232" spans="1:48" ht="22" customHeight="1">
      <c r="A2232" s="1" t="str">
        <f t="shared" si="60"/>
        <v>5070</v>
      </c>
      <c r="B2232" s="1" t="str">
        <f t="shared" si="61"/>
        <v>Parkway Northwest High School</v>
      </c>
      <c r="C2232" s="1" t="str">
        <f t="shared" si="62"/>
        <v>District</v>
      </c>
      <c r="D2232" s="1" t="str">
        <f t="shared" si="63"/>
        <v>High</v>
      </c>
      <c r="E2232" s="1" t="str">
        <f t="shared" si="64"/>
        <v>19138</v>
      </c>
      <c r="F2232" s="1">
        <f t="shared" si="65"/>
        <v>248</v>
      </c>
      <c r="G2232" s="1">
        <f t="shared" si="66"/>
        <v>0.73750000000000004</v>
      </c>
      <c r="H2232" s="1" t="str">
        <f t="shared" si="67"/>
        <v>Yes</v>
      </c>
      <c r="I2232" s="1">
        <f>IF(OR(A2232="",COUNTIFS('Staff Review'!$A$8:$A$507,A2232)&lt;&gt;1),0,MATCH(A2232,'Staff Review'!$A$8:$A$507,0))</f>
        <v>223</v>
      </c>
      <c r="J2232" s="1" t="str">
        <f>IF(I2232=0,"No",IF(INDEX('Staff Review'!$C$8:$C$507,I2232)="Yes","Yes","No"))</f>
        <v>No</v>
      </c>
      <c r="K2232" s="1">
        <f ca="1">IF(AI2232="Yes",INDEX('Staff Review'!$D$8:$D$507,I2232),IF(AB2232=0,"",IF(COUNT(INDEX($C$1531:$C$2030,AB2232))=1,INDEX($C$1531:$C$2030,AB2232),"")))</f>
        <v>0.62042566965217638</v>
      </c>
      <c r="L2232" s="1">
        <f>IF(AJ2232="Yes",INDEX('Staff Review'!$F$8:$F$507,I2232),IF(AB2232=0,"",IF(COUNT(INDEX($G$1531:$G$2030,AB2232))=1,INDEX($G$1531:$G$2030,AB2232),"")))</f>
        <v>12</v>
      </c>
      <c r="M2232" s="1" t="str">
        <f t="shared" ca="1" si="68"/>
        <v>Listed</v>
      </c>
      <c r="N2232" s="1" t="str">
        <f t="shared" si="69"/>
        <v>Listed</v>
      </c>
      <c r="O2232" s="1">
        <f t="shared" si="70"/>
        <v>20</v>
      </c>
      <c r="P2232" s="1">
        <f t="shared" ca="1" si="71"/>
        <v>15</v>
      </c>
      <c r="Q2232" s="1">
        <f t="shared" si="72"/>
        <v>0</v>
      </c>
      <c r="R2232" s="1">
        <f t="shared" si="73"/>
        <v>2</v>
      </c>
      <c r="S2232" s="1">
        <f t="shared" ca="1" si="74"/>
        <v>37</v>
      </c>
      <c r="T2232" s="1">
        <f ca="1">IF(OR(COUNT(O2232:R2232)&lt;&gt;4,COUNT('Top 25'!$B$45:$E$45)&lt;&gt;4,MIN('Top 25'!$B$45:$E$45)&lt;0,SUM('Top 25'!$B$45:$E$45)&lt;=0),"",ROUND(85*(O2232/30*'Top 25'!$B$45+P2232/25*'Top 25'!$C$45+Q2232/25*'Top 25'!$D$45+R2232/5*'Top 25'!$E$45)/SUM('Top 25'!$B$45:$E$45),6))</f>
        <v>37</v>
      </c>
      <c r="U2232" s="1" t="str">
        <f t="shared" ca="1" si="75"/>
        <v>Listed</v>
      </c>
      <c r="V2232" s="1" t="str">
        <f ca="1">IF(A2232="","",IF(AK2232&lt;&gt;1,"Duplicate source ID",IF(COUNTIFS('Staff Review'!$A$8:$A$507,A2232)&gt;1,"Duplicate review ID",IF(H2232&lt;&gt;"Yes","Outside scope",IF(J2232="Yes","Already served",IF(NOT(ISNUMBER(T2232)),"Missing data","Candidate"))))))</f>
        <v>Candidate</v>
      </c>
      <c r="W2232" s="1">
        <f t="shared" ca="1" si="76"/>
        <v>204</v>
      </c>
      <c r="X2232" s="1">
        <f t="shared" ca="1" si="77"/>
        <v>182</v>
      </c>
      <c r="Y2232" s="1">
        <f ca="1">IF(AND(H2232="Yes",OR(LEN('School Search'!$B$5)=0,ISNUMBER(SEARCH('School Search'!$B$5,B2232&amp;" "&amp;E2232&amp;" "&amp;A2232))),OR('School Search'!$D$5="All",C2232='School Search'!$D$5),OR('School Search'!$G$5="All eligible",AND('School Search'!$G$5="Not marked served",J2232&lt;&gt;"Yes"),AND('School Search'!$G$5="Missing data",V2232="Missing data"),AND('School Search'!$G$5="Marked served",J2232="Yes"))),1,0)</f>
        <v>1</v>
      </c>
      <c r="Z2232" s="1">
        <f ca="1">IF(Y2232=0,"",COUNTIFS($Y$2051:$Y$2550,1,$AO$2051:$AO$2550,"&lt;"&amp;AO2232)+COUNTIFS($Y$2051:Y2232,1,$AO$2051:AO2232,AO2232))</f>
        <v>204</v>
      </c>
      <c r="AA2232" s="1" t="str">
        <f t="shared" ca="1" si="78"/>
        <v>74% economic need; 0.62 mi fresh access; 12 nearby resources</v>
      </c>
      <c r="AB2232" s="1">
        <f t="shared" si="79"/>
        <v>182</v>
      </c>
      <c r="AC2232" s="1" t="str">
        <f t="shared" si="80"/>
        <v>Save A Lot 45141</v>
      </c>
      <c r="AD2232" s="1" t="str">
        <f t="shared" si="81"/>
        <v>6301 Chew Ave, Philadelphia, PA, 19138</v>
      </c>
      <c r="AE2232" s="1" t="str">
        <f t="shared" si="82"/>
        <v>6200 CRITTENDEN ST</v>
      </c>
      <c r="AF2232" s="1">
        <f t="shared" si="83"/>
        <v>40.056640739999999</v>
      </c>
      <c r="AG2232" s="1">
        <f t="shared" si="84"/>
        <v>-75.164574529999996</v>
      </c>
      <c r="AH2232" s="1" t="str">
        <f>IF(I2232=0,"Not contacted",IF(INDEX('Staff Review'!$J$8:$J$507,I2232)="","Not contacted",INDEX('Staff Review'!$J$8:$J$507,I2232)))</f>
        <v>Not contacted</v>
      </c>
      <c r="AI2232" s="1" t="str">
        <f ca="1">IF(I2232=0,"No",IF(AND(COUNT(INDEX('Staff Review'!$D$8:$D$507,I2232))=1,INDEX('Staff Review'!$D$8:$D$507,I2232)&gt;=0,COUNT(INDEX('Staff Review'!$E$8:$E$507,I2232))=1,INDEX('Staff Review'!$E$8:$E$507,I2232)&gt;0,INDEX('Staff Review'!$E$8:$E$507,I2232)&lt;='Top 25'!$E$5,'Top 25'!$E$5-INDEX('Staff Review'!$E$8:$E$507,I2232)&lt;='Top 25'!$H$5,LEN(INDEX('Staff Review'!$H$8:$H$507,I2232))&gt;0),"Yes","No"))</f>
        <v>No</v>
      </c>
      <c r="AJ2232" s="1" t="str">
        <f>IF(I2232=0,"No",IF(COUNT(INDEX('Staff Review'!$F$8:$F$507,I2232))&lt;&gt;1,"No",IF(AND(INDEX('Staff Review'!$F$8:$F$507,I2232)&gt;=0,MOD(INDEX('Staff Review'!$F$8:$F$507,I2232),1)=0,COUNT(INDEX('Staff Review'!$G$8:$G$507,I2232))=1,INDEX('Staff Review'!$G$8:$G$507,I2232)&gt;0,INDEX('Staff Review'!$G$8:$G$507,I2232)&lt;='Top 25'!$E$5,'Top 25'!$E$5-INDEX('Staff Review'!$G$8:$G$507,I2232)&lt;='Top 25'!$H$5,LEN(INDEX('Staff Review'!$H$8:$H$507,I2232))&gt;0),"Yes","No")))</f>
        <v>No</v>
      </c>
      <c r="AK2232" s="1">
        <f t="shared" si="85"/>
        <v>1</v>
      </c>
      <c r="AL2232" s="1">
        <f t="shared" ca="1" si="86"/>
        <v>1</v>
      </c>
      <c r="AM2232" s="1">
        <f t="shared" si="87"/>
        <v>5070</v>
      </c>
      <c r="AN2232" s="1">
        <f t="shared" si="88"/>
        <v>182</v>
      </c>
      <c r="AO2232">
        <f t="shared" ca="1" si="89"/>
        <v>204</v>
      </c>
      <c r="AP2232" s="105">
        <f ca="1">IF(AND(AL2232=1,OR('Top 25'!$A$10="All",C2232='Top 25'!$A$10),OR('Top 25'!$D$10="All",D2232='Top 25'!$D$10)),1,0)</f>
        <v>0</v>
      </c>
      <c r="AQ2232" s="105" t="str">
        <f ca="1">IF(AP2232=0,"",CHOOSE(MATCH('Top 25'!$G$10,{"Priority score","Economic need","Enrollment","Fresh miles","Nearby resources"},0),T2232,G2232,F2232,K2232,L2232))</f>
        <v/>
      </c>
      <c r="AR2232" s="105" t="str">
        <f ca="1">IF(AP2232=0,"",1+COUNTIFS($AP$2051:$AP$2550,1,$AQ$2051:$AQ$2550,IF('Top 25'!$J$10="Ascending","&lt;","&gt;")&amp;AQ2232)+COUNTIFS($AP$2051:$AP$2550,1,$AQ$2051:$AQ$2550,AQ2232,$W$2051:$W$2550,"&lt;"&amp;W2232))</f>
        <v/>
      </c>
      <c r="AT2232" s="105">
        <f ca="1">IF(AND(AL2232=1,OR(Master_rankableSchools!$A$10="All",C2232=Master_rankableSchools!$A$10),OR(Master_rankableSchools!$D$10="All",D2232=Master_rankableSchools!$D$10)),1,0)</f>
        <v>1</v>
      </c>
      <c r="AU2232" s="105">
        <f ca="1">IF(AT2232=0,"",CHOOSE(MATCH(Master_rankableSchools!$G$10,{"Priority score","Economic need","Enrollment","Fresh miles","Nearby resources"},0),T2232,G2232,F2232,K2232,L2232))</f>
        <v>37</v>
      </c>
      <c r="AV2232" s="105">
        <f ca="1">IF(AT2232=0,"",1+COUNTIFS($AT$2051:$AT$2550,1,$AU$2051:$AU$2550,IF(Master_rankableSchools!$J$10="Ascending","&lt;","&gt;")&amp;AU2232)+COUNTIFS($AT$2051:$AT$2550,1,$AU$2051:$AU$2550,AU2232,$W$2051:$W$2550,"&lt;"&amp;W2232))</f>
        <v>204</v>
      </c>
    </row>
    <row r="2233" spans="1:48" ht="22" customHeight="1">
      <c r="A2233" s="1" t="str">
        <f t="shared" si="60"/>
        <v>5080</v>
      </c>
      <c r="B2233" s="1" t="str">
        <f t="shared" si="61"/>
        <v>Parkway Center City Middle College High School</v>
      </c>
      <c r="C2233" s="1" t="str">
        <f t="shared" si="62"/>
        <v>District</v>
      </c>
      <c r="D2233" s="1" t="str">
        <f t="shared" si="63"/>
        <v>High</v>
      </c>
      <c r="E2233" s="1" t="str">
        <f t="shared" si="64"/>
        <v>19123</v>
      </c>
      <c r="F2233" s="1">
        <f t="shared" si="65"/>
        <v>449</v>
      </c>
      <c r="G2233" s="1">
        <f t="shared" si="66"/>
        <v>0.68079999999999996</v>
      </c>
      <c r="H2233" s="1" t="str">
        <f t="shared" si="67"/>
        <v>Yes</v>
      </c>
      <c r="I2233" s="1">
        <f>IF(OR(A2233="",COUNTIFS('Staff Review'!$A$8:$A$507,A2233)&lt;&gt;1),0,MATCH(A2233,'Staff Review'!$A$8:$A$507,0))</f>
        <v>222</v>
      </c>
      <c r="J2233" s="1" t="str">
        <f>IF(I2233=0,"No",IF(INDEX('Staff Review'!$C$8:$C$507,I2233)="Yes","Yes","No"))</f>
        <v>No</v>
      </c>
      <c r="K2233" s="1">
        <f ca="1">IF(AI2233="Yes",INDEX('Staff Review'!$D$8:$D$507,I2233),IF(AB2233=0,"",IF(COUNT(INDEX($C$1531:$C$2030,AB2233))=1,INDEX($C$1531:$C$2030,AB2233),"")))</f>
        <v>0.1555798399436579</v>
      </c>
      <c r="L2233" s="1">
        <f>IF(AJ2233="Yes",INDEX('Staff Review'!$F$8:$F$507,I2233),IF(AB2233=0,"",IF(COUNT(INDEX($G$1531:$G$2030,AB2233))=1,INDEX($G$1531:$G$2030,AB2233),"")))</f>
        <v>10</v>
      </c>
      <c r="M2233" s="1" t="str">
        <f t="shared" ca="1" si="68"/>
        <v>Listed</v>
      </c>
      <c r="N2233" s="1" t="str">
        <f t="shared" si="69"/>
        <v>Listed</v>
      </c>
      <c r="O2233" s="1">
        <f t="shared" si="70"/>
        <v>15</v>
      </c>
      <c r="P2233" s="1">
        <f t="shared" ca="1" si="71"/>
        <v>5</v>
      </c>
      <c r="Q2233" s="1">
        <f t="shared" si="72"/>
        <v>0</v>
      </c>
      <c r="R2233" s="1">
        <f t="shared" si="73"/>
        <v>3</v>
      </c>
      <c r="S2233" s="1">
        <f t="shared" ca="1" si="74"/>
        <v>23</v>
      </c>
      <c r="T2233" s="1">
        <f ca="1">IF(OR(COUNT(O2233:R2233)&lt;&gt;4,COUNT('Top 25'!$B$45:$E$45)&lt;&gt;4,MIN('Top 25'!$B$45:$E$45)&lt;0,SUM('Top 25'!$B$45:$E$45)&lt;=0),"",ROUND(85*(O2233/30*'Top 25'!$B$45+P2233/25*'Top 25'!$C$45+Q2233/25*'Top 25'!$D$45+R2233/5*'Top 25'!$E$45)/SUM('Top 25'!$B$45:$E$45),6))</f>
        <v>23</v>
      </c>
      <c r="U2233" s="1" t="str">
        <f t="shared" ca="1" si="75"/>
        <v>Listed</v>
      </c>
      <c r="V2233" s="1" t="str">
        <f ca="1">IF(A2233="","",IF(AK2233&lt;&gt;1,"Duplicate source ID",IF(COUNTIFS('Staff Review'!$A$8:$A$507,A2233)&gt;1,"Duplicate review ID",IF(H2233&lt;&gt;"Yes","Outside scope",IF(J2233="Yes","Already served",IF(NOT(ISNUMBER(T2233)),"Missing data","Candidate"))))))</f>
        <v>Candidate</v>
      </c>
      <c r="W2233" s="1">
        <f t="shared" ca="1" si="76"/>
        <v>275</v>
      </c>
      <c r="X2233" s="1">
        <f t="shared" ca="1" si="77"/>
        <v>274</v>
      </c>
      <c r="Y2233" s="1">
        <f ca="1">IF(AND(H2233="Yes",OR(LEN('School Search'!$B$5)=0,ISNUMBER(SEARCH('School Search'!$B$5,B2233&amp;" "&amp;E2233&amp;" "&amp;A2233))),OR('School Search'!$D$5="All",C2233='School Search'!$D$5),OR('School Search'!$G$5="All eligible",AND('School Search'!$G$5="Not marked served",J2233&lt;&gt;"Yes"),AND('School Search'!$G$5="Missing data",V2233="Missing data"),AND('School Search'!$G$5="Marked served",J2233="Yes"))),1,0)</f>
        <v>1</v>
      </c>
      <c r="Z2233" s="1">
        <f ca="1">IF(Y2233=0,"",COUNTIFS($Y$2051:$Y$2550,1,$AO$2051:$AO$2550,"&lt;"&amp;AO2233)+COUNTIFS($Y$2051:Y2233,1,$AO$2051:AO2233,AO2233))</f>
        <v>275</v>
      </c>
      <c r="AA2233" s="1" t="str">
        <f t="shared" ca="1" si="78"/>
        <v>68% economic need; 0.16 mi fresh access; 10 nearby resources</v>
      </c>
      <c r="AB2233" s="1">
        <f t="shared" si="79"/>
        <v>183</v>
      </c>
      <c r="AC2233" s="1" t="str">
        <f t="shared" si="80"/>
        <v>Giant Food Store 6573</v>
      </c>
      <c r="AD2233" s="1" t="str">
        <f t="shared" si="81"/>
        <v>510 N Broad St, Philadelphia, PA, 19130</v>
      </c>
      <c r="AE2233" s="1" t="str">
        <f t="shared" si="82"/>
        <v>540 N 13TH ST</v>
      </c>
      <c r="AF2233" s="1">
        <f t="shared" si="83"/>
        <v>39.963005010000003</v>
      </c>
      <c r="AG2233" s="1">
        <f t="shared" si="84"/>
        <v>-75.159286499999993</v>
      </c>
      <c r="AH2233" s="1" t="str">
        <f>IF(I2233=0,"Not contacted",IF(INDEX('Staff Review'!$J$8:$J$507,I2233)="","Not contacted",INDEX('Staff Review'!$J$8:$J$507,I2233)))</f>
        <v>Not contacted</v>
      </c>
      <c r="AI2233" s="1" t="str">
        <f ca="1">IF(I2233=0,"No",IF(AND(COUNT(INDEX('Staff Review'!$D$8:$D$507,I2233))=1,INDEX('Staff Review'!$D$8:$D$507,I2233)&gt;=0,COUNT(INDEX('Staff Review'!$E$8:$E$507,I2233))=1,INDEX('Staff Review'!$E$8:$E$507,I2233)&gt;0,INDEX('Staff Review'!$E$8:$E$507,I2233)&lt;='Top 25'!$E$5,'Top 25'!$E$5-INDEX('Staff Review'!$E$8:$E$507,I2233)&lt;='Top 25'!$H$5,LEN(INDEX('Staff Review'!$H$8:$H$507,I2233))&gt;0),"Yes","No"))</f>
        <v>No</v>
      </c>
      <c r="AJ2233" s="1" t="str">
        <f>IF(I2233=0,"No",IF(COUNT(INDEX('Staff Review'!$F$8:$F$507,I2233))&lt;&gt;1,"No",IF(AND(INDEX('Staff Review'!$F$8:$F$507,I2233)&gt;=0,MOD(INDEX('Staff Review'!$F$8:$F$507,I2233),1)=0,COUNT(INDEX('Staff Review'!$G$8:$G$507,I2233))=1,INDEX('Staff Review'!$G$8:$G$507,I2233)&gt;0,INDEX('Staff Review'!$G$8:$G$507,I2233)&lt;='Top 25'!$E$5,'Top 25'!$E$5-INDEX('Staff Review'!$G$8:$G$507,I2233)&lt;='Top 25'!$H$5,LEN(INDEX('Staff Review'!$H$8:$H$507,I2233))&gt;0),"Yes","No")))</f>
        <v>No</v>
      </c>
      <c r="AK2233" s="1">
        <f t="shared" si="85"/>
        <v>1</v>
      </c>
      <c r="AL2233" s="1">
        <f t="shared" ca="1" si="86"/>
        <v>1</v>
      </c>
      <c r="AM2233" s="1">
        <f t="shared" si="87"/>
        <v>5080</v>
      </c>
      <c r="AN2233" s="1">
        <f t="shared" si="88"/>
        <v>183</v>
      </c>
      <c r="AO2233">
        <f t="shared" ca="1" si="89"/>
        <v>275</v>
      </c>
      <c r="AP2233" s="105">
        <f ca="1">IF(AND(AL2233=1,OR('Top 25'!$A$10="All",C2233='Top 25'!$A$10),OR('Top 25'!$D$10="All",D2233='Top 25'!$D$10)),1,0)</f>
        <v>0</v>
      </c>
      <c r="AQ2233" s="105" t="str">
        <f ca="1">IF(AP2233=0,"",CHOOSE(MATCH('Top 25'!$G$10,{"Priority score","Economic need","Enrollment","Fresh miles","Nearby resources"},0),T2233,G2233,F2233,K2233,L2233))</f>
        <v/>
      </c>
      <c r="AR2233" s="105" t="str">
        <f ca="1">IF(AP2233=0,"",1+COUNTIFS($AP$2051:$AP$2550,1,$AQ$2051:$AQ$2550,IF('Top 25'!$J$10="Ascending","&lt;","&gt;")&amp;AQ2233)+COUNTIFS($AP$2051:$AP$2550,1,$AQ$2051:$AQ$2550,AQ2233,$W$2051:$W$2550,"&lt;"&amp;W2233))</f>
        <v/>
      </c>
      <c r="AT2233" s="105">
        <f ca="1">IF(AND(AL2233=1,OR(Master_rankableSchools!$A$10="All",C2233=Master_rankableSchools!$A$10),OR(Master_rankableSchools!$D$10="All",D2233=Master_rankableSchools!$D$10)),1,0)</f>
        <v>1</v>
      </c>
      <c r="AU2233" s="105">
        <f ca="1">IF(AT2233=0,"",CHOOSE(MATCH(Master_rankableSchools!$G$10,{"Priority score","Economic need","Enrollment","Fresh miles","Nearby resources"},0),T2233,G2233,F2233,K2233,L2233))</f>
        <v>23</v>
      </c>
      <c r="AV2233" s="105">
        <f ca="1">IF(AT2233=0,"",1+COUNTIFS($AT$2051:$AT$2550,1,$AU$2051:$AU$2550,IF(Master_rankableSchools!$J$10="Ascending","&lt;","&gt;")&amp;AU2233)+COUNTIFS($AT$2051:$AT$2550,1,$AU$2051:$AU$2550,AU2233,$W$2051:$W$2550,"&lt;"&amp;W2233))</f>
        <v>275</v>
      </c>
    </row>
    <row r="2234" spans="1:48" ht="22" customHeight="1">
      <c r="A2234" s="1" t="str">
        <f t="shared" si="60"/>
        <v>5090</v>
      </c>
      <c r="B2234" s="1" t="str">
        <f t="shared" si="61"/>
        <v>Parkway West High School</v>
      </c>
      <c r="C2234" s="1" t="str">
        <f t="shared" si="62"/>
        <v>District</v>
      </c>
      <c r="D2234" s="1" t="str">
        <f t="shared" si="63"/>
        <v>High</v>
      </c>
      <c r="E2234" s="1" t="str">
        <f t="shared" si="64"/>
        <v>19139</v>
      </c>
      <c r="F2234" s="1">
        <f t="shared" si="65"/>
        <v>140</v>
      </c>
      <c r="G2234" s="1">
        <f t="shared" si="66"/>
        <v>0.76419999999999999</v>
      </c>
      <c r="H2234" s="1" t="str">
        <f t="shared" si="67"/>
        <v>Yes</v>
      </c>
      <c r="I2234" s="1">
        <f>IF(OR(A2234="",COUNTIFS('Staff Review'!$A$8:$A$507,A2234)&lt;&gt;1),0,MATCH(A2234,'Staff Review'!$A$8:$A$507,0))</f>
        <v>224</v>
      </c>
      <c r="J2234" s="1" t="str">
        <f>IF(I2234=0,"No",IF(INDEX('Staff Review'!$C$8:$C$507,I2234)="Yes","Yes","No"))</f>
        <v>No</v>
      </c>
      <c r="K2234" s="1">
        <f ca="1">IF(AI2234="Yes",INDEX('Staff Review'!$D$8:$D$507,I2234),IF(AB2234=0,"",IF(COUNT(INDEX($C$1531:$C$2030,AB2234))=1,INDEX($C$1531:$C$2030,AB2234),"")))</f>
        <v>0.36728004506671763</v>
      </c>
      <c r="L2234" s="1">
        <f>IF(AJ2234="Yes",INDEX('Staff Review'!$F$8:$F$507,I2234),IF(AB2234=0,"",IF(COUNT(INDEX($G$1531:$G$2030,AB2234))=1,INDEX($G$1531:$G$2030,AB2234),"")))</f>
        <v>14</v>
      </c>
      <c r="M2234" s="1" t="str">
        <f t="shared" ca="1" si="68"/>
        <v>Listed</v>
      </c>
      <c r="N2234" s="1" t="str">
        <f t="shared" si="69"/>
        <v>Listed</v>
      </c>
      <c r="O2234" s="1">
        <f t="shared" si="70"/>
        <v>20</v>
      </c>
      <c r="P2234" s="1">
        <f t="shared" ca="1" si="71"/>
        <v>10</v>
      </c>
      <c r="Q2234" s="1">
        <f t="shared" si="72"/>
        <v>0</v>
      </c>
      <c r="R2234" s="1">
        <f t="shared" si="73"/>
        <v>1</v>
      </c>
      <c r="S2234" s="1">
        <f t="shared" ca="1" si="74"/>
        <v>31</v>
      </c>
      <c r="T2234" s="1">
        <f ca="1">IF(OR(COUNT(O2234:R2234)&lt;&gt;4,COUNT('Top 25'!$B$45:$E$45)&lt;&gt;4,MIN('Top 25'!$B$45:$E$45)&lt;0,SUM('Top 25'!$B$45:$E$45)&lt;=0),"",ROUND(85*(O2234/30*'Top 25'!$B$45+P2234/25*'Top 25'!$C$45+Q2234/25*'Top 25'!$D$45+R2234/5*'Top 25'!$E$45)/SUM('Top 25'!$B$45:$E$45),6))</f>
        <v>31</v>
      </c>
      <c r="U2234" s="1" t="str">
        <f t="shared" ca="1" si="75"/>
        <v>Listed</v>
      </c>
      <c r="V2234" s="1" t="str">
        <f ca="1">IF(A2234="","",IF(AK2234&lt;&gt;1,"Duplicate source ID",IF(COUNTIFS('Staff Review'!$A$8:$A$507,A2234)&gt;1,"Duplicate review ID",IF(H2234&lt;&gt;"Yes","Outside scope",IF(J2234="Yes","Already served",IF(NOT(ISNUMBER(T2234)),"Missing data","Candidate"))))))</f>
        <v>Candidate</v>
      </c>
      <c r="W2234" s="1">
        <f t="shared" ca="1" si="76"/>
        <v>252</v>
      </c>
      <c r="X2234" s="1">
        <f t="shared" ca="1" si="77"/>
        <v>251</v>
      </c>
      <c r="Y2234" s="1">
        <f ca="1">IF(AND(H2234="Yes",OR(LEN('School Search'!$B$5)=0,ISNUMBER(SEARCH('School Search'!$B$5,B2234&amp;" "&amp;E2234&amp;" "&amp;A2234))),OR('School Search'!$D$5="All",C2234='School Search'!$D$5),OR('School Search'!$G$5="All eligible",AND('School Search'!$G$5="Not marked served",J2234&lt;&gt;"Yes"),AND('School Search'!$G$5="Missing data",V2234="Missing data"),AND('School Search'!$G$5="Marked served",J2234="Yes"))),1,0)</f>
        <v>1</v>
      </c>
      <c r="Z2234" s="1">
        <f ca="1">IF(Y2234=0,"",COUNTIFS($Y$2051:$Y$2550,1,$AO$2051:$AO$2550,"&lt;"&amp;AO2234)+COUNTIFS($Y$2051:Y2234,1,$AO$2051:AO2234,AO2234))</f>
        <v>252</v>
      </c>
      <c r="AA2234" s="1" t="str">
        <f t="shared" ca="1" si="78"/>
        <v>76% economic need; 0.37 mi fresh access; 14 nearby resources</v>
      </c>
      <c r="AB2234" s="1">
        <f t="shared" si="79"/>
        <v>184</v>
      </c>
      <c r="AC2234" s="1" t="str">
        <f t="shared" si="80"/>
        <v>ALDI 54</v>
      </c>
      <c r="AD2234" s="1" t="str">
        <f t="shared" si="81"/>
        <v>4421 Market St, Philadelphia, PA, 19104</v>
      </c>
      <c r="AE2234" s="1" t="str">
        <f t="shared" si="82"/>
        <v>4725 FAIRMOUNT AVE</v>
      </c>
      <c r="AF2234" s="1">
        <f t="shared" si="83"/>
        <v>39.964253790000001</v>
      </c>
      <c r="AG2234" s="1">
        <f t="shared" si="84"/>
        <v>-75.215467039999993</v>
      </c>
      <c r="AH2234" s="1" t="str">
        <f>IF(I2234=0,"Not contacted",IF(INDEX('Staff Review'!$J$8:$J$507,I2234)="","Not contacted",INDEX('Staff Review'!$J$8:$J$507,I2234)))</f>
        <v>Not contacted</v>
      </c>
      <c r="AI2234" s="1" t="str">
        <f ca="1">IF(I2234=0,"No",IF(AND(COUNT(INDEX('Staff Review'!$D$8:$D$507,I2234))=1,INDEX('Staff Review'!$D$8:$D$507,I2234)&gt;=0,COUNT(INDEX('Staff Review'!$E$8:$E$507,I2234))=1,INDEX('Staff Review'!$E$8:$E$507,I2234)&gt;0,INDEX('Staff Review'!$E$8:$E$507,I2234)&lt;='Top 25'!$E$5,'Top 25'!$E$5-INDEX('Staff Review'!$E$8:$E$507,I2234)&lt;='Top 25'!$H$5,LEN(INDEX('Staff Review'!$H$8:$H$507,I2234))&gt;0),"Yes","No"))</f>
        <v>No</v>
      </c>
      <c r="AJ2234" s="1" t="str">
        <f>IF(I2234=0,"No",IF(COUNT(INDEX('Staff Review'!$F$8:$F$507,I2234))&lt;&gt;1,"No",IF(AND(INDEX('Staff Review'!$F$8:$F$507,I2234)&gt;=0,MOD(INDEX('Staff Review'!$F$8:$F$507,I2234),1)=0,COUNT(INDEX('Staff Review'!$G$8:$G$507,I2234))=1,INDEX('Staff Review'!$G$8:$G$507,I2234)&gt;0,INDEX('Staff Review'!$G$8:$G$507,I2234)&lt;='Top 25'!$E$5,'Top 25'!$E$5-INDEX('Staff Review'!$G$8:$G$507,I2234)&lt;='Top 25'!$H$5,LEN(INDEX('Staff Review'!$H$8:$H$507,I2234))&gt;0),"Yes","No")))</f>
        <v>No</v>
      </c>
      <c r="AK2234" s="1">
        <f t="shared" si="85"/>
        <v>1</v>
      </c>
      <c r="AL2234" s="1">
        <f t="shared" ca="1" si="86"/>
        <v>1</v>
      </c>
      <c r="AM2234" s="1">
        <f t="shared" si="87"/>
        <v>5090</v>
      </c>
      <c r="AN2234" s="1">
        <f t="shared" si="88"/>
        <v>184</v>
      </c>
      <c r="AO2234">
        <f t="shared" ca="1" si="89"/>
        <v>252</v>
      </c>
      <c r="AP2234" s="105">
        <f ca="1">IF(AND(AL2234=1,OR('Top 25'!$A$10="All",C2234='Top 25'!$A$10),OR('Top 25'!$D$10="All",D2234='Top 25'!$D$10)),1,0)</f>
        <v>0</v>
      </c>
      <c r="AQ2234" s="105" t="str">
        <f ca="1">IF(AP2234=0,"",CHOOSE(MATCH('Top 25'!$G$10,{"Priority score","Economic need","Enrollment","Fresh miles","Nearby resources"},0),T2234,G2234,F2234,K2234,L2234))</f>
        <v/>
      </c>
      <c r="AR2234" s="105" t="str">
        <f ca="1">IF(AP2234=0,"",1+COUNTIFS($AP$2051:$AP$2550,1,$AQ$2051:$AQ$2550,IF('Top 25'!$J$10="Ascending","&lt;","&gt;")&amp;AQ2234)+COUNTIFS($AP$2051:$AP$2550,1,$AQ$2051:$AQ$2550,AQ2234,$W$2051:$W$2550,"&lt;"&amp;W2234))</f>
        <v/>
      </c>
      <c r="AT2234" s="105">
        <f ca="1">IF(AND(AL2234=1,OR(Master_rankableSchools!$A$10="All",C2234=Master_rankableSchools!$A$10),OR(Master_rankableSchools!$D$10="All",D2234=Master_rankableSchools!$D$10)),1,0)</f>
        <v>1</v>
      </c>
      <c r="AU2234" s="105">
        <f ca="1">IF(AT2234=0,"",CHOOSE(MATCH(Master_rankableSchools!$G$10,{"Priority score","Economic need","Enrollment","Fresh miles","Nearby resources"},0),T2234,G2234,F2234,K2234,L2234))</f>
        <v>31</v>
      </c>
      <c r="AV2234" s="105">
        <f ca="1">IF(AT2234=0,"",1+COUNTIFS($AT$2051:$AT$2550,1,$AU$2051:$AU$2550,IF(Master_rankableSchools!$J$10="Ascending","&lt;","&gt;")&amp;AU2234)+COUNTIFS($AT$2051:$AT$2550,1,$AU$2051:$AU$2550,AU2234,$W$2051:$W$2550,"&lt;"&amp;W2234))</f>
        <v>252</v>
      </c>
    </row>
    <row r="2235" spans="1:48" ht="22" customHeight="1">
      <c r="A2235" s="1" t="str">
        <f t="shared" si="60"/>
        <v>5150</v>
      </c>
      <c r="B2235" s="1" t="str">
        <f t="shared" si="61"/>
        <v>William W. Bodine High School</v>
      </c>
      <c r="C2235" s="1" t="str">
        <f t="shared" si="62"/>
        <v>District</v>
      </c>
      <c r="D2235" s="1" t="str">
        <f t="shared" si="63"/>
        <v>High</v>
      </c>
      <c r="E2235" s="1" t="str">
        <f t="shared" si="64"/>
        <v>19123</v>
      </c>
      <c r="F2235" s="1">
        <f t="shared" si="65"/>
        <v>523</v>
      </c>
      <c r="G2235" s="1">
        <f t="shared" si="66"/>
        <v>0.70679999999999998</v>
      </c>
      <c r="H2235" s="1" t="str">
        <f t="shared" si="67"/>
        <v>Yes</v>
      </c>
      <c r="I2235" s="1">
        <f>IF(OR(A2235="",COUNTIFS('Staff Review'!$A$8:$A$507,A2235)&lt;&gt;1),0,MATCH(A2235,'Staff Review'!$A$8:$A$507,0))</f>
        <v>325</v>
      </c>
      <c r="J2235" s="1" t="str">
        <f>IF(I2235=0,"No",IF(INDEX('Staff Review'!$C$8:$C$507,I2235)="Yes","Yes","No"))</f>
        <v>No</v>
      </c>
      <c r="K2235" s="1">
        <f ca="1">IF(AI2235="Yes",INDEX('Staff Review'!$D$8:$D$507,I2235),IF(AB2235=0,"",IF(COUNT(INDEX($C$1531:$C$2030,AB2235))=1,INDEX($C$1531:$C$2030,AB2235),"")))</f>
        <v>0.18327217006672497</v>
      </c>
      <c r="L2235" s="1">
        <f>IF(AJ2235="Yes",INDEX('Staff Review'!$F$8:$F$507,I2235),IF(AB2235=0,"",IF(COUNT(INDEX($G$1531:$G$2030,AB2235))=1,INDEX($G$1531:$G$2030,AB2235),"")))</f>
        <v>10</v>
      </c>
      <c r="M2235" s="1" t="str">
        <f t="shared" ca="1" si="68"/>
        <v>Listed</v>
      </c>
      <c r="N2235" s="1" t="str">
        <f t="shared" si="69"/>
        <v>Listed</v>
      </c>
      <c r="O2235" s="1">
        <f t="shared" si="70"/>
        <v>20</v>
      </c>
      <c r="P2235" s="1">
        <f t="shared" ca="1" si="71"/>
        <v>5</v>
      </c>
      <c r="Q2235" s="1">
        <f t="shared" si="72"/>
        <v>0</v>
      </c>
      <c r="R2235" s="1">
        <f t="shared" si="73"/>
        <v>4</v>
      </c>
      <c r="S2235" s="1">
        <f t="shared" ca="1" si="74"/>
        <v>29</v>
      </c>
      <c r="T2235" s="1">
        <f ca="1">IF(OR(COUNT(O2235:R2235)&lt;&gt;4,COUNT('Top 25'!$B$45:$E$45)&lt;&gt;4,MIN('Top 25'!$B$45:$E$45)&lt;0,SUM('Top 25'!$B$45:$E$45)&lt;=0),"",ROUND(85*(O2235/30*'Top 25'!$B$45+P2235/25*'Top 25'!$C$45+Q2235/25*'Top 25'!$D$45+R2235/5*'Top 25'!$E$45)/SUM('Top 25'!$B$45:$E$45),6))</f>
        <v>29</v>
      </c>
      <c r="U2235" s="1" t="str">
        <f t="shared" ca="1" si="75"/>
        <v>Listed</v>
      </c>
      <c r="V2235" s="1" t="str">
        <f ca="1">IF(A2235="","",IF(AK2235&lt;&gt;1,"Duplicate source ID",IF(COUNTIFS('Staff Review'!$A$8:$A$507,A2235)&gt;1,"Duplicate review ID",IF(H2235&lt;&gt;"Yes","Outside scope",IF(J2235="Yes","Already served",IF(NOT(ISNUMBER(T2235)),"Missing data","Candidate"))))))</f>
        <v>Candidate</v>
      </c>
      <c r="W2235" s="1">
        <f t="shared" ca="1" si="76"/>
        <v>264</v>
      </c>
      <c r="X2235" s="1">
        <f t="shared" ca="1" si="77"/>
        <v>263</v>
      </c>
      <c r="Y2235" s="1">
        <f ca="1">IF(AND(H2235="Yes",OR(LEN('School Search'!$B$5)=0,ISNUMBER(SEARCH('School Search'!$B$5,B2235&amp;" "&amp;E2235&amp;" "&amp;A2235))),OR('School Search'!$D$5="All",C2235='School Search'!$D$5),OR('School Search'!$G$5="All eligible",AND('School Search'!$G$5="Not marked served",J2235&lt;&gt;"Yes"),AND('School Search'!$G$5="Missing data",V2235="Missing data"),AND('School Search'!$G$5="Marked served",J2235="Yes"))),1,0)</f>
        <v>1</v>
      </c>
      <c r="Z2235" s="1">
        <f ca="1">IF(Y2235=0,"",COUNTIFS($Y$2051:$Y$2550,1,$AO$2051:$AO$2550,"&lt;"&amp;AO2235)+COUNTIFS($Y$2051:Y2235,1,$AO$2051:AO2235,AO2235))</f>
        <v>264</v>
      </c>
      <c r="AA2235" s="1" t="str">
        <f t="shared" ca="1" si="78"/>
        <v>71% economic need; 0.18 mi fresh access; 10 nearby resources</v>
      </c>
      <c r="AB2235" s="1">
        <f t="shared" si="79"/>
        <v>185</v>
      </c>
      <c r="AC2235" s="1" t="str">
        <f t="shared" si="80"/>
        <v>Giant Heirloom Market 6552</v>
      </c>
      <c r="AD2235" s="1" t="str">
        <f t="shared" si="81"/>
        <v>1004 N 2nd St, Philadelphia, PA, 19123</v>
      </c>
      <c r="AE2235" s="1" t="str">
        <f t="shared" si="82"/>
        <v>1101 N 4TH ST</v>
      </c>
      <c r="AF2235" s="1">
        <f t="shared" si="83"/>
        <v>39.967930260000003</v>
      </c>
      <c r="AG2235" s="1">
        <f t="shared" si="84"/>
        <v>-75.143434429999999</v>
      </c>
      <c r="AH2235" s="1" t="str">
        <f>IF(I2235=0,"Not contacted",IF(INDEX('Staff Review'!$J$8:$J$507,I2235)="","Not contacted",INDEX('Staff Review'!$J$8:$J$507,I2235)))</f>
        <v>Not contacted</v>
      </c>
      <c r="AI2235" s="1" t="str">
        <f ca="1">IF(I2235=0,"No",IF(AND(COUNT(INDEX('Staff Review'!$D$8:$D$507,I2235))=1,INDEX('Staff Review'!$D$8:$D$507,I2235)&gt;=0,COUNT(INDEX('Staff Review'!$E$8:$E$507,I2235))=1,INDEX('Staff Review'!$E$8:$E$507,I2235)&gt;0,INDEX('Staff Review'!$E$8:$E$507,I2235)&lt;='Top 25'!$E$5,'Top 25'!$E$5-INDEX('Staff Review'!$E$8:$E$507,I2235)&lt;='Top 25'!$H$5,LEN(INDEX('Staff Review'!$H$8:$H$507,I2235))&gt;0),"Yes","No"))</f>
        <v>No</v>
      </c>
      <c r="AJ2235" s="1" t="str">
        <f>IF(I2235=0,"No",IF(COUNT(INDEX('Staff Review'!$F$8:$F$507,I2235))&lt;&gt;1,"No",IF(AND(INDEX('Staff Review'!$F$8:$F$507,I2235)&gt;=0,MOD(INDEX('Staff Review'!$F$8:$F$507,I2235),1)=0,COUNT(INDEX('Staff Review'!$G$8:$G$507,I2235))=1,INDEX('Staff Review'!$G$8:$G$507,I2235)&gt;0,INDEX('Staff Review'!$G$8:$G$507,I2235)&lt;='Top 25'!$E$5,'Top 25'!$E$5-INDEX('Staff Review'!$G$8:$G$507,I2235)&lt;='Top 25'!$H$5,LEN(INDEX('Staff Review'!$H$8:$H$507,I2235))&gt;0),"Yes","No")))</f>
        <v>No</v>
      </c>
      <c r="AK2235" s="1">
        <f t="shared" si="85"/>
        <v>1</v>
      </c>
      <c r="AL2235" s="1">
        <f t="shared" ca="1" si="86"/>
        <v>1</v>
      </c>
      <c r="AM2235" s="1">
        <f t="shared" si="87"/>
        <v>5150</v>
      </c>
      <c r="AN2235" s="1">
        <f t="shared" si="88"/>
        <v>185</v>
      </c>
      <c r="AO2235">
        <f t="shared" ca="1" si="89"/>
        <v>264</v>
      </c>
      <c r="AP2235" s="105">
        <f ca="1">IF(AND(AL2235=1,OR('Top 25'!$A$10="All",C2235='Top 25'!$A$10),OR('Top 25'!$D$10="All",D2235='Top 25'!$D$10)),1,0)</f>
        <v>0</v>
      </c>
      <c r="AQ2235" s="105" t="str">
        <f ca="1">IF(AP2235=0,"",CHOOSE(MATCH('Top 25'!$G$10,{"Priority score","Economic need","Enrollment","Fresh miles","Nearby resources"},0),T2235,G2235,F2235,K2235,L2235))</f>
        <v/>
      </c>
      <c r="AR2235" s="105" t="str">
        <f ca="1">IF(AP2235=0,"",1+COUNTIFS($AP$2051:$AP$2550,1,$AQ$2051:$AQ$2550,IF('Top 25'!$J$10="Ascending","&lt;","&gt;")&amp;AQ2235)+COUNTIFS($AP$2051:$AP$2550,1,$AQ$2051:$AQ$2550,AQ2235,$W$2051:$W$2550,"&lt;"&amp;W2235))</f>
        <v/>
      </c>
      <c r="AT2235" s="105">
        <f ca="1">IF(AND(AL2235=1,OR(Master_rankableSchools!$A$10="All",C2235=Master_rankableSchools!$A$10),OR(Master_rankableSchools!$D$10="All",D2235=Master_rankableSchools!$D$10)),1,0)</f>
        <v>1</v>
      </c>
      <c r="AU2235" s="105">
        <f ca="1">IF(AT2235=0,"",CHOOSE(MATCH(Master_rankableSchools!$G$10,{"Priority score","Economic need","Enrollment","Fresh miles","Nearby resources"},0),T2235,G2235,F2235,K2235,L2235))</f>
        <v>29</v>
      </c>
      <c r="AV2235" s="105">
        <f ca="1">IF(AT2235=0,"",1+COUNTIFS($AT$2051:$AT$2550,1,$AU$2051:$AU$2550,IF(Master_rankableSchools!$J$10="Ascending","&lt;","&gt;")&amp;AU2235)+COUNTIFS($AT$2051:$AT$2550,1,$AU$2051:$AU$2550,AU2235,$W$2051:$W$2550,"&lt;"&amp;W2235))</f>
        <v>264</v>
      </c>
    </row>
    <row r="2236" spans="1:48" ht="22" customHeight="1">
      <c r="A2236" s="1" t="str">
        <f t="shared" si="60"/>
        <v>5160</v>
      </c>
      <c r="B2236" s="1" t="str">
        <f t="shared" si="61"/>
        <v>Penn Treaty School</v>
      </c>
      <c r="C2236" s="1" t="str">
        <f t="shared" si="62"/>
        <v>District</v>
      </c>
      <c r="D2236" s="1" t="str">
        <f t="shared" si="63"/>
        <v>Middle-High</v>
      </c>
      <c r="E2236" s="1" t="str">
        <f t="shared" si="64"/>
        <v>19125</v>
      </c>
      <c r="F2236" s="1">
        <f t="shared" si="65"/>
        <v>345</v>
      </c>
      <c r="G2236" s="1">
        <f t="shared" si="66"/>
        <v>0.79149999999999998</v>
      </c>
      <c r="H2236" s="1" t="str">
        <f t="shared" si="67"/>
        <v>Yes</v>
      </c>
      <c r="I2236" s="1">
        <f>IF(OR(A2236="",COUNTIFS('Staff Review'!$A$8:$A$507,A2236)&lt;&gt;1),0,MATCH(A2236,'Staff Review'!$A$8:$A$507,0))</f>
        <v>227</v>
      </c>
      <c r="J2236" s="1" t="str">
        <f>IF(I2236=0,"No",IF(INDEX('Staff Review'!$C$8:$C$507,I2236)="Yes","Yes","No"))</f>
        <v>No</v>
      </c>
      <c r="K2236" s="1">
        <f ca="1">IF(AI2236="Yes",INDEX('Staff Review'!$D$8:$D$507,I2236),IF(AB2236=0,"",IF(COUNT(INDEX($C$1531:$C$2030,AB2236))=1,INDEX($C$1531:$C$2030,AB2236),"")))</f>
        <v>0.49568608739377595</v>
      </c>
      <c r="L2236" s="1">
        <f>IF(AJ2236="Yes",INDEX('Staff Review'!$F$8:$F$507,I2236),IF(AB2236=0,"",IF(COUNT(INDEX($G$1531:$G$2030,AB2236))=1,INDEX($G$1531:$G$2030,AB2236),"")))</f>
        <v>4</v>
      </c>
      <c r="M2236" s="1" t="str">
        <f t="shared" ca="1" si="68"/>
        <v>Listed</v>
      </c>
      <c r="N2236" s="1" t="str">
        <f t="shared" si="69"/>
        <v>Listed</v>
      </c>
      <c r="O2236" s="1">
        <f t="shared" si="70"/>
        <v>20</v>
      </c>
      <c r="P2236" s="1">
        <f t="shared" ca="1" si="71"/>
        <v>10</v>
      </c>
      <c r="Q2236" s="1">
        <f t="shared" si="72"/>
        <v>5</v>
      </c>
      <c r="R2236" s="1">
        <f t="shared" si="73"/>
        <v>2</v>
      </c>
      <c r="S2236" s="1">
        <f t="shared" ca="1" si="74"/>
        <v>37</v>
      </c>
      <c r="T2236" s="1">
        <f ca="1">IF(OR(COUNT(O2236:R2236)&lt;&gt;4,COUNT('Top 25'!$B$45:$E$45)&lt;&gt;4,MIN('Top 25'!$B$45:$E$45)&lt;0,SUM('Top 25'!$B$45:$E$45)&lt;=0),"",ROUND(85*(O2236/30*'Top 25'!$B$45+P2236/25*'Top 25'!$C$45+Q2236/25*'Top 25'!$D$45+R2236/5*'Top 25'!$E$45)/SUM('Top 25'!$B$45:$E$45),6))</f>
        <v>37</v>
      </c>
      <c r="U2236" s="1" t="str">
        <f t="shared" ca="1" si="75"/>
        <v>Listed</v>
      </c>
      <c r="V2236" s="1" t="str">
        <f ca="1">IF(A2236="","",IF(AK2236&lt;&gt;1,"Duplicate source ID",IF(COUNTIFS('Staff Review'!$A$8:$A$507,A2236)&gt;1,"Duplicate review ID",IF(H2236&lt;&gt;"Yes","Outside scope",IF(J2236="Yes","Already served",IF(NOT(ISNUMBER(T2236)),"Missing data","Candidate"))))))</f>
        <v>Candidate</v>
      </c>
      <c r="W2236" s="1">
        <f t="shared" ca="1" si="76"/>
        <v>203</v>
      </c>
      <c r="X2236" s="1">
        <f t="shared" ca="1" si="77"/>
        <v>182</v>
      </c>
      <c r="Y2236" s="1">
        <f ca="1">IF(AND(H2236="Yes",OR(LEN('School Search'!$B$5)=0,ISNUMBER(SEARCH('School Search'!$B$5,B2236&amp;" "&amp;E2236&amp;" "&amp;A2236))),OR('School Search'!$D$5="All",C2236='School Search'!$D$5),OR('School Search'!$G$5="All eligible",AND('School Search'!$G$5="Not marked served",J2236&lt;&gt;"Yes"),AND('School Search'!$G$5="Missing data",V2236="Missing data"),AND('School Search'!$G$5="Marked served",J2236="Yes"))),1,0)</f>
        <v>1</v>
      </c>
      <c r="Z2236" s="1">
        <f ca="1">IF(Y2236=0,"",COUNTIFS($Y$2051:$Y$2550,1,$AO$2051:$AO$2550,"&lt;"&amp;AO2236)+COUNTIFS($Y$2051:Y2236,1,$AO$2051:AO2236,AO2236))</f>
        <v>203</v>
      </c>
      <c r="AA2236" s="1" t="str">
        <f t="shared" ca="1" si="78"/>
        <v>79% economic need; 0.50 mi fresh access; 4 nearby resources</v>
      </c>
      <c r="AB2236" s="1">
        <f t="shared" si="79"/>
        <v>186</v>
      </c>
      <c r="AC2236" s="1" t="str">
        <f t="shared" si="80"/>
        <v>PORT RICHMOND THRIFTWAY</v>
      </c>
      <c r="AD2236" s="1" t="str">
        <f t="shared" si="81"/>
        <v>2497 Aramingo Ave, Philadelphia, PA, 19125</v>
      </c>
      <c r="AE2236" s="1" t="str">
        <f t="shared" si="82"/>
        <v>600 E THOMPSON ST</v>
      </c>
      <c r="AF2236" s="1">
        <f t="shared" si="83"/>
        <v>39.972727110000001</v>
      </c>
      <c r="AG2236" s="1">
        <f t="shared" si="84"/>
        <v>-75.127870079999994</v>
      </c>
      <c r="AH2236" s="1" t="str">
        <f>IF(I2236=0,"Not contacted",IF(INDEX('Staff Review'!$J$8:$J$507,I2236)="","Not contacted",INDEX('Staff Review'!$J$8:$J$507,I2236)))</f>
        <v>Not contacted</v>
      </c>
      <c r="AI2236" s="1" t="str">
        <f ca="1">IF(I2236=0,"No",IF(AND(COUNT(INDEX('Staff Review'!$D$8:$D$507,I2236))=1,INDEX('Staff Review'!$D$8:$D$507,I2236)&gt;=0,COUNT(INDEX('Staff Review'!$E$8:$E$507,I2236))=1,INDEX('Staff Review'!$E$8:$E$507,I2236)&gt;0,INDEX('Staff Review'!$E$8:$E$507,I2236)&lt;='Top 25'!$E$5,'Top 25'!$E$5-INDEX('Staff Review'!$E$8:$E$507,I2236)&lt;='Top 25'!$H$5,LEN(INDEX('Staff Review'!$H$8:$H$507,I2236))&gt;0),"Yes","No"))</f>
        <v>No</v>
      </c>
      <c r="AJ2236" s="1" t="str">
        <f>IF(I2236=0,"No",IF(COUNT(INDEX('Staff Review'!$F$8:$F$507,I2236))&lt;&gt;1,"No",IF(AND(INDEX('Staff Review'!$F$8:$F$507,I2236)&gt;=0,MOD(INDEX('Staff Review'!$F$8:$F$507,I2236),1)=0,COUNT(INDEX('Staff Review'!$G$8:$G$507,I2236))=1,INDEX('Staff Review'!$G$8:$G$507,I2236)&gt;0,INDEX('Staff Review'!$G$8:$G$507,I2236)&lt;='Top 25'!$E$5,'Top 25'!$E$5-INDEX('Staff Review'!$G$8:$G$507,I2236)&lt;='Top 25'!$H$5,LEN(INDEX('Staff Review'!$H$8:$H$507,I2236))&gt;0),"Yes","No")))</f>
        <v>No</v>
      </c>
      <c r="AK2236" s="1">
        <f t="shared" si="85"/>
        <v>1</v>
      </c>
      <c r="AL2236" s="1">
        <f t="shared" ca="1" si="86"/>
        <v>1</v>
      </c>
      <c r="AM2236" s="1">
        <f t="shared" si="87"/>
        <v>5160</v>
      </c>
      <c r="AN2236" s="1">
        <f t="shared" si="88"/>
        <v>186</v>
      </c>
      <c r="AO2236">
        <f t="shared" ca="1" si="89"/>
        <v>203</v>
      </c>
      <c r="AP2236" s="105">
        <f ca="1">IF(AND(AL2236=1,OR('Top 25'!$A$10="All",C2236='Top 25'!$A$10),OR('Top 25'!$D$10="All",D2236='Top 25'!$D$10)),1,0)</f>
        <v>0</v>
      </c>
      <c r="AQ2236" s="105" t="str">
        <f ca="1">IF(AP2236=0,"",CHOOSE(MATCH('Top 25'!$G$10,{"Priority score","Economic need","Enrollment","Fresh miles","Nearby resources"},0),T2236,G2236,F2236,K2236,L2236))</f>
        <v/>
      </c>
      <c r="AR2236" s="105" t="str">
        <f ca="1">IF(AP2236=0,"",1+COUNTIFS($AP$2051:$AP$2550,1,$AQ$2051:$AQ$2550,IF('Top 25'!$J$10="Ascending","&lt;","&gt;")&amp;AQ2236)+COUNTIFS($AP$2051:$AP$2550,1,$AQ$2051:$AQ$2550,AQ2236,$W$2051:$W$2550,"&lt;"&amp;W2236))</f>
        <v/>
      </c>
      <c r="AT2236" s="105">
        <f ca="1">IF(AND(AL2236=1,OR(Master_rankableSchools!$A$10="All",C2236=Master_rankableSchools!$A$10),OR(Master_rankableSchools!$D$10="All",D2236=Master_rankableSchools!$D$10)),1,0)</f>
        <v>1</v>
      </c>
      <c r="AU2236" s="105">
        <f ca="1">IF(AT2236=0,"",CHOOSE(MATCH(Master_rankableSchools!$G$10,{"Priority score","Economic need","Enrollment","Fresh miles","Nearby resources"},0),T2236,G2236,F2236,K2236,L2236))</f>
        <v>37</v>
      </c>
      <c r="AV2236" s="105">
        <f ca="1">IF(AT2236=0,"",1+COUNTIFS($AT$2051:$AT$2550,1,$AU$2051:$AU$2550,IF(Master_rankableSchools!$J$10="Ascending","&lt;","&gt;")&amp;AU2236)+COUNTIFS($AT$2051:$AT$2550,1,$AU$2051:$AU$2550,AU2236,$W$2051:$W$2550,"&lt;"&amp;W2236))</f>
        <v>203</v>
      </c>
    </row>
    <row r="2237" spans="1:48" ht="22" customHeight="1">
      <c r="A2237" s="1" t="str">
        <f t="shared" si="60"/>
        <v>5170</v>
      </c>
      <c r="B2237" s="1" t="str">
        <f t="shared" si="61"/>
        <v>Julia de Burgos School</v>
      </c>
      <c r="C2237" s="1" t="str">
        <f t="shared" si="62"/>
        <v>District</v>
      </c>
      <c r="D2237" s="1" t="str">
        <f t="shared" si="63"/>
        <v>Elementary-Middle</v>
      </c>
      <c r="E2237" s="1" t="str">
        <f t="shared" si="64"/>
        <v>19133</v>
      </c>
      <c r="F2237" s="1">
        <f t="shared" si="65"/>
        <v>512</v>
      </c>
      <c r="G2237" s="1">
        <f t="shared" si="66"/>
        <v>0.90029999999999999</v>
      </c>
      <c r="H2237" s="1" t="str">
        <f t="shared" si="67"/>
        <v>Yes</v>
      </c>
      <c r="I2237" s="1">
        <f>IF(OR(A2237="",COUNTIFS('Staff Review'!$A$8:$A$507,A2237)&lt;&gt;1),0,MATCH(A2237,'Staff Review'!$A$8:$A$507,0))</f>
        <v>151</v>
      </c>
      <c r="J2237" s="1" t="str">
        <f>IF(I2237=0,"No",IF(INDEX('Staff Review'!$C$8:$C$507,I2237)="Yes","Yes","No"))</f>
        <v>No</v>
      </c>
      <c r="K2237" s="1">
        <f ca="1">IF(AI2237="Yes",INDEX('Staff Review'!$D$8:$D$507,I2237),IF(AB2237=0,"",IF(COUNT(INDEX($C$1531:$C$2030,AB2237))=1,INDEX($C$1531:$C$2030,AB2237),"")))</f>
        <v>0.28858847730923592</v>
      </c>
      <c r="L2237" s="1">
        <f>IF(AJ2237="Yes",INDEX('Staff Review'!$F$8:$F$507,I2237),IF(AB2237=0,"",IF(COUNT(INDEX($G$1531:$G$2030,AB2237))=1,INDEX($G$1531:$G$2030,AB2237),"")))</f>
        <v>14</v>
      </c>
      <c r="M2237" s="1" t="str">
        <f t="shared" ca="1" si="68"/>
        <v>Listed</v>
      </c>
      <c r="N2237" s="1" t="str">
        <f t="shared" si="69"/>
        <v>Listed</v>
      </c>
      <c r="O2237" s="1">
        <f t="shared" si="70"/>
        <v>30</v>
      </c>
      <c r="P2237" s="1">
        <f t="shared" ca="1" si="71"/>
        <v>10</v>
      </c>
      <c r="Q2237" s="1">
        <f t="shared" si="72"/>
        <v>0</v>
      </c>
      <c r="R2237" s="1">
        <f t="shared" si="73"/>
        <v>4</v>
      </c>
      <c r="S2237" s="1">
        <f t="shared" ca="1" si="74"/>
        <v>44</v>
      </c>
      <c r="T2237" s="1">
        <f ca="1">IF(OR(COUNT(O2237:R2237)&lt;&gt;4,COUNT('Top 25'!$B$45:$E$45)&lt;&gt;4,MIN('Top 25'!$B$45:$E$45)&lt;0,SUM('Top 25'!$B$45:$E$45)&lt;=0),"",ROUND(85*(O2237/30*'Top 25'!$B$45+P2237/25*'Top 25'!$C$45+Q2237/25*'Top 25'!$D$45+R2237/5*'Top 25'!$E$45)/SUM('Top 25'!$B$45:$E$45),6))</f>
        <v>44</v>
      </c>
      <c r="U2237" s="1" t="str">
        <f t="shared" ca="1" si="75"/>
        <v>Listed</v>
      </c>
      <c r="V2237" s="1" t="str">
        <f ca="1">IF(A2237="","",IF(AK2237&lt;&gt;1,"Duplicate source ID",IF(COUNTIFS('Staff Review'!$A$8:$A$507,A2237)&gt;1,"Duplicate review ID",IF(H2237&lt;&gt;"Yes","Outside scope",IF(J2237="Yes","Already served",IF(NOT(ISNUMBER(T2237)),"Missing data","Candidate"))))))</f>
        <v>Candidate</v>
      </c>
      <c r="W2237" s="1">
        <f t="shared" ca="1" si="76"/>
        <v>84</v>
      </c>
      <c r="X2237" s="1">
        <f t="shared" ca="1" si="77"/>
        <v>81</v>
      </c>
      <c r="Y2237" s="1">
        <f ca="1">IF(AND(H2237="Yes",OR(LEN('School Search'!$B$5)=0,ISNUMBER(SEARCH('School Search'!$B$5,B2237&amp;" "&amp;E2237&amp;" "&amp;A2237))),OR('School Search'!$D$5="All",C2237='School Search'!$D$5),OR('School Search'!$G$5="All eligible",AND('School Search'!$G$5="Not marked served",J2237&lt;&gt;"Yes"),AND('School Search'!$G$5="Missing data",V2237="Missing data"),AND('School Search'!$G$5="Marked served",J2237="Yes"))),1,0)</f>
        <v>1</v>
      </c>
      <c r="Z2237" s="1">
        <f ca="1">IF(Y2237=0,"",COUNTIFS($Y$2051:$Y$2550,1,$AO$2051:$AO$2550,"&lt;"&amp;AO2237)+COUNTIFS($Y$2051:Y2237,1,$AO$2051:AO2237,AO2237))</f>
        <v>84</v>
      </c>
      <c r="AA2237" s="1" t="str">
        <f t="shared" ca="1" si="78"/>
        <v>90% economic need; 0.29 mi fresh access; 14 nearby resources</v>
      </c>
      <c r="AB2237" s="1">
        <f t="shared" si="79"/>
        <v>187</v>
      </c>
      <c r="AC2237" s="1" t="str">
        <f t="shared" si="80"/>
        <v>Save A Lot 60139</v>
      </c>
      <c r="AD2237" s="1" t="str">
        <f t="shared" si="81"/>
        <v>701 W Lehigh Ave, Philadelphia, PA, 19133</v>
      </c>
      <c r="AE2237" s="1" t="str">
        <f t="shared" si="82"/>
        <v>401 W LEHIGH AVE</v>
      </c>
      <c r="AF2237" s="1">
        <f t="shared" si="83"/>
        <v>39.992751640000002</v>
      </c>
      <c r="AG2237" s="1">
        <f t="shared" si="84"/>
        <v>-75.13862743</v>
      </c>
      <c r="AH2237" s="1" t="str">
        <f>IF(I2237=0,"Not contacted",IF(INDEX('Staff Review'!$J$8:$J$507,I2237)="","Not contacted",INDEX('Staff Review'!$J$8:$J$507,I2237)))</f>
        <v>Not contacted</v>
      </c>
      <c r="AI2237" s="1" t="str">
        <f ca="1">IF(I2237=0,"No",IF(AND(COUNT(INDEX('Staff Review'!$D$8:$D$507,I2237))=1,INDEX('Staff Review'!$D$8:$D$507,I2237)&gt;=0,COUNT(INDEX('Staff Review'!$E$8:$E$507,I2237))=1,INDEX('Staff Review'!$E$8:$E$507,I2237)&gt;0,INDEX('Staff Review'!$E$8:$E$507,I2237)&lt;='Top 25'!$E$5,'Top 25'!$E$5-INDEX('Staff Review'!$E$8:$E$507,I2237)&lt;='Top 25'!$H$5,LEN(INDEX('Staff Review'!$H$8:$H$507,I2237))&gt;0),"Yes","No"))</f>
        <v>No</v>
      </c>
      <c r="AJ2237" s="1" t="str">
        <f>IF(I2237=0,"No",IF(COUNT(INDEX('Staff Review'!$F$8:$F$507,I2237))&lt;&gt;1,"No",IF(AND(INDEX('Staff Review'!$F$8:$F$507,I2237)&gt;=0,MOD(INDEX('Staff Review'!$F$8:$F$507,I2237),1)=0,COUNT(INDEX('Staff Review'!$G$8:$G$507,I2237))=1,INDEX('Staff Review'!$G$8:$G$507,I2237)&gt;0,INDEX('Staff Review'!$G$8:$G$507,I2237)&lt;='Top 25'!$E$5,'Top 25'!$E$5-INDEX('Staff Review'!$G$8:$G$507,I2237)&lt;='Top 25'!$H$5,LEN(INDEX('Staff Review'!$H$8:$H$507,I2237))&gt;0),"Yes","No")))</f>
        <v>No</v>
      </c>
      <c r="AK2237" s="1">
        <f t="shared" si="85"/>
        <v>1</v>
      </c>
      <c r="AL2237" s="1">
        <f t="shared" ca="1" si="86"/>
        <v>1</v>
      </c>
      <c r="AM2237" s="1">
        <f t="shared" si="87"/>
        <v>5170</v>
      </c>
      <c r="AN2237" s="1">
        <f t="shared" si="88"/>
        <v>187</v>
      </c>
      <c r="AO2237">
        <f t="shared" ca="1" si="89"/>
        <v>84</v>
      </c>
      <c r="AP2237" s="105">
        <f ca="1">IF(AND(AL2237=1,OR('Top 25'!$A$10="All",C2237='Top 25'!$A$10),OR('Top 25'!$D$10="All",D2237='Top 25'!$D$10)),1,0)</f>
        <v>0</v>
      </c>
      <c r="AQ2237" s="105" t="str">
        <f ca="1">IF(AP2237=0,"",CHOOSE(MATCH('Top 25'!$G$10,{"Priority score","Economic need","Enrollment","Fresh miles","Nearby resources"},0),T2237,G2237,F2237,K2237,L2237))</f>
        <v/>
      </c>
      <c r="AR2237" s="105" t="str">
        <f ca="1">IF(AP2237=0,"",1+COUNTIFS($AP$2051:$AP$2550,1,$AQ$2051:$AQ$2550,IF('Top 25'!$J$10="Ascending","&lt;","&gt;")&amp;AQ2237)+COUNTIFS($AP$2051:$AP$2550,1,$AQ$2051:$AQ$2550,AQ2237,$W$2051:$W$2550,"&lt;"&amp;W2237))</f>
        <v/>
      </c>
      <c r="AT2237" s="105">
        <f ca="1">IF(AND(AL2237=1,OR(Master_rankableSchools!$A$10="All",C2237=Master_rankableSchools!$A$10),OR(Master_rankableSchools!$D$10="All",D2237=Master_rankableSchools!$D$10)),1,0)</f>
        <v>1</v>
      </c>
      <c r="AU2237" s="105">
        <f ca="1">IF(AT2237=0,"",CHOOSE(MATCH(Master_rankableSchools!$G$10,{"Priority score","Economic need","Enrollment","Fresh miles","Nearby resources"},0),T2237,G2237,F2237,K2237,L2237))</f>
        <v>44</v>
      </c>
      <c r="AV2237" s="105">
        <f ca="1">IF(AT2237=0,"",1+COUNTIFS($AT$2051:$AT$2550,1,$AU$2051:$AU$2550,IF(Master_rankableSchools!$J$10="Ascending","&lt;","&gt;")&amp;AU2237)+COUNTIFS($AT$2051:$AT$2550,1,$AU$2051:$AU$2550,AU2237,$W$2051:$W$2550,"&lt;"&amp;W2237))</f>
        <v>84</v>
      </c>
    </row>
    <row r="2238" spans="1:48" ht="22" customHeight="1">
      <c r="A2238" s="1" t="str">
        <f t="shared" si="60"/>
        <v>5180</v>
      </c>
      <c r="B2238" s="1" t="str">
        <f t="shared" si="61"/>
        <v>Vaux High School</v>
      </c>
      <c r="C2238" s="1" t="str">
        <f t="shared" si="62"/>
        <v>District</v>
      </c>
      <c r="D2238" s="1" t="str">
        <f t="shared" si="63"/>
        <v>High</v>
      </c>
      <c r="E2238" s="1" t="str">
        <f t="shared" si="64"/>
        <v>19121</v>
      </c>
      <c r="F2238" s="1">
        <f t="shared" si="65"/>
        <v>335</v>
      </c>
      <c r="G2238" s="1">
        <f t="shared" si="66"/>
        <v>0.86060000000000003</v>
      </c>
      <c r="H2238" s="1" t="str">
        <f t="shared" si="67"/>
        <v>Yes</v>
      </c>
      <c r="I2238" s="1">
        <f>IF(OR(A2238="",COUNTIFS('Staff Review'!$A$8:$A$507,A2238)&lt;&gt;1),0,MATCH(A2238,'Staff Review'!$A$8:$A$507,0))</f>
        <v>304</v>
      </c>
      <c r="J2238" s="1" t="str">
        <f>IF(I2238=0,"No",IF(INDEX('Staff Review'!$C$8:$C$507,I2238)="Yes","Yes","No"))</f>
        <v>No</v>
      </c>
      <c r="K2238" s="1">
        <f ca="1">IF(AI2238="Yes",INDEX('Staff Review'!$D$8:$D$507,I2238),IF(AB2238=0,"",IF(COUNT(INDEX($C$1531:$C$2030,AB2238))=1,INDEX($C$1531:$C$2030,AB2238),"")))</f>
        <v>0.27094219653936186</v>
      </c>
      <c r="L2238" s="1">
        <f>IF(AJ2238="Yes",INDEX('Staff Review'!$F$8:$F$507,I2238),IF(AB2238=0,"",IF(COUNT(INDEX($G$1531:$G$2030,AB2238))=1,INDEX($G$1531:$G$2030,AB2238),"")))</f>
        <v>11</v>
      </c>
      <c r="M2238" s="1" t="str">
        <f t="shared" ca="1" si="68"/>
        <v>Listed</v>
      </c>
      <c r="N2238" s="1" t="str">
        <f t="shared" si="69"/>
        <v>Listed</v>
      </c>
      <c r="O2238" s="1">
        <f t="shared" si="70"/>
        <v>25</v>
      </c>
      <c r="P2238" s="1">
        <f t="shared" ca="1" si="71"/>
        <v>10</v>
      </c>
      <c r="Q2238" s="1">
        <f t="shared" si="72"/>
        <v>0</v>
      </c>
      <c r="R2238" s="1">
        <f t="shared" si="73"/>
        <v>2</v>
      </c>
      <c r="S2238" s="1">
        <f t="shared" ca="1" si="74"/>
        <v>37</v>
      </c>
      <c r="T2238" s="1">
        <f ca="1">IF(OR(COUNT(O2238:R2238)&lt;&gt;4,COUNT('Top 25'!$B$45:$E$45)&lt;&gt;4,MIN('Top 25'!$B$45:$E$45)&lt;0,SUM('Top 25'!$B$45:$E$45)&lt;=0),"",ROUND(85*(O2238/30*'Top 25'!$B$45+P2238/25*'Top 25'!$C$45+Q2238/25*'Top 25'!$D$45+R2238/5*'Top 25'!$E$45)/SUM('Top 25'!$B$45:$E$45),6))</f>
        <v>37</v>
      </c>
      <c r="U2238" s="1" t="str">
        <f t="shared" ca="1" si="75"/>
        <v>Listed</v>
      </c>
      <c r="V2238" s="1" t="str">
        <f ca="1">IF(A2238="","",IF(AK2238&lt;&gt;1,"Duplicate source ID",IF(COUNTIFS('Staff Review'!$A$8:$A$507,A2238)&gt;1,"Duplicate review ID",IF(H2238&lt;&gt;"Yes","Outside scope",IF(J2238="Yes","Already served",IF(NOT(ISNUMBER(T2238)),"Missing data","Candidate"))))))</f>
        <v>Candidate</v>
      </c>
      <c r="W2238" s="1">
        <f t="shared" ca="1" si="76"/>
        <v>196</v>
      </c>
      <c r="X2238" s="1">
        <f t="shared" ca="1" si="77"/>
        <v>182</v>
      </c>
      <c r="Y2238" s="1">
        <f ca="1">IF(AND(H2238="Yes",OR(LEN('School Search'!$B$5)=0,ISNUMBER(SEARCH('School Search'!$B$5,B2238&amp;" "&amp;E2238&amp;" "&amp;A2238))),OR('School Search'!$D$5="All",C2238='School Search'!$D$5),OR('School Search'!$G$5="All eligible",AND('School Search'!$G$5="Not marked served",J2238&lt;&gt;"Yes"),AND('School Search'!$G$5="Missing data",V2238="Missing data"),AND('School Search'!$G$5="Marked served",J2238="Yes"))),1,0)</f>
        <v>1</v>
      </c>
      <c r="Z2238" s="1">
        <f ca="1">IF(Y2238=0,"",COUNTIFS($Y$2051:$Y$2550,1,$AO$2051:$AO$2550,"&lt;"&amp;AO2238)+COUNTIFS($Y$2051:Y2238,1,$AO$2051:AO2238,AO2238))</f>
        <v>196</v>
      </c>
      <c r="AA2238" s="1" t="str">
        <f t="shared" ca="1" si="78"/>
        <v>86% economic need; 0.27 mi fresh access; 11 nearby resources</v>
      </c>
      <c r="AB2238" s="1">
        <f t="shared" si="79"/>
        <v>188</v>
      </c>
      <c r="AC2238" s="1" t="str">
        <f t="shared" si="80"/>
        <v>Sharswood Grocery Outlet 731</v>
      </c>
      <c r="AD2238" s="1" t="str">
        <f t="shared" si="81"/>
        <v>2077 Ridge Ave, Philadelphia, PA, 19121</v>
      </c>
      <c r="AE2238" s="1" t="str">
        <f t="shared" si="82"/>
        <v>2300 W MASTER ST</v>
      </c>
      <c r="AF2238" s="1">
        <f t="shared" si="83"/>
        <v>39.976325000000003</v>
      </c>
      <c r="AG2238" s="1">
        <f t="shared" si="84"/>
        <v>-75.174186000000006</v>
      </c>
      <c r="AH2238" s="1" t="str">
        <f>IF(I2238=0,"Not contacted",IF(INDEX('Staff Review'!$J$8:$J$507,I2238)="","Not contacted",INDEX('Staff Review'!$J$8:$J$507,I2238)))</f>
        <v>Not contacted</v>
      </c>
      <c r="AI2238" s="1" t="str">
        <f ca="1">IF(I2238=0,"No",IF(AND(COUNT(INDEX('Staff Review'!$D$8:$D$507,I2238))=1,INDEX('Staff Review'!$D$8:$D$507,I2238)&gt;=0,COUNT(INDEX('Staff Review'!$E$8:$E$507,I2238))=1,INDEX('Staff Review'!$E$8:$E$507,I2238)&gt;0,INDEX('Staff Review'!$E$8:$E$507,I2238)&lt;='Top 25'!$E$5,'Top 25'!$E$5-INDEX('Staff Review'!$E$8:$E$507,I2238)&lt;='Top 25'!$H$5,LEN(INDEX('Staff Review'!$H$8:$H$507,I2238))&gt;0),"Yes","No"))</f>
        <v>No</v>
      </c>
      <c r="AJ2238" s="1" t="str">
        <f>IF(I2238=0,"No",IF(COUNT(INDEX('Staff Review'!$F$8:$F$507,I2238))&lt;&gt;1,"No",IF(AND(INDEX('Staff Review'!$F$8:$F$507,I2238)&gt;=0,MOD(INDEX('Staff Review'!$F$8:$F$507,I2238),1)=0,COUNT(INDEX('Staff Review'!$G$8:$G$507,I2238))=1,INDEX('Staff Review'!$G$8:$G$507,I2238)&gt;0,INDEX('Staff Review'!$G$8:$G$507,I2238)&lt;='Top 25'!$E$5,'Top 25'!$E$5-INDEX('Staff Review'!$G$8:$G$507,I2238)&lt;='Top 25'!$H$5,LEN(INDEX('Staff Review'!$H$8:$H$507,I2238))&gt;0),"Yes","No")))</f>
        <v>No</v>
      </c>
      <c r="AK2238" s="1">
        <f t="shared" si="85"/>
        <v>1</v>
      </c>
      <c r="AL2238" s="1">
        <f t="shared" ca="1" si="86"/>
        <v>1</v>
      </c>
      <c r="AM2238" s="1">
        <f t="shared" si="87"/>
        <v>5180</v>
      </c>
      <c r="AN2238" s="1">
        <f t="shared" si="88"/>
        <v>188</v>
      </c>
      <c r="AO2238">
        <f t="shared" ca="1" si="89"/>
        <v>196</v>
      </c>
      <c r="AP2238" s="105">
        <f ca="1">IF(AND(AL2238=1,OR('Top 25'!$A$10="All",C2238='Top 25'!$A$10),OR('Top 25'!$D$10="All",D2238='Top 25'!$D$10)),1,0)</f>
        <v>0</v>
      </c>
      <c r="AQ2238" s="105" t="str">
        <f ca="1">IF(AP2238=0,"",CHOOSE(MATCH('Top 25'!$G$10,{"Priority score","Economic need","Enrollment","Fresh miles","Nearby resources"},0),T2238,G2238,F2238,K2238,L2238))</f>
        <v/>
      </c>
      <c r="AR2238" s="105" t="str">
        <f ca="1">IF(AP2238=0,"",1+COUNTIFS($AP$2051:$AP$2550,1,$AQ$2051:$AQ$2550,IF('Top 25'!$J$10="Ascending","&lt;","&gt;")&amp;AQ2238)+COUNTIFS($AP$2051:$AP$2550,1,$AQ$2051:$AQ$2550,AQ2238,$W$2051:$W$2550,"&lt;"&amp;W2238))</f>
        <v/>
      </c>
      <c r="AT2238" s="105">
        <f ca="1">IF(AND(AL2238=1,OR(Master_rankableSchools!$A$10="All",C2238=Master_rankableSchools!$A$10),OR(Master_rankableSchools!$D$10="All",D2238=Master_rankableSchools!$D$10)),1,0)</f>
        <v>1</v>
      </c>
      <c r="AU2238" s="105">
        <f ca="1">IF(AT2238=0,"",CHOOSE(MATCH(Master_rankableSchools!$G$10,{"Priority score","Economic need","Enrollment","Fresh miles","Nearby resources"},0),T2238,G2238,F2238,K2238,L2238))</f>
        <v>37</v>
      </c>
      <c r="AV2238" s="105">
        <f ca="1">IF(AT2238=0,"",1+COUNTIFS($AT$2051:$AT$2550,1,$AU$2051:$AU$2550,IF(Master_rankableSchools!$J$10="Ascending","&lt;","&gt;")&amp;AU2238)+COUNTIFS($AT$2051:$AT$2550,1,$AU$2051:$AU$2550,AU2238,$W$2051:$W$2550,"&lt;"&amp;W2238))</f>
        <v>196</v>
      </c>
    </row>
    <row r="2239" spans="1:48" ht="22" customHeight="1">
      <c r="A2239" s="1" t="str">
        <f t="shared" si="60"/>
        <v>5200</v>
      </c>
      <c r="B2239" s="1" t="str">
        <f t="shared" si="61"/>
        <v>Alexander Adaire School</v>
      </c>
      <c r="C2239" s="1" t="str">
        <f t="shared" si="62"/>
        <v>District</v>
      </c>
      <c r="D2239" s="1" t="str">
        <f t="shared" si="63"/>
        <v>Elementary-Middle</v>
      </c>
      <c r="E2239" s="1" t="str">
        <f t="shared" si="64"/>
        <v>19125</v>
      </c>
      <c r="F2239" s="1">
        <f t="shared" si="65"/>
        <v>451</v>
      </c>
      <c r="G2239" s="1">
        <f t="shared" si="66"/>
        <v>0.31259999999999999</v>
      </c>
      <c r="H2239" s="1" t="str">
        <f t="shared" si="67"/>
        <v>Yes</v>
      </c>
      <c r="I2239" s="1">
        <f>IF(OR(A2239="",COUNTIFS('Staff Review'!$A$8:$A$507,A2239)&lt;&gt;1),0,MATCH(A2239,'Staff Review'!$A$8:$A$507,0))</f>
        <v>12</v>
      </c>
      <c r="J2239" s="1" t="str">
        <f>IF(I2239=0,"No",IF(INDEX('Staff Review'!$C$8:$C$507,I2239)="Yes","Yes","No"))</f>
        <v>No</v>
      </c>
      <c r="K2239" s="1">
        <f ca="1">IF(AI2239="Yes",INDEX('Staff Review'!$D$8:$D$507,I2239),IF(AB2239=0,"",IF(COUNT(INDEX($C$1531:$C$2030,AB2239))=1,INDEX($C$1531:$C$2030,AB2239),"")))</f>
        <v>0.56132509723043378</v>
      </c>
      <c r="L2239" s="1">
        <f>IF(AJ2239="Yes",INDEX('Staff Review'!$F$8:$F$507,I2239),IF(AB2239=0,"",IF(COUNT(INDEX($G$1531:$G$2030,AB2239))=1,INDEX($G$1531:$G$2030,AB2239),"")))</f>
        <v>3</v>
      </c>
      <c r="M2239" s="1" t="str">
        <f t="shared" ca="1" si="68"/>
        <v>Listed</v>
      </c>
      <c r="N2239" s="1" t="str">
        <f t="shared" si="69"/>
        <v>Listed</v>
      </c>
      <c r="O2239" s="1">
        <f t="shared" si="70"/>
        <v>0</v>
      </c>
      <c r="P2239" s="1">
        <f t="shared" ca="1" si="71"/>
        <v>15</v>
      </c>
      <c r="Q2239" s="1">
        <f t="shared" si="72"/>
        <v>10</v>
      </c>
      <c r="R2239" s="1">
        <f t="shared" si="73"/>
        <v>3</v>
      </c>
      <c r="S2239" s="1">
        <f t="shared" ca="1" si="74"/>
        <v>28</v>
      </c>
      <c r="T2239" s="1">
        <f ca="1">IF(OR(COUNT(O2239:R2239)&lt;&gt;4,COUNT('Top 25'!$B$45:$E$45)&lt;&gt;4,MIN('Top 25'!$B$45:$E$45)&lt;0,SUM('Top 25'!$B$45:$E$45)&lt;=0),"",ROUND(85*(O2239/30*'Top 25'!$B$45+P2239/25*'Top 25'!$C$45+Q2239/25*'Top 25'!$D$45+R2239/5*'Top 25'!$E$45)/SUM('Top 25'!$B$45:$E$45),6))</f>
        <v>28</v>
      </c>
      <c r="U2239" s="1" t="str">
        <f t="shared" ca="1" si="75"/>
        <v>Listed</v>
      </c>
      <c r="V2239" s="1" t="str">
        <f ca="1">IF(A2239="","",IF(AK2239&lt;&gt;1,"Duplicate source ID",IF(COUNTIFS('Staff Review'!$A$8:$A$507,A2239)&gt;1,"Duplicate review ID",IF(H2239&lt;&gt;"Yes","Outside scope",IF(J2239="Yes","Already served",IF(NOT(ISNUMBER(T2239)),"Missing data","Candidate"))))))</f>
        <v>Candidate</v>
      </c>
      <c r="W2239" s="1">
        <f t="shared" ca="1" si="76"/>
        <v>265</v>
      </c>
      <c r="X2239" s="1">
        <f t="shared" ca="1" si="77"/>
        <v>265</v>
      </c>
      <c r="Y2239" s="1">
        <f ca="1">IF(AND(H2239="Yes",OR(LEN('School Search'!$B$5)=0,ISNUMBER(SEARCH('School Search'!$B$5,B2239&amp;" "&amp;E2239&amp;" "&amp;A2239))),OR('School Search'!$D$5="All",C2239='School Search'!$D$5),OR('School Search'!$G$5="All eligible",AND('School Search'!$G$5="Not marked served",J2239&lt;&gt;"Yes"),AND('School Search'!$G$5="Missing data",V2239="Missing data"),AND('School Search'!$G$5="Marked served",J2239="Yes"))),1,0)</f>
        <v>1</v>
      </c>
      <c r="Z2239" s="1">
        <f ca="1">IF(Y2239=0,"",COUNTIFS($Y$2051:$Y$2550,1,$AO$2051:$AO$2550,"&lt;"&amp;AO2239)+COUNTIFS($Y$2051:Y2239,1,$AO$2051:AO2239,AO2239))</f>
        <v>265</v>
      </c>
      <c r="AA2239" s="1" t="str">
        <f t="shared" ca="1" si="78"/>
        <v>31% economic need; 0.56 mi fresh access; 3 nearby resources</v>
      </c>
      <c r="AB2239" s="1">
        <f t="shared" si="79"/>
        <v>189</v>
      </c>
      <c r="AC2239" s="1" t="str">
        <f t="shared" si="80"/>
        <v>Acme 0291</v>
      </c>
      <c r="AD2239" s="1" t="str">
        <f t="shared" si="81"/>
        <v>180 W Girard Ave, Philadelphia, PA, 19123</v>
      </c>
      <c r="AE2239" s="1" t="str">
        <f t="shared" si="82"/>
        <v>1300 E PALMER ST</v>
      </c>
      <c r="AF2239" s="1">
        <f t="shared" si="83"/>
        <v>39.972326610000003</v>
      </c>
      <c r="AG2239" s="1">
        <f t="shared" si="84"/>
        <v>-75.129309890000002</v>
      </c>
      <c r="AH2239" s="1" t="str">
        <f>IF(I2239=0,"Not contacted",IF(INDEX('Staff Review'!$J$8:$J$507,I2239)="","Not contacted",INDEX('Staff Review'!$J$8:$J$507,I2239)))</f>
        <v>Not contacted</v>
      </c>
      <c r="AI2239" s="1" t="str">
        <f ca="1">IF(I2239=0,"No",IF(AND(COUNT(INDEX('Staff Review'!$D$8:$D$507,I2239))=1,INDEX('Staff Review'!$D$8:$D$507,I2239)&gt;=0,COUNT(INDEX('Staff Review'!$E$8:$E$507,I2239))=1,INDEX('Staff Review'!$E$8:$E$507,I2239)&gt;0,INDEX('Staff Review'!$E$8:$E$507,I2239)&lt;='Top 25'!$E$5,'Top 25'!$E$5-INDEX('Staff Review'!$E$8:$E$507,I2239)&lt;='Top 25'!$H$5,LEN(INDEX('Staff Review'!$H$8:$H$507,I2239))&gt;0),"Yes","No"))</f>
        <v>No</v>
      </c>
      <c r="AJ2239" s="1" t="str">
        <f>IF(I2239=0,"No",IF(COUNT(INDEX('Staff Review'!$F$8:$F$507,I2239))&lt;&gt;1,"No",IF(AND(INDEX('Staff Review'!$F$8:$F$507,I2239)&gt;=0,MOD(INDEX('Staff Review'!$F$8:$F$507,I2239),1)=0,COUNT(INDEX('Staff Review'!$G$8:$G$507,I2239))=1,INDEX('Staff Review'!$G$8:$G$507,I2239)&gt;0,INDEX('Staff Review'!$G$8:$G$507,I2239)&lt;='Top 25'!$E$5,'Top 25'!$E$5-INDEX('Staff Review'!$G$8:$G$507,I2239)&lt;='Top 25'!$H$5,LEN(INDEX('Staff Review'!$H$8:$H$507,I2239))&gt;0),"Yes","No")))</f>
        <v>No</v>
      </c>
      <c r="AK2239" s="1">
        <f t="shared" si="85"/>
        <v>1</v>
      </c>
      <c r="AL2239" s="1">
        <f t="shared" ca="1" si="86"/>
        <v>1</v>
      </c>
      <c r="AM2239" s="1">
        <f t="shared" si="87"/>
        <v>5200</v>
      </c>
      <c r="AN2239" s="1">
        <f t="shared" si="88"/>
        <v>189</v>
      </c>
      <c r="AO2239">
        <f t="shared" ca="1" si="89"/>
        <v>265</v>
      </c>
      <c r="AP2239" s="105">
        <f ca="1">IF(AND(AL2239=1,OR('Top 25'!$A$10="All",C2239='Top 25'!$A$10),OR('Top 25'!$D$10="All",D2239='Top 25'!$D$10)),1,0)</f>
        <v>0</v>
      </c>
      <c r="AQ2239" s="105" t="str">
        <f ca="1">IF(AP2239=0,"",CHOOSE(MATCH('Top 25'!$G$10,{"Priority score","Economic need","Enrollment","Fresh miles","Nearby resources"},0),T2239,G2239,F2239,K2239,L2239))</f>
        <v/>
      </c>
      <c r="AR2239" s="105" t="str">
        <f ca="1">IF(AP2239=0,"",1+COUNTIFS($AP$2051:$AP$2550,1,$AQ$2051:$AQ$2550,IF('Top 25'!$J$10="Ascending","&lt;","&gt;")&amp;AQ2239)+COUNTIFS($AP$2051:$AP$2550,1,$AQ$2051:$AQ$2550,AQ2239,$W$2051:$W$2550,"&lt;"&amp;W2239))</f>
        <v/>
      </c>
      <c r="AT2239" s="105">
        <f ca="1">IF(AND(AL2239=1,OR(Master_rankableSchools!$A$10="All",C2239=Master_rankableSchools!$A$10),OR(Master_rankableSchools!$D$10="All",D2239=Master_rankableSchools!$D$10)),1,0)</f>
        <v>1</v>
      </c>
      <c r="AU2239" s="105">
        <f ca="1">IF(AT2239=0,"",CHOOSE(MATCH(Master_rankableSchools!$G$10,{"Priority score","Economic need","Enrollment","Fresh miles","Nearby resources"},0),T2239,G2239,F2239,K2239,L2239))</f>
        <v>28</v>
      </c>
      <c r="AV2239" s="105">
        <f ca="1">IF(AT2239=0,"",1+COUNTIFS($AT$2051:$AT$2550,1,$AU$2051:$AU$2550,IF(Master_rankableSchools!$J$10="Ascending","&lt;","&gt;")&amp;AU2239)+COUNTIFS($AT$2051:$AT$2550,1,$AU$2051:$AU$2550,AU2239,$W$2051:$W$2550,"&lt;"&amp;W2239))</f>
        <v>265</v>
      </c>
    </row>
    <row r="2240" spans="1:48" ht="22" customHeight="1">
      <c r="A2240" s="1" t="str">
        <f t="shared" si="60"/>
        <v>5210</v>
      </c>
      <c r="B2240" s="1" t="str">
        <f t="shared" si="61"/>
        <v>Henry A. Brown School</v>
      </c>
      <c r="C2240" s="1" t="str">
        <f t="shared" si="62"/>
        <v>District</v>
      </c>
      <c r="D2240" s="1" t="str">
        <f t="shared" si="63"/>
        <v>Elementary-Middle</v>
      </c>
      <c r="E2240" s="1" t="str">
        <f t="shared" si="64"/>
        <v>19125</v>
      </c>
      <c r="F2240" s="1">
        <f t="shared" si="65"/>
        <v>319</v>
      </c>
      <c r="G2240" s="1">
        <f t="shared" si="66"/>
        <v>0.82750000000000001</v>
      </c>
      <c r="H2240" s="1" t="str">
        <f t="shared" si="67"/>
        <v>Yes</v>
      </c>
      <c r="I2240" s="1">
        <f>IF(OR(A2240="",COUNTIFS('Staff Review'!$A$8:$A$507,A2240)&lt;&gt;1),0,MATCH(A2240,'Staff Review'!$A$8:$A$507,0))</f>
        <v>109</v>
      </c>
      <c r="J2240" s="1" t="str">
        <f>IF(I2240=0,"No",IF(INDEX('Staff Review'!$C$8:$C$507,I2240)="Yes","Yes","No"))</f>
        <v>No</v>
      </c>
      <c r="K2240" s="1">
        <f ca="1">IF(AI2240="Yes",INDEX('Staff Review'!$D$8:$D$507,I2240),IF(AB2240=0,"",IF(COUNT(INDEX($C$1531:$C$2030,AB2240))=1,INDEX($C$1531:$C$2030,AB2240),"")))</f>
        <v>0.34832443416744341</v>
      </c>
      <c r="L2240" s="1">
        <f>IF(AJ2240="Yes",INDEX('Staff Review'!$F$8:$F$507,I2240),IF(AB2240=0,"",IF(COUNT(INDEX($G$1531:$G$2030,AB2240))=1,INDEX($G$1531:$G$2030,AB2240),"")))</f>
        <v>10</v>
      </c>
      <c r="M2240" s="1" t="str">
        <f t="shared" ca="1" si="68"/>
        <v>Listed</v>
      </c>
      <c r="N2240" s="1" t="str">
        <f t="shared" si="69"/>
        <v>Listed</v>
      </c>
      <c r="O2240" s="1">
        <f t="shared" si="70"/>
        <v>25</v>
      </c>
      <c r="P2240" s="1">
        <f t="shared" ca="1" si="71"/>
        <v>10</v>
      </c>
      <c r="Q2240" s="1">
        <f t="shared" si="72"/>
        <v>0</v>
      </c>
      <c r="R2240" s="1">
        <f t="shared" si="73"/>
        <v>2</v>
      </c>
      <c r="S2240" s="1">
        <f t="shared" ca="1" si="74"/>
        <v>37</v>
      </c>
      <c r="T2240" s="1">
        <f ca="1">IF(OR(COUNT(O2240:R2240)&lt;&gt;4,COUNT('Top 25'!$B$45:$E$45)&lt;&gt;4,MIN('Top 25'!$B$45:$E$45)&lt;0,SUM('Top 25'!$B$45:$E$45)&lt;=0),"",ROUND(85*(O2240/30*'Top 25'!$B$45+P2240/25*'Top 25'!$C$45+Q2240/25*'Top 25'!$D$45+R2240/5*'Top 25'!$E$45)/SUM('Top 25'!$B$45:$E$45),6))</f>
        <v>37</v>
      </c>
      <c r="U2240" s="1" t="str">
        <f t="shared" ca="1" si="75"/>
        <v>Listed</v>
      </c>
      <c r="V2240" s="1" t="str">
        <f ca="1">IF(A2240="","",IF(AK2240&lt;&gt;1,"Duplicate source ID",IF(COUNTIFS('Staff Review'!$A$8:$A$507,A2240)&gt;1,"Duplicate review ID",IF(H2240&lt;&gt;"Yes","Outside scope",IF(J2240="Yes","Already served",IF(NOT(ISNUMBER(T2240)),"Missing data","Candidate"))))))</f>
        <v>Candidate</v>
      </c>
      <c r="W2240" s="1">
        <f t="shared" ca="1" si="76"/>
        <v>200</v>
      </c>
      <c r="X2240" s="1">
        <f t="shared" ca="1" si="77"/>
        <v>182</v>
      </c>
      <c r="Y2240" s="1">
        <f ca="1">IF(AND(H2240="Yes",OR(LEN('School Search'!$B$5)=0,ISNUMBER(SEARCH('School Search'!$B$5,B2240&amp;" "&amp;E2240&amp;" "&amp;A2240))),OR('School Search'!$D$5="All",C2240='School Search'!$D$5),OR('School Search'!$G$5="All eligible",AND('School Search'!$G$5="Not marked served",J2240&lt;&gt;"Yes"),AND('School Search'!$G$5="Missing data",V2240="Missing data"),AND('School Search'!$G$5="Marked served",J2240="Yes"))),1,0)</f>
        <v>1</v>
      </c>
      <c r="Z2240" s="1">
        <f ca="1">IF(Y2240=0,"",COUNTIFS($Y$2051:$Y$2550,1,$AO$2051:$AO$2550,"&lt;"&amp;AO2240)+COUNTIFS($Y$2051:Y2240,1,$AO$2051:AO2240,AO2240))</f>
        <v>200</v>
      </c>
      <c r="AA2240" s="1" t="str">
        <f t="shared" ca="1" si="78"/>
        <v>83% economic need; 0.35 mi fresh access; 10 nearby resources</v>
      </c>
      <c r="AB2240" s="1">
        <f t="shared" si="79"/>
        <v>190</v>
      </c>
      <c r="AC2240" s="1" t="str">
        <f t="shared" si="80"/>
        <v>Save A Lot 30224</v>
      </c>
      <c r="AD2240" s="1" t="str">
        <f t="shared" si="81"/>
        <v>2132 E Lehigh Ave, Philadelphia, PA, 19125</v>
      </c>
      <c r="AE2240" s="1" t="str">
        <f t="shared" si="82"/>
        <v>1946 E SERGEANT ST</v>
      </c>
      <c r="AF2240" s="1">
        <f t="shared" si="83"/>
        <v>39.98661748</v>
      </c>
      <c r="AG2240" s="1">
        <f t="shared" si="84"/>
        <v>-75.127256740000007</v>
      </c>
      <c r="AH2240" s="1" t="str">
        <f>IF(I2240=0,"Not contacted",IF(INDEX('Staff Review'!$J$8:$J$507,I2240)="","Not contacted",INDEX('Staff Review'!$J$8:$J$507,I2240)))</f>
        <v>Not contacted</v>
      </c>
      <c r="AI2240" s="1" t="str">
        <f ca="1">IF(I2240=0,"No",IF(AND(COUNT(INDEX('Staff Review'!$D$8:$D$507,I2240))=1,INDEX('Staff Review'!$D$8:$D$507,I2240)&gt;=0,COUNT(INDEX('Staff Review'!$E$8:$E$507,I2240))=1,INDEX('Staff Review'!$E$8:$E$507,I2240)&gt;0,INDEX('Staff Review'!$E$8:$E$507,I2240)&lt;='Top 25'!$E$5,'Top 25'!$E$5-INDEX('Staff Review'!$E$8:$E$507,I2240)&lt;='Top 25'!$H$5,LEN(INDEX('Staff Review'!$H$8:$H$507,I2240))&gt;0),"Yes","No"))</f>
        <v>No</v>
      </c>
      <c r="AJ2240" s="1" t="str">
        <f>IF(I2240=0,"No",IF(COUNT(INDEX('Staff Review'!$F$8:$F$507,I2240))&lt;&gt;1,"No",IF(AND(INDEX('Staff Review'!$F$8:$F$507,I2240)&gt;=0,MOD(INDEX('Staff Review'!$F$8:$F$507,I2240),1)=0,COUNT(INDEX('Staff Review'!$G$8:$G$507,I2240))=1,INDEX('Staff Review'!$G$8:$G$507,I2240)&gt;0,INDEX('Staff Review'!$G$8:$G$507,I2240)&lt;='Top 25'!$E$5,'Top 25'!$E$5-INDEX('Staff Review'!$G$8:$G$507,I2240)&lt;='Top 25'!$H$5,LEN(INDEX('Staff Review'!$H$8:$H$507,I2240))&gt;0),"Yes","No")))</f>
        <v>No</v>
      </c>
      <c r="AK2240" s="1">
        <f t="shared" si="85"/>
        <v>1</v>
      </c>
      <c r="AL2240" s="1">
        <f t="shared" ca="1" si="86"/>
        <v>1</v>
      </c>
      <c r="AM2240" s="1">
        <f t="shared" si="87"/>
        <v>5210</v>
      </c>
      <c r="AN2240" s="1">
        <f t="shared" si="88"/>
        <v>190</v>
      </c>
      <c r="AO2240">
        <f t="shared" ca="1" si="89"/>
        <v>200</v>
      </c>
      <c r="AP2240" s="105">
        <f ca="1">IF(AND(AL2240=1,OR('Top 25'!$A$10="All",C2240='Top 25'!$A$10),OR('Top 25'!$D$10="All",D2240='Top 25'!$D$10)),1,0)</f>
        <v>0</v>
      </c>
      <c r="AQ2240" s="105" t="str">
        <f ca="1">IF(AP2240=0,"",CHOOSE(MATCH('Top 25'!$G$10,{"Priority score","Economic need","Enrollment","Fresh miles","Nearby resources"},0),T2240,G2240,F2240,K2240,L2240))</f>
        <v/>
      </c>
      <c r="AR2240" s="105" t="str">
        <f ca="1">IF(AP2240=0,"",1+COUNTIFS($AP$2051:$AP$2550,1,$AQ$2051:$AQ$2550,IF('Top 25'!$J$10="Ascending","&lt;","&gt;")&amp;AQ2240)+COUNTIFS($AP$2051:$AP$2550,1,$AQ$2051:$AQ$2550,AQ2240,$W$2051:$W$2550,"&lt;"&amp;W2240))</f>
        <v/>
      </c>
      <c r="AT2240" s="105">
        <f ca="1">IF(AND(AL2240=1,OR(Master_rankableSchools!$A$10="All",C2240=Master_rankableSchools!$A$10),OR(Master_rankableSchools!$D$10="All",D2240=Master_rankableSchools!$D$10)),1,0)</f>
        <v>1</v>
      </c>
      <c r="AU2240" s="105">
        <f ca="1">IF(AT2240=0,"",CHOOSE(MATCH(Master_rankableSchools!$G$10,{"Priority score","Economic need","Enrollment","Fresh miles","Nearby resources"},0),T2240,G2240,F2240,K2240,L2240))</f>
        <v>37</v>
      </c>
      <c r="AV2240" s="105">
        <f ca="1">IF(AT2240=0,"",1+COUNTIFS($AT$2051:$AT$2550,1,$AU$2051:$AU$2550,IF(Master_rankableSchools!$J$10="Ascending","&lt;","&gt;")&amp;AU2240)+COUNTIFS($AT$2051:$AT$2550,1,$AU$2051:$AU$2550,AU2240,$W$2051:$W$2550,"&lt;"&amp;W2240))</f>
        <v>200</v>
      </c>
    </row>
    <row r="2241" spans="1:48" ht="22" customHeight="1">
      <c r="A2241" s="1" t="str">
        <f t="shared" si="60"/>
        <v>5230</v>
      </c>
      <c r="B2241" s="1" t="str">
        <f t="shared" si="61"/>
        <v>Russell H. Conwell School</v>
      </c>
      <c r="C2241" s="1" t="str">
        <f t="shared" si="62"/>
        <v>District</v>
      </c>
      <c r="D2241" s="1" t="str">
        <f t="shared" si="63"/>
        <v>Middle</v>
      </c>
      <c r="E2241" s="1" t="str">
        <f t="shared" si="64"/>
        <v>19134</v>
      </c>
      <c r="F2241" s="1">
        <f t="shared" si="65"/>
        <v>109</v>
      </c>
      <c r="G2241" s="1">
        <f t="shared" si="66"/>
        <v>0.86909999999999998</v>
      </c>
      <c r="H2241" s="1" t="str">
        <f t="shared" si="67"/>
        <v>Yes</v>
      </c>
      <c r="I2241" s="1">
        <f>IF(OR(A2241="",COUNTIFS('Staff Review'!$A$8:$A$507,A2241)&lt;&gt;1),0,MATCH(A2241,'Staff Review'!$A$8:$A$507,0))</f>
        <v>258</v>
      </c>
      <c r="J2241" s="1" t="str">
        <f>IF(I2241=0,"No",IF(INDEX('Staff Review'!$C$8:$C$507,I2241)="Yes","Yes","No"))</f>
        <v>No</v>
      </c>
      <c r="K2241" s="1">
        <f ca="1">IF(AI2241="Yes",INDEX('Staff Review'!$D$8:$D$507,I2241),IF(AB2241=0,"",IF(COUNT(INDEX($C$1531:$C$2030,AB2241))=1,INDEX($C$1531:$C$2030,AB2241),"")))</f>
        <v>0.58993085910750065</v>
      </c>
      <c r="L2241" s="1">
        <f>IF(AJ2241="Yes",INDEX('Staff Review'!$F$8:$F$507,I2241),IF(AB2241=0,"",IF(COUNT(INDEX($G$1531:$G$2030,AB2241))=1,INDEX($G$1531:$G$2030,AB2241),"")))</f>
        <v>12</v>
      </c>
      <c r="M2241" s="1" t="str">
        <f t="shared" ca="1" si="68"/>
        <v>Listed</v>
      </c>
      <c r="N2241" s="1" t="str">
        <f t="shared" si="69"/>
        <v>Listed</v>
      </c>
      <c r="O2241" s="1">
        <f t="shared" si="70"/>
        <v>25</v>
      </c>
      <c r="P2241" s="1">
        <f t="shared" ca="1" si="71"/>
        <v>15</v>
      </c>
      <c r="Q2241" s="1">
        <f t="shared" si="72"/>
        <v>0</v>
      </c>
      <c r="R2241" s="1">
        <f t="shared" si="73"/>
        <v>1</v>
      </c>
      <c r="S2241" s="1">
        <f t="shared" ca="1" si="74"/>
        <v>41</v>
      </c>
      <c r="T2241" s="1">
        <f ca="1">IF(OR(COUNT(O2241:R2241)&lt;&gt;4,COUNT('Top 25'!$B$45:$E$45)&lt;&gt;4,MIN('Top 25'!$B$45:$E$45)&lt;0,SUM('Top 25'!$B$45:$E$45)&lt;=0),"",ROUND(85*(O2241/30*'Top 25'!$B$45+P2241/25*'Top 25'!$C$45+Q2241/25*'Top 25'!$D$45+R2241/5*'Top 25'!$E$45)/SUM('Top 25'!$B$45:$E$45),6))</f>
        <v>41</v>
      </c>
      <c r="U2241" s="1" t="str">
        <f t="shared" ca="1" si="75"/>
        <v>Listed</v>
      </c>
      <c r="V2241" s="1" t="str">
        <f ca="1">IF(A2241="","",IF(AK2241&lt;&gt;1,"Duplicate source ID",IF(COUNTIFS('Staff Review'!$A$8:$A$507,A2241)&gt;1,"Duplicate review ID",IF(H2241&lt;&gt;"Yes","Outside scope",IF(J2241="Yes","Already served",IF(NOT(ISNUMBER(T2241)),"Missing data","Candidate"))))))</f>
        <v>Candidate</v>
      </c>
      <c r="W2241" s="1">
        <f t="shared" ca="1" si="76"/>
        <v>132</v>
      </c>
      <c r="X2241" s="1">
        <f t="shared" ca="1" si="77"/>
        <v>128</v>
      </c>
      <c r="Y2241" s="1">
        <f ca="1">IF(AND(H2241="Yes",OR(LEN('School Search'!$B$5)=0,ISNUMBER(SEARCH('School Search'!$B$5,B2241&amp;" "&amp;E2241&amp;" "&amp;A2241))),OR('School Search'!$D$5="All",C2241='School Search'!$D$5),OR('School Search'!$G$5="All eligible",AND('School Search'!$G$5="Not marked served",J2241&lt;&gt;"Yes"),AND('School Search'!$G$5="Missing data",V2241="Missing data"),AND('School Search'!$G$5="Marked served",J2241="Yes"))),1,0)</f>
        <v>1</v>
      </c>
      <c r="Z2241" s="1">
        <f ca="1">IF(Y2241=0,"",COUNTIFS($Y$2051:$Y$2550,1,$AO$2051:$AO$2550,"&lt;"&amp;AO2241)+COUNTIFS($Y$2051:Y2241,1,$AO$2051:AO2241,AO2241))</f>
        <v>132</v>
      </c>
      <c r="AA2241" s="1" t="str">
        <f t="shared" ca="1" si="78"/>
        <v>87% economic need; 0.59 mi fresh access; 12 nearby resources</v>
      </c>
      <c r="AB2241" s="1">
        <f t="shared" si="79"/>
        <v>191</v>
      </c>
      <c r="AC2241" s="1" t="str">
        <f t="shared" si="80"/>
        <v>Super Foodtown 705</v>
      </c>
      <c r="AD2241" s="1" t="str">
        <f t="shared" si="81"/>
        <v>3528 I St, Philadelphia, PA, 19134</v>
      </c>
      <c r="AE2241" s="1" t="str">
        <f t="shared" si="82"/>
        <v>1849 E CLEARFIELD ST</v>
      </c>
      <c r="AF2241" s="1">
        <f t="shared" si="83"/>
        <v>39.99471406</v>
      </c>
      <c r="AG2241" s="1">
        <f t="shared" si="84"/>
        <v>-75.115273830000007</v>
      </c>
      <c r="AH2241" s="1" t="str">
        <f>IF(I2241=0,"Not contacted",IF(INDEX('Staff Review'!$J$8:$J$507,I2241)="","Not contacted",INDEX('Staff Review'!$J$8:$J$507,I2241)))</f>
        <v>Not contacted</v>
      </c>
      <c r="AI2241" s="1" t="str">
        <f ca="1">IF(I2241=0,"No",IF(AND(COUNT(INDEX('Staff Review'!$D$8:$D$507,I2241))=1,INDEX('Staff Review'!$D$8:$D$507,I2241)&gt;=0,COUNT(INDEX('Staff Review'!$E$8:$E$507,I2241))=1,INDEX('Staff Review'!$E$8:$E$507,I2241)&gt;0,INDEX('Staff Review'!$E$8:$E$507,I2241)&lt;='Top 25'!$E$5,'Top 25'!$E$5-INDEX('Staff Review'!$E$8:$E$507,I2241)&lt;='Top 25'!$H$5,LEN(INDEX('Staff Review'!$H$8:$H$507,I2241))&gt;0),"Yes","No"))</f>
        <v>No</v>
      </c>
      <c r="AJ2241" s="1" t="str">
        <f>IF(I2241=0,"No",IF(COUNT(INDEX('Staff Review'!$F$8:$F$507,I2241))&lt;&gt;1,"No",IF(AND(INDEX('Staff Review'!$F$8:$F$507,I2241)&gt;=0,MOD(INDEX('Staff Review'!$F$8:$F$507,I2241),1)=0,COUNT(INDEX('Staff Review'!$G$8:$G$507,I2241))=1,INDEX('Staff Review'!$G$8:$G$507,I2241)&gt;0,INDEX('Staff Review'!$G$8:$G$507,I2241)&lt;='Top 25'!$E$5,'Top 25'!$E$5-INDEX('Staff Review'!$G$8:$G$507,I2241)&lt;='Top 25'!$H$5,LEN(INDEX('Staff Review'!$H$8:$H$507,I2241))&gt;0),"Yes","No")))</f>
        <v>No</v>
      </c>
      <c r="AK2241" s="1">
        <f t="shared" si="85"/>
        <v>1</v>
      </c>
      <c r="AL2241" s="1">
        <f t="shared" ca="1" si="86"/>
        <v>1</v>
      </c>
      <c r="AM2241" s="1">
        <f t="shared" si="87"/>
        <v>5230</v>
      </c>
      <c r="AN2241" s="1">
        <f t="shared" si="88"/>
        <v>191</v>
      </c>
      <c r="AO2241">
        <f t="shared" ca="1" si="89"/>
        <v>132</v>
      </c>
      <c r="AP2241" s="105">
        <f ca="1">IF(AND(AL2241=1,OR('Top 25'!$A$10="All",C2241='Top 25'!$A$10),OR('Top 25'!$D$10="All",D2241='Top 25'!$D$10)),1,0)</f>
        <v>0</v>
      </c>
      <c r="AQ2241" s="105" t="str">
        <f ca="1">IF(AP2241=0,"",CHOOSE(MATCH('Top 25'!$G$10,{"Priority score","Economic need","Enrollment","Fresh miles","Nearby resources"},0),T2241,G2241,F2241,K2241,L2241))</f>
        <v/>
      </c>
      <c r="AR2241" s="105" t="str">
        <f ca="1">IF(AP2241=0,"",1+COUNTIFS($AP$2051:$AP$2550,1,$AQ$2051:$AQ$2550,IF('Top 25'!$J$10="Ascending","&lt;","&gt;")&amp;AQ2241)+COUNTIFS($AP$2051:$AP$2550,1,$AQ$2051:$AQ$2550,AQ2241,$W$2051:$W$2550,"&lt;"&amp;W2241))</f>
        <v/>
      </c>
      <c r="AT2241" s="105">
        <f ca="1">IF(AND(AL2241=1,OR(Master_rankableSchools!$A$10="All",C2241=Master_rankableSchools!$A$10),OR(Master_rankableSchools!$D$10="All",D2241=Master_rankableSchools!$D$10)),1,0)</f>
        <v>1</v>
      </c>
      <c r="AU2241" s="105">
        <f ca="1">IF(AT2241=0,"",CHOOSE(MATCH(Master_rankableSchools!$G$10,{"Priority score","Economic need","Enrollment","Fresh miles","Nearby resources"},0),T2241,G2241,F2241,K2241,L2241))</f>
        <v>41</v>
      </c>
      <c r="AV2241" s="105">
        <f ca="1">IF(AT2241=0,"",1+COUNTIFS($AT$2051:$AT$2550,1,$AU$2051:$AU$2550,IF(Master_rankableSchools!$J$10="Ascending","&lt;","&gt;")&amp;AU2241)+COUNTIFS($AT$2051:$AT$2550,1,$AU$2051:$AU$2550,AU2241,$W$2051:$W$2550,"&lt;"&amp;W2241))</f>
        <v>132</v>
      </c>
    </row>
    <row r="2242" spans="1:48" ht="22" customHeight="1">
      <c r="A2242" s="1" t="str">
        <f t="shared" si="60"/>
        <v>5250</v>
      </c>
      <c r="B2242" s="1" t="str">
        <f t="shared" si="61"/>
        <v>Paul L. Dunbar School</v>
      </c>
      <c r="C2242" s="1" t="str">
        <f t="shared" si="62"/>
        <v>District</v>
      </c>
      <c r="D2242" s="1" t="str">
        <f t="shared" si="63"/>
        <v>Elementary-Middle</v>
      </c>
      <c r="E2242" s="1" t="str">
        <f t="shared" si="64"/>
        <v>19122</v>
      </c>
      <c r="F2242" s="1">
        <f t="shared" si="65"/>
        <v>223</v>
      </c>
      <c r="G2242" s="1">
        <f t="shared" si="66"/>
        <v>0.89729999999999999</v>
      </c>
      <c r="H2242" s="1" t="str">
        <f t="shared" si="67"/>
        <v>Yes</v>
      </c>
      <c r="I2242" s="1">
        <f>IF(OR(A2242="",COUNTIFS('Staff Review'!$A$8:$A$507,A2242)&lt;&gt;1),0,MATCH(A2242,'Staff Review'!$A$8:$A$507,0))</f>
        <v>225</v>
      </c>
      <c r="J2242" s="1" t="str">
        <f>IF(I2242=0,"No",IF(INDEX('Staff Review'!$C$8:$C$507,I2242)="Yes","Yes","No"))</f>
        <v>No</v>
      </c>
      <c r="K2242" s="1">
        <f ca="1">IF(AI2242="Yes",INDEX('Staff Review'!$D$8:$D$507,I2242),IF(AB2242=0,"",IF(COUNT(INDEX($C$1531:$C$2030,AB2242))=1,INDEX($C$1531:$C$2030,AB2242),"")))</f>
        <v>0.26926386473880953</v>
      </c>
      <c r="L2242" s="1">
        <f>IF(AJ2242="Yes",INDEX('Staff Review'!$F$8:$F$507,I2242),IF(AB2242=0,"",IF(COUNT(INDEX($G$1531:$G$2030,AB2242))=1,INDEX($G$1531:$G$2030,AB2242),"")))</f>
        <v>17</v>
      </c>
      <c r="M2242" s="1" t="str">
        <f t="shared" ca="1" si="68"/>
        <v>Listed</v>
      </c>
      <c r="N2242" s="1" t="str">
        <f t="shared" si="69"/>
        <v>Listed</v>
      </c>
      <c r="O2242" s="1">
        <f t="shared" si="70"/>
        <v>25</v>
      </c>
      <c r="P2242" s="1">
        <f t="shared" ca="1" si="71"/>
        <v>10</v>
      </c>
      <c r="Q2242" s="1">
        <f t="shared" si="72"/>
        <v>0</v>
      </c>
      <c r="R2242" s="1">
        <f t="shared" si="73"/>
        <v>2</v>
      </c>
      <c r="S2242" s="1">
        <f t="shared" ca="1" si="74"/>
        <v>37</v>
      </c>
      <c r="T2242" s="1">
        <f ca="1">IF(OR(COUNT(O2242:R2242)&lt;&gt;4,COUNT('Top 25'!$B$45:$E$45)&lt;&gt;4,MIN('Top 25'!$B$45:$E$45)&lt;0,SUM('Top 25'!$B$45:$E$45)&lt;=0),"",ROUND(85*(O2242/30*'Top 25'!$B$45+P2242/25*'Top 25'!$C$45+Q2242/25*'Top 25'!$D$45+R2242/5*'Top 25'!$E$45)/SUM('Top 25'!$B$45:$E$45),6))</f>
        <v>37</v>
      </c>
      <c r="U2242" s="1" t="str">
        <f t="shared" ca="1" si="75"/>
        <v>Listed</v>
      </c>
      <c r="V2242" s="1" t="str">
        <f ca="1">IF(A2242="","",IF(AK2242&lt;&gt;1,"Duplicate source ID",IF(COUNTIFS('Staff Review'!$A$8:$A$507,A2242)&gt;1,"Duplicate review ID",IF(H2242&lt;&gt;"Yes","Outside scope",IF(J2242="Yes","Already served",IF(NOT(ISNUMBER(T2242)),"Missing data","Candidate"))))))</f>
        <v>Candidate</v>
      </c>
      <c r="W2242" s="1">
        <f t="shared" ca="1" si="76"/>
        <v>184</v>
      </c>
      <c r="X2242" s="1">
        <f t="shared" ca="1" si="77"/>
        <v>182</v>
      </c>
      <c r="Y2242" s="1">
        <f ca="1">IF(AND(H2242="Yes",OR(LEN('School Search'!$B$5)=0,ISNUMBER(SEARCH('School Search'!$B$5,B2242&amp;" "&amp;E2242&amp;" "&amp;A2242))),OR('School Search'!$D$5="All",C2242='School Search'!$D$5),OR('School Search'!$G$5="All eligible",AND('School Search'!$G$5="Not marked served",J2242&lt;&gt;"Yes"),AND('School Search'!$G$5="Missing data",V2242="Missing data"),AND('School Search'!$G$5="Marked served",J2242="Yes"))),1,0)</f>
        <v>1</v>
      </c>
      <c r="Z2242" s="1">
        <f ca="1">IF(Y2242=0,"",COUNTIFS($Y$2051:$Y$2550,1,$AO$2051:$AO$2550,"&lt;"&amp;AO2242)+COUNTIFS($Y$2051:Y2242,1,$AO$2051:AO2242,AO2242))</f>
        <v>184</v>
      </c>
      <c r="AA2242" s="1" t="str">
        <f t="shared" ca="1" si="78"/>
        <v>90% economic need; 0.27 mi fresh access; 17 nearby resources</v>
      </c>
      <c r="AB2242" s="1">
        <f t="shared" si="79"/>
        <v>192</v>
      </c>
      <c r="AC2242" s="1" t="str">
        <f t="shared" si="80"/>
        <v>The Fresh Grocer</v>
      </c>
      <c r="AD2242" s="1" t="str">
        <f t="shared" si="81"/>
        <v>1501 N Broad St, Philadelphia, PA, 19122</v>
      </c>
      <c r="AE2242" s="1" t="str">
        <f t="shared" si="82"/>
        <v>1750 N 12TH ST</v>
      </c>
      <c r="AF2242" s="1">
        <f t="shared" si="83"/>
        <v>39.979487730000002</v>
      </c>
      <c r="AG2242" s="1">
        <f t="shared" si="84"/>
        <v>-75.15416974</v>
      </c>
      <c r="AH2242" s="1" t="str">
        <f>IF(I2242=0,"Not contacted",IF(INDEX('Staff Review'!$J$8:$J$507,I2242)="","Not contacted",INDEX('Staff Review'!$J$8:$J$507,I2242)))</f>
        <v>Not contacted</v>
      </c>
      <c r="AI2242" s="1" t="str">
        <f ca="1">IF(I2242=0,"No",IF(AND(COUNT(INDEX('Staff Review'!$D$8:$D$507,I2242))=1,INDEX('Staff Review'!$D$8:$D$507,I2242)&gt;=0,COUNT(INDEX('Staff Review'!$E$8:$E$507,I2242))=1,INDEX('Staff Review'!$E$8:$E$507,I2242)&gt;0,INDEX('Staff Review'!$E$8:$E$507,I2242)&lt;='Top 25'!$E$5,'Top 25'!$E$5-INDEX('Staff Review'!$E$8:$E$507,I2242)&lt;='Top 25'!$H$5,LEN(INDEX('Staff Review'!$H$8:$H$507,I2242))&gt;0),"Yes","No"))</f>
        <v>No</v>
      </c>
      <c r="AJ2242" s="1" t="str">
        <f>IF(I2242=0,"No",IF(COUNT(INDEX('Staff Review'!$F$8:$F$507,I2242))&lt;&gt;1,"No",IF(AND(INDEX('Staff Review'!$F$8:$F$507,I2242)&gt;=0,MOD(INDEX('Staff Review'!$F$8:$F$507,I2242),1)=0,COUNT(INDEX('Staff Review'!$G$8:$G$507,I2242))=1,INDEX('Staff Review'!$G$8:$G$507,I2242)&gt;0,INDEX('Staff Review'!$G$8:$G$507,I2242)&lt;='Top 25'!$E$5,'Top 25'!$E$5-INDEX('Staff Review'!$G$8:$G$507,I2242)&lt;='Top 25'!$H$5,LEN(INDEX('Staff Review'!$H$8:$H$507,I2242))&gt;0),"Yes","No")))</f>
        <v>No</v>
      </c>
      <c r="AK2242" s="1">
        <f t="shared" si="85"/>
        <v>1</v>
      </c>
      <c r="AL2242" s="1">
        <f t="shared" ca="1" si="86"/>
        <v>1</v>
      </c>
      <c r="AM2242" s="1">
        <f t="shared" si="87"/>
        <v>5250</v>
      </c>
      <c r="AN2242" s="1">
        <f t="shared" si="88"/>
        <v>192</v>
      </c>
      <c r="AO2242">
        <f t="shared" ca="1" si="89"/>
        <v>184</v>
      </c>
      <c r="AP2242" s="105">
        <f ca="1">IF(AND(AL2242=1,OR('Top 25'!$A$10="All",C2242='Top 25'!$A$10),OR('Top 25'!$D$10="All",D2242='Top 25'!$D$10)),1,0)</f>
        <v>0</v>
      </c>
      <c r="AQ2242" s="105" t="str">
        <f ca="1">IF(AP2242=0,"",CHOOSE(MATCH('Top 25'!$G$10,{"Priority score","Economic need","Enrollment","Fresh miles","Nearby resources"},0),T2242,G2242,F2242,K2242,L2242))</f>
        <v/>
      </c>
      <c r="AR2242" s="105" t="str">
        <f ca="1">IF(AP2242=0,"",1+COUNTIFS($AP$2051:$AP$2550,1,$AQ$2051:$AQ$2550,IF('Top 25'!$J$10="Ascending","&lt;","&gt;")&amp;AQ2242)+COUNTIFS($AP$2051:$AP$2550,1,$AQ$2051:$AQ$2550,AQ2242,$W$2051:$W$2550,"&lt;"&amp;W2242))</f>
        <v/>
      </c>
      <c r="AT2242" s="105">
        <f ca="1">IF(AND(AL2242=1,OR(Master_rankableSchools!$A$10="All",C2242=Master_rankableSchools!$A$10),OR(Master_rankableSchools!$D$10="All",D2242=Master_rankableSchools!$D$10)),1,0)</f>
        <v>1</v>
      </c>
      <c r="AU2242" s="105">
        <f ca="1">IF(AT2242=0,"",CHOOSE(MATCH(Master_rankableSchools!$G$10,{"Priority score","Economic need","Enrollment","Fresh miles","Nearby resources"},0),T2242,G2242,F2242,K2242,L2242))</f>
        <v>37</v>
      </c>
      <c r="AV2242" s="105">
        <f ca="1">IF(AT2242=0,"",1+COUNTIFS($AT$2051:$AT$2550,1,$AU$2051:$AU$2550,IF(Master_rankableSchools!$J$10="Ascending","&lt;","&gt;")&amp;AU2242)+COUNTIFS($AT$2051:$AT$2550,1,$AU$2051:$AU$2550,AU2242,$W$2051:$W$2550,"&lt;"&amp;W2242))</f>
        <v>184</v>
      </c>
    </row>
    <row r="2243" spans="1:48" ht="22" customHeight="1">
      <c r="A2243" s="1" t="str">
        <f t="shared" ref="A2243:A2306" si="90">IF(A194="","",A194)</f>
        <v>5260</v>
      </c>
      <c r="B2243" s="1" t="str">
        <f t="shared" ref="B2243:B2306" si="91">IF(A2243="","",B194)</f>
        <v>Lewis Elkin School</v>
      </c>
      <c r="C2243" s="1" t="str">
        <f t="shared" ref="C2243:C2306" si="92">IF(A2243="","",C194)</f>
        <v>District</v>
      </c>
      <c r="D2243" s="1" t="str">
        <f t="shared" ref="D2243:D2306" si="93">IF(A2243="","",E194)</f>
        <v>Elementary</v>
      </c>
      <c r="E2243" s="1" t="str">
        <f t="shared" ref="E2243:E2306" si="94">IF(A2243="","",H194)</f>
        <v>19134</v>
      </c>
      <c r="F2243" s="1">
        <f t="shared" ref="F2243:F2306" si="95">IF(ISNUMBER(K194),K194,"")</f>
        <v>431</v>
      </c>
      <c r="G2243" s="1">
        <f t="shared" ref="G2243:G2306" si="96">IF(ISNUMBER(L194),L194,"")</f>
        <v>0.90690000000000004</v>
      </c>
      <c r="H2243" s="1" t="str">
        <f t="shared" ref="H2243:H2306" si="97">IF(A2243="","",IF(AND(UPPER(G194)="PHILADELPHIA",OR(C2243="District",AND(C2243="Charter",D194="Yes"))),"Yes","No"))</f>
        <v>Yes</v>
      </c>
      <c r="I2243" s="1">
        <f>IF(OR(A2243="",COUNTIFS('Staff Review'!$A$8:$A$507,A2243)&lt;&gt;1),0,MATCH(A2243,'Staff Review'!$A$8:$A$507,0))</f>
        <v>171</v>
      </c>
      <c r="J2243" s="1" t="str">
        <f>IF(I2243=0,"No",IF(INDEX('Staff Review'!$C$8:$C$507,I2243)="Yes","Yes","No"))</f>
        <v>No</v>
      </c>
      <c r="K2243" s="1">
        <f ca="1">IF(AI2243="Yes",INDEX('Staff Review'!$D$8:$D$507,I2243),IF(AB2243=0,"",IF(COUNT(INDEX($C$1531:$C$2030,AB2243))=1,INDEX($C$1531:$C$2030,AB2243),"")))</f>
        <v>0.32714422014659533</v>
      </c>
      <c r="L2243" s="1">
        <f>IF(AJ2243="Yes",INDEX('Staff Review'!$F$8:$F$507,I2243),IF(AB2243=0,"",IF(COUNT(INDEX($G$1531:$G$2030,AB2243))=1,INDEX($G$1531:$G$2030,AB2243),"")))</f>
        <v>10</v>
      </c>
      <c r="M2243" s="1" t="str">
        <f t="shared" ref="M2243:M2306" ca="1" si="98">IF(A2243="","",IF(AI2243="Yes","Verified","Listed"))</f>
        <v>Listed</v>
      </c>
      <c r="N2243" s="1" t="str">
        <f t="shared" ref="N2243:N2306" si="99">IF(A2243="","",IF(AJ2243="Yes","Verified","Listed"))</f>
        <v>Listed</v>
      </c>
      <c r="O2243" s="1">
        <f t="shared" ref="O2243:O2306" si="100">IF(AND(ISNUMBER(G2243),G2243&gt;=0,G2243&lt;=1),IF(G2243&gt;=0.9,30,IF(G2243&gt;=0.8,25,IF(G2243&gt;=0.7,20,IF(G2243&gt;=0.6,15,IF(G2243&gt;=0.5,10,IF(G2243&gt;=0.4,5,0)))))),"")</f>
        <v>30</v>
      </c>
      <c r="P2243" s="1">
        <f t="shared" ref="P2243:P2306" ca="1" si="101">IF(ISNUMBER(K2243),IF(K2243&lt;0,"",IF(K2243&gt;1,25,IF(K2243&gt;=0.75,20,IF(K2243&gt;=0.5,15,IF(K2243&gt;=0.25,10,5))))),"")</f>
        <v>10</v>
      </c>
      <c r="Q2243" s="1">
        <f t="shared" ref="Q2243:Q2306" si="102">IF(NOT(ISNUMBER(L2243)),"",IF(AND(L2243&gt;=0,MOD(L2243,1)=0),MAX(0,25-5*L2243),""))</f>
        <v>0</v>
      </c>
      <c r="R2243" s="1">
        <f t="shared" ref="R2243:R2306" si="103">IF(NOT(ISNUMBER(F2243)),"",IF(AND(F2243&gt;0,MOD(F2243,1)=0),IF(F2243&gt;=700,5,IF(F2243&gt;=500,4,IF(F2243&gt;=350,3,IF(F2243&gt;=200,2,1)))),""))</f>
        <v>3</v>
      </c>
      <c r="S2243" s="1">
        <f t="shared" ref="S2243:S2306" ca="1" si="104">IF(COUNT(O2243:R2243)=4,SUM(O2243:R2243),"")</f>
        <v>43</v>
      </c>
      <c r="T2243" s="1">
        <f ca="1">IF(OR(COUNT(O2243:R2243)&lt;&gt;4,COUNT('Top 25'!$B$45:$E$45)&lt;&gt;4,MIN('Top 25'!$B$45:$E$45)&lt;0,SUM('Top 25'!$B$45:$E$45)&lt;=0),"",ROUND(85*(O2243/30*'Top 25'!$B$45+P2243/25*'Top 25'!$C$45+Q2243/25*'Top 25'!$D$45+R2243/5*'Top 25'!$E$45)/SUM('Top 25'!$B$45:$E$45),6))</f>
        <v>43</v>
      </c>
      <c r="U2243" s="1" t="str">
        <f t="shared" ref="U2243:U2306" ca="1" si="105">IF(A2243="","",IF(AND(M2243="Verified",N2243="Verified"),"Verified",IF(AND(M2243="Listed",N2243="Listed"),"Listed","Mixed")))</f>
        <v>Listed</v>
      </c>
      <c r="V2243" s="1" t="str">
        <f ca="1">IF(A2243="","",IF(AK2243&lt;&gt;1,"Duplicate source ID",IF(COUNTIFS('Staff Review'!$A$8:$A$507,A2243)&gt;1,"Duplicate review ID",IF(H2243&lt;&gt;"Yes","Outside scope",IF(J2243="Yes","Already served",IF(NOT(ISNUMBER(T2243)),"Missing data","Candidate"))))))</f>
        <v>Candidate</v>
      </c>
      <c r="W2243" s="1">
        <f t="shared" ref="W2243:W2306" ca="1" si="106">IF(AL2243=0,"",1+COUNTIFS($AL$2051:$AL$2550,1,$T$2051:$T$2550,"&gt;"&amp;T2243)+COUNTIFS($AL$2051:$AL$2550,1,$T$2051:$T$2550,T2243,$G$2051:$G$2550,"&gt;"&amp;G2243)+COUNTIFS($AL$2051:$AL$2550,1,$T$2051:$T$2550,T2243,$G$2051:$G$2550,G2243,$F$2051:$F$2550,"&gt;"&amp;F2243)+COUNTIFS($AL$2051:$AL$2550,1,$T$2051:$T$2550,T2243,$G$2051:$G$2550,G2243,$F$2051:$F$2550,F2243,$AM$2051:$AM$2550,"&lt;"&amp;AM2243))</f>
        <v>93</v>
      </c>
      <c r="X2243" s="1">
        <f t="shared" ref="X2243:X2306" ca="1" si="107">IF(AL2243=0,"",1+COUNTIFS($AL$2051:$AL$2550,1,$T$2051:$T$2550,"&gt;"&amp;T2243))</f>
        <v>90</v>
      </c>
      <c r="Y2243" s="1">
        <f ca="1">IF(AND(H2243="Yes",OR(LEN('School Search'!$B$5)=0,ISNUMBER(SEARCH('School Search'!$B$5,B2243&amp;" "&amp;E2243&amp;" "&amp;A2243))),OR('School Search'!$D$5="All",C2243='School Search'!$D$5),OR('School Search'!$G$5="All eligible",AND('School Search'!$G$5="Not marked served",J2243&lt;&gt;"Yes"),AND('School Search'!$G$5="Missing data",V2243="Missing data"),AND('School Search'!$G$5="Marked served",J2243="Yes"))),1,0)</f>
        <v>1</v>
      </c>
      <c r="Z2243" s="1">
        <f ca="1">IF(Y2243=0,"",COUNTIFS($Y$2051:$Y$2550,1,$AO$2051:$AO$2550,"&lt;"&amp;AO2243)+COUNTIFS($Y$2051:Y2243,1,$AO$2051:AO2243,AO2243))</f>
        <v>93</v>
      </c>
      <c r="AA2243" s="1" t="str">
        <f t="shared" ref="AA2243:AA2306" ca="1" si="108">IF(NOT(ISNUMBER(S2243)),"Missing demographic or access input",TEXT(G2243,"0%")&amp;" economic need; "&amp;TEXT(K2243,"0.00")&amp;" mi fresh access; "&amp;L2243&amp;" nearby resources")</f>
        <v>91% economic need; 0.33 mi fresh access; 10 nearby resources</v>
      </c>
      <c r="AB2243" s="1">
        <f t="shared" ref="AB2243:AB2306" si="109">IF(OR(A2243="",COUNTIFS($A$1531:$A$2030,A2243)&lt;&gt;1),0,MATCH(A2243,$A$1531:$A$2030,0))</f>
        <v>193</v>
      </c>
      <c r="AC2243" s="1" t="str">
        <f t="shared" ref="AC2243:AC2306" si="110">IF(AB2243=0,"",INDEX($E$1531:$E$2030,AB2243))</f>
        <v>Fresh Supermarket Inc/ Cousins Family Market</v>
      </c>
      <c r="AD2243" s="1" t="str">
        <f t="shared" ref="AD2243:AD2306" si="111">IF(AB2243=0,"",INDEX($F$1531:$F$2030,AB2243))</f>
        <v>203 E Allegheny Ave, Philadelphia, PA, 19134</v>
      </c>
      <c r="AE2243" s="1" t="str">
        <f t="shared" ref="AE2243:AE2306" si="112">IF(A2243="","",F194)</f>
        <v>3199 D ST</v>
      </c>
      <c r="AF2243" s="1">
        <f t="shared" ref="AF2243:AF2306" si="113">IF(ISNUMBER(I194),I194,"")</f>
        <v>39.997017999999997</v>
      </c>
      <c r="AG2243" s="1">
        <f t="shared" ref="AG2243:AG2306" si="114">IF(ISNUMBER(J194),J194,"")</f>
        <v>-75.121274</v>
      </c>
      <c r="AH2243" s="1" t="str">
        <f>IF(I2243=0,"Not contacted",IF(INDEX('Staff Review'!$J$8:$J$507,I2243)="","Not contacted",INDEX('Staff Review'!$J$8:$J$507,I2243)))</f>
        <v>Not contacted</v>
      </c>
      <c r="AI2243" s="1" t="str">
        <f ca="1">IF(I2243=0,"No",IF(AND(COUNT(INDEX('Staff Review'!$D$8:$D$507,I2243))=1,INDEX('Staff Review'!$D$8:$D$507,I2243)&gt;=0,COUNT(INDEX('Staff Review'!$E$8:$E$507,I2243))=1,INDEX('Staff Review'!$E$8:$E$507,I2243)&gt;0,INDEX('Staff Review'!$E$8:$E$507,I2243)&lt;='Top 25'!$E$5,'Top 25'!$E$5-INDEX('Staff Review'!$E$8:$E$507,I2243)&lt;='Top 25'!$H$5,LEN(INDEX('Staff Review'!$H$8:$H$507,I2243))&gt;0),"Yes","No"))</f>
        <v>No</v>
      </c>
      <c r="AJ2243" s="1" t="str">
        <f>IF(I2243=0,"No",IF(COUNT(INDEX('Staff Review'!$F$8:$F$507,I2243))&lt;&gt;1,"No",IF(AND(INDEX('Staff Review'!$F$8:$F$507,I2243)&gt;=0,MOD(INDEX('Staff Review'!$F$8:$F$507,I2243),1)=0,COUNT(INDEX('Staff Review'!$G$8:$G$507,I2243))=1,INDEX('Staff Review'!$G$8:$G$507,I2243)&gt;0,INDEX('Staff Review'!$G$8:$G$507,I2243)&lt;='Top 25'!$E$5,'Top 25'!$E$5-INDEX('Staff Review'!$G$8:$G$507,I2243)&lt;='Top 25'!$H$5,LEN(INDEX('Staff Review'!$H$8:$H$507,I2243))&gt;0),"Yes","No")))</f>
        <v>No</v>
      </c>
      <c r="AK2243" s="1">
        <f t="shared" ref="AK2243:AK2306" si="115">IF(A2243="",0,COUNTIFS($A$2:$A$501,A2243))</f>
        <v>1</v>
      </c>
      <c r="AL2243" s="1">
        <f t="shared" ref="AL2243:AL2306" ca="1" si="116">IF(V2243="Candidate",1,0)</f>
        <v>1</v>
      </c>
      <c r="AM2243" s="1">
        <f t="shared" ref="AM2243:AM2306" si="117">IF(A2243="",0,VALUE(A2243))</f>
        <v>5260</v>
      </c>
      <c r="AN2243" s="1">
        <f t="shared" ref="AN2243:AN2306" si="118">IF(OR(A2243="",COUNTIFS($T$41:$T$540,A2243)&lt;&gt;1),0,MATCH(A2243,$T$41:$T$540,0))</f>
        <v>193</v>
      </c>
      <c r="AO2243">
        <f t="shared" ref="AO2243:AO2306" ca="1" si="119">IF(ISNUMBER(W2243),W2243,10000+AM2243)</f>
        <v>93</v>
      </c>
      <c r="AP2243" s="105">
        <f ca="1">IF(AND(AL2243=1,OR('Top 25'!$A$10="All",C2243='Top 25'!$A$10),OR('Top 25'!$D$10="All",D2243='Top 25'!$D$10)),1,0)</f>
        <v>1</v>
      </c>
      <c r="AQ2243" s="105">
        <f ca="1">IF(AP2243=0,"",CHOOSE(MATCH('Top 25'!$G$10,{"Priority score","Economic need","Enrollment","Fresh miles","Nearby resources"},0),T2243,G2243,F2243,K2243,L2243))</f>
        <v>43</v>
      </c>
      <c r="AR2243" s="105">
        <f ca="1">IF(AP2243=0,"",1+COUNTIFS($AP$2051:$AP$2550,1,$AQ$2051:$AQ$2550,IF('Top 25'!$J$10="Ascending","&lt;","&gt;")&amp;AQ2243)+COUNTIFS($AP$2051:$AP$2550,1,$AQ$2051:$AQ$2550,AQ2243,$W$2051:$W$2550,"&lt;"&amp;W2243))</f>
        <v>14</v>
      </c>
      <c r="AT2243" s="105">
        <f ca="1">IF(AND(AL2243=1,OR(Master_rankableSchools!$A$10="All",C2243=Master_rankableSchools!$A$10),OR(Master_rankableSchools!$D$10="All",D2243=Master_rankableSchools!$D$10)),1,0)</f>
        <v>1</v>
      </c>
      <c r="AU2243" s="105">
        <f ca="1">IF(AT2243=0,"",CHOOSE(MATCH(Master_rankableSchools!$G$10,{"Priority score","Economic need","Enrollment","Fresh miles","Nearby resources"},0),T2243,G2243,F2243,K2243,L2243))</f>
        <v>43</v>
      </c>
      <c r="AV2243" s="105">
        <f ca="1">IF(AT2243=0,"",1+COUNTIFS($AT$2051:$AT$2550,1,$AU$2051:$AU$2550,IF(Master_rankableSchools!$J$10="Ascending","&lt;","&gt;")&amp;AU2243)+COUNTIFS($AT$2051:$AT$2550,1,$AU$2051:$AU$2550,AU2243,$W$2051:$W$2550,"&lt;"&amp;W2243))</f>
        <v>93</v>
      </c>
    </row>
    <row r="2244" spans="1:48" ht="22" customHeight="1">
      <c r="A2244" s="1" t="str">
        <f t="shared" si="90"/>
        <v>5300</v>
      </c>
      <c r="B2244" s="1" t="str">
        <f t="shared" si="91"/>
        <v>Horatio B. Hackett School</v>
      </c>
      <c r="C2244" s="1" t="str">
        <f t="shared" si="92"/>
        <v>District</v>
      </c>
      <c r="D2244" s="1" t="str">
        <f t="shared" si="93"/>
        <v>Elementary</v>
      </c>
      <c r="E2244" s="1" t="str">
        <f t="shared" si="94"/>
        <v>19125</v>
      </c>
      <c r="F2244" s="1">
        <f t="shared" si="95"/>
        <v>372</v>
      </c>
      <c r="G2244" s="1">
        <f t="shared" si="96"/>
        <v>0.57679999999999998</v>
      </c>
      <c r="H2244" s="1" t="str">
        <f t="shared" si="97"/>
        <v>Yes</v>
      </c>
      <c r="I2244" s="1">
        <f>IF(OR(A2244="",COUNTIFS('Staff Review'!$A$8:$A$507,A2244)&lt;&gt;1),0,MATCH(A2244,'Staff Review'!$A$8:$A$507,0))</f>
        <v>118</v>
      </c>
      <c r="J2244" s="1" t="str">
        <f>IF(I2244=0,"No",IF(INDEX('Staff Review'!$C$8:$C$507,I2244)="Yes","Yes","No"))</f>
        <v>No</v>
      </c>
      <c r="K2244" s="1">
        <f ca="1">IF(AI2244="Yes",INDEX('Staff Review'!$D$8:$D$507,I2244),IF(AB2244=0,"",IF(COUNT(INDEX($C$1531:$C$2030,AB2244))=1,INDEX($C$1531:$C$2030,AB2244),"")))</f>
        <v>0.39765574679839522</v>
      </c>
      <c r="L2244" s="1">
        <f>IF(AJ2244="Yes",INDEX('Staff Review'!$F$8:$F$507,I2244),IF(AB2244=0,"",IF(COUNT(INDEX($G$1531:$G$2030,AB2244))=1,INDEX($G$1531:$G$2030,AB2244),"")))</f>
        <v>5</v>
      </c>
      <c r="M2244" s="1" t="str">
        <f t="shared" ca="1" si="98"/>
        <v>Listed</v>
      </c>
      <c r="N2244" s="1" t="str">
        <f t="shared" si="99"/>
        <v>Listed</v>
      </c>
      <c r="O2244" s="1">
        <f t="shared" si="100"/>
        <v>10</v>
      </c>
      <c r="P2244" s="1">
        <f t="shared" ca="1" si="101"/>
        <v>10</v>
      </c>
      <c r="Q2244" s="1">
        <f t="shared" si="102"/>
        <v>0</v>
      </c>
      <c r="R2244" s="1">
        <f t="shared" si="103"/>
        <v>3</v>
      </c>
      <c r="S2244" s="1">
        <f t="shared" ca="1" si="104"/>
        <v>23</v>
      </c>
      <c r="T2244" s="1">
        <f ca="1">IF(OR(COUNT(O2244:R2244)&lt;&gt;4,COUNT('Top 25'!$B$45:$E$45)&lt;&gt;4,MIN('Top 25'!$B$45:$E$45)&lt;0,SUM('Top 25'!$B$45:$E$45)&lt;=0),"",ROUND(85*(O2244/30*'Top 25'!$B$45+P2244/25*'Top 25'!$C$45+Q2244/25*'Top 25'!$D$45+R2244/5*'Top 25'!$E$45)/SUM('Top 25'!$B$45:$E$45),6))</f>
        <v>23</v>
      </c>
      <c r="U2244" s="1" t="str">
        <f t="shared" ca="1" si="105"/>
        <v>Listed</v>
      </c>
      <c r="V2244" s="1" t="str">
        <f ca="1">IF(A2244="","",IF(AK2244&lt;&gt;1,"Duplicate source ID",IF(COUNTIFS('Staff Review'!$A$8:$A$507,A2244)&gt;1,"Duplicate review ID",IF(H2244&lt;&gt;"Yes","Outside scope",IF(J2244="Yes","Already served",IF(NOT(ISNUMBER(T2244)),"Missing data","Candidate"))))))</f>
        <v>Candidate</v>
      </c>
      <c r="W2244" s="1">
        <f t="shared" ca="1" si="106"/>
        <v>277</v>
      </c>
      <c r="X2244" s="1">
        <f t="shared" ca="1" si="107"/>
        <v>274</v>
      </c>
      <c r="Y2244" s="1">
        <f ca="1">IF(AND(H2244="Yes",OR(LEN('School Search'!$B$5)=0,ISNUMBER(SEARCH('School Search'!$B$5,B2244&amp;" "&amp;E2244&amp;" "&amp;A2244))),OR('School Search'!$D$5="All",C2244='School Search'!$D$5),OR('School Search'!$G$5="All eligible",AND('School Search'!$G$5="Not marked served",J2244&lt;&gt;"Yes"),AND('School Search'!$G$5="Missing data",V2244="Missing data"),AND('School Search'!$G$5="Marked served",J2244="Yes"))),1,0)</f>
        <v>1</v>
      </c>
      <c r="Z2244" s="1">
        <f ca="1">IF(Y2244=0,"",COUNTIFS($Y$2051:$Y$2550,1,$AO$2051:$AO$2550,"&lt;"&amp;AO2244)+COUNTIFS($Y$2051:Y2244,1,$AO$2051:AO2244,AO2244))</f>
        <v>277</v>
      </c>
      <c r="AA2244" s="1" t="str">
        <f t="shared" ca="1" si="108"/>
        <v>58% economic need; 0.40 mi fresh access; 5 nearby resources</v>
      </c>
      <c r="AB2244" s="1">
        <f t="shared" si="109"/>
        <v>194</v>
      </c>
      <c r="AC2244" s="1" t="str">
        <f t="shared" si="110"/>
        <v>Save A Lot 30224</v>
      </c>
      <c r="AD2244" s="1" t="str">
        <f t="shared" si="111"/>
        <v>2132 E Lehigh Ave, Philadelphia, PA, 19125</v>
      </c>
      <c r="AE2244" s="1" t="str">
        <f t="shared" si="112"/>
        <v>2161 E YORK ST</v>
      </c>
      <c r="AF2244" s="1">
        <f t="shared" si="113"/>
        <v>39.98096374</v>
      </c>
      <c r="AG2244" s="1">
        <f t="shared" si="114"/>
        <v>-75.126855109999994</v>
      </c>
      <c r="AH2244" s="1" t="str">
        <f>IF(I2244=0,"Not contacted",IF(INDEX('Staff Review'!$J$8:$J$507,I2244)="","Not contacted",INDEX('Staff Review'!$J$8:$J$507,I2244)))</f>
        <v>Not contacted</v>
      </c>
      <c r="AI2244" s="1" t="str">
        <f ca="1">IF(I2244=0,"No",IF(AND(COUNT(INDEX('Staff Review'!$D$8:$D$507,I2244))=1,INDEX('Staff Review'!$D$8:$D$507,I2244)&gt;=0,COUNT(INDEX('Staff Review'!$E$8:$E$507,I2244))=1,INDEX('Staff Review'!$E$8:$E$507,I2244)&gt;0,INDEX('Staff Review'!$E$8:$E$507,I2244)&lt;='Top 25'!$E$5,'Top 25'!$E$5-INDEX('Staff Review'!$E$8:$E$507,I2244)&lt;='Top 25'!$H$5,LEN(INDEX('Staff Review'!$H$8:$H$507,I2244))&gt;0),"Yes","No"))</f>
        <v>No</v>
      </c>
      <c r="AJ2244" s="1" t="str">
        <f>IF(I2244=0,"No",IF(COUNT(INDEX('Staff Review'!$F$8:$F$507,I2244))&lt;&gt;1,"No",IF(AND(INDEX('Staff Review'!$F$8:$F$507,I2244)&gt;=0,MOD(INDEX('Staff Review'!$F$8:$F$507,I2244),1)=0,COUNT(INDEX('Staff Review'!$G$8:$G$507,I2244))=1,INDEX('Staff Review'!$G$8:$G$507,I2244)&gt;0,INDEX('Staff Review'!$G$8:$G$507,I2244)&lt;='Top 25'!$E$5,'Top 25'!$E$5-INDEX('Staff Review'!$G$8:$G$507,I2244)&lt;='Top 25'!$H$5,LEN(INDEX('Staff Review'!$H$8:$H$507,I2244))&gt;0),"Yes","No")))</f>
        <v>No</v>
      </c>
      <c r="AK2244" s="1">
        <f t="shared" si="115"/>
        <v>1</v>
      </c>
      <c r="AL2244" s="1">
        <f t="shared" ca="1" si="116"/>
        <v>1</v>
      </c>
      <c r="AM2244" s="1">
        <f t="shared" si="117"/>
        <v>5300</v>
      </c>
      <c r="AN2244" s="1">
        <f t="shared" si="118"/>
        <v>194</v>
      </c>
      <c r="AO2244">
        <f t="shared" ca="1" si="119"/>
        <v>277</v>
      </c>
      <c r="AP2244" s="105">
        <f ca="1">IF(AND(AL2244=1,OR('Top 25'!$A$10="All",C2244='Top 25'!$A$10),OR('Top 25'!$D$10="All",D2244='Top 25'!$D$10)),1,0)</f>
        <v>1</v>
      </c>
      <c r="AQ2244" s="105">
        <f ca="1">IF(AP2244=0,"",CHOOSE(MATCH('Top 25'!$G$10,{"Priority score","Economic need","Enrollment","Fresh miles","Nearby resources"},0),T2244,G2244,F2244,K2244,L2244))</f>
        <v>23</v>
      </c>
      <c r="AR2244" s="105">
        <f ca="1">IF(AP2244=0,"",1+COUNTIFS($AP$2051:$AP$2550,1,$AQ$2051:$AQ$2550,IF('Top 25'!$J$10="Ascending","&lt;","&gt;")&amp;AQ2244)+COUNTIFS($AP$2051:$AP$2550,1,$AQ$2051:$AQ$2550,AQ2244,$W$2051:$W$2550,"&lt;"&amp;W2244))</f>
        <v>43</v>
      </c>
      <c r="AT2244" s="105">
        <f ca="1">IF(AND(AL2244=1,OR(Master_rankableSchools!$A$10="All",C2244=Master_rankableSchools!$A$10),OR(Master_rankableSchools!$D$10="All",D2244=Master_rankableSchools!$D$10)),1,0)</f>
        <v>1</v>
      </c>
      <c r="AU2244" s="105">
        <f ca="1">IF(AT2244=0,"",CHOOSE(MATCH(Master_rankableSchools!$G$10,{"Priority score","Economic need","Enrollment","Fresh miles","Nearby resources"},0),T2244,G2244,F2244,K2244,L2244))</f>
        <v>23</v>
      </c>
      <c r="AV2244" s="105">
        <f ca="1">IF(AT2244=0,"",1+COUNTIFS($AT$2051:$AT$2550,1,$AU$2051:$AU$2550,IF(Master_rankableSchools!$J$10="Ascending","&lt;","&gt;")&amp;AU2244)+COUNTIFS($AT$2051:$AT$2550,1,$AU$2051:$AU$2550,AU2244,$W$2051:$W$2550,"&lt;"&amp;W2244))</f>
        <v>277</v>
      </c>
    </row>
    <row r="2245" spans="1:48" ht="22" customHeight="1">
      <c r="A2245" s="1" t="str">
        <f t="shared" si="90"/>
        <v>5320</v>
      </c>
      <c r="B2245" s="1" t="str">
        <f t="shared" si="91"/>
        <v>John F. Hartranft School</v>
      </c>
      <c r="C2245" s="1" t="str">
        <f t="shared" si="92"/>
        <v>District</v>
      </c>
      <c r="D2245" s="1" t="str">
        <f t="shared" si="93"/>
        <v>Elementary-Middle</v>
      </c>
      <c r="E2245" s="1" t="str">
        <f t="shared" si="94"/>
        <v>19133</v>
      </c>
      <c r="F2245" s="1">
        <f t="shared" si="95"/>
        <v>337</v>
      </c>
      <c r="G2245" s="1">
        <f t="shared" si="96"/>
        <v>0.88649999999999995</v>
      </c>
      <c r="H2245" s="1" t="str">
        <f t="shared" si="97"/>
        <v>Yes</v>
      </c>
      <c r="I2245" s="1">
        <f>IF(OR(A2245="",COUNTIFS('Staff Review'!$A$8:$A$507,A2245)&lt;&gt;1),0,MATCH(A2245,'Staff Review'!$A$8:$A$507,0))</f>
        <v>137</v>
      </c>
      <c r="J2245" s="1" t="str">
        <f>IF(I2245=0,"No",IF(INDEX('Staff Review'!$C$8:$C$507,I2245)="Yes","Yes","No"))</f>
        <v>No</v>
      </c>
      <c r="K2245" s="1">
        <f ca="1">IF(AI2245="Yes",INDEX('Staff Review'!$D$8:$D$507,I2245),IF(AB2245=0,"",IF(COUNT(INDEX($C$1531:$C$2030,AB2245))=1,INDEX($C$1531:$C$2030,AB2245),"")))</f>
        <v>0.29148165118256492</v>
      </c>
      <c r="L2245" s="1">
        <f>IF(AJ2245="Yes",INDEX('Staff Review'!$F$8:$F$507,I2245),IF(AB2245=0,"",IF(COUNT(INDEX($G$1531:$G$2030,AB2245))=1,INDEX($G$1531:$G$2030,AB2245),"")))</f>
        <v>15</v>
      </c>
      <c r="M2245" s="1" t="str">
        <f t="shared" ca="1" si="98"/>
        <v>Listed</v>
      </c>
      <c r="N2245" s="1" t="str">
        <f t="shared" si="99"/>
        <v>Listed</v>
      </c>
      <c r="O2245" s="1">
        <f t="shared" si="100"/>
        <v>25</v>
      </c>
      <c r="P2245" s="1">
        <f t="shared" ca="1" si="101"/>
        <v>10</v>
      </c>
      <c r="Q2245" s="1">
        <f t="shared" si="102"/>
        <v>0</v>
      </c>
      <c r="R2245" s="1">
        <f t="shared" si="103"/>
        <v>2</v>
      </c>
      <c r="S2245" s="1">
        <f t="shared" ca="1" si="104"/>
        <v>37</v>
      </c>
      <c r="T2245" s="1">
        <f ca="1">IF(OR(COUNT(O2245:R2245)&lt;&gt;4,COUNT('Top 25'!$B$45:$E$45)&lt;&gt;4,MIN('Top 25'!$B$45:$E$45)&lt;0,SUM('Top 25'!$B$45:$E$45)&lt;=0),"",ROUND(85*(O2245/30*'Top 25'!$B$45+P2245/25*'Top 25'!$C$45+Q2245/25*'Top 25'!$D$45+R2245/5*'Top 25'!$E$45)/SUM('Top 25'!$B$45:$E$45),6))</f>
        <v>37</v>
      </c>
      <c r="U2245" s="1" t="str">
        <f t="shared" ca="1" si="105"/>
        <v>Listed</v>
      </c>
      <c r="V2245" s="1" t="str">
        <f ca="1">IF(A2245="","",IF(AK2245&lt;&gt;1,"Duplicate source ID",IF(COUNTIFS('Staff Review'!$A$8:$A$507,A2245)&gt;1,"Duplicate review ID",IF(H2245&lt;&gt;"Yes","Outside scope",IF(J2245="Yes","Already served",IF(NOT(ISNUMBER(T2245)),"Missing data","Candidate"))))))</f>
        <v>Candidate</v>
      </c>
      <c r="W2245" s="1">
        <f t="shared" ca="1" si="106"/>
        <v>187</v>
      </c>
      <c r="X2245" s="1">
        <f t="shared" ca="1" si="107"/>
        <v>182</v>
      </c>
      <c r="Y2245" s="1">
        <f ca="1">IF(AND(H2245="Yes",OR(LEN('School Search'!$B$5)=0,ISNUMBER(SEARCH('School Search'!$B$5,B2245&amp;" "&amp;E2245&amp;" "&amp;A2245))),OR('School Search'!$D$5="All",C2245='School Search'!$D$5),OR('School Search'!$G$5="All eligible",AND('School Search'!$G$5="Not marked served",J2245&lt;&gt;"Yes"),AND('School Search'!$G$5="Missing data",V2245="Missing data"),AND('School Search'!$G$5="Marked served",J2245="Yes"))),1,0)</f>
        <v>1</v>
      </c>
      <c r="Z2245" s="1">
        <f ca="1">IF(Y2245=0,"",COUNTIFS($Y$2051:$Y$2550,1,$AO$2051:$AO$2550,"&lt;"&amp;AO2245)+COUNTIFS($Y$2051:Y2245,1,$AO$2051:AO2245,AO2245))</f>
        <v>187</v>
      </c>
      <c r="AA2245" s="1" t="str">
        <f t="shared" ca="1" si="108"/>
        <v>89% economic need; 0.29 mi fresh access; 15 nearby resources</v>
      </c>
      <c r="AB2245" s="1">
        <f t="shared" si="109"/>
        <v>195</v>
      </c>
      <c r="AC2245" s="1" t="str">
        <f t="shared" si="110"/>
        <v>Save A Lot 60139</v>
      </c>
      <c r="AD2245" s="1" t="str">
        <f t="shared" si="111"/>
        <v>701 W Lehigh Ave, Philadelphia, PA, 19133</v>
      </c>
      <c r="AE2245" s="1" t="str">
        <f t="shared" si="112"/>
        <v>720 W CUMBERLAND ST</v>
      </c>
      <c r="AF2245" s="1">
        <f t="shared" si="113"/>
        <v>39.989422279999999</v>
      </c>
      <c r="AG2245" s="1">
        <f t="shared" si="114"/>
        <v>-75.144777410000003</v>
      </c>
      <c r="AH2245" s="1" t="str">
        <f>IF(I2245=0,"Not contacted",IF(INDEX('Staff Review'!$J$8:$J$507,I2245)="","Not contacted",INDEX('Staff Review'!$J$8:$J$507,I2245)))</f>
        <v>Not contacted</v>
      </c>
      <c r="AI2245" s="1" t="str">
        <f ca="1">IF(I2245=0,"No",IF(AND(COUNT(INDEX('Staff Review'!$D$8:$D$507,I2245))=1,INDEX('Staff Review'!$D$8:$D$507,I2245)&gt;=0,COUNT(INDEX('Staff Review'!$E$8:$E$507,I2245))=1,INDEX('Staff Review'!$E$8:$E$507,I2245)&gt;0,INDEX('Staff Review'!$E$8:$E$507,I2245)&lt;='Top 25'!$E$5,'Top 25'!$E$5-INDEX('Staff Review'!$E$8:$E$507,I2245)&lt;='Top 25'!$H$5,LEN(INDEX('Staff Review'!$H$8:$H$507,I2245))&gt;0),"Yes","No"))</f>
        <v>No</v>
      </c>
      <c r="AJ2245" s="1" t="str">
        <f>IF(I2245=0,"No",IF(COUNT(INDEX('Staff Review'!$F$8:$F$507,I2245))&lt;&gt;1,"No",IF(AND(INDEX('Staff Review'!$F$8:$F$507,I2245)&gt;=0,MOD(INDEX('Staff Review'!$F$8:$F$507,I2245),1)=0,COUNT(INDEX('Staff Review'!$G$8:$G$507,I2245))=1,INDEX('Staff Review'!$G$8:$G$507,I2245)&gt;0,INDEX('Staff Review'!$G$8:$G$507,I2245)&lt;='Top 25'!$E$5,'Top 25'!$E$5-INDEX('Staff Review'!$G$8:$G$507,I2245)&lt;='Top 25'!$H$5,LEN(INDEX('Staff Review'!$H$8:$H$507,I2245))&gt;0),"Yes","No")))</f>
        <v>No</v>
      </c>
      <c r="AK2245" s="1">
        <f t="shared" si="115"/>
        <v>1</v>
      </c>
      <c r="AL2245" s="1">
        <f t="shared" ca="1" si="116"/>
        <v>1</v>
      </c>
      <c r="AM2245" s="1">
        <f t="shared" si="117"/>
        <v>5320</v>
      </c>
      <c r="AN2245" s="1">
        <f t="shared" si="118"/>
        <v>195</v>
      </c>
      <c r="AO2245">
        <f t="shared" ca="1" si="119"/>
        <v>187</v>
      </c>
      <c r="AP2245" s="105">
        <f ca="1">IF(AND(AL2245=1,OR('Top 25'!$A$10="All",C2245='Top 25'!$A$10),OR('Top 25'!$D$10="All",D2245='Top 25'!$D$10)),1,0)</f>
        <v>0</v>
      </c>
      <c r="AQ2245" s="105" t="str">
        <f ca="1">IF(AP2245=0,"",CHOOSE(MATCH('Top 25'!$G$10,{"Priority score","Economic need","Enrollment","Fresh miles","Nearby resources"},0),T2245,G2245,F2245,K2245,L2245))</f>
        <v/>
      </c>
      <c r="AR2245" s="105" t="str">
        <f ca="1">IF(AP2245=0,"",1+COUNTIFS($AP$2051:$AP$2550,1,$AQ$2051:$AQ$2550,IF('Top 25'!$J$10="Ascending","&lt;","&gt;")&amp;AQ2245)+COUNTIFS($AP$2051:$AP$2550,1,$AQ$2051:$AQ$2550,AQ2245,$W$2051:$W$2550,"&lt;"&amp;W2245))</f>
        <v/>
      </c>
      <c r="AT2245" s="105">
        <f ca="1">IF(AND(AL2245=1,OR(Master_rankableSchools!$A$10="All",C2245=Master_rankableSchools!$A$10),OR(Master_rankableSchools!$D$10="All",D2245=Master_rankableSchools!$D$10)),1,0)</f>
        <v>1</v>
      </c>
      <c r="AU2245" s="105">
        <f ca="1">IF(AT2245=0,"",CHOOSE(MATCH(Master_rankableSchools!$G$10,{"Priority score","Economic need","Enrollment","Fresh miles","Nearby resources"},0),T2245,G2245,F2245,K2245,L2245))</f>
        <v>37</v>
      </c>
      <c r="AV2245" s="105">
        <f ca="1">IF(AT2245=0,"",1+COUNTIFS($AT$2051:$AT$2550,1,$AU$2051:$AU$2550,IF(Master_rankableSchools!$J$10="Ascending","&lt;","&gt;")&amp;AU2245)+COUNTIFS($AT$2051:$AT$2550,1,$AU$2051:$AU$2550,AU2245,$W$2051:$W$2550,"&lt;"&amp;W2245))</f>
        <v>187</v>
      </c>
    </row>
    <row r="2246" spans="1:48" ht="22" customHeight="1">
      <c r="A2246" s="1" t="str">
        <f t="shared" si="90"/>
        <v>5330</v>
      </c>
      <c r="B2246" s="1" t="str">
        <f t="shared" si="91"/>
        <v>William H. Hunter School</v>
      </c>
      <c r="C2246" s="1" t="str">
        <f t="shared" si="92"/>
        <v>District</v>
      </c>
      <c r="D2246" s="1" t="str">
        <f t="shared" si="93"/>
        <v>Elementary-Middle</v>
      </c>
      <c r="E2246" s="1" t="str">
        <f t="shared" si="94"/>
        <v>19133</v>
      </c>
      <c r="F2246" s="1">
        <f t="shared" si="95"/>
        <v>357</v>
      </c>
      <c r="G2246" s="1">
        <f t="shared" si="96"/>
        <v>0.90310000000000001</v>
      </c>
      <c r="H2246" s="1" t="str">
        <f t="shared" si="97"/>
        <v>Yes</v>
      </c>
      <c r="I2246" s="1">
        <f>IF(OR(A2246="",COUNTIFS('Staff Review'!$A$8:$A$507,A2246)&lt;&gt;1),0,MATCH(A2246,'Staff Review'!$A$8:$A$507,0))</f>
        <v>317</v>
      </c>
      <c r="J2246" s="1" t="str">
        <f>IF(I2246=0,"No",IF(INDEX('Staff Review'!$C$8:$C$507,I2246)="Yes","Yes","No"))</f>
        <v>No</v>
      </c>
      <c r="K2246" s="1">
        <f ca="1">IF(AI2246="Yes",INDEX('Staff Review'!$D$8:$D$507,I2246),IF(AB2246=0,"",IF(COUNT(INDEX($C$1531:$C$2030,AB2246))=1,INDEX($C$1531:$C$2030,AB2246),"")))</f>
        <v>0.26515504946539381</v>
      </c>
      <c r="L2246" s="1">
        <f>IF(AJ2246="Yes",INDEX('Staff Review'!$F$8:$F$507,I2246),IF(AB2246=0,"",IF(COUNT(INDEX($G$1531:$G$2030,AB2246))=1,INDEX($G$1531:$G$2030,AB2246),"")))</f>
        <v>12</v>
      </c>
      <c r="M2246" s="1" t="str">
        <f t="shared" ca="1" si="98"/>
        <v>Listed</v>
      </c>
      <c r="N2246" s="1" t="str">
        <f t="shared" si="99"/>
        <v>Listed</v>
      </c>
      <c r="O2246" s="1">
        <f t="shared" si="100"/>
        <v>30</v>
      </c>
      <c r="P2246" s="1">
        <f t="shared" ca="1" si="101"/>
        <v>10</v>
      </c>
      <c r="Q2246" s="1">
        <f t="shared" si="102"/>
        <v>0</v>
      </c>
      <c r="R2246" s="1">
        <f t="shared" si="103"/>
        <v>3</v>
      </c>
      <c r="S2246" s="1">
        <f t="shared" ca="1" si="104"/>
        <v>43</v>
      </c>
      <c r="T2246" s="1">
        <f ca="1">IF(OR(COUNT(O2246:R2246)&lt;&gt;4,COUNT('Top 25'!$B$45:$E$45)&lt;&gt;4,MIN('Top 25'!$B$45:$E$45)&lt;0,SUM('Top 25'!$B$45:$E$45)&lt;=0),"",ROUND(85*(O2246/30*'Top 25'!$B$45+P2246/25*'Top 25'!$C$45+Q2246/25*'Top 25'!$D$45+R2246/5*'Top 25'!$E$45)/SUM('Top 25'!$B$45:$E$45),6))</f>
        <v>43</v>
      </c>
      <c r="U2246" s="1" t="str">
        <f t="shared" ca="1" si="105"/>
        <v>Listed</v>
      </c>
      <c r="V2246" s="1" t="str">
        <f ca="1">IF(A2246="","",IF(AK2246&lt;&gt;1,"Duplicate source ID",IF(COUNTIFS('Staff Review'!$A$8:$A$507,A2246)&gt;1,"Duplicate review ID",IF(H2246&lt;&gt;"Yes","Outside scope",IF(J2246="Yes","Already served",IF(NOT(ISNUMBER(T2246)),"Missing data","Candidate"))))))</f>
        <v>Candidate</v>
      </c>
      <c r="W2246" s="1">
        <f t="shared" ca="1" si="106"/>
        <v>94</v>
      </c>
      <c r="X2246" s="1">
        <f t="shared" ca="1" si="107"/>
        <v>90</v>
      </c>
      <c r="Y2246" s="1">
        <f ca="1">IF(AND(H2246="Yes",OR(LEN('School Search'!$B$5)=0,ISNUMBER(SEARCH('School Search'!$B$5,B2246&amp;" "&amp;E2246&amp;" "&amp;A2246))),OR('School Search'!$D$5="All",C2246='School Search'!$D$5),OR('School Search'!$G$5="All eligible",AND('School Search'!$G$5="Not marked served",J2246&lt;&gt;"Yes"),AND('School Search'!$G$5="Missing data",V2246="Missing data"),AND('School Search'!$G$5="Marked served",J2246="Yes"))),1,0)</f>
        <v>1</v>
      </c>
      <c r="Z2246" s="1">
        <f ca="1">IF(Y2246=0,"",COUNTIFS($Y$2051:$Y$2550,1,$AO$2051:$AO$2550,"&lt;"&amp;AO2246)+COUNTIFS($Y$2051:Y2246,1,$AO$2051:AO2246,AO2246))</f>
        <v>94</v>
      </c>
      <c r="AA2246" s="1" t="str">
        <f t="shared" ca="1" si="108"/>
        <v>90% economic need; 0.27 mi fresh access; 12 nearby resources</v>
      </c>
      <c r="AB2246" s="1">
        <f t="shared" si="109"/>
        <v>196</v>
      </c>
      <c r="AC2246" s="1" t="str">
        <f t="shared" si="110"/>
        <v>JC 131 West Corp/Fine Fare</v>
      </c>
      <c r="AD2246" s="1" t="str">
        <f t="shared" si="111"/>
        <v>131 W Lehigh Ave, Philadelphia, PA, 19133</v>
      </c>
      <c r="AE2246" s="1" t="str">
        <f t="shared" si="112"/>
        <v>2400 N FRONT ST</v>
      </c>
      <c r="AF2246" s="1">
        <f t="shared" si="113"/>
        <v>39.987250279999998</v>
      </c>
      <c r="AG2246" s="1">
        <f t="shared" si="114"/>
        <v>-75.131763559999996</v>
      </c>
      <c r="AH2246" s="1" t="str">
        <f>IF(I2246=0,"Not contacted",IF(INDEX('Staff Review'!$J$8:$J$507,I2246)="","Not contacted",INDEX('Staff Review'!$J$8:$J$507,I2246)))</f>
        <v>Not contacted</v>
      </c>
      <c r="AI2246" s="1" t="str">
        <f ca="1">IF(I2246=0,"No",IF(AND(COUNT(INDEX('Staff Review'!$D$8:$D$507,I2246))=1,INDEX('Staff Review'!$D$8:$D$507,I2246)&gt;=0,COUNT(INDEX('Staff Review'!$E$8:$E$507,I2246))=1,INDEX('Staff Review'!$E$8:$E$507,I2246)&gt;0,INDEX('Staff Review'!$E$8:$E$507,I2246)&lt;='Top 25'!$E$5,'Top 25'!$E$5-INDEX('Staff Review'!$E$8:$E$507,I2246)&lt;='Top 25'!$H$5,LEN(INDEX('Staff Review'!$H$8:$H$507,I2246))&gt;0),"Yes","No"))</f>
        <v>No</v>
      </c>
      <c r="AJ2246" s="1" t="str">
        <f>IF(I2246=0,"No",IF(COUNT(INDEX('Staff Review'!$F$8:$F$507,I2246))&lt;&gt;1,"No",IF(AND(INDEX('Staff Review'!$F$8:$F$507,I2246)&gt;=0,MOD(INDEX('Staff Review'!$F$8:$F$507,I2246),1)=0,COUNT(INDEX('Staff Review'!$G$8:$G$507,I2246))=1,INDEX('Staff Review'!$G$8:$G$507,I2246)&gt;0,INDEX('Staff Review'!$G$8:$G$507,I2246)&lt;='Top 25'!$E$5,'Top 25'!$E$5-INDEX('Staff Review'!$G$8:$G$507,I2246)&lt;='Top 25'!$H$5,LEN(INDEX('Staff Review'!$H$8:$H$507,I2246))&gt;0),"Yes","No")))</f>
        <v>No</v>
      </c>
      <c r="AK2246" s="1">
        <f t="shared" si="115"/>
        <v>1</v>
      </c>
      <c r="AL2246" s="1">
        <f t="shared" ca="1" si="116"/>
        <v>1</v>
      </c>
      <c r="AM2246" s="1">
        <f t="shared" si="117"/>
        <v>5330</v>
      </c>
      <c r="AN2246" s="1">
        <f t="shared" si="118"/>
        <v>196</v>
      </c>
      <c r="AO2246">
        <f t="shared" ca="1" si="119"/>
        <v>94</v>
      </c>
      <c r="AP2246" s="105">
        <f ca="1">IF(AND(AL2246=1,OR('Top 25'!$A$10="All",C2246='Top 25'!$A$10),OR('Top 25'!$D$10="All",D2246='Top 25'!$D$10)),1,0)</f>
        <v>0</v>
      </c>
      <c r="AQ2246" s="105" t="str">
        <f ca="1">IF(AP2246=0,"",CHOOSE(MATCH('Top 25'!$G$10,{"Priority score","Economic need","Enrollment","Fresh miles","Nearby resources"},0),T2246,G2246,F2246,K2246,L2246))</f>
        <v/>
      </c>
      <c r="AR2246" s="105" t="str">
        <f ca="1">IF(AP2246=0,"",1+COUNTIFS($AP$2051:$AP$2550,1,$AQ$2051:$AQ$2550,IF('Top 25'!$J$10="Ascending","&lt;","&gt;")&amp;AQ2246)+COUNTIFS($AP$2051:$AP$2550,1,$AQ$2051:$AQ$2550,AQ2246,$W$2051:$W$2550,"&lt;"&amp;W2246))</f>
        <v/>
      </c>
      <c r="AT2246" s="105">
        <f ca="1">IF(AND(AL2246=1,OR(Master_rankableSchools!$A$10="All",C2246=Master_rankableSchools!$A$10),OR(Master_rankableSchools!$D$10="All",D2246=Master_rankableSchools!$D$10)),1,0)</f>
        <v>1</v>
      </c>
      <c r="AU2246" s="105">
        <f ca="1">IF(AT2246=0,"",CHOOSE(MATCH(Master_rankableSchools!$G$10,{"Priority score","Economic need","Enrollment","Fresh miles","Nearby resources"},0),T2246,G2246,F2246,K2246,L2246))</f>
        <v>43</v>
      </c>
      <c r="AV2246" s="105">
        <f ca="1">IF(AT2246=0,"",1+COUNTIFS($AT$2051:$AT$2550,1,$AU$2051:$AU$2550,IF(Master_rankableSchools!$J$10="Ascending","&lt;","&gt;")&amp;AU2246)+COUNTIFS($AT$2051:$AT$2550,1,$AU$2051:$AU$2550,AU2246,$W$2051:$W$2550,"&lt;"&amp;W2246))</f>
        <v>94</v>
      </c>
    </row>
    <row r="2247" spans="1:48" ht="22" customHeight="1">
      <c r="A2247" s="1" t="str">
        <f t="shared" si="90"/>
        <v>5340</v>
      </c>
      <c r="B2247" s="1" t="str">
        <f t="shared" si="91"/>
        <v>James R. Ludlow School</v>
      </c>
      <c r="C2247" s="1" t="str">
        <f t="shared" si="92"/>
        <v>District</v>
      </c>
      <c r="D2247" s="1" t="str">
        <f t="shared" si="93"/>
        <v>Elementary-Middle</v>
      </c>
      <c r="E2247" s="1" t="str">
        <f t="shared" si="94"/>
        <v>19122</v>
      </c>
      <c r="F2247" s="1">
        <f t="shared" si="95"/>
        <v>237</v>
      </c>
      <c r="G2247" s="1">
        <f t="shared" si="96"/>
        <v>0.8649</v>
      </c>
      <c r="H2247" s="1" t="str">
        <f t="shared" si="97"/>
        <v>Yes</v>
      </c>
      <c r="I2247" s="1">
        <f>IF(OR(A2247="",COUNTIFS('Staff Review'!$A$8:$A$507,A2247)&lt;&gt;1),0,MATCH(A2247,'Staff Review'!$A$8:$A$507,0))</f>
        <v>130</v>
      </c>
      <c r="J2247" s="1" t="str">
        <f>IF(I2247=0,"No",IF(INDEX('Staff Review'!$C$8:$C$507,I2247)="Yes","Yes","No"))</f>
        <v>No</v>
      </c>
      <c r="K2247" s="1">
        <f ca="1">IF(AI2247="Yes",INDEX('Staff Review'!$D$8:$D$507,I2247),IF(AB2247=0,"",IF(COUNT(INDEX($C$1531:$C$2030,AB2247))=1,INDEX($C$1531:$C$2030,AB2247),"")))</f>
        <v>0.41978614301721801</v>
      </c>
      <c r="L2247" s="1">
        <f>IF(AJ2247="Yes",INDEX('Staff Review'!$F$8:$F$507,I2247),IF(AB2247=0,"",IF(COUNT(INDEX($G$1531:$G$2030,AB2247))=1,INDEX($G$1531:$G$2030,AB2247),"")))</f>
        <v>13</v>
      </c>
      <c r="M2247" s="1" t="str">
        <f t="shared" ca="1" si="98"/>
        <v>Listed</v>
      </c>
      <c r="N2247" s="1" t="str">
        <f t="shared" si="99"/>
        <v>Listed</v>
      </c>
      <c r="O2247" s="1">
        <f t="shared" si="100"/>
        <v>25</v>
      </c>
      <c r="P2247" s="1">
        <f t="shared" ca="1" si="101"/>
        <v>10</v>
      </c>
      <c r="Q2247" s="1">
        <f t="shared" si="102"/>
        <v>0</v>
      </c>
      <c r="R2247" s="1">
        <f t="shared" si="103"/>
        <v>2</v>
      </c>
      <c r="S2247" s="1">
        <f t="shared" ca="1" si="104"/>
        <v>37</v>
      </c>
      <c r="T2247" s="1">
        <f ca="1">IF(OR(COUNT(O2247:R2247)&lt;&gt;4,COUNT('Top 25'!$B$45:$E$45)&lt;&gt;4,MIN('Top 25'!$B$45:$E$45)&lt;0,SUM('Top 25'!$B$45:$E$45)&lt;=0),"",ROUND(85*(O2247/30*'Top 25'!$B$45+P2247/25*'Top 25'!$C$45+Q2247/25*'Top 25'!$D$45+R2247/5*'Top 25'!$E$45)/SUM('Top 25'!$B$45:$E$45),6))</f>
        <v>37</v>
      </c>
      <c r="U2247" s="1" t="str">
        <f t="shared" ca="1" si="105"/>
        <v>Listed</v>
      </c>
      <c r="V2247" s="1" t="str">
        <f ca="1">IF(A2247="","",IF(AK2247&lt;&gt;1,"Duplicate source ID",IF(COUNTIFS('Staff Review'!$A$8:$A$507,A2247)&gt;1,"Duplicate review ID",IF(H2247&lt;&gt;"Yes","Outside scope",IF(J2247="Yes","Already served",IF(NOT(ISNUMBER(T2247)),"Missing data","Candidate"))))))</f>
        <v>Candidate</v>
      </c>
      <c r="W2247" s="1">
        <f t="shared" ca="1" si="106"/>
        <v>194</v>
      </c>
      <c r="X2247" s="1">
        <f t="shared" ca="1" si="107"/>
        <v>182</v>
      </c>
      <c r="Y2247" s="1">
        <f ca="1">IF(AND(H2247="Yes",OR(LEN('School Search'!$B$5)=0,ISNUMBER(SEARCH('School Search'!$B$5,B2247&amp;" "&amp;E2247&amp;" "&amp;A2247))),OR('School Search'!$D$5="All",C2247='School Search'!$D$5),OR('School Search'!$G$5="All eligible",AND('School Search'!$G$5="Not marked served",J2247&lt;&gt;"Yes"),AND('School Search'!$G$5="Missing data",V2247="Missing data"),AND('School Search'!$G$5="Marked served",J2247="Yes"))),1,0)</f>
        <v>1</v>
      </c>
      <c r="Z2247" s="1">
        <f ca="1">IF(Y2247=0,"",COUNTIFS($Y$2051:$Y$2550,1,$AO$2051:$AO$2550,"&lt;"&amp;AO2247)+COUNTIFS($Y$2051:Y2247,1,$AO$2051:AO2247,AO2247))</f>
        <v>194</v>
      </c>
      <c r="AA2247" s="1" t="str">
        <f t="shared" ca="1" si="108"/>
        <v>86% economic need; 0.42 mi fresh access; 13 nearby resources</v>
      </c>
      <c r="AB2247" s="1">
        <f t="shared" si="109"/>
        <v>197</v>
      </c>
      <c r="AC2247" s="1" t="str">
        <f t="shared" si="110"/>
        <v>Acme 0291</v>
      </c>
      <c r="AD2247" s="1" t="str">
        <f t="shared" si="111"/>
        <v>180 W Girard Ave, Philadelphia, PA, 19123</v>
      </c>
      <c r="AE2247" s="1" t="str">
        <f t="shared" si="112"/>
        <v>550 W MASTER ST</v>
      </c>
      <c r="AF2247" s="1">
        <f t="shared" si="113"/>
        <v>39.972723999999999</v>
      </c>
      <c r="AG2247" s="1">
        <f t="shared" si="114"/>
        <v>-75.145854</v>
      </c>
      <c r="AH2247" s="1" t="str">
        <f>IF(I2247=0,"Not contacted",IF(INDEX('Staff Review'!$J$8:$J$507,I2247)="","Not contacted",INDEX('Staff Review'!$J$8:$J$507,I2247)))</f>
        <v>Not contacted</v>
      </c>
      <c r="AI2247" s="1" t="str">
        <f ca="1">IF(I2247=0,"No",IF(AND(COUNT(INDEX('Staff Review'!$D$8:$D$507,I2247))=1,INDEX('Staff Review'!$D$8:$D$507,I2247)&gt;=0,COUNT(INDEX('Staff Review'!$E$8:$E$507,I2247))=1,INDEX('Staff Review'!$E$8:$E$507,I2247)&gt;0,INDEX('Staff Review'!$E$8:$E$507,I2247)&lt;='Top 25'!$E$5,'Top 25'!$E$5-INDEX('Staff Review'!$E$8:$E$507,I2247)&lt;='Top 25'!$H$5,LEN(INDEX('Staff Review'!$H$8:$H$507,I2247))&gt;0),"Yes","No"))</f>
        <v>No</v>
      </c>
      <c r="AJ2247" s="1" t="str">
        <f>IF(I2247=0,"No",IF(COUNT(INDEX('Staff Review'!$F$8:$F$507,I2247))&lt;&gt;1,"No",IF(AND(INDEX('Staff Review'!$F$8:$F$507,I2247)&gt;=0,MOD(INDEX('Staff Review'!$F$8:$F$507,I2247),1)=0,COUNT(INDEX('Staff Review'!$G$8:$G$507,I2247))=1,INDEX('Staff Review'!$G$8:$G$507,I2247)&gt;0,INDEX('Staff Review'!$G$8:$G$507,I2247)&lt;='Top 25'!$E$5,'Top 25'!$E$5-INDEX('Staff Review'!$G$8:$G$507,I2247)&lt;='Top 25'!$H$5,LEN(INDEX('Staff Review'!$H$8:$H$507,I2247))&gt;0),"Yes","No")))</f>
        <v>No</v>
      </c>
      <c r="AK2247" s="1">
        <f t="shared" si="115"/>
        <v>1</v>
      </c>
      <c r="AL2247" s="1">
        <f t="shared" ca="1" si="116"/>
        <v>1</v>
      </c>
      <c r="AM2247" s="1">
        <f t="shared" si="117"/>
        <v>5340</v>
      </c>
      <c r="AN2247" s="1">
        <f t="shared" si="118"/>
        <v>197</v>
      </c>
      <c r="AO2247">
        <f t="shared" ca="1" si="119"/>
        <v>194</v>
      </c>
      <c r="AP2247" s="105">
        <f ca="1">IF(AND(AL2247=1,OR('Top 25'!$A$10="All",C2247='Top 25'!$A$10),OR('Top 25'!$D$10="All",D2247='Top 25'!$D$10)),1,0)</f>
        <v>0</v>
      </c>
      <c r="AQ2247" s="105" t="str">
        <f ca="1">IF(AP2247=0,"",CHOOSE(MATCH('Top 25'!$G$10,{"Priority score","Economic need","Enrollment","Fresh miles","Nearby resources"},0),T2247,G2247,F2247,K2247,L2247))</f>
        <v/>
      </c>
      <c r="AR2247" s="105" t="str">
        <f ca="1">IF(AP2247=0,"",1+COUNTIFS($AP$2051:$AP$2550,1,$AQ$2051:$AQ$2550,IF('Top 25'!$J$10="Ascending","&lt;","&gt;")&amp;AQ2247)+COUNTIFS($AP$2051:$AP$2550,1,$AQ$2051:$AQ$2550,AQ2247,$W$2051:$W$2550,"&lt;"&amp;W2247))</f>
        <v/>
      </c>
      <c r="AT2247" s="105">
        <f ca="1">IF(AND(AL2247=1,OR(Master_rankableSchools!$A$10="All",C2247=Master_rankableSchools!$A$10),OR(Master_rankableSchools!$D$10="All",D2247=Master_rankableSchools!$D$10)),1,0)</f>
        <v>1</v>
      </c>
      <c r="AU2247" s="105">
        <f ca="1">IF(AT2247=0,"",CHOOSE(MATCH(Master_rankableSchools!$G$10,{"Priority score","Economic need","Enrollment","Fresh miles","Nearby resources"},0),T2247,G2247,F2247,K2247,L2247))</f>
        <v>37</v>
      </c>
      <c r="AV2247" s="105">
        <f ca="1">IF(AT2247=0,"",1+COUNTIFS($AT$2051:$AT$2550,1,$AU$2051:$AU$2550,IF(Master_rankableSchools!$J$10="Ascending","&lt;","&gt;")&amp;AU2247)+COUNTIFS($AT$2051:$AT$2550,1,$AU$2051:$AU$2550,AU2247,$W$2051:$W$2550,"&lt;"&amp;W2247))</f>
        <v>194</v>
      </c>
    </row>
    <row r="2248" spans="1:48" ht="22" customHeight="1">
      <c r="A2248" s="1" t="str">
        <f t="shared" si="90"/>
        <v>5350</v>
      </c>
      <c r="B2248" s="1" t="str">
        <f t="shared" si="91"/>
        <v>William McKinley School</v>
      </c>
      <c r="C2248" s="1" t="str">
        <f t="shared" si="92"/>
        <v>District</v>
      </c>
      <c r="D2248" s="1" t="str">
        <f t="shared" si="93"/>
        <v>Elementary-Middle</v>
      </c>
      <c r="E2248" s="1" t="str">
        <f t="shared" si="94"/>
        <v>19122</v>
      </c>
      <c r="F2248" s="1">
        <f t="shared" si="95"/>
        <v>275</v>
      </c>
      <c r="G2248" s="1">
        <f t="shared" si="96"/>
        <v>0.88849999999999996</v>
      </c>
      <c r="H2248" s="1" t="str">
        <f t="shared" si="97"/>
        <v>Yes</v>
      </c>
      <c r="I2248" s="1">
        <f>IF(OR(A2248="",COUNTIFS('Staff Review'!$A$8:$A$507,A2248)&lt;&gt;1),0,MATCH(A2248,'Staff Review'!$A$8:$A$507,0))</f>
        <v>322</v>
      </c>
      <c r="J2248" s="1" t="str">
        <f>IF(I2248=0,"No",IF(INDEX('Staff Review'!$C$8:$C$507,I2248)="Yes","Yes","No"))</f>
        <v>No</v>
      </c>
      <c r="K2248" s="1">
        <f ca="1">IF(AI2248="Yes",INDEX('Staff Review'!$D$8:$D$507,I2248),IF(AB2248=0,"",IF(COUNT(INDEX($C$1531:$C$2030,AB2248))=1,INDEX($C$1531:$C$2030,AB2248),"")))</f>
        <v>0.17660905495101062</v>
      </c>
      <c r="L2248" s="1">
        <f>IF(AJ2248="Yes",INDEX('Staff Review'!$F$8:$F$507,I2248),IF(AB2248=0,"",IF(COUNT(INDEX($G$1531:$G$2030,AB2248))=1,INDEX($G$1531:$G$2030,AB2248),"")))</f>
        <v>14</v>
      </c>
      <c r="M2248" s="1" t="str">
        <f t="shared" ca="1" si="98"/>
        <v>Listed</v>
      </c>
      <c r="N2248" s="1" t="str">
        <f t="shared" si="99"/>
        <v>Listed</v>
      </c>
      <c r="O2248" s="1">
        <f t="shared" si="100"/>
        <v>25</v>
      </c>
      <c r="P2248" s="1">
        <f t="shared" ca="1" si="101"/>
        <v>5</v>
      </c>
      <c r="Q2248" s="1">
        <f t="shared" si="102"/>
        <v>0</v>
      </c>
      <c r="R2248" s="1">
        <f t="shared" si="103"/>
        <v>2</v>
      </c>
      <c r="S2248" s="1">
        <f t="shared" ca="1" si="104"/>
        <v>32</v>
      </c>
      <c r="T2248" s="1">
        <f ca="1">IF(OR(COUNT(O2248:R2248)&lt;&gt;4,COUNT('Top 25'!$B$45:$E$45)&lt;&gt;4,MIN('Top 25'!$B$45:$E$45)&lt;0,SUM('Top 25'!$B$45:$E$45)&lt;=0),"",ROUND(85*(O2248/30*'Top 25'!$B$45+P2248/25*'Top 25'!$C$45+Q2248/25*'Top 25'!$D$45+R2248/5*'Top 25'!$E$45)/SUM('Top 25'!$B$45:$E$45),6))</f>
        <v>32</v>
      </c>
      <c r="U2248" s="1" t="str">
        <f t="shared" ca="1" si="105"/>
        <v>Listed</v>
      </c>
      <c r="V2248" s="1" t="str">
        <f ca="1">IF(A2248="","",IF(AK2248&lt;&gt;1,"Duplicate source ID",IF(COUNTIFS('Staff Review'!$A$8:$A$507,A2248)&gt;1,"Duplicate review ID",IF(H2248&lt;&gt;"Yes","Outside scope",IF(J2248="Yes","Already served",IF(NOT(ISNUMBER(T2248)),"Missing data","Candidate"))))))</f>
        <v>Candidate</v>
      </c>
      <c r="W2248" s="1">
        <f t="shared" ca="1" si="106"/>
        <v>244</v>
      </c>
      <c r="X2248" s="1">
        <f t="shared" ca="1" si="107"/>
        <v>243</v>
      </c>
      <c r="Y2248" s="1">
        <f ca="1">IF(AND(H2248="Yes",OR(LEN('School Search'!$B$5)=0,ISNUMBER(SEARCH('School Search'!$B$5,B2248&amp;" "&amp;E2248&amp;" "&amp;A2248))),OR('School Search'!$D$5="All",C2248='School Search'!$D$5),OR('School Search'!$G$5="All eligible",AND('School Search'!$G$5="Not marked served",J2248&lt;&gt;"Yes"),AND('School Search'!$G$5="Missing data",V2248="Missing data"),AND('School Search'!$G$5="Marked served",J2248="Yes"))),1,0)</f>
        <v>1</v>
      </c>
      <c r="Z2248" s="1">
        <f ca="1">IF(Y2248=0,"",COUNTIFS($Y$2051:$Y$2550,1,$AO$2051:$AO$2550,"&lt;"&amp;AO2248)+COUNTIFS($Y$2051:Y2248,1,$AO$2051:AO2248,AO2248))</f>
        <v>244</v>
      </c>
      <c r="AA2248" s="1" t="str">
        <f t="shared" ca="1" si="108"/>
        <v>89% economic need; 0.18 mi fresh access; 14 nearby resources</v>
      </c>
      <c r="AB2248" s="1">
        <f t="shared" si="109"/>
        <v>198</v>
      </c>
      <c r="AC2248" s="1" t="str">
        <f t="shared" si="110"/>
        <v>Cousins Supermarket Inc 1</v>
      </c>
      <c r="AD2248" s="1" t="str">
        <f t="shared" si="111"/>
        <v>1943 N 6th St, Philadelphia, PA, 19122</v>
      </c>
      <c r="AE2248" s="1" t="str">
        <f t="shared" si="112"/>
        <v>2101 N ORKNEY ST</v>
      </c>
      <c r="AF2248" s="1">
        <f t="shared" si="113"/>
        <v>39.9827686</v>
      </c>
      <c r="AG2248" s="1">
        <f t="shared" si="114"/>
        <v>-75.141655279999995</v>
      </c>
      <c r="AH2248" s="1" t="str">
        <f>IF(I2248=0,"Not contacted",IF(INDEX('Staff Review'!$J$8:$J$507,I2248)="","Not contacted",INDEX('Staff Review'!$J$8:$J$507,I2248)))</f>
        <v>Not contacted</v>
      </c>
      <c r="AI2248" s="1" t="str">
        <f ca="1">IF(I2248=0,"No",IF(AND(COUNT(INDEX('Staff Review'!$D$8:$D$507,I2248))=1,INDEX('Staff Review'!$D$8:$D$507,I2248)&gt;=0,COUNT(INDEX('Staff Review'!$E$8:$E$507,I2248))=1,INDEX('Staff Review'!$E$8:$E$507,I2248)&gt;0,INDEX('Staff Review'!$E$8:$E$507,I2248)&lt;='Top 25'!$E$5,'Top 25'!$E$5-INDEX('Staff Review'!$E$8:$E$507,I2248)&lt;='Top 25'!$H$5,LEN(INDEX('Staff Review'!$H$8:$H$507,I2248))&gt;0),"Yes","No"))</f>
        <v>No</v>
      </c>
      <c r="AJ2248" s="1" t="str">
        <f>IF(I2248=0,"No",IF(COUNT(INDEX('Staff Review'!$F$8:$F$507,I2248))&lt;&gt;1,"No",IF(AND(INDEX('Staff Review'!$F$8:$F$507,I2248)&gt;=0,MOD(INDEX('Staff Review'!$F$8:$F$507,I2248),1)=0,COUNT(INDEX('Staff Review'!$G$8:$G$507,I2248))=1,INDEX('Staff Review'!$G$8:$G$507,I2248)&gt;0,INDEX('Staff Review'!$G$8:$G$507,I2248)&lt;='Top 25'!$E$5,'Top 25'!$E$5-INDEX('Staff Review'!$G$8:$G$507,I2248)&lt;='Top 25'!$H$5,LEN(INDEX('Staff Review'!$H$8:$H$507,I2248))&gt;0),"Yes","No")))</f>
        <v>No</v>
      </c>
      <c r="AK2248" s="1">
        <f t="shared" si="115"/>
        <v>1</v>
      </c>
      <c r="AL2248" s="1">
        <f t="shared" ca="1" si="116"/>
        <v>1</v>
      </c>
      <c r="AM2248" s="1">
        <f t="shared" si="117"/>
        <v>5350</v>
      </c>
      <c r="AN2248" s="1">
        <f t="shared" si="118"/>
        <v>198</v>
      </c>
      <c r="AO2248">
        <f t="shared" ca="1" si="119"/>
        <v>244</v>
      </c>
      <c r="AP2248" s="105">
        <f ca="1">IF(AND(AL2248=1,OR('Top 25'!$A$10="All",C2248='Top 25'!$A$10),OR('Top 25'!$D$10="All",D2248='Top 25'!$D$10)),1,0)</f>
        <v>0</v>
      </c>
      <c r="AQ2248" s="105" t="str">
        <f ca="1">IF(AP2248=0,"",CHOOSE(MATCH('Top 25'!$G$10,{"Priority score","Economic need","Enrollment","Fresh miles","Nearby resources"},0),T2248,G2248,F2248,K2248,L2248))</f>
        <v/>
      </c>
      <c r="AR2248" s="105" t="str">
        <f ca="1">IF(AP2248=0,"",1+COUNTIFS($AP$2051:$AP$2550,1,$AQ$2051:$AQ$2550,IF('Top 25'!$J$10="Ascending","&lt;","&gt;")&amp;AQ2248)+COUNTIFS($AP$2051:$AP$2550,1,$AQ$2051:$AQ$2550,AQ2248,$W$2051:$W$2550,"&lt;"&amp;W2248))</f>
        <v/>
      </c>
      <c r="AT2248" s="105">
        <f ca="1">IF(AND(AL2248=1,OR(Master_rankableSchools!$A$10="All",C2248=Master_rankableSchools!$A$10),OR(Master_rankableSchools!$D$10="All",D2248=Master_rankableSchools!$D$10)),1,0)</f>
        <v>1</v>
      </c>
      <c r="AU2248" s="105">
        <f ca="1">IF(AT2248=0,"",CHOOSE(MATCH(Master_rankableSchools!$G$10,{"Priority score","Economic need","Enrollment","Fresh miles","Nearby resources"},0),T2248,G2248,F2248,K2248,L2248))</f>
        <v>32</v>
      </c>
      <c r="AV2248" s="105">
        <f ca="1">IF(AT2248=0,"",1+COUNTIFS($AT$2051:$AT$2550,1,$AU$2051:$AU$2550,IF(Master_rankableSchools!$J$10="Ascending","&lt;","&gt;")&amp;AU2248)+COUNTIFS($AT$2051:$AT$2550,1,$AU$2051:$AU$2550,AU2248,$W$2051:$W$2550,"&lt;"&amp;W2248))</f>
        <v>244</v>
      </c>
    </row>
    <row r="2249" spans="1:48" ht="22" customHeight="1">
      <c r="A2249" s="1" t="str">
        <f t="shared" si="90"/>
        <v>5370</v>
      </c>
      <c r="B2249" s="1" t="str">
        <f t="shared" si="91"/>
        <v>John Moffet School</v>
      </c>
      <c r="C2249" s="1" t="str">
        <f t="shared" si="92"/>
        <v>District</v>
      </c>
      <c r="D2249" s="1" t="str">
        <f t="shared" si="93"/>
        <v>Elementary</v>
      </c>
      <c r="E2249" s="1" t="str">
        <f t="shared" si="94"/>
        <v>19122</v>
      </c>
      <c r="F2249" s="1">
        <f t="shared" si="95"/>
        <v>212</v>
      </c>
      <c r="G2249" s="1">
        <f t="shared" si="96"/>
        <v>0.57809999999999995</v>
      </c>
      <c r="H2249" s="1" t="str">
        <f t="shared" si="97"/>
        <v>Yes</v>
      </c>
      <c r="I2249" s="1">
        <f>IF(OR(A2249="",COUNTIFS('Staff Review'!$A$8:$A$507,A2249)&lt;&gt;1),0,MATCH(A2249,'Staff Review'!$A$8:$A$507,0))</f>
        <v>143</v>
      </c>
      <c r="J2249" s="1" t="str">
        <f>IF(I2249=0,"No",IF(INDEX('Staff Review'!$C$8:$C$507,I2249)="Yes","Yes","No"))</f>
        <v>No</v>
      </c>
      <c r="K2249" s="1">
        <f ca="1">IF(AI2249="Yes",INDEX('Staff Review'!$D$8:$D$507,I2249),IF(AB2249=0,"",IF(COUNT(INDEX($C$1531:$C$2030,AB2249))=1,INDEX($C$1531:$C$2030,AB2249),"")))</f>
        <v>0.3328580538926092</v>
      </c>
      <c r="L2249" s="1">
        <f>IF(AJ2249="Yes",INDEX('Staff Review'!$F$8:$F$507,I2249),IF(AB2249=0,"",IF(COUNT(INDEX($G$1531:$G$2030,AB2249))=1,INDEX($G$1531:$G$2030,AB2249),"")))</f>
        <v>7</v>
      </c>
      <c r="M2249" s="1" t="str">
        <f t="shared" ca="1" si="98"/>
        <v>Listed</v>
      </c>
      <c r="N2249" s="1" t="str">
        <f t="shared" si="99"/>
        <v>Listed</v>
      </c>
      <c r="O2249" s="1">
        <f t="shared" si="100"/>
        <v>10</v>
      </c>
      <c r="P2249" s="1">
        <f t="shared" ca="1" si="101"/>
        <v>10</v>
      </c>
      <c r="Q2249" s="1">
        <f t="shared" si="102"/>
        <v>0</v>
      </c>
      <c r="R2249" s="1">
        <f t="shared" si="103"/>
        <v>2</v>
      </c>
      <c r="S2249" s="1">
        <f t="shared" ca="1" si="104"/>
        <v>22</v>
      </c>
      <c r="T2249" s="1">
        <f ca="1">IF(OR(COUNT(O2249:R2249)&lt;&gt;4,COUNT('Top 25'!$B$45:$E$45)&lt;&gt;4,MIN('Top 25'!$B$45:$E$45)&lt;0,SUM('Top 25'!$B$45:$E$45)&lt;=0),"",ROUND(85*(O2249/30*'Top 25'!$B$45+P2249/25*'Top 25'!$C$45+Q2249/25*'Top 25'!$D$45+R2249/5*'Top 25'!$E$45)/SUM('Top 25'!$B$45:$E$45),6))</f>
        <v>22</v>
      </c>
      <c r="U2249" s="1" t="str">
        <f t="shared" ca="1" si="105"/>
        <v>Listed</v>
      </c>
      <c r="V2249" s="1" t="str">
        <f ca="1">IF(A2249="","",IF(AK2249&lt;&gt;1,"Duplicate source ID",IF(COUNTIFS('Staff Review'!$A$8:$A$507,A2249)&gt;1,"Duplicate review ID",IF(H2249&lt;&gt;"Yes","Outside scope",IF(J2249="Yes","Already served",IF(NOT(ISNUMBER(T2249)),"Missing data","Candidate"))))))</f>
        <v>Candidate</v>
      </c>
      <c r="W2249" s="1">
        <f t="shared" ca="1" si="106"/>
        <v>278</v>
      </c>
      <c r="X2249" s="1">
        <f t="shared" ca="1" si="107"/>
        <v>278</v>
      </c>
      <c r="Y2249" s="1">
        <f ca="1">IF(AND(H2249="Yes",OR(LEN('School Search'!$B$5)=0,ISNUMBER(SEARCH('School Search'!$B$5,B2249&amp;" "&amp;E2249&amp;" "&amp;A2249))),OR('School Search'!$D$5="All",C2249='School Search'!$D$5),OR('School Search'!$G$5="All eligible",AND('School Search'!$G$5="Not marked served",J2249&lt;&gt;"Yes"),AND('School Search'!$G$5="Missing data",V2249="Missing data"),AND('School Search'!$G$5="Marked served",J2249="Yes"))),1,0)</f>
        <v>1</v>
      </c>
      <c r="Z2249" s="1">
        <f ca="1">IF(Y2249=0,"",COUNTIFS($Y$2051:$Y$2550,1,$AO$2051:$AO$2550,"&lt;"&amp;AO2249)+COUNTIFS($Y$2051:Y2249,1,$AO$2051:AO2249,AO2249))</f>
        <v>278</v>
      </c>
      <c r="AA2249" s="1" t="str">
        <f t="shared" ca="1" si="108"/>
        <v>58% economic need; 0.33 mi fresh access; 7 nearby resources</v>
      </c>
      <c r="AB2249" s="1">
        <f t="shared" si="109"/>
        <v>199</v>
      </c>
      <c r="AC2249" s="1" t="str">
        <f t="shared" si="110"/>
        <v>Grocery Outlet of Fishtown 738</v>
      </c>
      <c r="AD2249" s="1" t="str">
        <f t="shared" si="111"/>
        <v>1801 N American St, Philadelphia, PA, 19122</v>
      </c>
      <c r="AE2249" s="1" t="str">
        <f t="shared" si="112"/>
        <v>127 W OXFORD ST</v>
      </c>
      <c r="AF2249" s="1">
        <f t="shared" si="113"/>
        <v>39.974393620000001</v>
      </c>
      <c r="AG2249" s="1">
        <f t="shared" si="114"/>
        <v>-75.134984619999997</v>
      </c>
      <c r="AH2249" s="1" t="str">
        <f>IF(I2249=0,"Not contacted",IF(INDEX('Staff Review'!$J$8:$J$507,I2249)="","Not contacted",INDEX('Staff Review'!$J$8:$J$507,I2249)))</f>
        <v>Not contacted</v>
      </c>
      <c r="AI2249" s="1" t="str">
        <f ca="1">IF(I2249=0,"No",IF(AND(COUNT(INDEX('Staff Review'!$D$8:$D$507,I2249))=1,INDEX('Staff Review'!$D$8:$D$507,I2249)&gt;=0,COUNT(INDEX('Staff Review'!$E$8:$E$507,I2249))=1,INDEX('Staff Review'!$E$8:$E$507,I2249)&gt;0,INDEX('Staff Review'!$E$8:$E$507,I2249)&lt;='Top 25'!$E$5,'Top 25'!$E$5-INDEX('Staff Review'!$E$8:$E$507,I2249)&lt;='Top 25'!$H$5,LEN(INDEX('Staff Review'!$H$8:$H$507,I2249))&gt;0),"Yes","No"))</f>
        <v>No</v>
      </c>
      <c r="AJ2249" s="1" t="str">
        <f>IF(I2249=0,"No",IF(COUNT(INDEX('Staff Review'!$F$8:$F$507,I2249))&lt;&gt;1,"No",IF(AND(INDEX('Staff Review'!$F$8:$F$507,I2249)&gt;=0,MOD(INDEX('Staff Review'!$F$8:$F$507,I2249),1)=0,COUNT(INDEX('Staff Review'!$G$8:$G$507,I2249))=1,INDEX('Staff Review'!$G$8:$G$507,I2249)&gt;0,INDEX('Staff Review'!$G$8:$G$507,I2249)&lt;='Top 25'!$E$5,'Top 25'!$E$5-INDEX('Staff Review'!$G$8:$G$507,I2249)&lt;='Top 25'!$H$5,LEN(INDEX('Staff Review'!$H$8:$H$507,I2249))&gt;0),"Yes","No")))</f>
        <v>No</v>
      </c>
      <c r="AK2249" s="1">
        <f t="shared" si="115"/>
        <v>1</v>
      </c>
      <c r="AL2249" s="1">
        <f t="shared" ca="1" si="116"/>
        <v>1</v>
      </c>
      <c r="AM2249" s="1">
        <f t="shared" si="117"/>
        <v>5370</v>
      </c>
      <c r="AN2249" s="1">
        <f t="shared" si="118"/>
        <v>199</v>
      </c>
      <c r="AO2249">
        <f t="shared" ca="1" si="119"/>
        <v>278</v>
      </c>
      <c r="AP2249" s="105">
        <f ca="1">IF(AND(AL2249=1,OR('Top 25'!$A$10="All",C2249='Top 25'!$A$10),OR('Top 25'!$D$10="All",D2249='Top 25'!$D$10)),1,0)</f>
        <v>1</v>
      </c>
      <c r="AQ2249" s="105">
        <f ca="1">IF(AP2249=0,"",CHOOSE(MATCH('Top 25'!$G$10,{"Priority score","Economic need","Enrollment","Fresh miles","Nearby resources"},0),T2249,G2249,F2249,K2249,L2249))</f>
        <v>22</v>
      </c>
      <c r="AR2249" s="105">
        <f ca="1">IF(AP2249=0,"",1+COUNTIFS($AP$2051:$AP$2550,1,$AQ$2051:$AQ$2550,IF('Top 25'!$J$10="Ascending","&lt;","&gt;")&amp;AQ2249)+COUNTIFS($AP$2051:$AP$2550,1,$AQ$2051:$AQ$2550,AQ2249,$W$2051:$W$2550,"&lt;"&amp;W2249))</f>
        <v>44</v>
      </c>
      <c r="AT2249" s="105">
        <f ca="1">IF(AND(AL2249=1,OR(Master_rankableSchools!$A$10="All",C2249=Master_rankableSchools!$A$10),OR(Master_rankableSchools!$D$10="All",D2249=Master_rankableSchools!$D$10)),1,0)</f>
        <v>1</v>
      </c>
      <c r="AU2249" s="105">
        <f ca="1">IF(AT2249=0,"",CHOOSE(MATCH(Master_rankableSchools!$G$10,{"Priority score","Economic need","Enrollment","Fresh miles","Nearby resources"},0),T2249,G2249,F2249,K2249,L2249))</f>
        <v>22</v>
      </c>
      <c r="AV2249" s="105">
        <f ca="1">IF(AT2249=0,"",1+COUNTIFS($AT$2051:$AT$2550,1,$AU$2051:$AU$2550,IF(Master_rankableSchools!$J$10="Ascending","&lt;","&gt;")&amp;AU2249)+COUNTIFS($AT$2051:$AT$2550,1,$AU$2051:$AU$2550,AU2249,$W$2051:$W$2550,"&lt;"&amp;W2249))</f>
        <v>278</v>
      </c>
    </row>
    <row r="2250" spans="1:48" ht="22" customHeight="1">
      <c r="A2250" s="1" t="str">
        <f t="shared" si="90"/>
        <v>5390</v>
      </c>
      <c r="B2250" s="1" t="str">
        <f t="shared" si="91"/>
        <v>Potter-Thomas School</v>
      </c>
      <c r="C2250" s="1" t="str">
        <f t="shared" si="92"/>
        <v>District</v>
      </c>
      <c r="D2250" s="1" t="str">
        <f t="shared" si="93"/>
        <v>Elementary-Middle</v>
      </c>
      <c r="E2250" s="1" t="str">
        <f t="shared" si="94"/>
        <v>19133</v>
      </c>
      <c r="F2250" s="1">
        <f t="shared" si="95"/>
        <v>341</v>
      </c>
      <c r="G2250" s="1">
        <f t="shared" si="96"/>
        <v>0.90259999999999996</v>
      </c>
      <c r="H2250" s="1" t="str">
        <f t="shared" si="97"/>
        <v>Yes</v>
      </c>
      <c r="I2250" s="1">
        <f>IF(OR(A2250="",COUNTIFS('Staff Review'!$A$8:$A$507,A2250)&lt;&gt;1),0,MATCH(A2250,'Staff Review'!$A$8:$A$507,0))</f>
        <v>243</v>
      </c>
      <c r="J2250" s="1" t="str">
        <f>IF(I2250=0,"No",IF(INDEX('Staff Review'!$C$8:$C$507,I2250)="Yes","Yes","No"))</f>
        <v>No</v>
      </c>
      <c r="K2250" s="1">
        <f ca="1">IF(AI2250="Yes",INDEX('Staff Review'!$D$8:$D$507,I2250),IF(AB2250=0,"",IF(COUNT(INDEX($C$1531:$C$2030,AB2250))=1,INDEX($C$1531:$C$2030,AB2250),"")))</f>
        <v>0.26977388594570439</v>
      </c>
      <c r="L2250" s="1">
        <f>IF(AJ2250="Yes",INDEX('Staff Review'!$F$8:$F$507,I2250),IF(AB2250=0,"",IF(COUNT(INDEX($G$1531:$G$2030,AB2250))=1,INDEX($G$1531:$G$2030,AB2250),"")))</f>
        <v>13</v>
      </c>
      <c r="M2250" s="1" t="str">
        <f t="shared" ca="1" si="98"/>
        <v>Listed</v>
      </c>
      <c r="N2250" s="1" t="str">
        <f t="shared" si="99"/>
        <v>Listed</v>
      </c>
      <c r="O2250" s="1">
        <f t="shared" si="100"/>
        <v>30</v>
      </c>
      <c r="P2250" s="1">
        <f t="shared" ca="1" si="101"/>
        <v>10</v>
      </c>
      <c r="Q2250" s="1">
        <f t="shared" si="102"/>
        <v>0</v>
      </c>
      <c r="R2250" s="1">
        <f t="shared" si="103"/>
        <v>2</v>
      </c>
      <c r="S2250" s="1">
        <f t="shared" ca="1" si="104"/>
        <v>42</v>
      </c>
      <c r="T2250" s="1">
        <f ca="1">IF(OR(COUNT(O2250:R2250)&lt;&gt;4,COUNT('Top 25'!$B$45:$E$45)&lt;&gt;4,MIN('Top 25'!$B$45:$E$45)&lt;0,SUM('Top 25'!$B$45:$E$45)&lt;=0),"",ROUND(85*(O2250/30*'Top 25'!$B$45+P2250/25*'Top 25'!$C$45+Q2250/25*'Top 25'!$D$45+R2250/5*'Top 25'!$E$45)/SUM('Top 25'!$B$45:$E$45),6))</f>
        <v>42</v>
      </c>
      <c r="U2250" s="1" t="str">
        <f t="shared" ca="1" si="105"/>
        <v>Listed</v>
      </c>
      <c r="V2250" s="1" t="str">
        <f ca="1">IF(A2250="","",IF(AK2250&lt;&gt;1,"Duplicate source ID",IF(COUNTIFS('Staff Review'!$A$8:$A$507,A2250)&gt;1,"Duplicate review ID",IF(H2250&lt;&gt;"Yes","Outside scope",IF(J2250="Yes","Already served",IF(NOT(ISNUMBER(T2250)),"Missing data","Candidate"))))))</f>
        <v>Candidate</v>
      </c>
      <c r="W2250" s="1">
        <f t="shared" ca="1" si="106"/>
        <v>110</v>
      </c>
      <c r="X2250" s="1">
        <f t="shared" ca="1" si="107"/>
        <v>101</v>
      </c>
      <c r="Y2250" s="1">
        <f ca="1">IF(AND(H2250="Yes",OR(LEN('School Search'!$B$5)=0,ISNUMBER(SEARCH('School Search'!$B$5,B2250&amp;" "&amp;E2250&amp;" "&amp;A2250))),OR('School Search'!$D$5="All",C2250='School Search'!$D$5),OR('School Search'!$G$5="All eligible",AND('School Search'!$G$5="Not marked served",J2250&lt;&gt;"Yes"),AND('School Search'!$G$5="Missing data",V2250="Missing data"),AND('School Search'!$G$5="Marked served",J2250="Yes"))),1,0)</f>
        <v>1</v>
      </c>
      <c r="Z2250" s="1">
        <f ca="1">IF(Y2250=0,"",COUNTIFS($Y$2051:$Y$2550,1,$AO$2051:$AO$2550,"&lt;"&amp;AO2250)+COUNTIFS($Y$2051:Y2250,1,$AO$2051:AO2250,AO2250))</f>
        <v>110</v>
      </c>
      <c r="AA2250" s="1" t="str">
        <f t="shared" ca="1" si="108"/>
        <v>90% economic need; 0.27 mi fresh access; 13 nearby resources</v>
      </c>
      <c r="AB2250" s="1">
        <f t="shared" si="109"/>
        <v>200</v>
      </c>
      <c r="AC2250" s="1" t="str">
        <f t="shared" si="110"/>
        <v>Save A Lot 60136</v>
      </c>
      <c r="AD2250" s="1" t="str">
        <f t="shared" si="111"/>
        <v>400 W Allegheny Ave, Philadelphia, PA, 19133</v>
      </c>
      <c r="AE2250" s="1" t="str">
        <f t="shared" si="112"/>
        <v>3001 N 6TH ST</v>
      </c>
      <c r="AF2250" s="1">
        <f t="shared" si="113"/>
        <v>39.996907010000001</v>
      </c>
      <c r="AG2250" s="1">
        <f t="shared" si="114"/>
        <v>-75.141076459999994</v>
      </c>
      <c r="AH2250" s="1" t="str">
        <f>IF(I2250=0,"Not contacted",IF(INDEX('Staff Review'!$J$8:$J$507,I2250)="","Not contacted",INDEX('Staff Review'!$J$8:$J$507,I2250)))</f>
        <v>Not contacted</v>
      </c>
      <c r="AI2250" s="1" t="str">
        <f ca="1">IF(I2250=0,"No",IF(AND(COUNT(INDEX('Staff Review'!$D$8:$D$507,I2250))=1,INDEX('Staff Review'!$D$8:$D$507,I2250)&gt;=0,COUNT(INDEX('Staff Review'!$E$8:$E$507,I2250))=1,INDEX('Staff Review'!$E$8:$E$507,I2250)&gt;0,INDEX('Staff Review'!$E$8:$E$507,I2250)&lt;='Top 25'!$E$5,'Top 25'!$E$5-INDEX('Staff Review'!$E$8:$E$507,I2250)&lt;='Top 25'!$H$5,LEN(INDEX('Staff Review'!$H$8:$H$507,I2250))&gt;0),"Yes","No"))</f>
        <v>No</v>
      </c>
      <c r="AJ2250" s="1" t="str">
        <f>IF(I2250=0,"No",IF(COUNT(INDEX('Staff Review'!$F$8:$F$507,I2250))&lt;&gt;1,"No",IF(AND(INDEX('Staff Review'!$F$8:$F$507,I2250)&gt;=0,MOD(INDEX('Staff Review'!$F$8:$F$507,I2250),1)=0,COUNT(INDEX('Staff Review'!$G$8:$G$507,I2250))=1,INDEX('Staff Review'!$G$8:$G$507,I2250)&gt;0,INDEX('Staff Review'!$G$8:$G$507,I2250)&lt;='Top 25'!$E$5,'Top 25'!$E$5-INDEX('Staff Review'!$G$8:$G$507,I2250)&lt;='Top 25'!$H$5,LEN(INDEX('Staff Review'!$H$8:$H$507,I2250))&gt;0),"Yes","No")))</f>
        <v>No</v>
      </c>
      <c r="AK2250" s="1">
        <f t="shared" si="115"/>
        <v>1</v>
      </c>
      <c r="AL2250" s="1">
        <f t="shared" ca="1" si="116"/>
        <v>1</v>
      </c>
      <c r="AM2250" s="1">
        <f t="shared" si="117"/>
        <v>5390</v>
      </c>
      <c r="AN2250" s="1">
        <f t="shared" si="118"/>
        <v>200</v>
      </c>
      <c r="AO2250">
        <f t="shared" ca="1" si="119"/>
        <v>110</v>
      </c>
      <c r="AP2250" s="105">
        <f ca="1">IF(AND(AL2250=1,OR('Top 25'!$A$10="All",C2250='Top 25'!$A$10),OR('Top 25'!$D$10="All",D2250='Top 25'!$D$10)),1,0)</f>
        <v>0</v>
      </c>
      <c r="AQ2250" s="105" t="str">
        <f ca="1">IF(AP2250=0,"",CHOOSE(MATCH('Top 25'!$G$10,{"Priority score","Economic need","Enrollment","Fresh miles","Nearby resources"},0),T2250,G2250,F2250,K2250,L2250))</f>
        <v/>
      </c>
      <c r="AR2250" s="105" t="str">
        <f ca="1">IF(AP2250=0,"",1+COUNTIFS($AP$2051:$AP$2550,1,$AQ$2051:$AQ$2550,IF('Top 25'!$J$10="Ascending","&lt;","&gt;")&amp;AQ2250)+COUNTIFS($AP$2051:$AP$2550,1,$AQ$2051:$AQ$2550,AQ2250,$W$2051:$W$2550,"&lt;"&amp;W2250))</f>
        <v/>
      </c>
      <c r="AT2250" s="105">
        <f ca="1">IF(AND(AL2250=1,OR(Master_rankableSchools!$A$10="All",C2250=Master_rankableSchools!$A$10),OR(Master_rankableSchools!$D$10="All",D2250=Master_rankableSchools!$D$10)),1,0)</f>
        <v>1</v>
      </c>
      <c r="AU2250" s="105">
        <f ca="1">IF(AT2250=0,"",CHOOSE(MATCH(Master_rankableSchools!$G$10,{"Priority score","Economic need","Enrollment","Fresh miles","Nearby resources"},0),T2250,G2250,F2250,K2250,L2250))</f>
        <v>42</v>
      </c>
      <c r="AV2250" s="105">
        <f ca="1">IF(AT2250=0,"",1+COUNTIFS($AT$2051:$AT$2550,1,$AU$2051:$AU$2550,IF(Master_rankableSchools!$J$10="Ascending","&lt;","&gt;")&amp;AU2250)+COUNTIFS($AT$2051:$AT$2550,1,$AU$2051:$AU$2550,AU2250,$W$2051:$W$2550,"&lt;"&amp;W2250))</f>
        <v>110</v>
      </c>
    </row>
    <row r="2251" spans="1:48" ht="22" customHeight="1">
      <c r="A2251" s="1" t="str">
        <f t="shared" si="90"/>
        <v>5400</v>
      </c>
      <c r="B2251" s="1" t="str">
        <f t="shared" si="91"/>
        <v>Richmond School</v>
      </c>
      <c r="C2251" s="1" t="str">
        <f t="shared" si="92"/>
        <v>District</v>
      </c>
      <c r="D2251" s="1" t="str">
        <f t="shared" si="93"/>
        <v>Elementary</v>
      </c>
      <c r="E2251" s="1" t="str">
        <f t="shared" si="94"/>
        <v>19134</v>
      </c>
      <c r="F2251" s="1">
        <f t="shared" si="95"/>
        <v>332</v>
      </c>
      <c r="G2251" s="1">
        <f t="shared" si="96"/>
        <v>0.81920000000000004</v>
      </c>
      <c r="H2251" s="1" t="str">
        <f t="shared" si="97"/>
        <v>Yes</v>
      </c>
      <c r="I2251" s="1">
        <f>IF(OR(A2251="",COUNTIFS('Staff Review'!$A$8:$A$507,A2251)&lt;&gt;1),0,MATCH(A2251,'Staff Review'!$A$8:$A$507,0))</f>
        <v>250</v>
      </c>
      <c r="J2251" s="1" t="str">
        <f>IF(I2251=0,"No",IF(INDEX('Staff Review'!$C$8:$C$507,I2251)="Yes","Yes","No"))</f>
        <v>No</v>
      </c>
      <c r="K2251" s="1">
        <f ca="1">IF(AI2251="Yes",INDEX('Staff Review'!$D$8:$D$507,I2251),IF(AB2251=0,"",IF(COUNT(INDEX($C$1531:$C$2030,AB2251))=1,INDEX($C$1531:$C$2030,AB2251),"")))</f>
        <v>0.57120741278241549</v>
      </c>
      <c r="L2251" s="1">
        <f>IF(AJ2251="Yes",INDEX('Staff Review'!$F$8:$F$507,I2251),IF(AB2251=0,"",IF(COUNT(INDEX($G$1531:$G$2030,AB2251))=1,INDEX($G$1531:$G$2030,AB2251),"")))</f>
        <v>6</v>
      </c>
      <c r="M2251" s="1" t="str">
        <f t="shared" ca="1" si="98"/>
        <v>Listed</v>
      </c>
      <c r="N2251" s="1" t="str">
        <f t="shared" si="99"/>
        <v>Listed</v>
      </c>
      <c r="O2251" s="1">
        <f t="shared" si="100"/>
        <v>25</v>
      </c>
      <c r="P2251" s="1">
        <f t="shared" ca="1" si="101"/>
        <v>15</v>
      </c>
      <c r="Q2251" s="1">
        <f t="shared" si="102"/>
        <v>0</v>
      </c>
      <c r="R2251" s="1">
        <f t="shared" si="103"/>
        <v>2</v>
      </c>
      <c r="S2251" s="1">
        <f t="shared" ca="1" si="104"/>
        <v>42</v>
      </c>
      <c r="T2251" s="1">
        <f ca="1">IF(OR(COUNT(O2251:R2251)&lt;&gt;4,COUNT('Top 25'!$B$45:$E$45)&lt;&gt;4,MIN('Top 25'!$B$45:$E$45)&lt;0,SUM('Top 25'!$B$45:$E$45)&lt;=0),"",ROUND(85*(O2251/30*'Top 25'!$B$45+P2251/25*'Top 25'!$C$45+Q2251/25*'Top 25'!$D$45+R2251/5*'Top 25'!$E$45)/SUM('Top 25'!$B$45:$E$45),6))</f>
        <v>42</v>
      </c>
      <c r="U2251" s="1" t="str">
        <f t="shared" ca="1" si="105"/>
        <v>Listed</v>
      </c>
      <c r="V2251" s="1" t="str">
        <f ca="1">IF(A2251="","",IF(AK2251&lt;&gt;1,"Duplicate source ID",IF(COUNTIFS('Staff Review'!$A$8:$A$507,A2251)&gt;1,"Duplicate review ID",IF(H2251&lt;&gt;"Yes","Outside scope",IF(J2251="Yes","Already served",IF(NOT(ISNUMBER(T2251)),"Missing data","Candidate"))))))</f>
        <v>Candidate</v>
      </c>
      <c r="W2251" s="1">
        <f t="shared" ca="1" si="106"/>
        <v>125</v>
      </c>
      <c r="X2251" s="1">
        <f t="shared" ca="1" si="107"/>
        <v>101</v>
      </c>
      <c r="Y2251" s="1">
        <f ca="1">IF(AND(H2251="Yes",OR(LEN('School Search'!$B$5)=0,ISNUMBER(SEARCH('School Search'!$B$5,B2251&amp;" "&amp;E2251&amp;" "&amp;A2251))),OR('School Search'!$D$5="All",C2251='School Search'!$D$5),OR('School Search'!$G$5="All eligible",AND('School Search'!$G$5="Not marked served",J2251&lt;&gt;"Yes"),AND('School Search'!$G$5="Missing data",V2251="Missing data"),AND('School Search'!$G$5="Marked served",J2251="Yes"))),1,0)</f>
        <v>1</v>
      </c>
      <c r="Z2251" s="1">
        <f ca="1">IF(Y2251=0,"",COUNTIFS($Y$2051:$Y$2550,1,$AO$2051:$AO$2550,"&lt;"&amp;AO2251)+COUNTIFS($Y$2051:Y2251,1,$AO$2051:AO2251,AO2251))</f>
        <v>125</v>
      </c>
      <c r="AA2251" s="1" t="str">
        <f t="shared" ca="1" si="108"/>
        <v>82% economic need; 0.57 mi fresh access; 6 nearby resources</v>
      </c>
      <c r="AB2251" s="1">
        <f t="shared" si="109"/>
        <v>201</v>
      </c>
      <c r="AC2251" s="1" t="str">
        <f t="shared" si="110"/>
        <v>Save A Lot 30224</v>
      </c>
      <c r="AD2251" s="1" t="str">
        <f t="shared" si="111"/>
        <v>2132 E Lehigh Ave, Philadelphia, PA, 19125</v>
      </c>
      <c r="AE2251" s="1" t="str">
        <f t="shared" si="112"/>
        <v>2944 BELGRADE ST</v>
      </c>
      <c r="AF2251" s="1">
        <f t="shared" si="113"/>
        <v>39.983496000000002</v>
      </c>
      <c r="AG2251" s="1">
        <f t="shared" si="114"/>
        <v>-75.110490999999996</v>
      </c>
      <c r="AH2251" s="1" t="str">
        <f>IF(I2251=0,"Not contacted",IF(INDEX('Staff Review'!$J$8:$J$507,I2251)="","Not contacted",INDEX('Staff Review'!$J$8:$J$507,I2251)))</f>
        <v>Not contacted</v>
      </c>
      <c r="AI2251" s="1" t="str">
        <f ca="1">IF(I2251=0,"No",IF(AND(COUNT(INDEX('Staff Review'!$D$8:$D$507,I2251))=1,INDEX('Staff Review'!$D$8:$D$507,I2251)&gt;=0,COUNT(INDEX('Staff Review'!$E$8:$E$507,I2251))=1,INDEX('Staff Review'!$E$8:$E$507,I2251)&gt;0,INDEX('Staff Review'!$E$8:$E$507,I2251)&lt;='Top 25'!$E$5,'Top 25'!$E$5-INDEX('Staff Review'!$E$8:$E$507,I2251)&lt;='Top 25'!$H$5,LEN(INDEX('Staff Review'!$H$8:$H$507,I2251))&gt;0),"Yes","No"))</f>
        <v>No</v>
      </c>
      <c r="AJ2251" s="1" t="str">
        <f>IF(I2251=0,"No",IF(COUNT(INDEX('Staff Review'!$F$8:$F$507,I2251))&lt;&gt;1,"No",IF(AND(INDEX('Staff Review'!$F$8:$F$507,I2251)&gt;=0,MOD(INDEX('Staff Review'!$F$8:$F$507,I2251),1)=0,COUNT(INDEX('Staff Review'!$G$8:$G$507,I2251))=1,INDEX('Staff Review'!$G$8:$G$507,I2251)&gt;0,INDEX('Staff Review'!$G$8:$G$507,I2251)&lt;='Top 25'!$E$5,'Top 25'!$E$5-INDEX('Staff Review'!$G$8:$G$507,I2251)&lt;='Top 25'!$H$5,LEN(INDEX('Staff Review'!$H$8:$H$507,I2251))&gt;0),"Yes","No")))</f>
        <v>No</v>
      </c>
      <c r="AK2251" s="1">
        <f t="shared" si="115"/>
        <v>1</v>
      </c>
      <c r="AL2251" s="1">
        <f t="shared" ca="1" si="116"/>
        <v>1</v>
      </c>
      <c r="AM2251" s="1">
        <f t="shared" si="117"/>
        <v>5400</v>
      </c>
      <c r="AN2251" s="1">
        <f t="shared" si="118"/>
        <v>201</v>
      </c>
      <c r="AO2251">
        <f t="shared" ca="1" si="119"/>
        <v>125</v>
      </c>
      <c r="AP2251" s="105">
        <f ca="1">IF(AND(AL2251=1,OR('Top 25'!$A$10="All",C2251='Top 25'!$A$10),OR('Top 25'!$D$10="All",D2251='Top 25'!$D$10)),1,0)</f>
        <v>1</v>
      </c>
      <c r="AQ2251" s="105">
        <f ca="1">IF(AP2251=0,"",CHOOSE(MATCH('Top 25'!$G$10,{"Priority score","Economic need","Enrollment","Fresh miles","Nearby resources"},0),T2251,G2251,F2251,K2251,L2251))</f>
        <v>42</v>
      </c>
      <c r="AR2251" s="105">
        <f ca="1">IF(AP2251=0,"",1+COUNTIFS($AP$2051:$AP$2550,1,$AQ$2051:$AQ$2550,IF('Top 25'!$J$10="Ascending","&lt;","&gt;")&amp;AQ2251)+COUNTIFS($AP$2051:$AP$2550,1,$AQ$2051:$AQ$2550,AQ2251,$W$2051:$W$2550,"&lt;"&amp;W2251))</f>
        <v>21</v>
      </c>
      <c r="AT2251" s="105">
        <f ca="1">IF(AND(AL2251=1,OR(Master_rankableSchools!$A$10="All",C2251=Master_rankableSchools!$A$10),OR(Master_rankableSchools!$D$10="All",D2251=Master_rankableSchools!$D$10)),1,0)</f>
        <v>1</v>
      </c>
      <c r="AU2251" s="105">
        <f ca="1">IF(AT2251=0,"",CHOOSE(MATCH(Master_rankableSchools!$G$10,{"Priority score","Economic need","Enrollment","Fresh miles","Nearby resources"},0),T2251,G2251,F2251,K2251,L2251))</f>
        <v>42</v>
      </c>
      <c r="AV2251" s="105">
        <f ca="1">IF(AT2251=0,"",1+COUNTIFS($AT$2051:$AT$2550,1,$AU$2051:$AU$2550,IF(Master_rankableSchools!$J$10="Ascending","&lt;","&gt;")&amp;AU2251)+COUNTIFS($AT$2051:$AT$2550,1,$AU$2051:$AU$2550,AU2251,$W$2051:$W$2550,"&lt;"&amp;W2251))</f>
        <v>125</v>
      </c>
    </row>
    <row r="2252" spans="1:48" ht="22" customHeight="1">
      <c r="A2252" s="1" t="str">
        <f t="shared" si="90"/>
        <v>5410</v>
      </c>
      <c r="B2252" s="1" t="str">
        <f t="shared" si="91"/>
        <v>Isaac A. Sheppard School</v>
      </c>
      <c r="C2252" s="1" t="str">
        <f t="shared" si="92"/>
        <v>District</v>
      </c>
      <c r="D2252" s="1" t="str">
        <f t="shared" si="93"/>
        <v>Elementary</v>
      </c>
      <c r="E2252" s="1" t="str">
        <f t="shared" si="94"/>
        <v>19133</v>
      </c>
      <c r="F2252" s="1">
        <f t="shared" si="95"/>
        <v>107</v>
      </c>
      <c r="G2252" s="1">
        <f t="shared" si="96"/>
        <v>0.95320000000000005</v>
      </c>
      <c r="H2252" s="1" t="str">
        <f t="shared" si="97"/>
        <v>Yes</v>
      </c>
      <c r="I2252" s="1">
        <f>IF(OR(A2252="",COUNTIFS('Staff Review'!$A$8:$A$507,A2252)&lt;&gt;1),0,MATCH(A2252,'Staff Review'!$A$8:$A$507,0))</f>
        <v>123</v>
      </c>
      <c r="J2252" s="1" t="str">
        <f>IF(I2252=0,"No",IF(INDEX('Staff Review'!$C$8:$C$507,I2252)="Yes","Yes","No"))</f>
        <v>No</v>
      </c>
      <c r="K2252" s="1">
        <f ca="1">IF(AI2252="Yes",INDEX('Staff Review'!$D$8:$D$507,I2252),IF(AB2252=0,"",IF(COUNT(INDEX($C$1531:$C$2030,AB2252))=1,INDEX($C$1531:$C$2030,AB2252),"")))</f>
        <v>0.17989175044806002</v>
      </c>
      <c r="L2252" s="1">
        <f>IF(AJ2252="Yes",INDEX('Staff Review'!$F$8:$F$507,I2252),IF(AB2252=0,"",IF(COUNT(INDEX($G$1531:$G$2030,AB2252))=1,INDEX($G$1531:$G$2030,AB2252),"")))</f>
        <v>12</v>
      </c>
      <c r="M2252" s="1" t="str">
        <f t="shared" ca="1" si="98"/>
        <v>Listed</v>
      </c>
      <c r="N2252" s="1" t="str">
        <f t="shared" si="99"/>
        <v>Listed</v>
      </c>
      <c r="O2252" s="1">
        <f t="shared" si="100"/>
        <v>30</v>
      </c>
      <c r="P2252" s="1">
        <f t="shared" ca="1" si="101"/>
        <v>5</v>
      </c>
      <c r="Q2252" s="1">
        <f t="shared" si="102"/>
        <v>0</v>
      </c>
      <c r="R2252" s="1">
        <f t="shared" si="103"/>
        <v>1</v>
      </c>
      <c r="S2252" s="1">
        <f t="shared" ca="1" si="104"/>
        <v>36</v>
      </c>
      <c r="T2252" s="1">
        <f ca="1">IF(OR(COUNT(O2252:R2252)&lt;&gt;4,COUNT('Top 25'!$B$45:$E$45)&lt;&gt;4,MIN('Top 25'!$B$45:$E$45)&lt;0,SUM('Top 25'!$B$45:$E$45)&lt;=0),"",ROUND(85*(O2252/30*'Top 25'!$B$45+P2252/25*'Top 25'!$C$45+Q2252/25*'Top 25'!$D$45+R2252/5*'Top 25'!$E$45)/SUM('Top 25'!$B$45:$E$45),6))</f>
        <v>36</v>
      </c>
      <c r="U2252" s="1" t="str">
        <f t="shared" ca="1" si="105"/>
        <v>Listed</v>
      </c>
      <c r="V2252" s="1" t="str">
        <f ca="1">IF(A2252="","",IF(AK2252&lt;&gt;1,"Duplicate source ID",IF(COUNTIFS('Staff Review'!$A$8:$A$507,A2252)&gt;1,"Duplicate review ID",IF(H2252&lt;&gt;"Yes","Outside scope",IF(J2252="Yes","Already served",IF(NOT(ISNUMBER(T2252)),"Missing data","Candidate"))))))</f>
        <v>Candidate</v>
      </c>
      <c r="W2252" s="1">
        <f t="shared" ca="1" si="106"/>
        <v>205</v>
      </c>
      <c r="X2252" s="1">
        <f t="shared" ca="1" si="107"/>
        <v>205</v>
      </c>
      <c r="Y2252" s="1">
        <f ca="1">IF(AND(H2252="Yes",OR(LEN('School Search'!$B$5)=0,ISNUMBER(SEARCH('School Search'!$B$5,B2252&amp;" "&amp;E2252&amp;" "&amp;A2252))),OR('School Search'!$D$5="All",C2252='School Search'!$D$5),OR('School Search'!$G$5="All eligible",AND('School Search'!$G$5="Not marked served",J2252&lt;&gt;"Yes"),AND('School Search'!$G$5="Missing data",V2252="Missing data"),AND('School Search'!$G$5="Marked served",J2252="Yes"))),1,0)</f>
        <v>1</v>
      </c>
      <c r="Z2252" s="1">
        <f ca="1">IF(Y2252=0,"",COUNTIFS($Y$2051:$Y$2550,1,$AO$2051:$AO$2550,"&lt;"&amp;AO2252)+COUNTIFS($Y$2051:Y2252,1,$AO$2051:AO2252,AO2252))</f>
        <v>205</v>
      </c>
      <c r="AA2252" s="1" t="str">
        <f t="shared" ca="1" si="108"/>
        <v>95% economic need; 0.18 mi fresh access; 12 nearby resources</v>
      </c>
      <c r="AB2252" s="1">
        <f t="shared" si="109"/>
        <v>202</v>
      </c>
      <c r="AC2252" s="1" t="str">
        <f t="shared" si="110"/>
        <v>JC 131 West Corp/Fine Fare</v>
      </c>
      <c r="AD2252" s="1" t="str">
        <f t="shared" si="111"/>
        <v>131 W Lehigh Ave, Philadelphia, PA, 19133</v>
      </c>
      <c r="AE2252" s="1" t="str">
        <f t="shared" si="112"/>
        <v>120 W CAMBRIA ST</v>
      </c>
      <c r="AF2252" s="1">
        <f t="shared" si="113"/>
        <v>39.993651</v>
      </c>
      <c r="AG2252" s="1">
        <f t="shared" si="114"/>
        <v>-75.131630000000001</v>
      </c>
      <c r="AH2252" s="1" t="str">
        <f>IF(I2252=0,"Not contacted",IF(INDEX('Staff Review'!$J$8:$J$507,I2252)="","Not contacted",INDEX('Staff Review'!$J$8:$J$507,I2252)))</f>
        <v>Not contacted</v>
      </c>
      <c r="AI2252" s="1" t="str">
        <f ca="1">IF(I2252=0,"No",IF(AND(COUNT(INDEX('Staff Review'!$D$8:$D$507,I2252))=1,INDEX('Staff Review'!$D$8:$D$507,I2252)&gt;=0,COUNT(INDEX('Staff Review'!$E$8:$E$507,I2252))=1,INDEX('Staff Review'!$E$8:$E$507,I2252)&gt;0,INDEX('Staff Review'!$E$8:$E$507,I2252)&lt;='Top 25'!$E$5,'Top 25'!$E$5-INDEX('Staff Review'!$E$8:$E$507,I2252)&lt;='Top 25'!$H$5,LEN(INDEX('Staff Review'!$H$8:$H$507,I2252))&gt;0),"Yes","No"))</f>
        <v>No</v>
      </c>
      <c r="AJ2252" s="1" t="str">
        <f>IF(I2252=0,"No",IF(COUNT(INDEX('Staff Review'!$F$8:$F$507,I2252))&lt;&gt;1,"No",IF(AND(INDEX('Staff Review'!$F$8:$F$507,I2252)&gt;=0,MOD(INDEX('Staff Review'!$F$8:$F$507,I2252),1)=0,COUNT(INDEX('Staff Review'!$G$8:$G$507,I2252))=1,INDEX('Staff Review'!$G$8:$G$507,I2252)&gt;0,INDEX('Staff Review'!$G$8:$G$507,I2252)&lt;='Top 25'!$E$5,'Top 25'!$E$5-INDEX('Staff Review'!$G$8:$G$507,I2252)&lt;='Top 25'!$H$5,LEN(INDEX('Staff Review'!$H$8:$H$507,I2252))&gt;0),"Yes","No")))</f>
        <v>No</v>
      </c>
      <c r="AK2252" s="1">
        <f t="shared" si="115"/>
        <v>1</v>
      </c>
      <c r="AL2252" s="1">
        <f t="shared" ca="1" si="116"/>
        <v>1</v>
      </c>
      <c r="AM2252" s="1">
        <f t="shared" si="117"/>
        <v>5410</v>
      </c>
      <c r="AN2252" s="1">
        <f t="shared" si="118"/>
        <v>202</v>
      </c>
      <c r="AO2252">
        <f t="shared" ca="1" si="119"/>
        <v>205</v>
      </c>
      <c r="AP2252" s="105">
        <f ca="1">IF(AND(AL2252=1,OR('Top 25'!$A$10="All",C2252='Top 25'!$A$10),OR('Top 25'!$D$10="All",D2252='Top 25'!$D$10)),1,0)</f>
        <v>1</v>
      </c>
      <c r="AQ2252" s="105">
        <f ca="1">IF(AP2252=0,"",CHOOSE(MATCH('Top 25'!$G$10,{"Priority score","Economic need","Enrollment","Fresh miles","Nearby resources"},0),T2252,G2252,F2252,K2252,L2252))</f>
        <v>36</v>
      </c>
      <c r="AR2252" s="105">
        <f ca="1">IF(AP2252=0,"",1+COUNTIFS($AP$2051:$AP$2550,1,$AQ$2051:$AQ$2550,IF('Top 25'!$J$10="Ascending","&lt;","&gt;")&amp;AQ2252)+COUNTIFS($AP$2051:$AP$2550,1,$AQ$2051:$AQ$2550,AQ2252,$W$2051:$W$2550,"&lt;"&amp;W2252))</f>
        <v>36</v>
      </c>
      <c r="AT2252" s="105">
        <f ca="1">IF(AND(AL2252=1,OR(Master_rankableSchools!$A$10="All",C2252=Master_rankableSchools!$A$10),OR(Master_rankableSchools!$D$10="All",D2252=Master_rankableSchools!$D$10)),1,0)</f>
        <v>1</v>
      </c>
      <c r="AU2252" s="105">
        <f ca="1">IF(AT2252=0,"",CHOOSE(MATCH(Master_rankableSchools!$G$10,{"Priority score","Economic need","Enrollment","Fresh miles","Nearby resources"},0),T2252,G2252,F2252,K2252,L2252))</f>
        <v>36</v>
      </c>
      <c r="AV2252" s="105">
        <f ca="1">IF(AT2252=0,"",1+COUNTIFS($AT$2051:$AT$2550,1,$AU$2051:$AU$2550,IF(Master_rankableSchools!$J$10="Ascending","&lt;","&gt;")&amp;AU2252)+COUNTIFS($AT$2051:$AT$2550,1,$AU$2051:$AU$2550,AU2252,$W$2051:$W$2550,"&lt;"&amp;W2252))</f>
        <v>205</v>
      </c>
    </row>
    <row r="2253" spans="1:48" ht="22" customHeight="1">
      <c r="A2253" s="1" t="str">
        <f t="shared" si="90"/>
        <v>5420</v>
      </c>
      <c r="B2253" s="1" t="str">
        <f t="shared" si="91"/>
        <v>John Welsh School</v>
      </c>
      <c r="C2253" s="1" t="str">
        <f t="shared" si="92"/>
        <v>District</v>
      </c>
      <c r="D2253" s="1" t="str">
        <f t="shared" si="93"/>
        <v>Elementary-Middle</v>
      </c>
      <c r="E2253" s="1" t="str">
        <f t="shared" si="94"/>
        <v>19133</v>
      </c>
      <c r="F2253" s="1">
        <f t="shared" si="95"/>
        <v>185</v>
      </c>
      <c r="G2253" s="1">
        <f t="shared" si="96"/>
        <v>0.90269999999999995</v>
      </c>
      <c r="H2253" s="1" t="str">
        <f t="shared" si="97"/>
        <v>Yes</v>
      </c>
      <c r="I2253" s="1">
        <f>IF(OR(A2253="",COUNTIFS('Staff Review'!$A$8:$A$507,A2253)&lt;&gt;1),0,MATCH(A2253,'Staff Review'!$A$8:$A$507,0))</f>
        <v>145</v>
      </c>
      <c r="J2253" s="1" t="str">
        <f>IF(I2253=0,"No",IF(INDEX('Staff Review'!$C$8:$C$507,I2253)="Yes","Yes","No"))</f>
        <v>No</v>
      </c>
      <c r="K2253" s="1">
        <f ca="1">IF(AI2253="Yes",INDEX('Staff Review'!$D$8:$D$507,I2253),IF(AB2253=0,"",IF(COUNT(INDEX($C$1531:$C$2030,AB2253))=1,INDEX($C$1531:$C$2030,AB2253),"")))</f>
        <v>0.44887041257974719</v>
      </c>
      <c r="L2253" s="1">
        <f>IF(AJ2253="Yes",INDEX('Staff Review'!$F$8:$F$507,I2253),IF(AB2253=0,"",IF(COUNT(INDEX($G$1531:$G$2030,AB2253))=1,INDEX($G$1531:$G$2030,AB2253),"")))</f>
        <v>13</v>
      </c>
      <c r="M2253" s="1" t="str">
        <f t="shared" ca="1" si="98"/>
        <v>Listed</v>
      </c>
      <c r="N2253" s="1" t="str">
        <f t="shared" si="99"/>
        <v>Listed</v>
      </c>
      <c r="O2253" s="1">
        <f t="shared" si="100"/>
        <v>30</v>
      </c>
      <c r="P2253" s="1">
        <f t="shared" ca="1" si="101"/>
        <v>10</v>
      </c>
      <c r="Q2253" s="1">
        <f t="shared" si="102"/>
        <v>0</v>
      </c>
      <c r="R2253" s="1">
        <f t="shared" si="103"/>
        <v>1</v>
      </c>
      <c r="S2253" s="1">
        <f t="shared" ca="1" si="104"/>
        <v>41</v>
      </c>
      <c r="T2253" s="1">
        <f ca="1">IF(OR(COUNT(O2253:R2253)&lt;&gt;4,COUNT('Top 25'!$B$45:$E$45)&lt;&gt;4,MIN('Top 25'!$B$45:$E$45)&lt;0,SUM('Top 25'!$B$45:$E$45)&lt;=0),"",ROUND(85*(O2253/30*'Top 25'!$B$45+P2253/25*'Top 25'!$C$45+Q2253/25*'Top 25'!$D$45+R2253/5*'Top 25'!$E$45)/SUM('Top 25'!$B$45:$E$45),6))</f>
        <v>41</v>
      </c>
      <c r="U2253" s="1" t="str">
        <f t="shared" ca="1" si="105"/>
        <v>Listed</v>
      </c>
      <c r="V2253" s="1" t="str">
        <f ca="1">IF(A2253="","",IF(AK2253&lt;&gt;1,"Duplicate source ID",IF(COUNTIFS('Staff Review'!$A$8:$A$507,A2253)&gt;1,"Duplicate review ID",IF(H2253&lt;&gt;"Yes","Outside scope",IF(J2253="Yes","Already served",IF(NOT(ISNUMBER(T2253)),"Missing data","Candidate"))))))</f>
        <v>Candidate</v>
      </c>
      <c r="W2253" s="1">
        <f t="shared" ca="1" si="106"/>
        <v>130</v>
      </c>
      <c r="X2253" s="1">
        <f t="shared" ca="1" si="107"/>
        <v>128</v>
      </c>
      <c r="Y2253" s="1">
        <f ca="1">IF(AND(H2253="Yes",OR(LEN('School Search'!$B$5)=0,ISNUMBER(SEARCH('School Search'!$B$5,B2253&amp;" "&amp;E2253&amp;" "&amp;A2253))),OR('School Search'!$D$5="All",C2253='School Search'!$D$5),OR('School Search'!$G$5="All eligible",AND('School Search'!$G$5="Not marked served",J2253&lt;&gt;"Yes"),AND('School Search'!$G$5="Missing data",V2253="Missing data"),AND('School Search'!$G$5="Marked served",J2253="Yes"))),1,0)</f>
        <v>1</v>
      </c>
      <c r="Z2253" s="1">
        <f ca="1">IF(Y2253=0,"",COUNTIFS($Y$2051:$Y$2550,1,$AO$2051:$AO$2550,"&lt;"&amp;AO2253)+COUNTIFS($Y$2051:Y2253,1,$AO$2051:AO2253,AO2253))</f>
        <v>130</v>
      </c>
      <c r="AA2253" s="1" t="str">
        <f t="shared" ca="1" si="108"/>
        <v>90% economic need; 0.45 mi fresh access; 13 nearby resources</v>
      </c>
      <c r="AB2253" s="1">
        <f t="shared" si="109"/>
        <v>203</v>
      </c>
      <c r="AC2253" s="1" t="str">
        <f t="shared" si="110"/>
        <v>Cousins Supermarket Inc 1</v>
      </c>
      <c r="AD2253" s="1" t="str">
        <f t="shared" si="111"/>
        <v>1943 N 6th St, Philadelphia, PA, 19122</v>
      </c>
      <c r="AE2253" s="1" t="str">
        <f t="shared" si="112"/>
        <v>2331 N 4TH ST</v>
      </c>
      <c r="AF2253" s="1">
        <f t="shared" si="113"/>
        <v>39.986534380000002</v>
      </c>
      <c r="AG2253" s="1">
        <f t="shared" si="114"/>
        <v>-75.139418689999999</v>
      </c>
      <c r="AH2253" s="1" t="str">
        <f>IF(I2253=0,"Not contacted",IF(INDEX('Staff Review'!$J$8:$J$507,I2253)="","Not contacted",INDEX('Staff Review'!$J$8:$J$507,I2253)))</f>
        <v>Not contacted</v>
      </c>
      <c r="AI2253" s="1" t="str">
        <f ca="1">IF(I2253=0,"No",IF(AND(COUNT(INDEX('Staff Review'!$D$8:$D$507,I2253))=1,INDEX('Staff Review'!$D$8:$D$507,I2253)&gt;=0,COUNT(INDEX('Staff Review'!$E$8:$E$507,I2253))=1,INDEX('Staff Review'!$E$8:$E$507,I2253)&gt;0,INDEX('Staff Review'!$E$8:$E$507,I2253)&lt;='Top 25'!$E$5,'Top 25'!$E$5-INDEX('Staff Review'!$E$8:$E$507,I2253)&lt;='Top 25'!$H$5,LEN(INDEX('Staff Review'!$H$8:$H$507,I2253))&gt;0),"Yes","No"))</f>
        <v>No</v>
      </c>
      <c r="AJ2253" s="1" t="str">
        <f>IF(I2253=0,"No",IF(COUNT(INDEX('Staff Review'!$F$8:$F$507,I2253))&lt;&gt;1,"No",IF(AND(INDEX('Staff Review'!$F$8:$F$507,I2253)&gt;=0,MOD(INDEX('Staff Review'!$F$8:$F$507,I2253),1)=0,COUNT(INDEX('Staff Review'!$G$8:$G$507,I2253))=1,INDEX('Staff Review'!$G$8:$G$507,I2253)&gt;0,INDEX('Staff Review'!$G$8:$G$507,I2253)&lt;='Top 25'!$E$5,'Top 25'!$E$5-INDEX('Staff Review'!$G$8:$G$507,I2253)&lt;='Top 25'!$H$5,LEN(INDEX('Staff Review'!$H$8:$H$507,I2253))&gt;0),"Yes","No")))</f>
        <v>No</v>
      </c>
      <c r="AK2253" s="1">
        <f t="shared" si="115"/>
        <v>1</v>
      </c>
      <c r="AL2253" s="1">
        <f t="shared" ca="1" si="116"/>
        <v>1</v>
      </c>
      <c r="AM2253" s="1">
        <f t="shared" si="117"/>
        <v>5420</v>
      </c>
      <c r="AN2253" s="1">
        <f t="shared" si="118"/>
        <v>203</v>
      </c>
      <c r="AO2253">
        <f t="shared" ca="1" si="119"/>
        <v>130</v>
      </c>
      <c r="AP2253" s="105">
        <f ca="1">IF(AND(AL2253=1,OR('Top 25'!$A$10="All",C2253='Top 25'!$A$10),OR('Top 25'!$D$10="All",D2253='Top 25'!$D$10)),1,0)</f>
        <v>0</v>
      </c>
      <c r="AQ2253" s="105" t="str">
        <f ca="1">IF(AP2253=0,"",CHOOSE(MATCH('Top 25'!$G$10,{"Priority score","Economic need","Enrollment","Fresh miles","Nearby resources"},0),T2253,G2253,F2253,K2253,L2253))</f>
        <v/>
      </c>
      <c r="AR2253" s="105" t="str">
        <f ca="1">IF(AP2253=0,"",1+COUNTIFS($AP$2051:$AP$2550,1,$AQ$2051:$AQ$2550,IF('Top 25'!$J$10="Ascending","&lt;","&gt;")&amp;AQ2253)+COUNTIFS($AP$2051:$AP$2550,1,$AQ$2051:$AQ$2550,AQ2253,$W$2051:$W$2550,"&lt;"&amp;W2253))</f>
        <v/>
      </c>
      <c r="AT2253" s="105">
        <f ca="1">IF(AND(AL2253=1,OR(Master_rankableSchools!$A$10="All",C2253=Master_rankableSchools!$A$10),OR(Master_rankableSchools!$D$10="All",D2253=Master_rankableSchools!$D$10)),1,0)</f>
        <v>1</v>
      </c>
      <c r="AU2253" s="105">
        <f ca="1">IF(AT2253=0,"",CHOOSE(MATCH(Master_rankableSchools!$G$10,{"Priority score","Economic need","Enrollment","Fresh miles","Nearby resources"},0),T2253,G2253,F2253,K2253,L2253))</f>
        <v>41</v>
      </c>
      <c r="AV2253" s="105">
        <f ca="1">IF(AT2253=0,"",1+COUNTIFS($AT$2051:$AT$2550,1,$AU$2051:$AU$2550,IF(Master_rankableSchools!$J$10="Ascending","&lt;","&gt;")&amp;AU2253)+COUNTIFS($AT$2051:$AT$2550,1,$AU$2051:$AU$2550,AU2253,$W$2051:$W$2550,"&lt;"&amp;W2253))</f>
        <v>130</v>
      </c>
    </row>
    <row r="2254" spans="1:48" ht="22" customHeight="1">
      <c r="A2254" s="1" t="str">
        <f t="shared" si="90"/>
        <v>5430</v>
      </c>
      <c r="B2254" s="1" t="str">
        <f t="shared" si="91"/>
        <v>Alternative Middle Years at James Martin</v>
      </c>
      <c r="C2254" s="1" t="str">
        <f t="shared" si="92"/>
        <v>District</v>
      </c>
      <c r="D2254" s="1" t="str">
        <f t="shared" si="93"/>
        <v>Middle</v>
      </c>
      <c r="E2254" s="1" t="str">
        <f t="shared" si="94"/>
        <v>19134</v>
      </c>
      <c r="F2254" s="1">
        <f t="shared" si="95"/>
        <v>208</v>
      </c>
      <c r="G2254" s="1">
        <f t="shared" si="96"/>
        <v>0.86339999999999995</v>
      </c>
      <c r="H2254" s="1" t="str">
        <f t="shared" si="97"/>
        <v>Yes</v>
      </c>
      <c r="I2254" s="1">
        <f>IF(OR(A2254="",COUNTIFS('Staff Review'!$A$8:$A$507,A2254)&lt;&gt;1),0,MATCH(A2254,'Staff Review'!$A$8:$A$507,0))</f>
        <v>17</v>
      </c>
      <c r="J2254" s="1" t="str">
        <f>IF(I2254=0,"No",IF(INDEX('Staff Review'!$C$8:$C$507,I2254)="Yes","Yes","No"))</f>
        <v>No</v>
      </c>
      <c r="K2254" s="1">
        <f ca="1">IF(AI2254="Yes",INDEX('Staff Review'!$D$8:$D$507,I2254),IF(AB2254=0,"",IF(COUNT(INDEX($C$1531:$C$2030,AB2254))=1,INDEX($C$1531:$C$2030,AB2254),"")))</f>
        <v>0.4846753577767704</v>
      </c>
      <c r="L2254" s="1">
        <f>IF(AJ2254="Yes",INDEX('Staff Review'!$F$8:$F$507,I2254),IF(AB2254=0,"",IF(COUNT(INDEX($G$1531:$G$2030,AB2254))=1,INDEX($G$1531:$G$2030,AB2254),"")))</f>
        <v>4</v>
      </c>
      <c r="M2254" s="1" t="str">
        <f t="shared" ca="1" si="98"/>
        <v>Listed</v>
      </c>
      <c r="N2254" s="1" t="str">
        <f t="shared" si="99"/>
        <v>Listed</v>
      </c>
      <c r="O2254" s="1">
        <f t="shared" si="100"/>
        <v>25</v>
      </c>
      <c r="P2254" s="1">
        <f t="shared" ca="1" si="101"/>
        <v>10</v>
      </c>
      <c r="Q2254" s="1">
        <f t="shared" si="102"/>
        <v>5</v>
      </c>
      <c r="R2254" s="1">
        <f t="shared" si="103"/>
        <v>2</v>
      </c>
      <c r="S2254" s="1">
        <f t="shared" ca="1" si="104"/>
        <v>42</v>
      </c>
      <c r="T2254" s="1">
        <f ca="1">IF(OR(COUNT(O2254:R2254)&lt;&gt;4,COUNT('Top 25'!$B$45:$E$45)&lt;&gt;4,MIN('Top 25'!$B$45:$E$45)&lt;0,SUM('Top 25'!$B$45:$E$45)&lt;=0),"",ROUND(85*(O2254/30*'Top 25'!$B$45+P2254/25*'Top 25'!$C$45+Q2254/25*'Top 25'!$D$45+R2254/5*'Top 25'!$E$45)/SUM('Top 25'!$B$45:$E$45),6))</f>
        <v>42</v>
      </c>
      <c r="U2254" s="1" t="str">
        <f t="shared" ca="1" si="105"/>
        <v>Listed</v>
      </c>
      <c r="V2254" s="1" t="str">
        <f ca="1">IF(A2254="","",IF(AK2254&lt;&gt;1,"Duplicate source ID",IF(COUNTIFS('Staff Review'!$A$8:$A$507,A2254)&gt;1,"Duplicate review ID",IF(H2254&lt;&gt;"Yes","Outside scope",IF(J2254="Yes","Already served",IF(NOT(ISNUMBER(T2254)),"Missing data","Candidate"))))))</f>
        <v>Candidate</v>
      </c>
      <c r="W2254" s="1">
        <f t="shared" ca="1" si="106"/>
        <v>119</v>
      </c>
      <c r="X2254" s="1">
        <f t="shared" ca="1" si="107"/>
        <v>101</v>
      </c>
      <c r="Y2254" s="1">
        <f ca="1">IF(AND(H2254="Yes",OR(LEN('School Search'!$B$5)=0,ISNUMBER(SEARCH('School Search'!$B$5,B2254&amp;" "&amp;E2254&amp;" "&amp;A2254))),OR('School Search'!$D$5="All",C2254='School Search'!$D$5),OR('School Search'!$G$5="All eligible",AND('School Search'!$G$5="Not marked served",J2254&lt;&gt;"Yes"),AND('School Search'!$G$5="Missing data",V2254="Missing data"),AND('School Search'!$G$5="Marked served",J2254="Yes"))),1,0)</f>
        <v>1</v>
      </c>
      <c r="Z2254" s="1">
        <f ca="1">IF(Y2254=0,"",COUNTIFS($Y$2051:$Y$2550,1,$AO$2051:$AO$2550,"&lt;"&amp;AO2254)+COUNTIFS($Y$2051:Y2254,1,$AO$2051:AO2254,AO2254))</f>
        <v>119</v>
      </c>
      <c r="AA2254" s="1" t="str">
        <f t="shared" ca="1" si="108"/>
        <v>86% economic need; 0.48 mi fresh access; 4 nearby resources</v>
      </c>
      <c r="AB2254" s="1">
        <f t="shared" si="109"/>
        <v>204</v>
      </c>
      <c r="AC2254" s="1" t="str">
        <f t="shared" si="110"/>
        <v>Target 2075</v>
      </c>
      <c r="AD2254" s="1" t="str">
        <f t="shared" si="111"/>
        <v>2701 Castor Ave, Philadelphia, PA, 19134</v>
      </c>
      <c r="AE2254" s="1" t="str">
        <f t="shared" si="112"/>
        <v>3380 RICHMOND ST</v>
      </c>
      <c r="AF2254" s="1">
        <f t="shared" si="113"/>
        <v>39.985299959999999</v>
      </c>
      <c r="AG2254" s="1">
        <f t="shared" si="114"/>
        <v>-75.097181849999998</v>
      </c>
      <c r="AH2254" s="1" t="str">
        <f>IF(I2254=0,"Not contacted",IF(INDEX('Staff Review'!$J$8:$J$507,I2254)="","Not contacted",INDEX('Staff Review'!$J$8:$J$507,I2254)))</f>
        <v>Not contacted</v>
      </c>
      <c r="AI2254" s="1" t="str">
        <f ca="1">IF(I2254=0,"No",IF(AND(COUNT(INDEX('Staff Review'!$D$8:$D$507,I2254))=1,INDEX('Staff Review'!$D$8:$D$507,I2254)&gt;=0,COUNT(INDEX('Staff Review'!$E$8:$E$507,I2254))=1,INDEX('Staff Review'!$E$8:$E$507,I2254)&gt;0,INDEX('Staff Review'!$E$8:$E$507,I2254)&lt;='Top 25'!$E$5,'Top 25'!$E$5-INDEX('Staff Review'!$E$8:$E$507,I2254)&lt;='Top 25'!$H$5,LEN(INDEX('Staff Review'!$H$8:$H$507,I2254))&gt;0),"Yes","No"))</f>
        <v>No</v>
      </c>
      <c r="AJ2254" s="1" t="str">
        <f>IF(I2254=0,"No",IF(COUNT(INDEX('Staff Review'!$F$8:$F$507,I2254))&lt;&gt;1,"No",IF(AND(INDEX('Staff Review'!$F$8:$F$507,I2254)&gt;=0,MOD(INDEX('Staff Review'!$F$8:$F$507,I2254),1)=0,COUNT(INDEX('Staff Review'!$G$8:$G$507,I2254))=1,INDEX('Staff Review'!$G$8:$G$507,I2254)&gt;0,INDEX('Staff Review'!$G$8:$G$507,I2254)&lt;='Top 25'!$E$5,'Top 25'!$E$5-INDEX('Staff Review'!$G$8:$G$507,I2254)&lt;='Top 25'!$H$5,LEN(INDEX('Staff Review'!$H$8:$H$507,I2254))&gt;0),"Yes","No")))</f>
        <v>No</v>
      </c>
      <c r="AK2254" s="1">
        <f t="shared" si="115"/>
        <v>1</v>
      </c>
      <c r="AL2254" s="1">
        <f t="shared" ca="1" si="116"/>
        <v>1</v>
      </c>
      <c r="AM2254" s="1">
        <f t="shared" si="117"/>
        <v>5430</v>
      </c>
      <c r="AN2254" s="1">
        <f t="shared" si="118"/>
        <v>204</v>
      </c>
      <c r="AO2254">
        <f t="shared" ca="1" si="119"/>
        <v>119</v>
      </c>
      <c r="AP2254" s="105">
        <f ca="1">IF(AND(AL2254=1,OR('Top 25'!$A$10="All",C2254='Top 25'!$A$10),OR('Top 25'!$D$10="All",D2254='Top 25'!$D$10)),1,0)</f>
        <v>0</v>
      </c>
      <c r="AQ2254" s="105" t="str">
        <f ca="1">IF(AP2254=0,"",CHOOSE(MATCH('Top 25'!$G$10,{"Priority score","Economic need","Enrollment","Fresh miles","Nearby resources"},0),T2254,G2254,F2254,K2254,L2254))</f>
        <v/>
      </c>
      <c r="AR2254" s="105" t="str">
        <f ca="1">IF(AP2254=0,"",1+COUNTIFS($AP$2051:$AP$2550,1,$AQ$2051:$AQ$2550,IF('Top 25'!$J$10="Ascending","&lt;","&gt;")&amp;AQ2254)+COUNTIFS($AP$2051:$AP$2550,1,$AQ$2051:$AQ$2550,AQ2254,$W$2051:$W$2550,"&lt;"&amp;W2254))</f>
        <v/>
      </c>
      <c r="AT2254" s="105">
        <f ca="1">IF(AND(AL2254=1,OR(Master_rankableSchools!$A$10="All",C2254=Master_rankableSchools!$A$10),OR(Master_rankableSchools!$D$10="All",D2254=Master_rankableSchools!$D$10)),1,0)</f>
        <v>1</v>
      </c>
      <c r="AU2254" s="105">
        <f ca="1">IF(AT2254=0,"",CHOOSE(MATCH(Master_rankableSchools!$G$10,{"Priority score","Economic need","Enrollment","Fresh miles","Nearby resources"},0),T2254,G2254,F2254,K2254,L2254))</f>
        <v>42</v>
      </c>
      <c r="AV2254" s="105">
        <f ca="1">IF(AT2254=0,"",1+COUNTIFS($AT$2051:$AT$2550,1,$AU$2051:$AU$2550,IF(Master_rankableSchools!$J$10="Ascending","&lt;","&gt;")&amp;AU2254)+COUNTIFS($AT$2051:$AT$2550,1,$AU$2051:$AU$2550,AU2254,$W$2051:$W$2550,"&lt;"&amp;W2254))</f>
        <v>119</v>
      </c>
    </row>
    <row r="2255" spans="1:48" ht="22" customHeight="1">
      <c r="A2255" s="1" t="str">
        <f t="shared" si="90"/>
        <v>5440</v>
      </c>
      <c r="B2255" s="1" t="str">
        <f t="shared" si="91"/>
        <v>Frances E. Willard School</v>
      </c>
      <c r="C2255" s="1" t="str">
        <f t="shared" si="92"/>
        <v>District</v>
      </c>
      <c r="D2255" s="1" t="str">
        <f t="shared" si="93"/>
        <v>Elementary</v>
      </c>
      <c r="E2255" s="1" t="str">
        <f t="shared" si="94"/>
        <v>19134</v>
      </c>
      <c r="F2255" s="1">
        <f t="shared" si="95"/>
        <v>352</v>
      </c>
      <c r="G2255" s="1">
        <f t="shared" si="96"/>
        <v>0.93420000000000003</v>
      </c>
      <c r="H2255" s="1" t="str">
        <f t="shared" si="97"/>
        <v>Yes</v>
      </c>
      <c r="I2255" s="1">
        <f>IF(OR(A2255="",COUNTIFS('Staff Review'!$A$8:$A$507,A2255)&lt;&gt;1),0,MATCH(A2255,'Staff Review'!$A$8:$A$507,0))</f>
        <v>79</v>
      </c>
      <c r="J2255" s="1" t="str">
        <f>IF(I2255=0,"No",IF(INDEX('Staff Review'!$C$8:$C$507,I2255)="Yes","Yes","No"))</f>
        <v>No</v>
      </c>
      <c r="K2255" s="1">
        <f ca="1">IF(AI2255="Yes",INDEX('Staff Review'!$D$8:$D$507,I2255),IF(AB2255=0,"",IF(COUNT(INDEX($C$1531:$C$2030,AB2255))=1,INDEX($C$1531:$C$2030,AB2255),"")))</f>
        <v>0.64030941931744734</v>
      </c>
      <c r="L2255" s="1">
        <f>IF(AJ2255="Yes",INDEX('Staff Review'!$F$8:$F$507,I2255),IF(AB2255=0,"",IF(COUNT(INDEX($G$1531:$G$2030,AB2255))=1,INDEX($G$1531:$G$2030,AB2255),"")))</f>
        <v>12</v>
      </c>
      <c r="M2255" s="1" t="str">
        <f t="shared" ca="1" si="98"/>
        <v>Listed</v>
      </c>
      <c r="N2255" s="1" t="str">
        <f t="shared" si="99"/>
        <v>Listed</v>
      </c>
      <c r="O2255" s="1">
        <f t="shared" si="100"/>
        <v>30</v>
      </c>
      <c r="P2255" s="1">
        <f t="shared" ca="1" si="101"/>
        <v>15</v>
      </c>
      <c r="Q2255" s="1">
        <f t="shared" si="102"/>
        <v>0</v>
      </c>
      <c r="R2255" s="1">
        <f t="shared" si="103"/>
        <v>3</v>
      </c>
      <c r="S2255" s="1">
        <f t="shared" ca="1" si="104"/>
        <v>48</v>
      </c>
      <c r="T2255" s="1">
        <f ca="1">IF(OR(COUNT(O2255:R2255)&lt;&gt;4,COUNT('Top 25'!$B$45:$E$45)&lt;&gt;4,MIN('Top 25'!$B$45:$E$45)&lt;0,SUM('Top 25'!$B$45:$E$45)&lt;=0),"",ROUND(85*(O2255/30*'Top 25'!$B$45+P2255/25*'Top 25'!$C$45+Q2255/25*'Top 25'!$D$45+R2255/5*'Top 25'!$E$45)/SUM('Top 25'!$B$45:$E$45),6))</f>
        <v>48</v>
      </c>
      <c r="U2255" s="1" t="str">
        <f t="shared" ca="1" si="105"/>
        <v>Listed</v>
      </c>
      <c r="V2255" s="1" t="str">
        <f ca="1">IF(A2255="","",IF(AK2255&lt;&gt;1,"Duplicate source ID",IF(COUNTIFS('Staff Review'!$A$8:$A$507,A2255)&gt;1,"Duplicate review ID",IF(H2255&lt;&gt;"Yes","Outside scope",IF(J2255="Yes","Already served",IF(NOT(ISNUMBER(T2255)),"Missing data","Candidate"))))))</f>
        <v>Candidate</v>
      </c>
      <c r="W2255" s="1">
        <f t="shared" ca="1" si="106"/>
        <v>56</v>
      </c>
      <c r="X2255" s="1">
        <f t="shared" ca="1" si="107"/>
        <v>56</v>
      </c>
      <c r="Y2255" s="1">
        <f ca="1">IF(AND(H2255="Yes",OR(LEN('School Search'!$B$5)=0,ISNUMBER(SEARCH('School Search'!$B$5,B2255&amp;" "&amp;E2255&amp;" "&amp;A2255))),OR('School Search'!$D$5="All",C2255='School Search'!$D$5),OR('School Search'!$G$5="All eligible",AND('School Search'!$G$5="Not marked served",J2255&lt;&gt;"Yes"),AND('School Search'!$G$5="Missing data",V2255="Missing data"),AND('School Search'!$G$5="Marked served",J2255="Yes"))),1,0)</f>
        <v>1</v>
      </c>
      <c r="Z2255" s="1">
        <f ca="1">IF(Y2255=0,"",COUNTIFS($Y$2051:$Y$2550,1,$AO$2051:$AO$2550,"&lt;"&amp;AO2255)+COUNTIFS($Y$2051:Y2255,1,$AO$2051:AO2255,AO2255))</f>
        <v>56</v>
      </c>
      <c r="AA2255" s="1" t="str">
        <f t="shared" ca="1" si="108"/>
        <v>93% economic need; 0.64 mi fresh access; 12 nearby resources</v>
      </c>
      <c r="AB2255" s="1">
        <f t="shared" si="109"/>
        <v>205</v>
      </c>
      <c r="AC2255" s="1" t="str">
        <f t="shared" si="110"/>
        <v>Save A Lot 30224</v>
      </c>
      <c r="AD2255" s="1" t="str">
        <f t="shared" si="111"/>
        <v>2132 E Lehigh Ave, Philadelphia, PA, 19125</v>
      </c>
      <c r="AE2255" s="1" t="str">
        <f t="shared" si="112"/>
        <v>1930 E ELKHART ST</v>
      </c>
      <c r="AF2255" s="1">
        <f t="shared" si="113"/>
        <v>39.993065000000001</v>
      </c>
      <c r="AG2255" s="1">
        <f t="shared" si="114"/>
        <v>-75.115907000000007</v>
      </c>
      <c r="AH2255" s="1" t="str">
        <f>IF(I2255=0,"Not contacted",IF(INDEX('Staff Review'!$J$8:$J$507,I2255)="","Not contacted",INDEX('Staff Review'!$J$8:$J$507,I2255)))</f>
        <v>Not contacted</v>
      </c>
      <c r="AI2255" s="1" t="str">
        <f ca="1">IF(I2255=0,"No",IF(AND(COUNT(INDEX('Staff Review'!$D$8:$D$507,I2255))=1,INDEX('Staff Review'!$D$8:$D$507,I2255)&gt;=0,COUNT(INDEX('Staff Review'!$E$8:$E$507,I2255))=1,INDEX('Staff Review'!$E$8:$E$507,I2255)&gt;0,INDEX('Staff Review'!$E$8:$E$507,I2255)&lt;='Top 25'!$E$5,'Top 25'!$E$5-INDEX('Staff Review'!$E$8:$E$507,I2255)&lt;='Top 25'!$H$5,LEN(INDEX('Staff Review'!$H$8:$H$507,I2255))&gt;0),"Yes","No"))</f>
        <v>No</v>
      </c>
      <c r="AJ2255" s="1" t="str">
        <f>IF(I2255=0,"No",IF(COUNT(INDEX('Staff Review'!$F$8:$F$507,I2255))&lt;&gt;1,"No",IF(AND(INDEX('Staff Review'!$F$8:$F$507,I2255)&gt;=0,MOD(INDEX('Staff Review'!$F$8:$F$507,I2255),1)=0,COUNT(INDEX('Staff Review'!$G$8:$G$507,I2255))=1,INDEX('Staff Review'!$G$8:$G$507,I2255)&gt;0,INDEX('Staff Review'!$G$8:$G$507,I2255)&lt;='Top 25'!$E$5,'Top 25'!$E$5-INDEX('Staff Review'!$G$8:$G$507,I2255)&lt;='Top 25'!$H$5,LEN(INDEX('Staff Review'!$H$8:$H$507,I2255))&gt;0),"Yes","No")))</f>
        <v>No</v>
      </c>
      <c r="AK2255" s="1">
        <f t="shared" si="115"/>
        <v>1</v>
      </c>
      <c r="AL2255" s="1">
        <f t="shared" ca="1" si="116"/>
        <v>1</v>
      </c>
      <c r="AM2255" s="1">
        <f t="shared" si="117"/>
        <v>5440</v>
      </c>
      <c r="AN2255" s="1">
        <f t="shared" si="118"/>
        <v>205</v>
      </c>
      <c r="AO2255">
        <f t="shared" ca="1" si="119"/>
        <v>56</v>
      </c>
      <c r="AP2255" s="105">
        <f ca="1">IF(AND(AL2255=1,OR('Top 25'!$A$10="All",C2255='Top 25'!$A$10),OR('Top 25'!$D$10="All",D2255='Top 25'!$D$10)),1,0)</f>
        <v>1</v>
      </c>
      <c r="AQ2255" s="105">
        <f ca="1">IF(AP2255=0,"",CHOOSE(MATCH('Top 25'!$G$10,{"Priority score","Economic need","Enrollment","Fresh miles","Nearby resources"},0),T2255,G2255,F2255,K2255,L2255))</f>
        <v>48</v>
      </c>
      <c r="AR2255" s="105">
        <f ca="1">IF(AP2255=0,"",1+COUNTIFS($AP$2051:$AP$2550,1,$AQ$2051:$AQ$2550,IF('Top 25'!$J$10="Ascending","&lt;","&gt;")&amp;AQ2255)+COUNTIFS($AP$2051:$AP$2550,1,$AQ$2051:$AQ$2550,AQ2255,$W$2051:$W$2550,"&lt;"&amp;W2255))</f>
        <v>9</v>
      </c>
      <c r="AT2255" s="105">
        <f ca="1">IF(AND(AL2255=1,OR(Master_rankableSchools!$A$10="All",C2255=Master_rankableSchools!$A$10),OR(Master_rankableSchools!$D$10="All",D2255=Master_rankableSchools!$D$10)),1,0)</f>
        <v>1</v>
      </c>
      <c r="AU2255" s="105">
        <f ca="1">IF(AT2255=0,"",CHOOSE(MATCH(Master_rankableSchools!$G$10,{"Priority score","Economic need","Enrollment","Fresh miles","Nearby resources"},0),T2255,G2255,F2255,K2255,L2255))</f>
        <v>48</v>
      </c>
      <c r="AV2255" s="105">
        <f ca="1">IF(AT2255=0,"",1+COUNTIFS($AT$2051:$AT$2550,1,$AU$2051:$AU$2550,IF(Master_rankableSchools!$J$10="Ascending","&lt;","&gt;")&amp;AU2255)+COUNTIFS($AT$2051:$AT$2550,1,$AU$2051:$AU$2550,AU2255,$W$2051:$W$2550,"&lt;"&amp;W2255))</f>
        <v>56</v>
      </c>
    </row>
    <row r="2256" spans="1:48" ht="22" customHeight="1">
      <c r="A2256" s="1" t="str">
        <f t="shared" si="90"/>
        <v>5470</v>
      </c>
      <c r="B2256" s="1" t="str">
        <f t="shared" si="91"/>
        <v>William Cramp School</v>
      </c>
      <c r="C2256" s="1" t="str">
        <f t="shared" si="92"/>
        <v>District</v>
      </c>
      <c r="D2256" s="1" t="str">
        <f t="shared" si="93"/>
        <v>Elementary</v>
      </c>
      <c r="E2256" s="1" t="str">
        <f t="shared" si="94"/>
        <v>19140</v>
      </c>
      <c r="F2256" s="1">
        <f t="shared" si="95"/>
        <v>317</v>
      </c>
      <c r="G2256" s="1">
        <f t="shared" si="96"/>
        <v>0.90280000000000005</v>
      </c>
      <c r="H2256" s="1" t="str">
        <f t="shared" si="97"/>
        <v>Yes</v>
      </c>
      <c r="I2256" s="1">
        <f>IF(OR(A2256="",COUNTIFS('Staff Review'!$A$8:$A$507,A2256)&lt;&gt;1),0,MATCH(A2256,'Staff Review'!$A$8:$A$507,0))</f>
        <v>314</v>
      </c>
      <c r="J2256" s="1" t="str">
        <f>IF(I2256=0,"No",IF(INDEX('Staff Review'!$C$8:$C$507,I2256)="Yes","Yes","No"))</f>
        <v>No</v>
      </c>
      <c r="K2256" s="1">
        <f ca="1">IF(AI2256="Yes",INDEX('Staff Review'!$D$8:$D$507,I2256),IF(AB2256=0,"",IF(COUNT(INDEX($C$1531:$C$2030,AB2256))=1,INDEX($C$1531:$C$2030,AB2256),"")))</f>
        <v>0.3393336462114892</v>
      </c>
      <c r="L2256" s="1">
        <f>IF(AJ2256="Yes",INDEX('Staff Review'!$F$8:$F$507,I2256),IF(AB2256=0,"",IF(COUNT(INDEX($G$1531:$G$2030,AB2256))=1,INDEX($G$1531:$G$2030,AB2256),"")))</f>
        <v>13</v>
      </c>
      <c r="M2256" s="1" t="str">
        <f t="shared" ca="1" si="98"/>
        <v>Listed</v>
      </c>
      <c r="N2256" s="1" t="str">
        <f t="shared" si="99"/>
        <v>Listed</v>
      </c>
      <c r="O2256" s="1">
        <f t="shared" si="100"/>
        <v>30</v>
      </c>
      <c r="P2256" s="1">
        <f t="shared" ca="1" si="101"/>
        <v>10</v>
      </c>
      <c r="Q2256" s="1">
        <f t="shared" si="102"/>
        <v>0</v>
      </c>
      <c r="R2256" s="1">
        <f t="shared" si="103"/>
        <v>2</v>
      </c>
      <c r="S2256" s="1">
        <f t="shared" ca="1" si="104"/>
        <v>42</v>
      </c>
      <c r="T2256" s="1">
        <f ca="1">IF(OR(COUNT(O2256:R2256)&lt;&gt;4,COUNT('Top 25'!$B$45:$E$45)&lt;&gt;4,MIN('Top 25'!$B$45:$E$45)&lt;0,SUM('Top 25'!$B$45:$E$45)&lt;=0),"",ROUND(85*(O2256/30*'Top 25'!$B$45+P2256/25*'Top 25'!$C$45+Q2256/25*'Top 25'!$D$45+R2256/5*'Top 25'!$E$45)/SUM('Top 25'!$B$45:$E$45),6))</f>
        <v>42</v>
      </c>
      <c r="U2256" s="1" t="str">
        <f t="shared" ca="1" si="105"/>
        <v>Listed</v>
      </c>
      <c r="V2256" s="1" t="str">
        <f ca="1">IF(A2256="","",IF(AK2256&lt;&gt;1,"Duplicate source ID",IF(COUNTIFS('Staff Review'!$A$8:$A$507,A2256)&gt;1,"Duplicate review ID",IF(H2256&lt;&gt;"Yes","Outside scope",IF(J2256="Yes","Already served",IF(NOT(ISNUMBER(T2256)),"Missing data","Candidate"))))))</f>
        <v>Candidate</v>
      </c>
      <c r="W2256" s="1">
        <f t="shared" ca="1" si="106"/>
        <v>109</v>
      </c>
      <c r="X2256" s="1">
        <f t="shared" ca="1" si="107"/>
        <v>101</v>
      </c>
      <c r="Y2256" s="1">
        <f ca="1">IF(AND(H2256="Yes",OR(LEN('School Search'!$B$5)=0,ISNUMBER(SEARCH('School Search'!$B$5,B2256&amp;" "&amp;E2256&amp;" "&amp;A2256))),OR('School Search'!$D$5="All",C2256='School Search'!$D$5),OR('School Search'!$G$5="All eligible",AND('School Search'!$G$5="Not marked served",J2256&lt;&gt;"Yes"),AND('School Search'!$G$5="Missing data",V2256="Missing data"),AND('School Search'!$G$5="Marked served",J2256="Yes"))),1,0)</f>
        <v>1</v>
      </c>
      <c r="Z2256" s="1">
        <f ca="1">IF(Y2256=0,"",COUNTIFS($Y$2051:$Y$2550,1,$AO$2051:$AO$2550,"&lt;"&amp;AO2256)+COUNTIFS($Y$2051:Y2256,1,$AO$2051:AO2256,AO2256))</f>
        <v>109</v>
      </c>
      <c r="AA2256" s="1" t="str">
        <f t="shared" ca="1" si="108"/>
        <v>90% economic need; 0.34 mi fresh access; 13 nearby resources</v>
      </c>
      <c r="AB2256" s="1">
        <f t="shared" si="109"/>
        <v>206</v>
      </c>
      <c r="AC2256" s="1" t="str">
        <f t="shared" si="110"/>
        <v>Fresh Supermarket Inc/ Cousins Family Market</v>
      </c>
      <c r="AD2256" s="1" t="str">
        <f t="shared" si="111"/>
        <v>203 E Allegheny Ave, Philadelphia, PA, 19134</v>
      </c>
      <c r="AE2256" s="1" t="str">
        <f t="shared" si="112"/>
        <v>3449 N MASCHER ST</v>
      </c>
      <c r="AF2256" s="1">
        <f t="shared" si="113"/>
        <v>40.002606569999998</v>
      </c>
      <c r="AG2256" s="1">
        <f t="shared" si="114"/>
        <v>-75.130362969999993</v>
      </c>
      <c r="AH2256" s="1" t="str">
        <f>IF(I2256=0,"Not contacted",IF(INDEX('Staff Review'!$J$8:$J$507,I2256)="","Not contacted",INDEX('Staff Review'!$J$8:$J$507,I2256)))</f>
        <v>Not contacted</v>
      </c>
      <c r="AI2256" s="1" t="str">
        <f ca="1">IF(I2256=0,"No",IF(AND(COUNT(INDEX('Staff Review'!$D$8:$D$507,I2256))=1,INDEX('Staff Review'!$D$8:$D$507,I2256)&gt;=0,COUNT(INDEX('Staff Review'!$E$8:$E$507,I2256))=1,INDEX('Staff Review'!$E$8:$E$507,I2256)&gt;0,INDEX('Staff Review'!$E$8:$E$507,I2256)&lt;='Top 25'!$E$5,'Top 25'!$E$5-INDEX('Staff Review'!$E$8:$E$507,I2256)&lt;='Top 25'!$H$5,LEN(INDEX('Staff Review'!$H$8:$H$507,I2256))&gt;0),"Yes","No"))</f>
        <v>No</v>
      </c>
      <c r="AJ2256" s="1" t="str">
        <f>IF(I2256=0,"No",IF(COUNT(INDEX('Staff Review'!$F$8:$F$507,I2256))&lt;&gt;1,"No",IF(AND(INDEX('Staff Review'!$F$8:$F$507,I2256)&gt;=0,MOD(INDEX('Staff Review'!$F$8:$F$507,I2256),1)=0,COUNT(INDEX('Staff Review'!$G$8:$G$507,I2256))=1,INDEX('Staff Review'!$G$8:$G$507,I2256)&gt;0,INDEX('Staff Review'!$G$8:$G$507,I2256)&lt;='Top 25'!$E$5,'Top 25'!$E$5-INDEX('Staff Review'!$G$8:$G$507,I2256)&lt;='Top 25'!$H$5,LEN(INDEX('Staff Review'!$H$8:$H$507,I2256))&gt;0),"Yes","No")))</f>
        <v>No</v>
      </c>
      <c r="AK2256" s="1">
        <f t="shared" si="115"/>
        <v>1</v>
      </c>
      <c r="AL2256" s="1">
        <f t="shared" ca="1" si="116"/>
        <v>1</v>
      </c>
      <c r="AM2256" s="1">
        <f t="shared" si="117"/>
        <v>5470</v>
      </c>
      <c r="AN2256" s="1">
        <f t="shared" si="118"/>
        <v>206</v>
      </c>
      <c r="AO2256">
        <f t="shared" ca="1" si="119"/>
        <v>109</v>
      </c>
      <c r="AP2256" s="105">
        <f ca="1">IF(AND(AL2256=1,OR('Top 25'!$A$10="All",C2256='Top 25'!$A$10),OR('Top 25'!$D$10="All",D2256='Top 25'!$D$10)),1,0)</f>
        <v>1</v>
      </c>
      <c r="AQ2256" s="105">
        <f ca="1">IF(AP2256=0,"",CHOOSE(MATCH('Top 25'!$G$10,{"Priority score","Economic need","Enrollment","Fresh miles","Nearby resources"},0),T2256,G2256,F2256,K2256,L2256))</f>
        <v>42</v>
      </c>
      <c r="AR2256" s="105">
        <f ca="1">IF(AP2256=0,"",1+COUNTIFS($AP$2051:$AP$2550,1,$AQ$2051:$AQ$2550,IF('Top 25'!$J$10="Ascending","&lt;","&gt;")&amp;AQ2256)+COUNTIFS($AP$2051:$AP$2550,1,$AQ$2051:$AQ$2550,AQ2256,$W$2051:$W$2550,"&lt;"&amp;W2256))</f>
        <v>17</v>
      </c>
      <c r="AT2256" s="105">
        <f ca="1">IF(AND(AL2256=1,OR(Master_rankableSchools!$A$10="All",C2256=Master_rankableSchools!$A$10),OR(Master_rankableSchools!$D$10="All",D2256=Master_rankableSchools!$D$10)),1,0)</f>
        <v>1</v>
      </c>
      <c r="AU2256" s="105">
        <f ca="1">IF(AT2256=0,"",CHOOSE(MATCH(Master_rankableSchools!$G$10,{"Priority score","Economic need","Enrollment","Fresh miles","Nearby resources"},0),T2256,G2256,F2256,K2256,L2256))</f>
        <v>42</v>
      </c>
      <c r="AV2256" s="105">
        <f ca="1">IF(AT2256=0,"",1+COUNTIFS($AT$2051:$AT$2550,1,$AU$2051:$AU$2550,IF(Master_rankableSchools!$J$10="Ascending","&lt;","&gt;")&amp;AU2256)+COUNTIFS($AT$2051:$AT$2550,1,$AU$2051:$AU$2550,AU2256,$W$2051:$W$2550,"&lt;"&amp;W2256))</f>
        <v>109</v>
      </c>
    </row>
    <row r="2257" spans="1:48" ht="22" customHeight="1">
      <c r="A2257" s="1" t="str">
        <f t="shared" si="90"/>
        <v>5480</v>
      </c>
      <c r="B2257" s="1" t="str">
        <f t="shared" si="91"/>
        <v>General Philip Kearny School</v>
      </c>
      <c r="C2257" s="1" t="str">
        <f t="shared" si="92"/>
        <v>District</v>
      </c>
      <c r="D2257" s="1" t="str">
        <f t="shared" si="93"/>
        <v>Elementary-Middle</v>
      </c>
      <c r="E2257" s="1" t="str">
        <f t="shared" si="94"/>
        <v>19123</v>
      </c>
      <c r="F2257" s="1">
        <f t="shared" si="95"/>
        <v>193</v>
      </c>
      <c r="G2257" s="1">
        <f t="shared" si="96"/>
        <v>0.90669999999999995</v>
      </c>
      <c r="H2257" s="1" t="str">
        <f t="shared" si="97"/>
        <v>Yes</v>
      </c>
      <c r="I2257" s="1">
        <f>IF(OR(A2257="",COUNTIFS('Staff Review'!$A$8:$A$507,A2257)&lt;&gt;1),0,MATCH(A2257,'Staff Review'!$A$8:$A$507,0))</f>
        <v>93</v>
      </c>
      <c r="J2257" s="1" t="str">
        <f>IF(I2257=0,"No",IF(INDEX('Staff Review'!$C$8:$C$507,I2257)="Yes","Yes","No"))</f>
        <v>No</v>
      </c>
      <c r="K2257" s="1">
        <f ca="1">IF(AI2257="Yes",INDEX('Staff Review'!$D$8:$D$507,I2257),IF(AB2257=0,"",IF(COUNT(INDEX($C$1531:$C$2030,AB2257))=1,INDEX($C$1531:$C$2030,AB2257),"")))</f>
        <v>0.28863590297615782</v>
      </c>
      <c r="L2257" s="1">
        <f>IF(AJ2257="Yes",INDEX('Staff Review'!$F$8:$F$507,I2257),IF(AB2257=0,"",IF(COUNT(INDEX($G$1531:$G$2030,AB2257))=1,INDEX($G$1531:$G$2030,AB2257),"")))</f>
        <v>11</v>
      </c>
      <c r="M2257" s="1" t="str">
        <f t="shared" ca="1" si="98"/>
        <v>Listed</v>
      </c>
      <c r="N2257" s="1" t="str">
        <f t="shared" si="99"/>
        <v>Listed</v>
      </c>
      <c r="O2257" s="1">
        <f t="shared" si="100"/>
        <v>30</v>
      </c>
      <c r="P2257" s="1">
        <f t="shared" ca="1" si="101"/>
        <v>10</v>
      </c>
      <c r="Q2257" s="1">
        <f t="shared" si="102"/>
        <v>0</v>
      </c>
      <c r="R2257" s="1">
        <f t="shared" si="103"/>
        <v>1</v>
      </c>
      <c r="S2257" s="1">
        <f t="shared" ca="1" si="104"/>
        <v>41</v>
      </c>
      <c r="T2257" s="1">
        <f ca="1">IF(OR(COUNT(O2257:R2257)&lt;&gt;4,COUNT('Top 25'!$B$45:$E$45)&lt;&gt;4,MIN('Top 25'!$B$45:$E$45)&lt;0,SUM('Top 25'!$B$45:$E$45)&lt;=0),"",ROUND(85*(O2257/30*'Top 25'!$B$45+P2257/25*'Top 25'!$C$45+Q2257/25*'Top 25'!$D$45+R2257/5*'Top 25'!$E$45)/SUM('Top 25'!$B$45:$E$45),6))</f>
        <v>41</v>
      </c>
      <c r="U2257" s="1" t="str">
        <f t="shared" ca="1" si="105"/>
        <v>Listed</v>
      </c>
      <c r="V2257" s="1" t="str">
        <f ca="1">IF(A2257="","",IF(AK2257&lt;&gt;1,"Duplicate source ID",IF(COUNTIFS('Staff Review'!$A$8:$A$507,A2257)&gt;1,"Duplicate review ID",IF(H2257&lt;&gt;"Yes","Outside scope",IF(J2257="Yes","Already served",IF(NOT(ISNUMBER(T2257)),"Missing data","Candidate"))))))</f>
        <v>Candidate</v>
      </c>
      <c r="W2257" s="1">
        <f t="shared" ca="1" si="106"/>
        <v>129</v>
      </c>
      <c r="X2257" s="1">
        <f t="shared" ca="1" si="107"/>
        <v>128</v>
      </c>
      <c r="Y2257" s="1">
        <f ca="1">IF(AND(H2257="Yes",OR(LEN('School Search'!$B$5)=0,ISNUMBER(SEARCH('School Search'!$B$5,B2257&amp;" "&amp;E2257&amp;" "&amp;A2257))),OR('School Search'!$D$5="All",C2257='School Search'!$D$5),OR('School Search'!$G$5="All eligible",AND('School Search'!$G$5="Not marked served",J2257&lt;&gt;"Yes"),AND('School Search'!$G$5="Missing data",V2257="Missing data"),AND('School Search'!$G$5="Marked served",J2257="Yes"))),1,0)</f>
        <v>1</v>
      </c>
      <c r="Z2257" s="1">
        <f ca="1">IF(Y2257=0,"",COUNTIFS($Y$2051:$Y$2550,1,$AO$2051:$AO$2550,"&lt;"&amp;AO2257)+COUNTIFS($Y$2051:Y2257,1,$AO$2051:AO2257,AO2257))</f>
        <v>129</v>
      </c>
      <c r="AA2257" s="1" t="str">
        <f t="shared" ca="1" si="108"/>
        <v>91% economic need; 0.29 mi fresh access; 11 nearby resources</v>
      </c>
      <c r="AB2257" s="1">
        <f t="shared" si="109"/>
        <v>207</v>
      </c>
      <c r="AC2257" s="1" t="str">
        <f t="shared" si="110"/>
        <v>Target T3285</v>
      </c>
      <c r="AD2257" s="1" t="str">
        <f t="shared" si="111"/>
        <v>456 N 5th St, Philadelphia, PA, 19123</v>
      </c>
      <c r="AE2257" s="1" t="str">
        <f t="shared" si="112"/>
        <v>601 FAIRMOUNT AVE</v>
      </c>
      <c r="AF2257" s="1">
        <f t="shared" si="113"/>
        <v>39.963857529999999</v>
      </c>
      <c r="AG2257" s="1">
        <f t="shared" si="114"/>
        <v>-75.148129350000005</v>
      </c>
      <c r="AH2257" s="1" t="str">
        <f>IF(I2257=0,"Not contacted",IF(INDEX('Staff Review'!$J$8:$J$507,I2257)="","Not contacted",INDEX('Staff Review'!$J$8:$J$507,I2257)))</f>
        <v>Not contacted</v>
      </c>
      <c r="AI2257" s="1" t="str">
        <f ca="1">IF(I2257=0,"No",IF(AND(COUNT(INDEX('Staff Review'!$D$8:$D$507,I2257))=1,INDEX('Staff Review'!$D$8:$D$507,I2257)&gt;=0,COUNT(INDEX('Staff Review'!$E$8:$E$507,I2257))=1,INDEX('Staff Review'!$E$8:$E$507,I2257)&gt;0,INDEX('Staff Review'!$E$8:$E$507,I2257)&lt;='Top 25'!$E$5,'Top 25'!$E$5-INDEX('Staff Review'!$E$8:$E$507,I2257)&lt;='Top 25'!$H$5,LEN(INDEX('Staff Review'!$H$8:$H$507,I2257))&gt;0),"Yes","No"))</f>
        <v>No</v>
      </c>
      <c r="AJ2257" s="1" t="str">
        <f>IF(I2257=0,"No",IF(COUNT(INDEX('Staff Review'!$F$8:$F$507,I2257))&lt;&gt;1,"No",IF(AND(INDEX('Staff Review'!$F$8:$F$507,I2257)&gt;=0,MOD(INDEX('Staff Review'!$F$8:$F$507,I2257),1)=0,COUNT(INDEX('Staff Review'!$G$8:$G$507,I2257))=1,INDEX('Staff Review'!$G$8:$G$507,I2257)&gt;0,INDEX('Staff Review'!$G$8:$G$507,I2257)&lt;='Top 25'!$E$5,'Top 25'!$E$5-INDEX('Staff Review'!$G$8:$G$507,I2257)&lt;='Top 25'!$H$5,LEN(INDEX('Staff Review'!$H$8:$H$507,I2257))&gt;0),"Yes","No")))</f>
        <v>No</v>
      </c>
      <c r="AK2257" s="1">
        <f t="shared" si="115"/>
        <v>1</v>
      </c>
      <c r="AL2257" s="1">
        <f t="shared" ca="1" si="116"/>
        <v>1</v>
      </c>
      <c r="AM2257" s="1">
        <f t="shared" si="117"/>
        <v>5480</v>
      </c>
      <c r="AN2257" s="1">
        <f t="shared" si="118"/>
        <v>207</v>
      </c>
      <c r="AO2257">
        <f t="shared" ca="1" si="119"/>
        <v>129</v>
      </c>
      <c r="AP2257" s="105">
        <f ca="1">IF(AND(AL2257=1,OR('Top 25'!$A$10="All",C2257='Top 25'!$A$10),OR('Top 25'!$D$10="All",D2257='Top 25'!$D$10)),1,0)</f>
        <v>0</v>
      </c>
      <c r="AQ2257" s="105" t="str">
        <f ca="1">IF(AP2257=0,"",CHOOSE(MATCH('Top 25'!$G$10,{"Priority score","Economic need","Enrollment","Fresh miles","Nearby resources"},0),T2257,G2257,F2257,K2257,L2257))</f>
        <v/>
      </c>
      <c r="AR2257" s="105" t="str">
        <f ca="1">IF(AP2257=0,"",1+COUNTIFS($AP$2051:$AP$2550,1,$AQ$2051:$AQ$2550,IF('Top 25'!$J$10="Ascending","&lt;","&gt;")&amp;AQ2257)+COUNTIFS($AP$2051:$AP$2550,1,$AQ$2051:$AQ$2550,AQ2257,$W$2051:$W$2550,"&lt;"&amp;W2257))</f>
        <v/>
      </c>
      <c r="AT2257" s="105">
        <f ca="1">IF(AND(AL2257=1,OR(Master_rankableSchools!$A$10="All",C2257=Master_rankableSchools!$A$10),OR(Master_rankableSchools!$D$10="All",D2257=Master_rankableSchools!$D$10)),1,0)</f>
        <v>1</v>
      </c>
      <c r="AU2257" s="105">
        <f ca="1">IF(AT2257=0,"",CHOOSE(MATCH(Master_rankableSchools!$G$10,{"Priority score","Economic need","Enrollment","Fresh miles","Nearby resources"},0),T2257,G2257,F2257,K2257,L2257))</f>
        <v>41</v>
      </c>
      <c r="AV2257" s="105">
        <f ca="1">IF(AT2257=0,"",1+COUNTIFS($AT$2051:$AT$2550,1,$AU$2051:$AU$2550,IF(Master_rankableSchools!$J$10="Ascending","&lt;","&gt;")&amp;AU2257)+COUNTIFS($AT$2051:$AT$2550,1,$AU$2051:$AU$2550,AU2257,$W$2051:$W$2550,"&lt;"&amp;W2257))</f>
        <v>129</v>
      </c>
    </row>
    <row r="2258" spans="1:48" ht="22" customHeight="1">
      <c r="A2258" s="1" t="str">
        <f t="shared" si="90"/>
        <v>5490</v>
      </c>
      <c r="B2258" s="1" t="str">
        <f t="shared" si="91"/>
        <v>Cayuga School</v>
      </c>
      <c r="C2258" s="1" t="str">
        <f t="shared" si="92"/>
        <v>District</v>
      </c>
      <c r="D2258" s="1" t="str">
        <f t="shared" si="93"/>
        <v>Elementary</v>
      </c>
      <c r="E2258" s="1" t="str">
        <f t="shared" si="94"/>
        <v>19140</v>
      </c>
      <c r="F2258" s="1">
        <f t="shared" si="95"/>
        <v>250</v>
      </c>
      <c r="G2258" s="1">
        <f t="shared" si="96"/>
        <v>0.84</v>
      </c>
      <c r="H2258" s="1" t="str">
        <f t="shared" si="97"/>
        <v>Yes</v>
      </c>
      <c r="I2258" s="1">
        <f>IF(OR(A2258="",COUNTIFS('Staff Review'!$A$8:$A$507,A2258)&lt;&gt;1),0,MATCH(A2258,'Staff Review'!$A$8:$A$507,0))</f>
        <v>38</v>
      </c>
      <c r="J2258" s="1" t="str">
        <f>IF(I2258=0,"No",IF(INDEX('Staff Review'!$C$8:$C$507,I2258)="Yes","Yes","No"))</f>
        <v>No</v>
      </c>
      <c r="K2258" s="1">
        <f ca="1">IF(AI2258="Yes",INDEX('Staff Review'!$D$8:$D$507,I2258),IF(AB2258=0,"",IF(COUNT(INDEX($C$1531:$C$2030,AB2258))=1,INDEX($C$1531:$C$2030,AB2258),"")))</f>
        <v>0.34920878850166492</v>
      </c>
      <c r="L2258" s="1">
        <f>IF(AJ2258="Yes",INDEX('Staff Review'!$F$8:$F$507,I2258),IF(AB2258=0,"",IF(COUNT(INDEX($G$1531:$G$2030,AB2258))=1,INDEX($G$1531:$G$2030,AB2258),"")))</f>
        <v>12</v>
      </c>
      <c r="M2258" s="1" t="str">
        <f t="shared" ca="1" si="98"/>
        <v>Listed</v>
      </c>
      <c r="N2258" s="1" t="str">
        <f t="shared" si="99"/>
        <v>Listed</v>
      </c>
      <c r="O2258" s="1">
        <f t="shared" si="100"/>
        <v>25</v>
      </c>
      <c r="P2258" s="1">
        <f t="shared" ca="1" si="101"/>
        <v>10</v>
      </c>
      <c r="Q2258" s="1">
        <f t="shared" si="102"/>
        <v>0</v>
      </c>
      <c r="R2258" s="1">
        <f t="shared" si="103"/>
        <v>2</v>
      </c>
      <c r="S2258" s="1">
        <f t="shared" ca="1" si="104"/>
        <v>37</v>
      </c>
      <c r="T2258" s="1">
        <f ca="1">IF(OR(COUNT(O2258:R2258)&lt;&gt;4,COUNT('Top 25'!$B$45:$E$45)&lt;&gt;4,MIN('Top 25'!$B$45:$E$45)&lt;0,SUM('Top 25'!$B$45:$E$45)&lt;=0),"",ROUND(85*(O2258/30*'Top 25'!$B$45+P2258/25*'Top 25'!$C$45+Q2258/25*'Top 25'!$D$45+R2258/5*'Top 25'!$E$45)/SUM('Top 25'!$B$45:$E$45),6))</f>
        <v>37</v>
      </c>
      <c r="U2258" s="1" t="str">
        <f t="shared" ca="1" si="105"/>
        <v>Listed</v>
      </c>
      <c r="V2258" s="1" t="str">
        <f ca="1">IF(A2258="","",IF(AK2258&lt;&gt;1,"Duplicate source ID",IF(COUNTIFS('Staff Review'!$A$8:$A$507,A2258)&gt;1,"Duplicate review ID",IF(H2258&lt;&gt;"Yes","Outside scope",IF(J2258="Yes","Already served",IF(NOT(ISNUMBER(T2258)),"Missing data","Candidate"))))))</f>
        <v>Candidate</v>
      </c>
      <c r="W2258" s="1">
        <f t="shared" ca="1" si="106"/>
        <v>199</v>
      </c>
      <c r="X2258" s="1">
        <f t="shared" ca="1" si="107"/>
        <v>182</v>
      </c>
      <c r="Y2258" s="1">
        <f ca="1">IF(AND(H2258="Yes",OR(LEN('School Search'!$B$5)=0,ISNUMBER(SEARCH('School Search'!$B$5,B2258&amp;" "&amp;E2258&amp;" "&amp;A2258))),OR('School Search'!$D$5="All",C2258='School Search'!$D$5),OR('School Search'!$G$5="All eligible",AND('School Search'!$G$5="Not marked served",J2258&lt;&gt;"Yes"),AND('School Search'!$G$5="Missing data",V2258="Missing data"),AND('School Search'!$G$5="Marked served",J2258="Yes"))),1,0)</f>
        <v>1</v>
      </c>
      <c r="Z2258" s="1">
        <f ca="1">IF(Y2258=0,"",COUNTIFS($Y$2051:$Y$2550,1,$AO$2051:$AO$2550,"&lt;"&amp;AO2258)+COUNTIFS($Y$2051:Y2258,1,$AO$2051:AO2258,AO2258))</f>
        <v>199</v>
      </c>
      <c r="AA2258" s="1" t="str">
        <f t="shared" ca="1" si="108"/>
        <v>84% economic need; 0.35 mi fresh access; 12 nearby resources</v>
      </c>
      <c r="AB2258" s="1">
        <f t="shared" si="109"/>
        <v>208</v>
      </c>
      <c r="AC2258" s="1" t="str">
        <f t="shared" si="110"/>
        <v>COUSINS SUPERMARKET INC. #2</v>
      </c>
      <c r="AD2258" s="1" t="str">
        <f t="shared" si="111"/>
        <v>4037 N 5th St, Philadelphia, PA, 19140</v>
      </c>
      <c r="AE2258" s="1" t="str">
        <f t="shared" si="112"/>
        <v>4344 N 5TH ST</v>
      </c>
      <c r="AF2258" s="1">
        <f t="shared" si="113"/>
        <v>40.017825999999999</v>
      </c>
      <c r="AG2258" s="1">
        <f t="shared" si="114"/>
        <v>-75.135245999999995</v>
      </c>
      <c r="AH2258" s="1" t="str">
        <f>IF(I2258=0,"Not contacted",IF(INDEX('Staff Review'!$J$8:$J$507,I2258)="","Not contacted",INDEX('Staff Review'!$J$8:$J$507,I2258)))</f>
        <v>Not contacted</v>
      </c>
      <c r="AI2258" s="1" t="str">
        <f ca="1">IF(I2258=0,"No",IF(AND(COUNT(INDEX('Staff Review'!$D$8:$D$507,I2258))=1,INDEX('Staff Review'!$D$8:$D$507,I2258)&gt;=0,COUNT(INDEX('Staff Review'!$E$8:$E$507,I2258))=1,INDEX('Staff Review'!$E$8:$E$507,I2258)&gt;0,INDEX('Staff Review'!$E$8:$E$507,I2258)&lt;='Top 25'!$E$5,'Top 25'!$E$5-INDEX('Staff Review'!$E$8:$E$507,I2258)&lt;='Top 25'!$H$5,LEN(INDEX('Staff Review'!$H$8:$H$507,I2258))&gt;0),"Yes","No"))</f>
        <v>No</v>
      </c>
      <c r="AJ2258" s="1" t="str">
        <f>IF(I2258=0,"No",IF(COUNT(INDEX('Staff Review'!$F$8:$F$507,I2258))&lt;&gt;1,"No",IF(AND(INDEX('Staff Review'!$F$8:$F$507,I2258)&gt;=0,MOD(INDEX('Staff Review'!$F$8:$F$507,I2258),1)=0,COUNT(INDEX('Staff Review'!$G$8:$G$507,I2258))=1,INDEX('Staff Review'!$G$8:$G$507,I2258)&gt;0,INDEX('Staff Review'!$G$8:$G$507,I2258)&lt;='Top 25'!$E$5,'Top 25'!$E$5-INDEX('Staff Review'!$G$8:$G$507,I2258)&lt;='Top 25'!$H$5,LEN(INDEX('Staff Review'!$H$8:$H$507,I2258))&gt;0),"Yes","No")))</f>
        <v>No</v>
      </c>
      <c r="AK2258" s="1">
        <f t="shared" si="115"/>
        <v>1</v>
      </c>
      <c r="AL2258" s="1">
        <f t="shared" ca="1" si="116"/>
        <v>1</v>
      </c>
      <c r="AM2258" s="1">
        <f t="shared" si="117"/>
        <v>5490</v>
      </c>
      <c r="AN2258" s="1">
        <f t="shared" si="118"/>
        <v>208</v>
      </c>
      <c r="AO2258">
        <f t="shared" ca="1" si="119"/>
        <v>199</v>
      </c>
      <c r="AP2258" s="105">
        <f ca="1">IF(AND(AL2258=1,OR('Top 25'!$A$10="All",C2258='Top 25'!$A$10),OR('Top 25'!$D$10="All",D2258='Top 25'!$D$10)),1,0)</f>
        <v>1</v>
      </c>
      <c r="AQ2258" s="105">
        <f ca="1">IF(AP2258=0,"",CHOOSE(MATCH('Top 25'!$G$10,{"Priority score","Economic need","Enrollment","Fresh miles","Nearby resources"},0),T2258,G2258,F2258,K2258,L2258))</f>
        <v>37</v>
      </c>
      <c r="AR2258" s="105">
        <f ca="1">IF(AP2258=0,"",1+COUNTIFS($AP$2051:$AP$2550,1,$AQ$2051:$AQ$2550,IF('Top 25'!$J$10="Ascending","&lt;","&gt;")&amp;AQ2258)+COUNTIFS($AP$2051:$AP$2550,1,$AQ$2051:$AQ$2550,AQ2258,$W$2051:$W$2550,"&lt;"&amp;W2258))</f>
        <v>33</v>
      </c>
      <c r="AT2258" s="105">
        <f ca="1">IF(AND(AL2258=1,OR(Master_rankableSchools!$A$10="All",C2258=Master_rankableSchools!$A$10),OR(Master_rankableSchools!$D$10="All",D2258=Master_rankableSchools!$D$10)),1,0)</f>
        <v>1</v>
      </c>
      <c r="AU2258" s="105">
        <f ca="1">IF(AT2258=0,"",CHOOSE(MATCH(Master_rankableSchools!$G$10,{"Priority score","Economic need","Enrollment","Fresh miles","Nearby resources"},0),T2258,G2258,F2258,K2258,L2258))</f>
        <v>37</v>
      </c>
      <c r="AV2258" s="105">
        <f ca="1">IF(AT2258=0,"",1+COUNTIFS($AT$2051:$AT$2550,1,$AU$2051:$AU$2550,IF(Master_rankableSchools!$J$10="Ascending","&lt;","&gt;")&amp;AU2258)+COUNTIFS($AT$2051:$AT$2550,1,$AU$2051:$AU$2550,AU2258,$W$2051:$W$2550,"&lt;"&amp;W2258))</f>
        <v>199</v>
      </c>
    </row>
    <row r="2259" spans="1:48" ht="22" customHeight="1">
      <c r="A2259" s="1" t="str">
        <f t="shared" si="90"/>
        <v>5500</v>
      </c>
      <c r="B2259" s="1" t="str">
        <f t="shared" si="91"/>
        <v>Thurgood Marshall School</v>
      </c>
      <c r="C2259" s="1" t="str">
        <f t="shared" si="92"/>
        <v>District</v>
      </c>
      <c r="D2259" s="1" t="str">
        <f t="shared" si="93"/>
        <v>Elementary-Middle</v>
      </c>
      <c r="E2259" s="1" t="str">
        <f t="shared" si="94"/>
        <v>19120</v>
      </c>
      <c r="F2259" s="1">
        <f t="shared" si="95"/>
        <v>551</v>
      </c>
      <c r="G2259" s="1">
        <f t="shared" si="96"/>
        <v>0.85880000000000001</v>
      </c>
      <c r="H2259" s="1" t="str">
        <f t="shared" si="97"/>
        <v>Yes</v>
      </c>
      <c r="I2259" s="1">
        <f>IF(OR(A2259="",COUNTIFS('Staff Review'!$A$8:$A$507,A2259)&lt;&gt;1),0,MATCH(A2259,'Staff Review'!$A$8:$A$507,0))</f>
        <v>298</v>
      </c>
      <c r="J2259" s="1" t="str">
        <f>IF(I2259=0,"No",IF(INDEX('Staff Review'!$C$8:$C$507,I2259)="Yes","Yes","No"))</f>
        <v>No</v>
      </c>
      <c r="K2259" s="1">
        <f ca="1">IF(AI2259="Yes",INDEX('Staff Review'!$D$8:$D$507,I2259),IF(AB2259=0,"",IF(COUNT(INDEX($C$1531:$C$2030,AB2259))=1,INDEX($C$1531:$C$2030,AB2259),"")))</f>
        <v>0.45193134419384995</v>
      </c>
      <c r="L2259" s="1">
        <f>IF(AJ2259="Yes",INDEX('Staff Review'!$F$8:$F$507,I2259),IF(AB2259=0,"",IF(COUNT(INDEX($G$1531:$G$2030,AB2259))=1,INDEX($G$1531:$G$2030,AB2259),"")))</f>
        <v>12</v>
      </c>
      <c r="M2259" s="1" t="str">
        <f t="shared" ca="1" si="98"/>
        <v>Listed</v>
      </c>
      <c r="N2259" s="1" t="str">
        <f t="shared" si="99"/>
        <v>Listed</v>
      </c>
      <c r="O2259" s="1">
        <f t="shared" si="100"/>
        <v>25</v>
      </c>
      <c r="P2259" s="1">
        <f t="shared" ca="1" si="101"/>
        <v>10</v>
      </c>
      <c r="Q2259" s="1">
        <f t="shared" si="102"/>
        <v>0</v>
      </c>
      <c r="R2259" s="1">
        <f t="shared" si="103"/>
        <v>4</v>
      </c>
      <c r="S2259" s="1">
        <f t="shared" ca="1" si="104"/>
        <v>39</v>
      </c>
      <c r="T2259" s="1">
        <f ca="1">IF(OR(COUNT(O2259:R2259)&lt;&gt;4,COUNT('Top 25'!$B$45:$E$45)&lt;&gt;4,MIN('Top 25'!$B$45:$E$45)&lt;0,SUM('Top 25'!$B$45:$E$45)&lt;=0),"",ROUND(85*(O2259/30*'Top 25'!$B$45+P2259/25*'Top 25'!$C$45+Q2259/25*'Top 25'!$D$45+R2259/5*'Top 25'!$E$45)/SUM('Top 25'!$B$45:$E$45),6))</f>
        <v>39</v>
      </c>
      <c r="U2259" s="1" t="str">
        <f t="shared" ca="1" si="105"/>
        <v>Listed</v>
      </c>
      <c r="V2259" s="1" t="str">
        <f ca="1">IF(A2259="","",IF(AK2259&lt;&gt;1,"Duplicate source ID",IF(COUNTIFS('Staff Review'!$A$8:$A$507,A2259)&gt;1,"Duplicate review ID",IF(H2259&lt;&gt;"Yes","Outside scope",IF(J2259="Yes","Already served",IF(NOT(ISNUMBER(T2259)),"Missing data","Candidate"))))))</f>
        <v>Candidate</v>
      </c>
      <c r="W2259" s="1">
        <f t="shared" ca="1" si="106"/>
        <v>153</v>
      </c>
      <c r="X2259" s="1">
        <f t="shared" ca="1" si="107"/>
        <v>148</v>
      </c>
      <c r="Y2259" s="1">
        <f ca="1">IF(AND(H2259="Yes",OR(LEN('School Search'!$B$5)=0,ISNUMBER(SEARCH('School Search'!$B$5,B2259&amp;" "&amp;E2259&amp;" "&amp;A2259))),OR('School Search'!$D$5="All",C2259='School Search'!$D$5),OR('School Search'!$G$5="All eligible",AND('School Search'!$G$5="Not marked served",J2259&lt;&gt;"Yes"),AND('School Search'!$G$5="Missing data",V2259="Missing data"),AND('School Search'!$G$5="Marked served",J2259="Yes"))),1,0)</f>
        <v>1</v>
      </c>
      <c r="Z2259" s="1">
        <f ca="1">IF(Y2259=0,"",COUNTIFS($Y$2051:$Y$2550,1,$AO$2051:$AO$2550,"&lt;"&amp;AO2259)+COUNTIFS($Y$2051:Y2259,1,$AO$2051:AO2259,AO2259))</f>
        <v>153</v>
      </c>
      <c r="AA2259" s="1" t="str">
        <f t="shared" ca="1" si="108"/>
        <v>86% economic need; 0.45 mi fresh access; 12 nearby resources</v>
      </c>
      <c r="AB2259" s="1">
        <f t="shared" si="109"/>
        <v>209</v>
      </c>
      <c r="AC2259" s="1" t="str">
        <f t="shared" si="110"/>
        <v>GFM Food Corporation</v>
      </c>
      <c r="AD2259" s="1" t="str">
        <f t="shared" si="111"/>
        <v>180 W Duncannon Ave, Philadelphia, PA, 19120</v>
      </c>
      <c r="AE2259" s="1" t="str">
        <f t="shared" si="112"/>
        <v>5120 N 6TH ST</v>
      </c>
      <c r="AF2259" s="1">
        <f t="shared" si="113"/>
        <v>40.029381549999997</v>
      </c>
      <c r="AG2259" s="1">
        <f t="shared" si="114"/>
        <v>-75.134163319999999</v>
      </c>
      <c r="AH2259" s="1" t="str">
        <f>IF(I2259=0,"Not contacted",IF(INDEX('Staff Review'!$J$8:$J$507,I2259)="","Not contacted",INDEX('Staff Review'!$J$8:$J$507,I2259)))</f>
        <v>Not contacted</v>
      </c>
      <c r="AI2259" s="1" t="str">
        <f ca="1">IF(I2259=0,"No",IF(AND(COUNT(INDEX('Staff Review'!$D$8:$D$507,I2259))=1,INDEX('Staff Review'!$D$8:$D$507,I2259)&gt;=0,COUNT(INDEX('Staff Review'!$E$8:$E$507,I2259))=1,INDEX('Staff Review'!$E$8:$E$507,I2259)&gt;0,INDEX('Staff Review'!$E$8:$E$507,I2259)&lt;='Top 25'!$E$5,'Top 25'!$E$5-INDEX('Staff Review'!$E$8:$E$507,I2259)&lt;='Top 25'!$H$5,LEN(INDEX('Staff Review'!$H$8:$H$507,I2259))&gt;0),"Yes","No"))</f>
        <v>No</v>
      </c>
      <c r="AJ2259" s="1" t="str">
        <f>IF(I2259=0,"No",IF(COUNT(INDEX('Staff Review'!$F$8:$F$507,I2259))&lt;&gt;1,"No",IF(AND(INDEX('Staff Review'!$F$8:$F$507,I2259)&gt;=0,MOD(INDEX('Staff Review'!$F$8:$F$507,I2259),1)=0,COUNT(INDEX('Staff Review'!$G$8:$G$507,I2259))=1,INDEX('Staff Review'!$G$8:$G$507,I2259)&gt;0,INDEX('Staff Review'!$G$8:$G$507,I2259)&lt;='Top 25'!$E$5,'Top 25'!$E$5-INDEX('Staff Review'!$G$8:$G$507,I2259)&lt;='Top 25'!$H$5,LEN(INDEX('Staff Review'!$H$8:$H$507,I2259))&gt;0),"Yes","No")))</f>
        <v>No</v>
      </c>
      <c r="AK2259" s="1">
        <f t="shared" si="115"/>
        <v>1</v>
      </c>
      <c r="AL2259" s="1">
        <f t="shared" ca="1" si="116"/>
        <v>1</v>
      </c>
      <c r="AM2259" s="1">
        <f t="shared" si="117"/>
        <v>5500</v>
      </c>
      <c r="AN2259" s="1">
        <f t="shared" si="118"/>
        <v>209</v>
      </c>
      <c r="AO2259">
        <f t="shared" ca="1" si="119"/>
        <v>153</v>
      </c>
      <c r="AP2259" s="105">
        <f ca="1">IF(AND(AL2259=1,OR('Top 25'!$A$10="All",C2259='Top 25'!$A$10),OR('Top 25'!$D$10="All",D2259='Top 25'!$D$10)),1,0)</f>
        <v>0</v>
      </c>
      <c r="AQ2259" s="105" t="str">
        <f ca="1">IF(AP2259=0,"",CHOOSE(MATCH('Top 25'!$G$10,{"Priority score","Economic need","Enrollment","Fresh miles","Nearby resources"},0),T2259,G2259,F2259,K2259,L2259))</f>
        <v/>
      </c>
      <c r="AR2259" s="105" t="str">
        <f ca="1">IF(AP2259=0,"",1+COUNTIFS($AP$2051:$AP$2550,1,$AQ$2051:$AQ$2550,IF('Top 25'!$J$10="Ascending","&lt;","&gt;")&amp;AQ2259)+COUNTIFS($AP$2051:$AP$2550,1,$AQ$2051:$AQ$2550,AQ2259,$W$2051:$W$2550,"&lt;"&amp;W2259))</f>
        <v/>
      </c>
      <c r="AT2259" s="105">
        <f ca="1">IF(AND(AL2259=1,OR(Master_rankableSchools!$A$10="All",C2259=Master_rankableSchools!$A$10),OR(Master_rankableSchools!$D$10="All",D2259=Master_rankableSchools!$D$10)),1,0)</f>
        <v>1</v>
      </c>
      <c r="AU2259" s="105">
        <f ca="1">IF(AT2259=0,"",CHOOSE(MATCH(Master_rankableSchools!$G$10,{"Priority score","Economic need","Enrollment","Fresh miles","Nearby resources"},0),T2259,G2259,F2259,K2259,L2259))</f>
        <v>39</v>
      </c>
      <c r="AV2259" s="105">
        <f ca="1">IF(AT2259=0,"",1+COUNTIFS($AT$2051:$AT$2550,1,$AU$2051:$AU$2550,IF(Master_rankableSchools!$J$10="Ascending","&lt;","&gt;")&amp;AU2259)+COUNTIFS($AT$2051:$AT$2550,1,$AU$2051:$AU$2550,AU2259,$W$2051:$W$2550,"&lt;"&amp;W2259))</f>
        <v>153</v>
      </c>
    </row>
    <row r="2260" spans="1:48" ht="22" customHeight="1">
      <c r="A2260" s="1" t="str">
        <f t="shared" si="90"/>
        <v>5520</v>
      </c>
      <c r="B2260" s="1" t="str">
        <f t="shared" si="91"/>
        <v>Kensington High School for Creative and Performing Arts</v>
      </c>
      <c r="C2260" s="1" t="str">
        <f t="shared" si="92"/>
        <v>District</v>
      </c>
      <c r="D2260" s="1" t="str">
        <f t="shared" si="93"/>
        <v>High</v>
      </c>
      <c r="E2260" s="1" t="str">
        <f t="shared" si="94"/>
        <v>19122</v>
      </c>
      <c r="F2260" s="1">
        <f t="shared" si="95"/>
        <v>504</v>
      </c>
      <c r="G2260" s="1">
        <f t="shared" si="96"/>
        <v>0.84330000000000005</v>
      </c>
      <c r="H2260" s="1" t="str">
        <f t="shared" si="97"/>
        <v>Yes</v>
      </c>
      <c r="I2260" s="1">
        <f>IF(OR(A2260="",COUNTIFS('Staff Review'!$A$8:$A$507,A2260)&lt;&gt;1),0,MATCH(A2260,'Staff Review'!$A$8:$A$507,0))</f>
        <v>159</v>
      </c>
      <c r="J2260" s="1" t="str">
        <f>IF(I2260=0,"No",IF(INDEX('Staff Review'!$C$8:$C$507,I2260)="Yes","Yes","No"))</f>
        <v>No</v>
      </c>
      <c r="K2260" s="1">
        <f ca="1">IF(AI2260="Yes",INDEX('Staff Review'!$D$8:$D$507,I2260),IF(AB2260=0,"",IF(COUNT(INDEX($C$1531:$C$2030,AB2260))=1,INDEX($C$1531:$C$2030,AB2260),"")))</f>
        <v>0.2696204651098893</v>
      </c>
      <c r="L2260" s="1">
        <f>IF(AJ2260="Yes",INDEX('Staff Review'!$F$8:$F$507,I2260),IF(AB2260=0,"",IF(COUNT(INDEX($G$1531:$G$2030,AB2260))=1,INDEX($G$1531:$G$2030,AB2260),"")))</f>
        <v>8</v>
      </c>
      <c r="M2260" s="1" t="str">
        <f t="shared" ca="1" si="98"/>
        <v>Listed</v>
      </c>
      <c r="N2260" s="1" t="str">
        <f t="shared" si="99"/>
        <v>Listed</v>
      </c>
      <c r="O2260" s="1">
        <f t="shared" si="100"/>
        <v>25</v>
      </c>
      <c r="P2260" s="1">
        <f t="shared" ca="1" si="101"/>
        <v>10</v>
      </c>
      <c r="Q2260" s="1">
        <f t="shared" si="102"/>
        <v>0</v>
      </c>
      <c r="R2260" s="1">
        <f t="shared" si="103"/>
        <v>4</v>
      </c>
      <c r="S2260" s="1">
        <f t="shared" ca="1" si="104"/>
        <v>39</v>
      </c>
      <c r="T2260" s="1">
        <f ca="1">IF(OR(COUNT(O2260:R2260)&lt;&gt;4,COUNT('Top 25'!$B$45:$E$45)&lt;&gt;4,MIN('Top 25'!$B$45:$E$45)&lt;0,SUM('Top 25'!$B$45:$E$45)&lt;=0),"",ROUND(85*(O2260/30*'Top 25'!$B$45+P2260/25*'Top 25'!$C$45+Q2260/25*'Top 25'!$D$45+R2260/5*'Top 25'!$E$45)/SUM('Top 25'!$B$45:$E$45),6))</f>
        <v>39</v>
      </c>
      <c r="U2260" s="1" t="str">
        <f t="shared" ca="1" si="105"/>
        <v>Listed</v>
      </c>
      <c r="V2260" s="1" t="str">
        <f ca="1">IF(A2260="","",IF(AK2260&lt;&gt;1,"Duplicate source ID",IF(COUNTIFS('Staff Review'!$A$8:$A$507,A2260)&gt;1,"Duplicate review ID",IF(H2260&lt;&gt;"Yes","Outside scope",IF(J2260="Yes","Already served",IF(NOT(ISNUMBER(T2260)),"Missing data","Candidate"))))))</f>
        <v>Candidate</v>
      </c>
      <c r="W2260" s="1">
        <f t="shared" ca="1" si="106"/>
        <v>154</v>
      </c>
      <c r="X2260" s="1">
        <f t="shared" ca="1" si="107"/>
        <v>148</v>
      </c>
      <c r="Y2260" s="1">
        <f ca="1">IF(AND(H2260="Yes",OR(LEN('School Search'!$B$5)=0,ISNUMBER(SEARCH('School Search'!$B$5,B2260&amp;" "&amp;E2260&amp;" "&amp;A2260))),OR('School Search'!$D$5="All",C2260='School Search'!$D$5),OR('School Search'!$G$5="All eligible",AND('School Search'!$G$5="Not marked served",J2260&lt;&gt;"Yes"),AND('School Search'!$G$5="Missing data",V2260="Missing data"),AND('School Search'!$G$5="Marked served",J2260="Yes"))),1,0)</f>
        <v>1</v>
      </c>
      <c r="Z2260" s="1">
        <f ca="1">IF(Y2260=0,"",COUNTIFS($Y$2051:$Y$2550,1,$AO$2051:$AO$2550,"&lt;"&amp;AO2260)+COUNTIFS($Y$2051:Y2260,1,$AO$2051:AO2260,AO2260))</f>
        <v>154</v>
      </c>
      <c r="AA2260" s="1" t="str">
        <f t="shared" ca="1" si="108"/>
        <v>84% economic need; 0.27 mi fresh access; 8 nearby resources</v>
      </c>
      <c r="AB2260" s="1">
        <f t="shared" si="109"/>
        <v>210</v>
      </c>
      <c r="AC2260" s="1" t="str">
        <f t="shared" si="110"/>
        <v>Grocery Outlet of Fishtown 738</v>
      </c>
      <c r="AD2260" s="1" t="str">
        <f t="shared" si="111"/>
        <v>1801 N American St, Philadelphia, PA, 19122</v>
      </c>
      <c r="AE2260" s="1" t="str">
        <f t="shared" si="112"/>
        <v>1901 N FRONT ST</v>
      </c>
      <c r="AF2260" s="1">
        <f t="shared" si="113"/>
        <v>39.977949559999999</v>
      </c>
      <c r="AG2260" s="1">
        <f t="shared" si="114"/>
        <v>-75.133053200000006</v>
      </c>
      <c r="AH2260" s="1" t="str">
        <f>IF(I2260=0,"Not contacted",IF(INDEX('Staff Review'!$J$8:$J$507,I2260)="","Not contacted",INDEX('Staff Review'!$J$8:$J$507,I2260)))</f>
        <v>Not contacted</v>
      </c>
      <c r="AI2260" s="1" t="str">
        <f ca="1">IF(I2260=0,"No",IF(AND(COUNT(INDEX('Staff Review'!$D$8:$D$507,I2260))=1,INDEX('Staff Review'!$D$8:$D$507,I2260)&gt;=0,COUNT(INDEX('Staff Review'!$E$8:$E$507,I2260))=1,INDEX('Staff Review'!$E$8:$E$507,I2260)&gt;0,INDEX('Staff Review'!$E$8:$E$507,I2260)&lt;='Top 25'!$E$5,'Top 25'!$E$5-INDEX('Staff Review'!$E$8:$E$507,I2260)&lt;='Top 25'!$H$5,LEN(INDEX('Staff Review'!$H$8:$H$507,I2260))&gt;0),"Yes","No"))</f>
        <v>No</v>
      </c>
      <c r="AJ2260" s="1" t="str">
        <f>IF(I2260=0,"No",IF(COUNT(INDEX('Staff Review'!$F$8:$F$507,I2260))&lt;&gt;1,"No",IF(AND(INDEX('Staff Review'!$F$8:$F$507,I2260)&gt;=0,MOD(INDEX('Staff Review'!$F$8:$F$507,I2260),1)=0,COUNT(INDEX('Staff Review'!$G$8:$G$507,I2260))=1,INDEX('Staff Review'!$G$8:$G$507,I2260)&gt;0,INDEX('Staff Review'!$G$8:$G$507,I2260)&lt;='Top 25'!$E$5,'Top 25'!$E$5-INDEX('Staff Review'!$G$8:$G$507,I2260)&lt;='Top 25'!$H$5,LEN(INDEX('Staff Review'!$H$8:$H$507,I2260))&gt;0),"Yes","No")))</f>
        <v>No</v>
      </c>
      <c r="AK2260" s="1">
        <f t="shared" si="115"/>
        <v>1</v>
      </c>
      <c r="AL2260" s="1">
        <f t="shared" ca="1" si="116"/>
        <v>1</v>
      </c>
      <c r="AM2260" s="1">
        <f t="shared" si="117"/>
        <v>5520</v>
      </c>
      <c r="AN2260" s="1">
        <f t="shared" si="118"/>
        <v>210</v>
      </c>
      <c r="AO2260">
        <f t="shared" ca="1" si="119"/>
        <v>154</v>
      </c>
      <c r="AP2260" s="105">
        <f ca="1">IF(AND(AL2260=1,OR('Top 25'!$A$10="All",C2260='Top 25'!$A$10),OR('Top 25'!$D$10="All",D2260='Top 25'!$D$10)),1,0)</f>
        <v>0</v>
      </c>
      <c r="AQ2260" s="105" t="str">
        <f ca="1">IF(AP2260=0,"",CHOOSE(MATCH('Top 25'!$G$10,{"Priority score","Economic need","Enrollment","Fresh miles","Nearby resources"},0),T2260,G2260,F2260,K2260,L2260))</f>
        <v/>
      </c>
      <c r="AR2260" s="105" t="str">
        <f ca="1">IF(AP2260=0,"",1+COUNTIFS($AP$2051:$AP$2550,1,$AQ$2051:$AQ$2550,IF('Top 25'!$J$10="Ascending","&lt;","&gt;")&amp;AQ2260)+COUNTIFS($AP$2051:$AP$2550,1,$AQ$2051:$AQ$2550,AQ2260,$W$2051:$W$2550,"&lt;"&amp;W2260))</f>
        <v/>
      </c>
      <c r="AT2260" s="105">
        <f ca="1">IF(AND(AL2260=1,OR(Master_rankableSchools!$A$10="All",C2260=Master_rankableSchools!$A$10),OR(Master_rankableSchools!$D$10="All",D2260=Master_rankableSchools!$D$10)),1,0)</f>
        <v>1</v>
      </c>
      <c r="AU2260" s="105">
        <f ca="1">IF(AT2260=0,"",CHOOSE(MATCH(Master_rankableSchools!$G$10,{"Priority score","Economic need","Enrollment","Fresh miles","Nearby resources"},0),T2260,G2260,F2260,K2260,L2260))</f>
        <v>39</v>
      </c>
      <c r="AV2260" s="105">
        <f ca="1">IF(AT2260=0,"",1+COUNTIFS($AT$2051:$AT$2550,1,$AU$2051:$AU$2550,IF(Master_rankableSchools!$J$10="Ascending","&lt;","&gt;")&amp;AU2260)+COUNTIFS($AT$2051:$AT$2550,1,$AU$2051:$AU$2550,AU2260,$W$2051:$W$2550,"&lt;"&amp;W2260))</f>
        <v>154</v>
      </c>
    </row>
    <row r="2261" spans="1:48" ht="22" customHeight="1">
      <c r="A2261" s="1" t="str">
        <f t="shared" si="90"/>
        <v>5530</v>
      </c>
      <c r="B2261" s="1" t="str">
        <f t="shared" si="91"/>
        <v>Gloria Casarez School</v>
      </c>
      <c r="C2261" s="1" t="str">
        <f t="shared" si="92"/>
        <v>District</v>
      </c>
      <c r="D2261" s="1" t="str">
        <f t="shared" si="93"/>
        <v>Elementary</v>
      </c>
      <c r="E2261" s="1" t="str">
        <f t="shared" si="94"/>
        <v>19134</v>
      </c>
      <c r="F2261" s="1">
        <f t="shared" si="95"/>
        <v>438</v>
      </c>
      <c r="G2261" s="1">
        <f t="shared" si="96"/>
        <v>0.89490000000000003</v>
      </c>
      <c r="H2261" s="1" t="str">
        <f t="shared" si="97"/>
        <v>Yes</v>
      </c>
      <c r="I2261" s="1">
        <f>IF(OR(A2261="",COUNTIFS('Staff Review'!$A$8:$A$507,A2261)&lt;&gt;1),0,MATCH(A2261,'Staff Review'!$A$8:$A$507,0))</f>
        <v>102</v>
      </c>
      <c r="J2261" s="1" t="str">
        <f>IF(I2261=0,"No",IF(INDEX('Staff Review'!$C$8:$C$507,I2261)="Yes","Yes","No"))</f>
        <v>No</v>
      </c>
      <c r="K2261" s="1">
        <f ca="1">IF(AI2261="Yes",INDEX('Staff Review'!$D$8:$D$507,I2261),IF(AB2261=0,"",IF(COUNT(INDEX($C$1531:$C$2030,AB2261))=1,INDEX($C$1531:$C$2030,AB2261),"")))</f>
        <v>0.26749925895825077</v>
      </c>
      <c r="L2261" s="1">
        <f>IF(AJ2261="Yes",INDEX('Staff Review'!$F$8:$F$507,I2261),IF(AB2261=0,"",IF(COUNT(INDEX($G$1531:$G$2030,AB2261))=1,INDEX($G$1531:$G$2030,AB2261),"")))</f>
        <v>10</v>
      </c>
      <c r="M2261" s="1" t="str">
        <f t="shared" ca="1" si="98"/>
        <v>Listed</v>
      </c>
      <c r="N2261" s="1" t="str">
        <f t="shared" si="99"/>
        <v>Listed</v>
      </c>
      <c r="O2261" s="1">
        <f t="shared" si="100"/>
        <v>25</v>
      </c>
      <c r="P2261" s="1">
        <f t="shared" ca="1" si="101"/>
        <v>10</v>
      </c>
      <c r="Q2261" s="1">
        <f t="shared" si="102"/>
        <v>0</v>
      </c>
      <c r="R2261" s="1">
        <f t="shared" si="103"/>
        <v>3</v>
      </c>
      <c r="S2261" s="1">
        <f t="shared" ca="1" si="104"/>
        <v>38</v>
      </c>
      <c r="T2261" s="1">
        <f ca="1">IF(OR(COUNT(O2261:R2261)&lt;&gt;4,COUNT('Top 25'!$B$45:$E$45)&lt;&gt;4,MIN('Top 25'!$B$45:$E$45)&lt;0,SUM('Top 25'!$B$45:$E$45)&lt;=0),"",ROUND(85*(O2261/30*'Top 25'!$B$45+P2261/25*'Top 25'!$C$45+Q2261/25*'Top 25'!$D$45+R2261/5*'Top 25'!$E$45)/SUM('Top 25'!$B$45:$E$45),6))</f>
        <v>38</v>
      </c>
      <c r="U2261" s="1" t="str">
        <f t="shared" ca="1" si="105"/>
        <v>Listed</v>
      </c>
      <c r="V2261" s="1" t="str">
        <f ca="1">IF(A2261="","",IF(AK2261&lt;&gt;1,"Duplicate source ID",IF(COUNTIFS('Staff Review'!$A$8:$A$507,A2261)&gt;1,"Duplicate review ID",IF(H2261&lt;&gt;"Yes","Outside scope",IF(J2261="Yes","Already served",IF(NOT(ISNUMBER(T2261)),"Missing data","Candidate"))))))</f>
        <v>Candidate</v>
      </c>
      <c r="W2261" s="1">
        <f t="shared" ca="1" si="106"/>
        <v>169</v>
      </c>
      <c r="X2261" s="1">
        <f t="shared" ca="1" si="107"/>
        <v>166</v>
      </c>
      <c r="Y2261" s="1">
        <f ca="1">IF(AND(H2261="Yes",OR(LEN('School Search'!$B$5)=0,ISNUMBER(SEARCH('School Search'!$B$5,B2261&amp;" "&amp;E2261&amp;" "&amp;A2261))),OR('School Search'!$D$5="All",C2261='School Search'!$D$5),OR('School Search'!$G$5="All eligible",AND('School Search'!$G$5="Not marked served",J2261&lt;&gt;"Yes"),AND('School Search'!$G$5="Missing data",V2261="Missing data"),AND('School Search'!$G$5="Marked served",J2261="Yes"))),1,0)</f>
        <v>1</v>
      </c>
      <c r="Z2261" s="1">
        <f ca="1">IF(Y2261=0,"",COUNTIFS($Y$2051:$Y$2550,1,$AO$2051:$AO$2550,"&lt;"&amp;AO2261)+COUNTIFS($Y$2051:Y2261,1,$AO$2051:AO2261,AO2261))</f>
        <v>169</v>
      </c>
      <c r="AA2261" s="1" t="str">
        <f t="shared" ca="1" si="108"/>
        <v>89% economic need; 0.27 mi fresh access; 10 nearby resources</v>
      </c>
      <c r="AB2261" s="1">
        <f t="shared" si="109"/>
        <v>211</v>
      </c>
      <c r="AC2261" s="1" t="str">
        <f t="shared" si="110"/>
        <v>Super Foodtown 705</v>
      </c>
      <c r="AD2261" s="1" t="str">
        <f t="shared" si="111"/>
        <v>3528 I St, Philadelphia, PA, 19134</v>
      </c>
      <c r="AE2261" s="1" t="str">
        <f t="shared" si="112"/>
        <v>800 E ONTARIO ST</v>
      </c>
      <c r="AF2261" s="1">
        <f t="shared" si="113"/>
        <v>39.999747249999999</v>
      </c>
      <c r="AG2261" s="1">
        <f t="shared" si="114"/>
        <v>-75.11478572</v>
      </c>
      <c r="AH2261" s="1" t="str">
        <f>IF(I2261=0,"Not contacted",IF(INDEX('Staff Review'!$J$8:$J$507,I2261)="","Not contacted",INDEX('Staff Review'!$J$8:$J$507,I2261)))</f>
        <v>Not contacted</v>
      </c>
      <c r="AI2261" s="1" t="str">
        <f ca="1">IF(I2261=0,"No",IF(AND(COUNT(INDEX('Staff Review'!$D$8:$D$507,I2261))=1,INDEX('Staff Review'!$D$8:$D$507,I2261)&gt;=0,COUNT(INDEX('Staff Review'!$E$8:$E$507,I2261))=1,INDEX('Staff Review'!$E$8:$E$507,I2261)&gt;0,INDEX('Staff Review'!$E$8:$E$507,I2261)&lt;='Top 25'!$E$5,'Top 25'!$E$5-INDEX('Staff Review'!$E$8:$E$507,I2261)&lt;='Top 25'!$H$5,LEN(INDEX('Staff Review'!$H$8:$H$507,I2261))&gt;0),"Yes","No"))</f>
        <v>No</v>
      </c>
      <c r="AJ2261" s="1" t="str">
        <f>IF(I2261=0,"No",IF(COUNT(INDEX('Staff Review'!$F$8:$F$507,I2261))&lt;&gt;1,"No",IF(AND(INDEX('Staff Review'!$F$8:$F$507,I2261)&gt;=0,MOD(INDEX('Staff Review'!$F$8:$F$507,I2261),1)=0,COUNT(INDEX('Staff Review'!$G$8:$G$507,I2261))=1,INDEX('Staff Review'!$G$8:$G$507,I2261)&gt;0,INDEX('Staff Review'!$G$8:$G$507,I2261)&lt;='Top 25'!$E$5,'Top 25'!$E$5-INDEX('Staff Review'!$G$8:$G$507,I2261)&lt;='Top 25'!$H$5,LEN(INDEX('Staff Review'!$H$8:$H$507,I2261))&gt;0),"Yes","No")))</f>
        <v>No</v>
      </c>
      <c r="AK2261" s="1">
        <f t="shared" si="115"/>
        <v>1</v>
      </c>
      <c r="AL2261" s="1">
        <f t="shared" ca="1" si="116"/>
        <v>1</v>
      </c>
      <c r="AM2261" s="1">
        <f t="shared" si="117"/>
        <v>5530</v>
      </c>
      <c r="AN2261" s="1">
        <f t="shared" si="118"/>
        <v>211</v>
      </c>
      <c r="AO2261">
        <f t="shared" ca="1" si="119"/>
        <v>169</v>
      </c>
      <c r="AP2261" s="105">
        <f ca="1">IF(AND(AL2261=1,OR('Top 25'!$A$10="All",C2261='Top 25'!$A$10),OR('Top 25'!$D$10="All",D2261='Top 25'!$D$10)),1,0)</f>
        <v>1</v>
      </c>
      <c r="AQ2261" s="105">
        <f ca="1">IF(AP2261=0,"",CHOOSE(MATCH('Top 25'!$G$10,{"Priority score","Economic need","Enrollment","Fresh miles","Nearby resources"},0),T2261,G2261,F2261,K2261,L2261))</f>
        <v>38</v>
      </c>
      <c r="AR2261" s="105">
        <f ca="1">IF(AP2261=0,"",1+COUNTIFS($AP$2051:$AP$2550,1,$AQ$2051:$AQ$2550,IF('Top 25'!$J$10="Ascending","&lt;","&gt;")&amp;AQ2261)+COUNTIFS($AP$2051:$AP$2550,1,$AQ$2051:$AQ$2550,AQ2261,$W$2051:$W$2550,"&lt;"&amp;W2261))</f>
        <v>26</v>
      </c>
      <c r="AT2261" s="105">
        <f ca="1">IF(AND(AL2261=1,OR(Master_rankableSchools!$A$10="All",C2261=Master_rankableSchools!$A$10),OR(Master_rankableSchools!$D$10="All",D2261=Master_rankableSchools!$D$10)),1,0)</f>
        <v>1</v>
      </c>
      <c r="AU2261" s="105">
        <f ca="1">IF(AT2261=0,"",CHOOSE(MATCH(Master_rankableSchools!$G$10,{"Priority score","Economic need","Enrollment","Fresh miles","Nearby resources"},0),T2261,G2261,F2261,K2261,L2261))</f>
        <v>38</v>
      </c>
      <c r="AV2261" s="105">
        <f ca="1">IF(AT2261=0,"",1+COUNTIFS($AT$2051:$AT$2550,1,$AU$2051:$AU$2550,IF(Master_rankableSchools!$J$10="Ascending","&lt;","&gt;")&amp;AU2261)+COUNTIFS($AT$2051:$AT$2550,1,$AU$2051:$AU$2550,AU2261,$W$2051:$W$2550,"&lt;"&amp;W2261))</f>
        <v>169</v>
      </c>
    </row>
    <row r="2262" spans="1:48" ht="22" customHeight="1">
      <c r="A2262" s="1" t="str">
        <f t="shared" si="90"/>
        <v>5550</v>
      </c>
      <c r="B2262" s="1" t="str">
        <f t="shared" si="91"/>
        <v>Kensington Health Sciences Academy</v>
      </c>
      <c r="C2262" s="1" t="str">
        <f t="shared" si="92"/>
        <v>District</v>
      </c>
      <c r="D2262" s="1" t="str">
        <f t="shared" si="93"/>
        <v>High</v>
      </c>
      <c r="E2262" s="1" t="str">
        <f t="shared" si="94"/>
        <v>19125</v>
      </c>
      <c r="F2262" s="1">
        <f t="shared" si="95"/>
        <v>461</v>
      </c>
      <c r="G2262" s="1">
        <f t="shared" si="96"/>
        <v>0.86939999999999995</v>
      </c>
      <c r="H2262" s="1" t="str">
        <f t="shared" si="97"/>
        <v>Yes</v>
      </c>
      <c r="I2262" s="1">
        <f>IF(OR(A2262="",COUNTIFS('Staff Review'!$A$8:$A$507,A2262)&lt;&gt;1),0,MATCH(A2262,'Staff Review'!$A$8:$A$507,0))</f>
        <v>157</v>
      </c>
      <c r="J2262" s="1" t="str">
        <f>IF(I2262=0,"No",IF(INDEX('Staff Review'!$C$8:$C$507,I2262)="Yes","Yes","No"))</f>
        <v>No</v>
      </c>
      <c r="K2262" s="1">
        <f ca="1">IF(AI2262="Yes",INDEX('Staff Review'!$D$8:$D$507,I2262),IF(AB2262=0,"",IF(COUNT(INDEX($C$1531:$C$2030,AB2262))=1,INDEX($C$1531:$C$2030,AB2262),"")))</f>
        <v>0.39883842683812082</v>
      </c>
      <c r="L2262" s="1">
        <f>IF(AJ2262="Yes",INDEX('Staff Review'!$F$8:$F$507,I2262),IF(AB2262=0,"",IF(COUNT(INDEX($G$1531:$G$2030,AB2262))=1,INDEX($G$1531:$G$2030,AB2262),"")))</f>
        <v>9</v>
      </c>
      <c r="M2262" s="1" t="str">
        <f t="shared" ca="1" si="98"/>
        <v>Listed</v>
      </c>
      <c r="N2262" s="1" t="str">
        <f t="shared" si="99"/>
        <v>Listed</v>
      </c>
      <c r="O2262" s="1">
        <f t="shared" si="100"/>
        <v>25</v>
      </c>
      <c r="P2262" s="1">
        <f t="shared" ca="1" si="101"/>
        <v>10</v>
      </c>
      <c r="Q2262" s="1">
        <f t="shared" si="102"/>
        <v>0</v>
      </c>
      <c r="R2262" s="1">
        <f t="shared" si="103"/>
        <v>3</v>
      </c>
      <c r="S2262" s="1">
        <f t="shared" ca="1" si="104"/>
        <v>38</v>
      </c>
      <c r="T2262" s="1">
        <f ca="1">IF(OR(COUNT(O2262:R2262)&lt;&gt;4,COUNT('Top 25'!$B$45:$E$45)&lt;&gt;4,MIN('Top 25'!$B$45:$E$45)&lt;0,SUM('Top 25'!$B$45:$E$45)&lt;=0),"",ROUND(85*(O2262/30*'Top 25'!$B$45+P2262/25*'Top 25'!$C$45+Q2262/25*'Top 25'!$D$45+R2262/5*'Top 25'!$E$45)/SUM('Top 25'!$B$45:$E$45),6))</f>
        <v>38</v>
      </c>
      <c r="U2262" s="1" t="str">
        <f t="shared" ca="1" si="105"/>
        <v>Listed</v>
      </c>
      <c r="V2262" s="1" t="str">
        <f ca="1">IF(A2262="","",IF(AK2262&lt;&gt;1,"Duplicate source ID",IF(COUNTIFS('Staff Review'!$A$8:$A$507,A2262)&gt;1,"Duplicate review ID",IF(H2262&lt;&gt;"Yes","Outside scope",IF(J2262="Yes","Already served",IF(NOT(ISNUMBER(T2262)),"Missing data","Candidate"))))))</f>
        <v>Candidate</v>
      </c>
      <c r="W2262" s="1">
        <f t="shared" ca="1" si="106"/>
        <v>172</v>
      </c>
      <c r="X2262" s="1">
        <f t="shared" ca="1" si="107"/>
        <v>166</v>
      </c>
      <c r="Y2262" s="1">
        <f ca="1">IF(AND(H2262="Yes",OR(LEN('School Search'!$B$5)=0,ISNUMBER(SEARCH('School Search'!$B$5,B2262&amp;" "&amp;E2262&amp;" "&amp;A2262))),OR('School Search'!$D$5="All",C2262='School Search'!$D$5),OR('School Search'!$G$5="All eligible",AND('School Search'!$G$5="Not marked served",J2262&lt;&gt;"Yes"),AND('School Search'!$G$5="Missing data",V2262="Missing data"),AND('School Search'!$G$5="Marked served",J2262="Yes"))),1,0)</f>
        <v>1</v>
      </c>
      <c r="Z2262" s="1">
        <f ca="1">IF(Y2262=0,"",COUNTIFS($Y$2051:$Y$2550,1,$AO$2051:$AO$2550,"&lt;"&amp;AO2262)+COUNTIFS($Y$2051:Y2262,1,$AO$2051:AO2262,AO2262))</f>
        <v>172</v>
      </c>
      <c r="AA2262" s="1" t="str">
        <f t="shared" ca="1" si="108"/>
        <v>87% economic need; 0.40 mi fresh access; 9 nearby resources</v>
      </c>
      <c r="AB2262" s="1">
        <f t="shared" si="109"/>
        <v>212</v>
      </c>
      <c r="AC2262" s="1" t="str">
        <f t="shared" si="110"/>
        <v>Save A Lot 30224</v>
      </c>
      <c r="AD2262" s="1" t="str">
        <f t="shared" si="111"/>
        <v>2132 E Lehigh Ave, Philadelphia, PA, 19125</v>
      </c>
      <c r="AE2262" s="1" t="str">
        <f t="shared" si="112"/>
        <v>2463 EMERALD ST</v>
      </c>
      <c r="AF2262" s="1">
        <f t="shared" si="113"/>
        <v>39.985025999999998</v>
      </c>
      <c r="AG2262" s="1">
        <f t="shared" si="114"/>
        <v>-75.128685000000004</v>
      </c>
      <c r="AH2262" s="1" t="str">
        <f>IF(I2262=0,"Not contacted",IF(INDEX('Staff Review'!$J$8:$J$507,I2262)="","Not contacted",INDEX('Staff Review'!$J$8:$J$507,I2262)))</f>
        <v>Not contacted</v>
      </c>
      <c r="AI2262" s="1" t="str">
        <f ca="1">IF(I2262=0,"No",IF(AND(COUNT(INDEX('Staff Review'!$D$8:$D$507,I2262))=1,INDEX('Staff Review'!$D$8:$D$507,I2262)&gt;=0,COUNT(INDEX('Staff Review'!$E$8:$E$507,I2262))=1,INDEX('Staff Review'!$E$8:$E$507,I2262)&gt;0,INDEX('Staff Review'!$E$8:$E$507,I2262)&lt;='Top 25'!$E$5,'Top 25'!$E$5-INDEX('Staff Review'!$E$8:$E$507,I2262)&lt;='Top 25'!$H$5,LEN(INDEX('Staff Review'!$H$8:$H$507,I2262))&gt;0),"Yes","No"))</f>
        <v>No</v>
      </c>
      <c r="AJ2262" s="1" t="str">
        <f>IF(I2262=0,"No",IF(COUNT(INDEX('Staff Review'!$F$8:$F$507,I2262))&lt;&gt;1,"No",IF(AND(INDEX('Staff Review'!$F$8:$F$507,I2262)&gt;=0,MOD(INDEX('Staff Review'!$F$8:$F$507,I2262),1)=0,COUNT(INDEX('Staff Review'!$G$8:$G$507,I2262))=1,INDEX('Staff Review'!$G$8:$G$507,I2262)&gt;0,INDEX('Staff Review'!$G$8:$G$507,I2262)&lt;='Top 25'!$E$5,'Top 25'!$E$5-INDEX('Staff Review'!$G$8:$G$507,I2262)&lt;='Top 25'!$H$5,LEN(INDEX('Staff Review'!$H$8:$H$507,I2262))&gt;0),"Yes","No")))</f>
        <v>No</v>
      </c>
      <c r="AK2262" s="1">
        <f t="shared" si="115"/>
        <v>1</v>
      </c>
      <c r="AL2262" s="1">
        <f t="shared" ca="1" si="116"/>
        <v>1</v>
      </c>
      <c r="AM2262" s="1">
        <f t="shared" si="117"/>
        <v>5550</v>
      </c>
      <c r="AN2262" s="1">
        <f t="shared" si="118"/>
        <v>212</v>
      </c>
      <c r="AO2262">
        <f t="shared" ca="1" si="119"/>
        <v>172</v>
      </c>
      <c r="AP2262" s="105">
        <f ca="1">IF(AND(AL2262=1,OR('Top 25'!$A$10="All",C2262='Top 25'!$A$10),OR('Top 25'!$D$10="All",D2262='Top 25'!$D$10)),1,0)</f>
        <v>0</v>
      </c>
      <c r="AQ2262" s="105" t="str">
        <f ca="1">IF(AP2262=0,"",CHOOSE(MATCH('Top 25'!$G$10,{"Priority score","Economic need","Enrollment","Fresh miles","Nearby resources"},0),T2262,G2262,F2262,K2262,L2262))</f>
        <v/>
      </c>
      <c r="AR2262" s="105" t="str">
        <f ca="1">IF(AP2262=0,"",1+COUNTIFS($AP$2051:$AP$2550,1,$AQ$2051:$AQ$2550,IF('Top 25'!$J$10="Ascending","&lt;","&gt;")&amp;AQ2262)+COUNTIFS($AP$2051:$AP$2550,1,$AQ$2051:$AQ$2550,AQ2262,$W$2051:$W$2550,"&lt;"&amp;W2262))</f>
        <v/>
      </c>
      <c r="AT2262" s="105">
        <f ca="1">IF(AND(AL2262=1,OR(Master_rankableSchools!$A$10="All",C2262=Master_rankableSchools!$A$10),OR(Master_rankableSchools!$D$10="All",D2262=Master_rankableSchools!$D$10)),1,0)</f>
        <v>1</v>
      </c>
      <c r="AU2262" s="105">
        <f ca="1">IF(AT2262=0,"",CHOOSE(MATCH(Master_rankableSchools!$G$10,{"Priority score","Economic need","Enrollment","Fresh miles","Nearby resources"},0),T2262,G2262,F2262,K2262,L2262))</f>
        <v>38</v>
      </c>
      <c r="AV2262" s="105">
        <f ca="1">IF(AT2262=0,"",1+COUNTIFS($AT$2051:$AT$2550,1,$AU$2051:$AU$2550,IF(Master_rankableSchools!$J$10="Ascending","&lt;","&gt;")&amp;AU2262)+COUNTIFS($AT$2051:$AT$2550,1,$AU$2051:$AU$2550,AU2262,$W$2051:$W$2550,"&lt;"&amp;W2262))</f>
        <v>172</v>
      </c>
    </row>
    <row r="2263" spans="1:48" ht="22" customHeight="1">
      <c r="A2263" s="1" t="str">
        <f t="shared" si="90"/>
        <v>5560</v>
      </c>
      <c r="B2263" s="1" t="str">
        <f t="shared" si="91"/>
        <v>Spring Garden School</v>
      </c>
      <c r="C2263" s="1" t="str">
        <f t="shared" si="92"/>
        <v>District</v>
      </c>
      <c r="D2263" s="1" t="str">
        <f t="shared" si="93"/>
        <v>Elementary-Middle</v>
      </c>
      <c r="E2263" s="1" t="str">
        <f t="shared" si="94"/>
        <v>19123</v>
      </c>
      <c r="F2263" s="1">
        <f t="shared" si="95"/>
        <v>247</v>
      </c>
      <c r="G2263" s="1">
        <f t="shared" si="96"/>
        <v>0.85770000000000002</v>
      </c>
      <c r="H2263" s="1" t="str">
        <f t="shared" si="97"/>
        <v>Yes</v>
      </c>
      <c r="I2263" s="1">
        <f>IF(OR(A2263="",COUNTIFS('Staff Review'!$A$8:$A$507,A2263)&lt;&gt;1),0,MATCH(A2263,'Staff Review'!$A$8:$A$507,0))</f>
        <v>274</v>
      </c>
      <c r="J2263" s="1" t="str">
        <f>IF(I2263=0,"No",IF(INDEX('Staff Review'!$C$8:$C$507,I2263)="Yes","Yes","No"))</f>
        <v>No</v>
      </c>
      <c r="K2263" s="1">
        <f ca="1">IF(AI2263="Yes",INDEX('Staff Review'!$D$8:$D$507,I2263),IF(AB2263=0,"",IF(COUNT(INDEX($C$1531:$C$2030,AB2263))=1,INDEX($C$1531:$C$2030,AB2263),"")))</f>
        <v>0.18757831963817834</v>
      </c>
      <c r="L2263" s="1">
        <f>IF(AJ2263="Yes",INDEX('Staff Review'!$F$8:$F$507,I2263),IF(AB2263=0,"",IF(COUNT(INDEX($G$1531:$G$2030,AB2263))=1,INDEX($G$1531:$G$2030,AB2263),"")))</f>
        <v>10</v>
      </c>
      <c r="M2263" s="1" t="str">
        <f t="shared" ca="1" si="98"/>
        <v>Listed</v>
      </c>
      <c r="N2263" s="1" t="str">
        <f t="shared" si="99"/>
        <v>Listed</v>
      </c>
      <c r="O2263" s="1">
        <f t="shared" si="100"/>
        <v>25</v>
      </c>
      <c r="P2263" s="1">
        <f t="shared" ca="1" si="101"/>
        <v>5</v>
      </c>
      <c r="Q2263" s="1">
        <f t="shared" si="102"/>
        <v>0</v>
      </c>
      <c r="R2263" s="1">
        <f t="shared" si="103"/>
        <v>2</v>
      </c>
      <c r="S2263" s="1">
        <f t="shared" ca="1" si="104"/>
        <v>32</v>
      </c>
      <c r="T2263" s="1">
        <f ca="1">IF(OR(COUNT(O2263:R2263)&lt;&gt;4,COUNT('Top 25'!$B$45:$E$45)&lt;&gt;4,MIN('Top 25'!$B$45:$E$45)&lt;0,SUM('Top 25'!$B$45:$E$45)&lt;=0),"",ROUND(85*(O2263/30*'Top 25'!$B$45+P2263/25*'Top 25'!$C$45+Q2263/25*'Top 25'!$D$45+R2263/5*'Top 25'!$E$45)/SUM('Top 25'!$B$45:$E$45),6))</f>
        <v>32</v>
      </c>
      <c r="U2263" s="1" t="str">
        <f t="shared" ca="1" si="105"/>
        <v>Listed</v>
      </c>
      <c r="V2263" s="1" t="str">
        <f ca="1">IF(A2263="","",IF(AK2263&lt;&gt;1,"Duplicate source ID",IF(COUNTIFS('Staff Review'!$A$8:$A$507,A2263)&gt;1,"Duplicate review ID",IF(H2263&lt;&gt;"Yes","Outside scope",IF(J2263="Yes","Already served",IF(NOT(ISNUMBER(T2263)),"Missing data","Candidate"))))))</f>
        <v>Candidate</v>
      </c>
      <c r="W2263" s="1">
        <f t="shared" ca="1" si="106"/>
        <v>246</v>
      </c>
      <c r="X2263" s="1">
        <f t="shared" ca="1" si="107"/>
        <v>243</v>
      </c>
      <c r="Y2263" s="1">
        <f ca="1">IF(AND(H2263="Yes",OR(LEN('School Search'!$B$5)=0,ISNUMBER(SEARCH('School Search'!$B$5,B2263&amp;" "&amp;E2263&amp;" "&amp;A2263))),OR('School Search'!$D$5="All",C2263='School Search'!$D$5),OR('School Search'!$G$5="All eligible",AND('School Search'!$G$5="Not marked served",J2263&lt;&gt;"Yes"),AND('School Search'!$G$5="Missing data",V2263="Missing data"),AND('School Search'!$G$5="Marked served",J2263="Yes"))),1,0)</f>
        <v>1</v>
      </c>
      <c r="Z2263" s="1">
        <f ca="1">IF(Y2263=0,"",COUNTIFS($Y$2051:$Y$2550,1,$AO$2051:$AO$2550,"&lt;"&amp;AO2263)+COUNTIFS($Y$2051:Y2263,1,$AO$2051:AO2263,AO2263))</f>
        <v>246</v>
      </c>
      <c r="AA2263" s="1" t="str">
        <f t="shared" ca="1" si="108"/>
        <v>86% economic need; 0.19 mi fresh access; 10 nearby resources</v>
      </c>
      <c r="AB2263" s="1">
        <f t="shared" si="109"/>
        <v>213</v>
      </c>
      <c r="AC2263" s="1" t="str">
        <f t="shared" si="110"/>
        <v>Aldi 60169</v>
      </c>
      <c r="AD2263" s="1" t="str">
        <f t="shared" si="111"/>
        <v>1300 Fairmount Ave, Philadelphia, PA, 19123</v>
      </c>
      <c r="AE2263" s="1" t="str">
        <f t="shared" si="112"/>
        <v>1146 MELON ST</v>
      </c>
      <c r="AF2263" s="1">
        <f t="shared" si="113"/>
        <v>39.965161549999998</v>
      </c>
      <c r="AG2263" s="1">
        <f t="shared" si="114"/>
        <v>-75.15614042</v>
      </c>
      <c r="AH2263" s="1" t="str">
        <f>IF(I2263=0,"Not contacted",IF(INDEX('Staff Review'!$J$8:$J$507,I2263)="","Not contacted",INDEX('Staff Review'!$J$8:$J$507,I2263)))</f>
        <v>Not contacted</v>
      </c>
      <c r="AI2263" s="1" t="str">
        <f ca="1">IF(I2263=0,"No",IF(AND(COUNT(INDEX('Staff Review'!$D$8:$D$507,I2263))=1,INDEX('Staff Review'!$D$8:$D$507,I2263)&gt;=0,COUNT(INDEX('Staff Review'!$E$8:$E$507,I2263))=1,INDEX('Staff Review'!$E$8:$E$507,I2263)&gt;0,INDEX('Staff Review'!$E$8:$E$507,I2263)&lt;='Top 25'!$E$5,'Top 25'!$E$5-INDEX('Staff Review'!$E$8:$E$507,I2263)&lt;='Top 25'!$H$5,LEN(INDEX('Staff Review'!$H$8:$H$507,I2263))&gt;0),"Yes","No"))</f>
        <v>No</v>
      </c>
      <c r="AJ2263" s="1" t="str">
        <f>IF(I2263=0,"No",IF(COUNT(INDEX('Staff Review'!$F$8:$F$507,I2263))&lt;&gt;1,"No",IF(AND(INDEX('Staff Review'!$F$8:$F$507,I2263)&gt;=0,MOD(INDEX('Staff Review'!$F$8:$F$507,I2263),1)=0,COUNT(INDEX('Staff Review'!$G$8:$G$507,I2263))=1,INDEX('Staff Review'!$G$8:$G$507,I2263)&gt;0,INDEX('Staff Review'!$G$8:$G$507,I2263)&lt;='Top 25'!$E$5,'Top 25'!$E$5-INDEX('Staff Review'!$G$8:$G$507,I2263)&lt;='Top 25'!$H$5,LEN(INDEX('Staff Review'!$H$8:$H$507,I2263))&gt;0),"Yes","No")))</f>
        <v>No</v>
      </c>
      <c r="AK2263" s="1">
        <f t="shared" si="115"/>
        <v>1</v>
      </c>
      <c r="AL2263" s="1">
        <f t="shared" ca="1" si="116"/>
        <v>1</v>
      </c>
      <c r="AM2263" s="1">
        <f t="shared" si="117"/>
        <v>5560</v>
      </c>
      <c r="AN2263" s="1">
        <f t="shared" si="118"/>
        <v>213</v>
      </c>
      <c r="AO2263">
        <f t="shared" ca="1" si="119"/>
        <v>246</v>
      </c>
      <c r="AP2263" s="105">
        <f ca="1">IF(AND(AL2263=1,OR('Top 25'!$A$10="All",C2263='Top 25'!$A$10),OR('Top 25'!$D$10="All",D2263='Top 25'!$D$10)),1,0)</f>
        <v>0</v>
      </c>
      <c r="AQ2263" s="105" t="str">
        <f ca="1">IF(AP2263=0,"",CHOOSE(MATCH('Top 25'!$G$10,{"Priority score","Economic need","Enrollment","Fresh miles","Nearby resources"},0),T2263,G2263,F2263,K2263,L2263))</f>
        <v/>
      </c>
      <c r="AR2263" s="105" t="str">
        <f ca="1">IF(AP2263=0,"",1+COUNTIFS($AP$2051:$AP$2550,1,$AQ$2051:$AQ$2550,IF('Top 25'!$J$10="Ascending","&lt;","&gt;")&amp;AQ2263)+COUNTIFS($AP$2051:$AP$2550,1,$AQ$2051:$AQ$2550,AQ2263,$W$2051:$W$2550,"&lt;"&amp;W2263))</f>
        <v/>
      </c>
      <c r="AT2263" s="105">
        <f ca="1">IF(AND(AL2263=1,OR(Master_rankableSchools!$A$10="All",C2263=Master_rankableSchools!$A$10),OR(Master_rankableSchools!$D$10="All",D2263=Master_rankableSchools!$D$10)),1,0)</f>
        <v>1</v>
      </c>
      <c r="AU2263" s="105">
        <f ca="1">IF(AT2263=0,"",CHOOSE(MATCH(Master_rankableSchools!$G$10,{"Priority score","Economic need","Enrollment","Fresh miles","Nearby resources"},0),T2263,G2263,F2263,K2263,L2263))</f>
        <v>32</v>
      </c>
      <c r="AV2263" s="105">
        <f ca="1">IF(AT2263=0,"",1+COUNTIFS($AT$2051:$AT$2550,1,$AU$2051:$AU$2550,IF(Master_rankableSchools!$J$10="Ascending","&lt;","&gt;")&amp;AU2263)+COUNTIFS($AT$2051:$AT$2550,1,$AU$2051:$AU$2550,AU2263,$W$2051:$W$2550,"&lt;"&amp;W2263))</f>
        <v>246</v>
      </c>
    </row>
    <row r="2264" spans="1:48" ht="22" customHeight="1">
      <c r="A2264" s="1" t="str">
        <f t="shared" si="90"/>
        <v>5580</v>
      </c>
      <c r="B2264" s="1" t="str">
        <f t="shared" si="91"/>
        <v>John B. Stetson Middle School</v>
      </c>
      <c r="C2264" s="1" t="str">
        <f t="shared" si="92"/>
        <v>District</v>
      </c>
      <c r="D2264" s="1" t="str">
        <f t="shared" si="93"/>
        <v>Middle</v>
      </c>
      <c r="E2264" s="1" t="str">
        <f t="shared" si="94"/>
        <v>19134</v>
      </c>
      <c r="F2264" s="1">
        <f t="shared" si="95"/>
        <v>511</v>
      </c>
      <c r="G2264" s="1">
        <f t="shared" si="96"/>
        <v>0.88739999999999997</v>
      </c>
      <c r="H2264" s="1" t="str">
        <f t="shared" si="97"/>
        <v>Yes</v>
      </c>
      <c r="I2264" s="1">
        <f>IF(OR(A2264="",COUNTIFS('Staff Review'!$A$8:$A$507,A2264)&lt;&gt;1),0,MATCH(A2264,'Staff Review'!$A$8:$A$507,0))</f>
        <v>134</v>
      </c>
      <c r="J2264" s="1" t="str">
        <f>IF(I2264=0,"No",IF(INDEX('Staff Review'!$C$8:$C$507,I2264)="Yes","Yes","No"))</f>
        <v>No</v>
      </c>
      <c r="K2264" s="1">
        <f ca="1">IF(AI2264="Yes",INDEX('Staff Review'!$D$8:$D$507,I2264),IF(AB2264=0,"",IF(COUNT(INDEX($C$1531:$C$2030,AB2264))=1,INDEX($C$1531:$C$2030,AB2264),"")))</f>
        <v>9.4165649111854308E-2</v>
      </c>
      <c r="L2264" s="1">
        <f>IF(AJ2264="Yes",INDEX('Staff Review'!$F$8:$F$507,I2264),IF(AB2264=0,"",IF(COUNT(INDEX($G$1531:$G$2030,AB2264))=1,INDEX($G$1531:$G$2030,AB2264),"")))</f>
        <v>12</v>
      </c>
      <c r="M2264" s="1" t="str">
        <f t="shared" ca="1" si="98"/>
        <v>Listed</v>
      </c>
      <c r="N2264" s="1" t="str">
        <f t="shared" si="99"/>
        <v>Listed</v>
      </c>
      <c r="O2264" s="1">
        <f t="shared" si="100"/>
        <v>25</v>
      </c>
      <c r="P2264" s="1">
        <f t="shared" ca="1" si="101"/>
        <v>5</v>
      </c>
      <c r="Q2264" s="1">
        <f t="shared" si="102"/>
        <v>0</v>
      </c>
      <c r="R2264" s="1">
        <f t="shared" si="103"/>
        <v>4</v>
      </c>
      <c r="S2264" s="1">
        <f t="shared" ca="1" si="104"/>
        <v>34</v>
      </c>
      <c r="T2264" s="1">
        <f ca="1">IF(OR(COUNT(O2264:R2264)&lt;&gt;4,COUNT('Top 25'!$B$45:$E$45)&lt;&gt;4,MIN('Top 25'!$B$45:$E$45)&lt;0,SUM('Top 25'!$B$45:$E$45)&lt;=0),"",ROUND(85*(O2264/30*'Top 25'!$B$45+P2264/25*'Top 25'!$C$45+Q2264/25*'Top 25'!$D$45+R2264/5*'Top 25'!$E$45)/SUM('Top 25'!$B$45:$E$45),6))</f>
        <v>34</v>
      </c>
      <c r="U2264" s="1" t="str">
        <f t="shared" ca="1" si="105"/>
        <v>Listed</v>
      </c>
      <c r="V2264" s="1" t="str">
        <f ca="1">IF(A2264="","",IF(AK2264&lt;&gt;1,"Duplicate source ID",IF(COUNTIFS('Staff Review'!$A$8:$A$507,A2264)&gt;1,"Duplicate review ID",IF(H2264&lt;&gt;"Yes","Outside scope",IF(J2264="Yes","Already served",IF(NOT(ISNUMBER(T2264)),"Missing data","Candidate"))))))</f>
        <v>Candidate</v>
      </c>
      <c r="W2264" s="1">
        <f t="shared" ca="1" si="106"/>
        <v>221</v>
      </c>
      <c r="X2264" s="1">
        <f t="shared" ca="1" si="107"/>
        <v>221</v>
      </c>
      <c r="Y2264" s="1">
        <f ca="1">IF(AND(H2264="Yes",OR(LEN('School Search'!$B$5)=0,ISNUMBER(SEARCH('School Search'!$B$5,B2264&amp;" "&amp;E2264&amp;" "&amp;A2264))),OR('School Search'!$D$5="All",C2264='School Search'!$D$5),OR('School Search'!$G$5="All eligible",AND('School Search'!$G$5="Not marked served",J2264&lt;&gt;"Yes"),AND('School Search'!$G$5="Missing data",V2264="Missing data"),AND('School Search'!$G$5="Marked served",J2264="Yes"))),1,0)</f>
        <v>1</v>
      </c>
      <c r="Z2264" s="1">
        <f ca="1">IF(Y2264=0,"",COUNTIFS($Y$2051:$Y$2550,1,$AO$2051:$AO$2550,"&lt;"&amp;AO2264)+COUNTIFS($Y$2051:Y2264,1,$AO$2051:AO2264,AO2264))</f>
        <v>221</v>
      </c>
      <c r="AA2264" s="1" t="str">
        <f t="shared" ca="1" si="108"/>
        <v>89% economic need; 0.09 mi fresh access; 12 nearby resources</v>
      </c>
      <c r="AB2264" s="1">
        <f t="shared" si="109"/>
        <v>214</v>
      </c>
      <c r="AC2264" s="1" t="str">
        <f t="shared" si="110"/>
        <v>Fresh Supermarket Inc/ Cousins Family Market</v>
      </c>
      <c r="AD2264" s="1" t="str">
        <f t="shared" si="111"/>
        <v>203 E Allegheny Ave, Philadelphia, PA, 19134</v>
      </c>
      <c r="AE2264" s="1" t="str">
        <f t="shared" si="112"/>
        <v>3200 B ST</v>
      </c>
      <c r="AF2264" s="1">
        <f t="shared" si="113"/>
        <v>39.998068940000003</v>
      </c>
      <c r="AG2264" s="1">
        <f t="shared" si="114"/>
        <v>-75.125466630000005</v>
      </c>
      <c r="AH2264" s="1" t="str">
        <f>IF(I2264=0,"Not contacted",IF(INDEX('Staff Review'!$J$8:$J$507,I2264)="","Not contacted",INDEX('Staff Review'!$J$8:$J$507,I2264)))</f>
        <v>Not contacted</v>
      </c>
      <c r="AI2264" s="1" t="str">
        <f ca="1">IF(I2264=0,"No",IF(AND(COUNT(INDEX('Staff Review'!$D$8:$D$507,I2264))=1,INDEX('Staff Review'!$D$8:$D$507,I2264)&gt;=0,COUNT(INDEX('Staff Review'!$E$8:$E$507,I2264))=1,INDEX('Staff Review'!$E$8:$E$507,I2264)&gt;0,INDEX('Staff Review'!$E$8:$E$507,I2264)&lt;='Top 25'!$E$5,'Top 25'!$E$5-INDEX('Staff Review'!$E$8:$E$507,I2264)&lt;='Top 25'!$H$5,LEN(INDEX('Staff Review'!$H$8:$H$507,I2264))&gt;0),"Yes","No"))</f>
        <v>No</v>
      </c>
      <c r="AJ2264" s="1" t="str">
        <f>IF(I2264=0,"No",IF(COUNT(INDEX('Staff Review'!$F$8:$F$507,I2264))&lt;&gt;1,"No",IF(AND(INDEX('Staff Review'!$F$8:$F$507,I2264)&gt;=0,MOD(INDEX('Staff Review'!$F$8:$F$507,I2264),1)=0,COUNT(INDEX('Staff Review'!$G$8:$G$507,I2264))=1,INDEX('Staff Review'!$G$8:$G$507,I2264)&gt;0,INDEX('Staff Review'!$G$8:$G$507,I2264)&lt;='Top 25'!$E$5,'Top 25'!$E$5-INDEX('Staff Review'!$G$8:$G$507,I2264)&lt;='Top 25'!$H$5,LEN(INDEX('Staff Review'!$H$8:$H$507,I2264))&gt;0),"Yes","No")))</f>
        <v>No</v>
      </c>
      <c r="AK2264" s="1">
        <f t="shared" si="115"/>
        <v>1</v>
      </c>
      <c r="AL2264" s="1">
        <f t="shared" ca="1" si="116"/>
        <v>1</v>
      </c>
      <c r="AM2264" s="1">
        <f t="shared" si="117"/>
        <v>5580</v>
      </c>
      <c r="AN2264" s="1">
        <f t="shared" si="118"/>
        <v>214</v>
      </c>
      <c r="AO2264">
        <f t="shared" ca="1" si="119"/>
        <v>221</v>
      </c>
      <c r="AP2264" s="105">
        <f ca="1">IF(AND(AL2264=1,OR('Top 25'!$A$10="All",C2264='Top 25'!$A$10),OR('Top 25'!$D$10="All",D2264='Top 25'!$D$10)),1,0)</f>
        <v>0</v>
      </c>
      <c r="AQ2264" s="105" t="str">
        <f ca="1">IF(AP2264=0,"",CHOOSE(MATCH('Top 25'!$G$10,{"Priority score","Economic need","Enrollment","Fresh miles","Nearby resources"},0),T2264,G2264,F2264,K2264,L2264))</f>
        <v/>
      </c>
      <c r="AR2264" s="105" t="str">
        <f ca="1">IF(AP2264=0,"",1+COUNTIFS($AP$2051:$AP$2550,1,$AQ$2051:$AQ$2550,IF('Top 25'!$J$10="Ascending","&lt;","&gt;")&amp;AQ2264)+COUNTIFS($AP$2051:$AP$2550,1,$AQ$2051:$AQ$2550,AQ2264,$W$2051:$W$2550,"&lt;"&amp;W2264))</f>
        <v/>
      </c>
      <c r="AT2264" s="105">
        <f ca="1">IF(AND(AL2264=1,OR(Master_rankableSchools!$A$10="All",C2264=Master_rankableSchools!$A$10),OR(Master_rankableSchools!$D$10="All",D2264=Master_rankableSchools!$D$10)),1,0)</f>
        <v>1</v>
      </c>
      <c r="AU2264" s="105">
        <f ca="1">IF(AT2264=0,"",CHOOSE(MATCH(Master_rankableSchools!$G$10,{"Priority score","Economic need","Enrollment","Fresh miles","Nearby resources"},0),T2264,G2264,F2264,K2264,L2264))</f>
        <v>34</v>
      </c>
      <c r="AV2264" s="105">
        <f ca="1">IF(AT2264=0,"",1+COUNTIFS($AT$2051:$AT$2550,1,$AU$2051:$AU$2550,IF(Master_rankableSchools!$J$10="Ascending","&lt;","&gt;")&amp;AU2264)+COUNTIFS($AT$2051:$AT$2550,1,$AU$2051:$AU$2550,AU2264,$W$2051:$W$2550,"&lt;"&amp;W2264))</f>
        <v>221</v>
      </c>
    </row>
    <row r="2265" spans="1:48" ht="22" customHeight="1">
      <c r="A2265" s="1" t="str">
        <f t="shared" si="90"/>
        <v>5581</v>
      </c>
      <c r="B2265" s="1" t="str">
        <f t="shared" si="91"/>
        <v>Stetson Middle School Continuation Academy</v>
      </c>
      <c r="C2265" s="1" t="str">
        <f t="shared" si="92"/>
        <v>Contracted</v>
      </c>
      <c r="D2265" s="1" t="str">
        <f t="shared" si="93"/>
        <v>Transition/Overage School</v>
      </c>
      <c r="E2265" s="1" t="str">
        <f t="shared" si="94"/>
        <v>19134</v>
      </c>
      <c r="F2265" s="1">
        <f t="shared" si="95"/>
        <v>13</v>
      </c>
      <c r="G2265" s="1">
        <f t="shared" si="96"/>
        <v>0.88739999999999997</v>
      </c>
      <c r="H2265" s="1" t="str">
        <f t="shared" si="97"/>
        <v>No</v>
      </c>
      <c r="I2265" s="1">
        <f>IF(OR(A2265="",COUNTIFS('Staff Review'!$A$8:$A$507,A2265)&lt;&gt;1),0,MATCH(A2265,'Staff Review'!$A$8:$A$507,0))</f>
        <v>277</v>
      </c>
      <c r="J2265" s="1" t="str">
        <f>IF(I2265=0,"No",IF(INDEX('Staff Review'!$C$8:$C$507,I2265)="Yes","Yes","No"))</f>
        <v>No</v>
      </c>
      <c r="K2265" s="1">
        <f ca="1">IF(AI2265="Yes",INDEX('Staff Review'!$D$8:$D$507,I2265),IF(AB2265=0,"",IF(COUNT(INDEX($C$1531:$C$2030,AB2265))=1,INDEX($C$1531:$C$2030,AB2265),"")))</f>
        <v>0.10724705243360236</v>
      </c>
      <c r="L2265" s="1">
        <f>IF(AJ2265="Yes",INDEX('Staff Review'!$F$8:$F$507,I2265),IF(AB2265=0,"",IF(COUNT(INDEX($G$1531:$G$2030,AB2265))=1,INDEX($G$1531:$G$2030,AB2265),"")))</f>
        <v>12</v>
      </c>
      <c r="M2265" s="1" t="str">
        <f t="shared" ca="1" si="98"/>
        <v>Listed</v>
      </c>
      <c r="N2265" s="1" t="str">
        <f t="shared" si="99"/>
        <v>Listed</v>
      </c>
      <c r="O2265" s="1">
        <f t="shared" si="100"/>
        <v>25</v>
      </c>
      <c r="P2265" s="1">
        <f t="shared" ca="1" si="101"/>
        <v>5</v>
      </c>
      <c r="Q2265" s="1">
        <f t="shared" si="102"/>
        <v>0</v>
      </c>
      <c r="R2265" s="1">
        <f t="shared" si="103"/>
        <v>1</v>
      </c>
      <c r="S2265" s="1">
        <f t="shared" ca="1" si="104"/>
        <v>31</v>
      </c>
      <c r="T2265" s="1">
        <f ca="1">IF(OR(COUNT(O2265:R2265)&lt;&gt;4,COUNT('Top 25'!$B$45:$E$45)&lt;&gt;4,MIN('Top 25'!$B$45:$E$45)&lt;0,SUM('Top 25'!$B$45:$E$45)&lt;=0),"",ROUND(85*(O2265/30*'Top 25'!$B$45+P2265/25*'Top 25'!$C$45+Q2265/25*'Top 25'!$D$45+R2265/5*'Top 25'!$E$45)/SUM('Top 25'!$B$45:$E$45),6))</f>
        <v>31</v>
      </c>
      <c r="U2265" s="1" t="str">
        <f t="shared" ca="1" si="105"/>
        <v>Listed</v>
      </c>
      <c r="V2265" s="1" t="str">
        <f>IF(A2265="","",IF(AK2265&lt;&gt;1,"Duplicate source ID",IF(COUNTIFS('Staff Review'!$A$8:$A$507,A2265)&gt;1,"Duplicate review ID",IF(H2265&lt;&gt;"Yes","Outside scope",IF(J2265="Yes","Already served",IF(NOT(ISNUMBER(T2265)),"Missing data","Candidate"))))))</f>
        <v>Outside scope</v>
      </c>
      <c r="W2265" s="1" t="str">
        <f t="shared" si="106"/>
        <v/>
      </c>
      <c r="X2265" s="1" t="str">
        <f t="shared" si="107"/>
        <v/>
      </c>
      <c r="Y2265" s="1">
        <f>IF(AND(H2265="Yes",OR(LEN('School Search'!$B$5)=0,ISNUMBER(SEARCH('School Search'!$B$5,B2265&amp;" "&amp;E2265&amp;" "&amp;A2265))),OR('School Search'!$D$5="All",C2265='School Search'!$D$5),OR('School Search'!$G$5="All eligible",AND('School Search'!$G$5="Not marked served",J2265&lt;&gt;"Yes"),AND('School Search'!$G$5="Missing data",V2265="Missing data"),AND('School Search'!$G$5="Marked served",J2265="Yes"))),1,0)</f>
        <v>0</v>
      </c>
      <c r="Z2265" s="1" t="str">
        <f>IF(Y2265=0,"",COUNTIFS($Y$2051:$Y$2550,1,$AO$2051:$AO$2550,"&lt;"&amp;AO2265)+COUNTIFS($Y$2051:Y2265,1,$AO$2051:AO2265,AO2265))</f>
        <v/>
      </c>
      <c r="AA2265" s="1" t="str">
        <f t="shared" ca="1" si="108"/>
        <v>89% economic need; 0.11 mi fresh access; 12 nearby resources</v>
      </c>
      <c r="AB2265" s="1">
        <f t="shared" si="109"/>
        <v>215</v>
      </c>
      <c r="AC2265" s="1" t="str">
        <f t="shared" si="110"/>
        <v>Fresh Supermarket Inc/ Cousins Family Market</v>
      </c>
      <c r="AD2265" s="1" t="str">
        <f t="shared" si="111"/>
        <v>203 E Allegheny Ave, Philadelphia, PA, 19134</v>
      </c>
      <c r="AE2265" s="1" t="str">
        <f t="shared" si="112"/>
        <v>3200 B ST</v>
      </c>
      <c r="AF2265" s="1">
        <f t="shared" si="113"/>
        <v>39.998995639999997</v>
      </c>
      <c r="AG2265" s="1">
        <f t="shared" si="114"/>
        <v>-75.125383170000006</v>
      </c>
      <c r="AH2265" s="1" t="str">
        <f>IF(I2265=0,"Not contacted",IF(INDEX('Staff Review'!$J$8:$J$507,I2265)="","Not contacted",INDEX('Staff Review'!$J$8:$J$507,I2265)))</f>
        <v>Not contacted</v>
      </c>
      <c r="AI2265" s="1" t="str">
        <f ca="1">IF(I2265=0,"No",IF(AND(COUNT(INDEX('Staff Review'!$D$8:$D$507,I2265))=1,INDEX('Staff Review'!$D$8:$D$507,I2265)&gt;=0,COUNT(INDEX('Staff Review'!$E$8:$E$507,I2265))=1,INDEX('Staff Review'!$E$8:$E$507,I2265)&gt;0,INDEX('Staff Review'!$E$8:$E$507,I2265)&lt;='Top 25'!$E$5,'Top 25'!$E$5-INDEX('Staff Review'!$E$8:$E$507,I2265)&lt;='Top 25'!$H$5,LEN(INDEX('Staff Review'!$H$8:$H$507,I2265))&gt;0),"Yes","No"))</f>
        <v>No</v>
      </c>
      <c r="AJ2265" s="1" t="str">
        <f>IF(I2265=0,"No",IF(COUNT(INDEX('Staff Review'!$F$8:$F$507,I2265))&lt;&gt;1,"No",IF(AND(INDEX('Staff Review'!$F$8:$F$507,I2265)&gt;=0,MOD(INDEX('Staff Review'!$F$8:$F$507,I2265),1)=0,COUNT(INDEX('Staff Review'!$G$8:$G$507,I2265))=1,INDEX('Staff Review'!$G$8:$G$507,I2265)&gt;0,INDEX('Staff Review'!$G$8:$G$507,I2265)&lt;='Top 25'!$E$5,'Top 25'!$E$5-INDEX('Staff Review'!$G$8:$G$507,I2265)&lt;='Top 25'!$H$5,LEN(INDEX('Staff Review'!$H$8:$H$507,I2265))&gt;0),"Yes","No")))</f>
        <v>No</v>
      </c>
      <c r="AK2265" s="1">
        <f t="shared" si="115"/>
        <v>1</v>
      </c>
      <c r="AL2265" s="1">
        <f t="shared" si="116"/>
        <v>0</v>
      </c>
      <c r="AM2265" s="1">
        <f t="shared" si="117"/>
        <v>5581</v>
      </c>
      <c r="AN2265" s="1">
        <f t="shared" si="118"/>
        <v>215</v>
      </c>
      <c r="AO2265">
        <f t="shared" si="119"/>
        <v>15581</v>
      </c>
      <c r="AP2265" s="105">
        <f>IF(AND(AL2265=1,OR('Top 25'!$A$10="All",C2265='Top 25'!$A$10),OR('Top 25'!$D$10="All",D2265='Top 25'!$D$10)),1,0)</f>
        <v>0</v>
      </c>
      <c r="AQ2265" s="105" t="str">
        <f>IF(AP2265=0,"",CHOOSE(MATCH('Top 25'!$G$10,{"Priority score","Economic need","Enrollment","Fresh miles","Nearby resources"},0),T2265,G2265,F2265,K2265,L2265))</f>
        <v/>
      </c>
      <c r="AR2265" s="105" t="str">
        <f>IF(AP2265=0,"",1+COUNTIFS($AP$2051:$AP$2550,1,$AQ$2051:$AQ$2550,IF('Top 25'!$J$10="Ascending","&lt;","&gt;")&amp;AQ2265)+COUNTIFS($AP$2051:$AP$2550,1,$AQ$2051:$AQ$2550,AQ2265,$W$2051:$W$2550,"&lt;"&amp;W2265))</f>
        <v/>
      </c>
      <c r="AT2265" s="105">
        <f>IF(AND(AL2265=1,OR(Master_rankableSchools!$A$10="All",C2265=Master_rankableSchools!$A$10),OR(Master_rankableSchools!$D$10="All",D2265=Master_rankableSchools!$D$10)),1,0)</f>
        <v>0</v>
      </c>
      <c r="AU2265" s="105" t="str">
        <f>IF(AT2265=0,"",CHOOSE(MATCH(Master_rankableSchools!$G$10,{"Priority score","Economic need","Enrollment","Fresh miles","Nearby resources"},0),T2265,G2265,F2265,K2265,L2265))</f>
        <v/>
      </c>
      <c r="AV2265" s="105" t="str">
        <f>IF(AT2265=0,"",1+COUNTIFS($AT$2051:$AT$2550,1,$AU$2051:$AU$2550,IF(Master_rankableSchools!$J$10="Ascending","&lt;","&gt;")&amp;AU2265)+COUNTIFS($AT$2051:$AT$2550,1,$AU$2051:$AU$2550,AU2265,$W$2051:$W$2550,"&lt;"&amp;W2265))</f>
        <v/>
      </c>
    </row>
    <row r="2266" spans="1:48" ht="22" customHeight="1">
      <c r="A2266" s="1" t="str">
        <f t="shared" si="90"/>
        <v>5590</v>
      </c>
      <c r="B2266" s="1" t="str">
        <f t="shared" si="91"/>
        <v>John H. Webster School</v>
      </c>
      <c r="C2266" s="1" t="str">
        <f t="shared" si="92"/>
        <v>District</v>
      </c>
      <c r="D2266" s="1" t="str">
        <f t="shared" si="93"/>
        <v>Elementary</v>
      </c>
      <c r="E2266" s="1" t="str">
        <f t="shared" si="94"/>
        <v>19134</v>
      </c>
      <c r="F2266" s="1">
        <f t="shared" si="95"/>
        <v>413</v>
      </c>
      <c r="G2266" s="1">
        <f t="shared" si="96"/>
        <v>0.89970000000000006</v>
      </c>
      <c r="H2266" s="1" t="str">
        <f t="shared" si="97"/>
        <v>Yes</v>
      </c>
      <c r="I2266" s="1">
        <f>IF(OR(A2266="",COUNTIFS('Staff Review'!$A$8:$A$507,A2266)&lt;&gt;1),0,MATCH(A2266,'Staff Review'!$A$8:$A$507,0))</f>
        <v>140</v>
      </c>
      <c r="J2266" s="1" t="str">
        <f>IF(I2266=0,"No",IF(INDEX('Staff Review'!$C$8:$C$507,I2266)="Yes","Yes","No"))</f>
        <v>No</v>
      </c>
      <c r="K2266" s="1">
        <f ca="1">IF(AI2266="Yes",INDEX('Staff Review'!$D$8:$D$507,I2266),IF(AB2266=0,"",IF(COUNT(INDEX($C$1531:$C$2030,AB2266))=1,INDEX($C$1531:$C$2030,AB2266),"")))</f>
        <v>0.37561574093849293</v>
      </c>
      <c r="L2266" s="1">
        <f>IF(AJ2266="Yes",INDEX('Staff Review'!$F$8:$F$507,I2266),IF(AB2266=0,"",IF(COUNT(INDEX($G$1531:$G$2030,AB2266))=1,INDEX($G$1531:$G$2030,AB2266),"")))</f>
        <v>7</v>
      </c>
      <c r="M2266" s="1" t="str">
        <f t="shared" ca="1" si="98"/>
        <v>Listed</v>
      </c>
      <c r="N2266" s="1" t="str">
        <f t="shared" si="99"/>
        <v>Listed</v>
      </c>
      <c r="O2266" s="1">
        <f t="shared" si="100"/>
        <v>25</v>
      </c>
      <c r="P2266" s="1">
        <f t="shared" ca="1" si="101"/>
        <v>10</v>
      </c>
      <c r="Q2266" s="1">
        <f t="shared" si="102"/>
        <v>0</v>
      </c>
      <c r="R2266" s="1">
        <f t="shared" si="103"/>
        <v>3</v>
      </c>
      <c r="S2266" s="1">
        <f t="shared" ca="1" si="104"/>
        <v>38</v>
      </c>
      <c r="T2266" s="1">
        <f ca="1">IF(OR(COUNT(O2266:R2266)&lt;&gt;4,COUNT('Top 25'!$B$45:$E$45)&lt;&gt;4,MIN('Top 25'!$B$45:$E$45)&lt;0,SUM('Top 25'!$B$45:$E$45)&lt;=0),"",ROUND(85*(O2266/30*'Top 25'!$B$45+P2266/25*'Top 25'!$C$45+Q2266/25*'Top 25'!$D$45+R2266/5*'Top 25'!$E$45)/SUM('Top 25'!$B$45:$E$45),6))</f>
        <v>38</v>
      </c>
      <c r="U2266" s="1" t="str">
        <f t="shared" ca="1" si="105"/>
        <v>Listed</v>
      </c>
      <c r="V2266" s="1" t="str">
        <f ca="1">IF(A2266="","",IF(AK2266&lt;&gt;1,"Duplicate source ID",IF(COUNTIFS('Staff Review'!$A$8:$A$507,A2266)&gt;1,"Duplicate review ID",IF(H2266&lt;&gt;"Yes","Outside scope",IF(J2266="Yes","Already served",IF(NOT(ISNUMBER(T2266)),"Missing data","Candidate"))))))</f>
        <v>Candidate</v>
      </c>
      <c r="W2266" s="1">
        <f t="shared" ca="1" si="106"/>
        <v>168</v>
      </c>
      <c r="X2266" s="1">
        <f t="shared" ca="1" si="107"/>
        <v>166</v>
      </c>
      <c r="Y2266" s="1">
        <f ca="1">IF(AND(H2266="Yes",OR(LEN('School Search'!$B$5)=0,ISNUMBER(SEARCH('School Search'!$B$5,B2266&amp;" "&amp;E2266&amp;" "&amp;A2266))),OR('School Search'!$D$5="All",C2266='School Search'!$D$5),OR('School Search'!$G$5="All eligible",AND('School Search'!$G$5="Not marked served",J2266&lt;&gt;"Yes"),AND('School Search'!$G$5="Missing data",V2266="Missing data"),AND('School Search'!$G$5="Marked served",J2266="Yes"))),1,0)</f>
        <v>1</v>
      </c>
      <c r="Z2266" s="1">
        <f ca="1">IF(Y2266=0,"",COUNTIFS($Y$2051:$Y$2550,1,$AO$2051:$AO$2550,"&lt;"&amp;AO2266)+COUNTIFS($Y$2051:Y2266,1,$AO$2051:AO2266,AO2266))</f>
        <v>168</v>
      </c>
      <c r="AA2266" s="1" t="str">
        <f t="shared" ca="1" si="108"/>
        <v>90% economic need; 0.38 mi fresh access; 7 nearby resources</v>
      </c>
      <c r="AB2266" s="1">
        <f t="shared" si="109"/>
        <v>216</v>
      </c>
      <c r="AC2266" s="1" t="str">
        <f t="shared" si="110"/>
        <v>ALDI 60205</v>
      </c>
      <c r="AD2266" s="1" t="str">
        <f t="shared" si="111"/>
        <v>3500 Aramingo Ave, Philadelphia, PA, 19134</v>
      </c>
      <c r="AE2266" s="1" t="str">
        <f t="shared" si="112"/>
        <v>3400 FRANKFORD AVE</v>
      </c>
      <c r="AF2266" s="1">
        <f t="shared" si="113"/>
        <v>39.996198999999997</v>
      </c>
      <c r="AG2266" s="1">
        <f t="shared" si="114"/>
        <v>-75.104516000000004</v>
      </c>
      <c r="AH2266" s="1" t="str">
        <f>IF(I2266=0,"Not contacted",IF(INDEX('Staff Review'!$J$8:$J$507,I2266)="","Not contacted",INDEX('Staff Review'!$J$8:$J$507,I2266)))</f>
        <v>Not contacted</v>
      </c>
      <c r="AI2266" s="1" t="str">
        <f ca="1">IF(I2266=0,"No",IF(AND(COUNT(INDEX('Staff Review'!$D$8:$D$507,I2266))=1,INDEX('Staff Review'!$D$8:$D$507,I2266)&gt;=0,COUNT(INDEX('Staff Review'!$E$8:$E$507,I2266))=1,INDEX('Staff Review'!$E$8:$E$507,I2266)&gt;0,INDEX('Staff Review'!$E$8:$E$507,I2266)&lt;='Top 25'!$E$5,'Top 25'!$E$5-INDEX('Staff Review'!$E$8:$E$507,I2266)&lt;='Top 25'!$H$5,LEN(INDEX('Staff Review'!$H$8:$H$507,I2266))&gt;0),"Yes","No"))</f>
        <v>No</v>
      </c>
      <c r="AJ2266" s="1" t="str">
        <f>IF(I2266=0,"No",IF(COUNT(INDEX('Staff Review'!$F$8:$F$507,I2266))&lt;&gt;1,"No",IF(AND(INDEX('Staff Review'!$F$8:$F$507,I2266)&gt;=0,MOD(INDEX('Staff Review'!$F$8:$F$507,I2266),1)=0,COUNT(INDEX('Staff Review'!$G$8:$G$507,I2266))=1,INDEX('Staff Review'!$G$8:$G$507,I2266)&gt;0,INDEX('Staff Review'!$G$8:$G$507,I2266)&lt;='Top 25'!$E$5,'Top 25'!$E$5-INDEX('Staff Review'!$G$8:$G$507,I2266)&lt;='Top 25'!$H$5,LEN(INDEX('Staff Review'!$H$8:$H$507,I2266))&gt;0),"Yes","No")))</f>
        <v>No</v>
      </c>
      <c r="AK2266" s="1">
        <f t="shared" si="115"/>
        <v>1</v>
      </c>
      <c r="AL2266" s="1">
        <f t="shared" ca="1" si="116"/>
        <v>1</v>
      </c>
      <c r="AM2266" s="1">
        <f t="shared" si="117"/>
        <v>5590</v>
      </c>
      <c r="AN2266" s="1">
        <f t="shared" si="118"/>
        <v>216</v>
      </c>
      <c r="AO2266">
        <f t="shared" ca="1" si="119"/>
        <v>168</v>
      </c>
      <c r="AP2266" s="105">
        <f ca="1">IF(AND(AL2266=1,OR('Top 25'!$A$10="All",C2266='Top 25'!$A$10),OR('Top 25'!$D$10="All",D2266='Top 25'!$D$10)),1,0)</f>
        <v>1</v>
      </c>
      <c r="AQ2266" s="105">
        <f ca="1">IF(AP2266=0,"",CHOOSE(MATCH('Top 25'!$G$10,{"Priority score","Economic need","Enrollment","Fresh miles","Nearby resources"},0),T2266,G2266,F2266,K2266,L2266))</f>
        <v>38</v>
      </c>
      <c r="AR2266" s="105">
        <f ca="1">IF(AP2266=0,"",1+COUNTIFS($AP$2051:$AP$2550,1,$AQ$2051:$AQ$2550,IF('Top 25'!$J$10="Ascending","&lt;","&gt;")&amp;AQ2266)+COUNTIFS($AP$2051:$AP$2550,1,$AQ$2051:$AQ$2550,AQ2266,$W$2051:$W$2550,"&lt;"&amp;W2266))</f>
        <v>25</v>
      </c>
      <c r="AT2266" s="105">
        <f ca="1">IF(AND(AL2266=1,OR(Master_rankableSchools!$A$10="All",C2266=Master_rankableSchools!$A$10),OR(Master_rankableSchools!$D$10="All",D2266=Master_rankableSchools!$D$10)),1,0)</f>
        <v>1</v>
      </c>
      <c r="AU2266" s="105">
        <f ca="1">IF(AT2266=0,"",CHOOSE(MATCH(Master_rankableSchools!$G$10,{"Priority score","Economic need","Enrollment","Fresh miles","Nearby resources"},0),T2266,G2266,F2266,K2266,L2266))</f>
        <v>38</v>
      </c>
      <c r="AV2266" s="105">
        <f ca="1">IF(AT2266=0,"",1+COUNTIFS($AT$2051:$AT$2550,1,$AU$2051:$AU$2550,IF(Master_rankableSchools!$J$10="Ascending","&lt;","&gt;")&amp;AU2266)+COUNTIFS($AT$2051:$AT$2550,1,$AU$2051:$AU$2550,AU2266,$W$2051:$W$2550,"&lt;"&amp;W2266))</f>
        <v>168</v>
      </c>
    </row>
    <row r="2267" spans="1:48" ht="22" customHeight="1">
      <c r="A2267" s="1" t="str">
        <f t="shared" si="90"/>
        <v>5610</v>
      </c>
      <c r="B2267" s="1" t="str">
        <f t="shared" si="91"/>
        <v>Building 21</v>
      </c>
      <c r="C2267" s="1" t="str">
        <f t="shared" si="92"/>
        <v>District</v>
      </c>
      <c r="D2267" s="1" t="str">
        <f t="shared" si="93"/>
        <v>High</v>
      </c>
      <c r="E2267" s="1" t="str">
        <f t="shared" si="94"/>
        <v>19138</v>
      </c>
      <c r="F2267" s="1">
        <f t="shared" si="95"/>
        <v>344</v>
      </c>
      <c r="G2267" s="1">
        <f t="shared" si="96"/>
        <v>0.84589999999999999</v>
      </c>
      <c r="H2267" s="1" t="str">
        <f t="shared" si="97"/>
        <v>Yes</v>
      </c>
      <c r="I2267" s="1">
        <f>IF(OR(A2267="",COUNTIFS('Staff Review'!$A$8:$A$507,A2267)&lt;&gt;1),0,MATCH(A2267,'Staff Review'!$A$8:$A$507,0))</f>
        <v>35</v>
      </c>
      <c r="J2267" s="1" t="str">
        <f>IF(I2267=0,"No",IF(INDEX('Staff Review'!$C$8:$C$507,I2267)="Yes","Yes","No"))</f>
        <v>No</v>
      </c>
      <c r="K2267" s="1">
        <f ca="1">IF(AI2267="Yes",INDEX('Staff Review'!$D$8:$D$507,I2267),IF(AB2267=0,"",IF(COUNT(INDEX($C$1531:$C$2030,AB2267))=1,INDEX($C$1531:$C$2030,AB2267),"")))</f>
        <v>0.68626310034147042</v>
      </c>
      <c r="L2267" s="1">
        <f>IF(AJ2267="Yes",INDEX('Staff Review'!$F$8:$F$507,I2267),IF(AB2267=0,"",IF(COUNT(INDEX($G$1531:$G$2030,AB2267))=1,INDEX($G$1531:$G$2030,AB2267),"")))</f>
        <v>13</v>
      </c>
      <c r="M2267" s="1" t="str">
        <f t="shared" ca="1" si="98"/>
        <v>Listed</v>
      </c>
      <c r="N2267" s="1" t="str">
        <f t="shared" si="99"/>
        <v>Listed</v>
      </c>
      <c r="O2267" s="1">
        <f t="shared" si="100"/>
        <v>25</v>
      </c>
      <c r="P2267" s="1">
        <f t="shared" ca="1" si="101"/>
        <v>15</v>
      </c>
      <c r="Q2267" s="1">
        <f t="shared" si="102"/>
        <v>0</v>
      </c>
      <c r="R2267" s="1">
        <f t="shared" si="103"/>
        <v>2</v>
      </c>
      <c r="S2267" s="1">
        <f t="shared" ca="1" si="104"/>
        <v>42</v>
      </c>
      <c r="T2267" s="1">
        <f ca="1">IF(OR(COUNT(O2267:R2267)&lt;&gt;4,COUNT('Top 25'!$B$45:$E$45)&lt;&gt;4,MIN('Top 25'!$B$45:$E$45)&lt;0,SUM('Top 25'!$B$45:$E$45)&lt;=0),"",ROUND(85*(O2267/30*'Top 25'!$B$45+P2267/25*'Top 25'!$C$45+Q2267/25*'Top 25'!$D$45+R2267/5*'Top 25'!$E$45)/SUM('Top 25'!$B$45:$E$45),6))</f>
        <v>42</v>
      </c>
      <c r="U2267" s="1" t="str">
        <f t="shared" ca="1" si="105"/>
        <v>Listed</v>
      </c>
      <c r="V2267" s="1" t="str">
        <f ca="1">IF(A2267="","",IF(AK2267&lt;&gt;1,"Duplicate source ID",IF(COUNTIFS('Staff Review'!$A$8:$A$507,A2267)&gt;1,"Duplicate review ID",IF(H2267&lt;&gt;"Yes","Outside scope",IF(J2267="Yes","Already served",IF(NOT(ISNUMBER(T2267)),"Missing data","Candidate"))))))</f>
        <v>Candidate</v>
      </c>
      <c r="W2267" s="1">
        <f t="shared" ca="1" si="106"/>
        <v>121</v>
      </c>
      <c r="X2267" s="1">
        <f t="shared" ca="1" si="107"/>
        <v>101</v>
      </c>
      <c r="Y2267" s="1">
        <f ca="1">IF(AND(H2267="Yes",OR(LEN('School Search'!$B$5)=0,ISNUMBER(SEARCH('School Search'!$B$5,B2267&amp;" "&amp;E2267&amp;" "&amp;A2267))),OR('School Search'!$D$5="All",C2267='School Search'!$D$5),OR('School Search'!$G$5="All eligible",AND('School Search'!$G$5="Not marked served",J2267&lt;&gt;"Yes"),AND('School Search'!$G$5="Missing data",V2267="Missing data"),AND('School Search'!$G$5="Marked served",J2267="Yes"))),1,0)</f>
        <v>1</v>
      </c>
      <c r="Z2267" s="1">
        <f ca="1">IF(Y2267=0,"",COUNTIFS($Y$2051:$Y$2550,1,$AO$2051:$AO$2550,"&lt;"&amp;AO2267)+COUNTIFS($Y$2051:Y2267,1,$AO$2051:AO2267,AO2267))</f>
        <v>121</v>
      </c>
      <c r="AA2267" s="1" t="str">
        <f t="shared" ca="1" si="108"/>
        <v>85% economic need; 0.69 mi fresh access; 13 nearby resources</v>
      </c>
      <c r="AB2267" s="1">
        <f t="shared" si="109"/>
        <v>217</v>
      </c>
      <c r="AC2267" s="1" t="str">
        <f t="shared" si="110"/>
        <v>ALDI 60011 60011</v>
      </c>
      <c r="AD2267" s="1" t="str">
        <f t="shared" si="111"/>
        <v>6119 N Broad St, Philadelphia, PA, 19141</v>
      </c>
      <c r="AE2267" s="1" t="str">
        <f t="shared" si="112"/>
        <v>6501 LIMEKILN PIKE</v>
      </c>
      <c r="AF2267" s="1">
        <f t="shared" si="113"/>
        <v>40.053631000000003</v>
      </c>
      <c r="AG2267" s="1">
        <f t="shared" si="114"/>
        <v>-75.152480999999995</v>
      </c>
      <c r="AH2267" s="1" t="str">
        <f>IF(I2267=0,"Not contacted",IF(INDEX('Staff Review'!$J$8:$J$507,I2267)="","Not contacted",INDEX('Staff Review'!$J$8:$J$507,I2267)))</f>
        <v>Not contacted</v>
      </c>
      <c r="AI2267" s="1" t="str">
        <f ca="1">IF(I2267=0,"No",IF(AND(COUNT(INDEX('Staff Review'!$D$8:$D$507,I2267))=1,INDEX('Staff Review'!$D$8:$D$507,I2267)&gt;=0,COUNT(INDEX('Staff Review'!$E$8:$E$507,I2267))=1,INDEX('Staff Review'!$E$8:$E$507,I2267)&gt;0,INDEX('Staff Review'!$E$8:$E$507,I2267)&lt;='Top 25'!$E$5,'Top 25'!$E$5-INDEX('Staff Review'!$E$8:$E$507,I2267)&lt;='Top 25'!$H$5,LEN(INDEX('Staff Review'!$H$8:$H$507,I2267))&gt;0),"Yes","No"))</f>
        <v>No</v>
      </c>
      <c r="AJ2267" s="1" t="str">
        <f>IF(I2267=0,"No",IF(COUNT(INDEX('Staff Review'!$F$8:$F$507,I2267))&lt;&gt;1,"No",IF(AND(INDEX('Staff Review'!$F$8:$F$507,I2267)&gt;=0,MOD(INDEX('Staff Review'!$F$8:$F$507,I2267),1)=0,COUNT(INDEX('Staff Review'!$G$8:$G$507,I2267))=1,INDEX('Staff Review'!$G$8:$G$507,I2267)&gt;0,INDEX('Staff Review'!$G$8:$G$507,I2267)&lt;='Top 25'!$E$5,'Top 25'!$E$5-INDEX('Staff Review'!$G$8:$G$507,I2267)&lt;='Top 25'!$H$5,LEN(INDEX('Staff Review'!$H$8:$H$507,I2267))&gt;0),"Yes","No")))</f>
        <v>No</v>
      </c>
      <c r="AK2267" s="1">
        <f t="shared" si="115"/>
        <v>1</v>
      </c>
      <c r="AL2267" s="1">
        <f t="shared" ca="1" si="116"/>
        <v>1</v>
      </c>
      <c r="AM2267" s="1">
        <f t="shared" si="117"/>
        <v>5610</v>
      </c>
      <c r="AN2267" s="1">
        <f t="shared" si="118"/>
        <v>217</v>
      </c>
      <c r="AO2267">
        <f t="shared" ca="1" si="119"/>
        <v>121</v>
      </c>
      <c r="AP2267" s="105">
        <f ca="1">IF(AND(AL2267=1,OR('Top 25'!$A$10="All",C2267='Top 25'!$A$10),OR('Top 25'!$D$10="All",D2267='Top 25'!$D$10)),1,0)</f>
        <v>0</v>
      </c>
      <c r="AQ2267" s="105" t="str">
        <f ca="1">IF(AP2267=0,"",CHOOSE(MATCH('Top 25'!$G$10,{"Priority score","Economic need","Enrollment","Fresh miles","Nearby resources"},0),T2267,G2267,F2267,K2267,L2267))</f>
        <v/>
      </c>
      <c r="AR2267" s="105" t="str">
        <f ca="1">IF(AP2267=0,"",1+COUNTIFS($AP$2051:$AP$2550,1,$AQ$2051:$AQ$2550,IF('Top 25'!$J$10="Ascending","&lt;","&gt;")&amp;AQ2267)+COUNTIFS($AP$2051:$AP$2550,1,$AQ$2051:$AQ$2550,AQ2267,$W$2051:$W$2550,"&lt;"&amp;W2267))</f>
        <v/>
      </c>
      <c r="AT2267" s="105">
        <f ca="1">IF(AND(AL2267=1,OR(Master_rankableSchools!$A$10="All",C2267=Master_rankableSchools!$A$10),OR(Master_rankableSchools!$D$10="All",D2267=Master_rankableSchools!$D$10)),1,0)</f>
        <v>1</v>
      </c>
      <c r="AU2267" s="105">
        <f ca="1">IF(AT2267=0,"",CHOOSE(MATCH(Master_rankableSchools!$G$10,{"Priority score","Economic need","Enrollment","Fresh miles","Nearby resources"},0),T2267,G2267,F2267,K2267,L2267))</f>
        <v>42</v>
      </c>
      <c r="AV2267" s="105">
        <f ca="1">IF(AT2267=0,"",1+COUNTIFS($AT$2051:$AT$2550,1,$AU$2051:$AU$2550,IF(Master_rankableSchools!$J$10="Ascending","&lt;","&gt;")&amp;AU2267)+COUNTIFS($AT$2051:$AT$2550,1,$AU$2051:$AU$2550,AU2267,$W$2051:$W$2550,"&lt;"&amp;W2267))</f>
        <v>121</v>
      </c>
    </row>
    <row r="2268" spans="1:48" ht="22" customHeight="1">
      <c r="A2268" s="1" t="str">
        <f t="shared" si="90"/>
        <v>5620</v>
      </c>
      <c r="B2268" s="1" t="str">
        <f t="shared" si="91"/>
        <v>The U School</v>
      </c>
      <c r="C2268" s="1" t="str">
        <f t="shared" si="92"/>
        <v>District</v>
      </c>
      <c r="D2268" s="1" t="str">
        <f t="shared" si="93"/>
        <v>High</v>
      </c>
      <c r="E2268" s="1" t="str">
        <f t="shared" si="94"/>
        <v>19122</v>
      </c>
      <c r="F2268" s="1">
        <f t="shared" si="95"/>
        <v>164</v>
      </c>
      <c r="G2268" s="1">
        <f t="shared" si="96"/>
        <v>0.91349999999999998</v>
      </c>
      <c r="H2268" s="1" t="str">
        <f t="shared" si="97"/>
        <v>Yes</v>
      </c>
      <c r="I2268" s="1">
        <f>IF(OR(A2268="",COUNTIFS('Staff Review'!$A$8:$A$507,A2268)&lt;&gt;1),0,MATCH(A2268,'Staff Review'!$A$8:$A$507,0))</f>
        <v>289</v>
      </c>
      <c r="J2268" s="1" t="str">
        <f>IF(I2268=0,"No",IF(INDEX('Staff Review'!$C$8:$C$507,I2268)="Yes","Yes","No"))</f>
        <v>No</v>
      </c>
      <c r="K2268" s="1">
        <f ca="1">IF(AI2268="Yes",INDEX('Staff Review'!$D$8:$D$507,I2268),IF(AB2268=0,"",IF(COUNT(INDEX($C$1531:$C$2030,AB2268))=1,INDEX($C$1531:$C$2030,AB2268),"")))</f>
        <v>0.11452251110429579</v>
      </c>
      <c r="L2268" s="1">
        <f>IF(AJ2268="Yes",INDEX('Staff Review'!$F$8:$F$507,I2268),IF(AB2268=0,"",IF(COUNT(INDEX($G$1531:$G$2030,AB2268))=1,INDEX($G$1531:$G$2030,AB2268),"")))</f>
        <v>16</v>
      </c>
      <c r="M2268" s="1" t="str">
        <f t="shared" ca="1" si="98"/>
        <v>Listed</v>
      </c>
      <c r="N2268" s="1" t="str">
        <f t="shared" si="99"/>
        <v>Listed</v>
      </c>
      <c r="O2268" s="1">
        <f t="shared" si="100"/>
        <v>30</v>
      </c>
      <c r="P2268" s="1">
        <f t="shared" ca="1" si="101"/>
        <v>5</v>
      </c>
      <c r="Q2268" s="1">
        <f t="shared" si="102"/>
        <v>0</v>
      </c>
      <c r="R2268" s="1">
        <f t="shared" si="103"/>
        <v>1</v>
      </c>
      <c r="S2268" s="1">
        <f t="shared" ca="1" si="104"/>
        <v>36</v>
      </c>
      <c r="T2268" s="1">
        <f ca="1">IF(OR(COUNT(O2268:R2268)&lt;&gt;4,COUNT('Top 25'!$B$45:$E$45)&lt;&gt;4,MIN('Top 25'!$B$45:$E$45)&lt;0,SUM('Top 25'!$B$45:$E$45)&lt;=0),"",ROUND(85*(O2268/30*'Top 25'!$B$45+P2268/25*'Top 25'!$C$45+Q2268/25*'Top 25'!$D$45+R2268/5*'Top 25'!$E$45)/SUM('Top 25'!$B$45:$E$45),6))</f>
        <v>36</v>
      </c>
      <c r="U2268" s="1" t="str">
        <f t="shared" ca="1" si="105"/>
        <v>Listed</v>
      </c>
      <c r="V2268" s="1" t="str">
        <f ca="1">IF(A2268="","",IF(AK2268&lt;&gt;1,"Duplicate source ID",IF(COUNTIFS('Staff Review'!$A$8:$A$507,A2268)&gt;1,"Duplicate review ID",IF(H2268&lt;&gt;"Yes","Outside scope",IF(J2268="Yes","Already served",IF(NOT(ISNUMBER(T2268)),"Missing data","Candidate"))))))</f>
        <v>Candidate</v>
      </c>
      <c r="W2268" s="1">
        <f t="shared" ca="1" si="106"/>
        <v>206</v>
      </c>
      <c r="X2268" s="1">
        <f t="shared" ca="1" si="107"/>
        <v>205</v>
      </c>
      <c r="Y2268" s="1">
        <f ca="1">IF(AND(H2268="Yes",OR(LEN('School Search'!$B$5)=0,ISNUMBER(SEARCH('School Search'!$B$5,B2268&amp;" "&amp;E2268&amp;" "&amp;A2268))),OR('School Search'!$D$5="All",C2268='School Search'!$D$5),OR('School Search'!$G$5="All eligible",AND('School Search'!$G$5="Not marked served",J2268&lt;&gt;"Yes"),AND('School Search'!$G$5="Missing data",V2268="Missing data"),AND('School Search'!$G$5="Marked served",J2268="Yes"))),1,0)</f>
        <v>1</v>
      </c>
      <c r="Z2268" s="1">
        <f ca="1">IF(Y2268=0,"",COUNTIFS($Y$2051:$Y$2550,1,$AO$2051:$AO$2550,"&lt;"&amp;AO2268)+COUNTIFS($Y$2051:Y2268,1,$AO$2051:AO2268,AO2268))</f>
        <v>206</v>
      </c>
      <c r="AA2268" s="1" t="str">
        <f t="shared" ca="1" si="108"/>
        <v>91% economic need; 0.11 mi fresh access; 16 nearby resources</v>
      </c>
      <c r="AB2268" s="1">
        <f t="shared" si="109"/>
        <v>218</v>
      </c>
      <c r="AC2268" s="1" t="str">
        <f t="shared" si="110"/>
        <v>Cousins Supermarket Inc 1</v>
      </c>
      <c r="AD2268" s="1" t="str">
        <f t="shared" si="111"/>
        <v>1943 N 6th St, Philadelphia, PA, 19122</v>
      </c>
      <c r="AE2268" s="1" t="str">
        <f t="shared" si="112"/>
        <v>2000 N 7TH ST</v>
      </c>
      <c r="AF2268" s="1">
        <f t="shared" si="113"/>
        <v>39.981983</v>
      </c>
      <c r="AG2268" s="1">
        <f t="shared" si="114"/>
        <v>-75.146255999999994</v>
      </c>
      <c r="AH2268" s="1" t="str">
        <f>IF(I2268=0,"Not contacted",IF(INDEX('Staff Review'!$J$8:$J$507,I2268)="","Not contacted",INDEX('Staff Review'!$J$8:$J$507,I2268)))</f>
        <v>Not contacted</v>
      </c>
      <c r="AI2268" s="1" t="str">
        <f ca="1">IF(I2268=0,"No",IF(AND(COUNT(INDEX('Staff Review'!$D$8:$D$507,I2268))=1,INDEX('Staff Review'!$D$8:$D$507,I2268)&gt;=0,COUNT(INDEX('Staff Review'!$E$8:$E$507,I2268))=1,INDEX('Staff Review'!$E$8:$E$507,I2268)&gt;0,INDEX('Staff Review'!$E$8:$E$507,I2268)&lt;='Top 25'!$E$5,'Top 25'!$E$5-INDEX('Staff Review'!$E$8:$E$507,I2268)&lt;='Top 25'!$H$5,LEN(INDEX('Staff Review'!$H$8:$H$507,I2268))&gt;0),"Yes","No"))</f>
        <v>No</v>
      </c>
      <c r="AJ2268" s="1" t="str">
        <f>IF(I2268=0,"No",IF(COUNT(INDEX('Staff Review'!$F$8:$F$507,I2268))&lt;&gt;1,"No",IF(AND(INDEX('Staff Review'!$F$8:$F$507,I2268)&gt;=0,MOD(INDEX('Staff Review'!$F$8:$F$507,I2268),1)=0,COUNT(INDEX('Staff Review'!$G$8:$G$507,I2268))=1,INDEX('Staff Review'!$G$8:$G$507,I2268)&gt;0,INDEX('Staff Review'!$G$8:$G$507,I2268)&lt;='Top 25'!$E$5,'Top 25'!$E$5-INDEX('Staff Review'!$G$8:$G$507,I2268)&lt;='Top 25'!$H$5,LEN(INDEX('Staff Review'!$H$8:$H$507,I2268))&gt;0),"Yes","No")))</f>
        <v>No</v>
      </c>
      <c r="AK2268" s="1">
        <f t="shared" si="115"/>
        <v>1</v>
      </c>
      <c r="AL2268" s="1">
        <f t="shared" ca="1" si="116"/>
        <v>1</v>
      </c>
      <c r="AM2268" s="1">
        <f t="shared" si="117"/>
        <v>5620</v>
      </c>
      <c r="AN2268" s="1">
        <f t="shared" si="118"/>
        <v>218</v>
      </c>
      <c r="AO2268">
        <f t="shared" ca="1" si="119"/>
        <v>206</v>
      </c>
      <c r="AP2268" s="105">
        <f ca="1">IF(AND(AL2268=1,OR('Top 25'!$A$10="All",C2268='Top 25'!$A$10),OR('Top 25'!$D$10="All",D2268='Top 25'!$D$10)),1,0)</f>
        <v>0</v>
      </c>
      <c r="AQ2268" s="105" t="str">
        <f ca="1">IF(AP2268=0,"",CHOOSE(MATCH('Top 25'!$G$10,{"Priority score","Economic need","Enrollment","Fresh miles","Nearby resources"},0),T2268,G2268,F2268,K2268,L2268))</f>
        <v/>
      </c>
      <c r="AR2268" s="105" t="str">
        <f ca="1">IF(AP2268=0,"",1+COUNTIFS($AP$2051:$AP$2550,1,$AQ$2051:$AQ$2550,IF('Top 25'!$J$10="Ascending","&lt;","&gt;")&amp;AQ2268)+COUNTIFS($AP$2051:$AP$2550,1,$AQ$2051:$AQ$2550,AQ2268,$W$2051:$W$2550,"&lt;"&amp;W2268))</f>
        <v/>
      </c>
      <c r="AT2268" s="105">
        <f ca="1">IF(AND(AL2268=1,OR(Master_rankableSchools!$A$10="All",C2268=Master_rankableSchools!$A$10),OR(Master_rankableSchools!$D$10="All",D2268=Master_rankableSchools!$D$10)),1,0)</f>
        <v>1</v>
      </c>
      <c r="AU2268" s="105">
        <f ca="1">IF(AT2268=0,"",CHOOSE(MATCH(Master_rankableSchools!$G$10,{"Priority score","Economic need","Enrollment","Fresh miles","Nearby resources"},0),T2268,G2268,F2268,K2268,L2268))</f>
        <v>36</v>
      </c>
      <c r="AV2268" s="105">
        <f ca="1">IF(AT2268=0,"",1+COUNTIFS($AT$2051:$AT$2550,1,$AU$2051:$AU$2550,IF(Master_rankableSchools!$J$10="Ascending","&lt;","&gt;")&amp;AU2268)+COUNTIFS($AT$2051:$AT$2550,1,$AU$2051:$AU$2550,AU2268,$W$2051:$W$2550,"&lt;"&amp;W2268))</f>
        <v>206</v>
      </c>
    </row>
    <row r="2269" spans="1:48" ht="22" customHeight="1">
      <c r="A2269" s="1" t="str">
        <f t="shared" si="90"/>
        <v>5660</v>
      </c>
      <c r="B2269" s="1" t="str">
        <f t="shared" si="91"/>
        <v>The LINC High School</v>
      </c>
      <c r="C2269" s="1" t="str">
        <f t="shared" si="92"/>
        <v>District</v>
      </c>
      <c r="D2269" s="1" t="str">
        <f t="shared" si="93"/>
        <v>High</v>
      </c>
      <c r="E2269" s="1" t="str">
        <f t="shared" si="94"/>
        <v>19140</v>
      </c>
      <c r="F2269" s="1">
        <f t="shared" si="95"/>
        <v>229</v>
      </c>
      <c r="G2269" s="1">
        <f t="shared" si="96"/>
        <v>0.82299999999999995</v>
      </c>
      <c r="H2269" s="1" t="str">
        <f t="shared" si="97"/>
        <v>Yes</v>
      </c>
      <c r="I2269" s="1">
        <f>IF(OR(A2269="",COUNTIFS('Staff Review'!$A$8:$A$507,A2269)&lt;&gt;1),0,MATCH(A2269,'Staff Review'!$A$8:$A$507,0))</f>
        <v>286</v>
      </c>
      <c r="J2269" s="1" t="str">
        <f>IF(I2269=0,"No",IF(INDEX('Staff Review'!$C$8:$C$507,I2269)="Yes","Yes","No"))</f>
        <v>No</v>
      </c>
      <c r="K2269" s="1">
        <f ca="1">IF(AI2269="Yes",INDEX('Staff Review'!$D$8:$D$507,I2269),IF(AB2269=0,"",IF(COUNT(INDEX($C$1531:$C$2030,AB2269))=1,INDEX($C$1531:$C$2030,AB2269),"")))</f>
        <v>0.51554061281690178</v>
      </c>
      <c r="L2269" s="1">
        <f>IF(AJ2269="Yes",INDEX('Staff Review'!$F$8:$F$507,I2269),IF(AB2269=0,"",IF(COUNT(INDEX($G$1531:$G$2030,AB2269))=1,INDEX($G$1531:$G$2030,AB2269),"")))</f>
        <v>9</v>
      </c>
      <c r="M2269" s="1" t="str">
        <f t="shared" ca="1" si="98"/>
        <v>Listed</v>
      </c>
      <c r="N2269" s="1" t="str">
        <f t="shared" si="99"/>
        <v>Listed</v>
      </c>
      <c r="O2269" s="1">
        <f t="shared" si="100"/>
        <v>25</v>
      </c>
      <c r="P2269" s="1">
        <f t="shared" ca="1" si="101"/>
        <v>15</v>
      </c>
      <c r="Q2269" s="1">
        <f t="shared" si="102"/>
        <v>0</v>
      </c>
      <c r="R2269" s="1">
        <f t="shared" si="103"/>
        <v>2</v>
      </c>
      <c r="S2269" s="1">
        <f t="shared" ca="1" si="104"/>
        <v>42</v>
      </c>
      <c r="T2269" s="1">
        <f ca="1">IF(OR(COUNT(O2269:R2269)&lt;&gt;4,COUNT('Top 25'!$B$45:$E$45)&lt;&gt;4,MIN('Top 25'!$B$45:$E$45)&lt;0,SUM('Top 25'!$B$45:$E$45)&lt;=0),"",ROUND(85*(O2269/30*'Top 25'!$B$45+P2269/25*'Top 25'!$C$45+Q2269/25*'Top 25'!$D$45+R2269/5*'Top 25'!$E$45)/SUM('Top 25'!$B$45:$E$45),6))</f>
        <v>42</v>
      </c>
      <c r="U2269" s="1" t="str">
        <f t="shared" ca="1" si="105"/>
        <v>Listed</v>
      </c>
      <c r="V2269" s="1" t="str">
        <f ca="1">IF(A2269="","",IF(AK2269&lt;&gt;1,"Duplicate source ID",IF(COUNTIFS('Staff Review'!$A$8:$A$507,A2269)&gt;1,"Duplicate review ID",IF(H2269&lt;&gt;"Yes","Outside scope",IF(J2269="Yes","Already served",IF(NOT(ISNUMBER(T2269)),"Missing data","Candidate"))))))</f>
        <v>Candidate</v>
      </c>
      <c r="W2269" s="1">
        <f t="shared" ca="1" si="106"/>
        <v>124</v>
      </c>
      <c r="X2269" s="1">
        <f t="shared" ca="1" si="107"/>
        <v>101</v>
      </c>
      <c r="Y2269" s="1">
        <f ca="1">IF(AND(H2269="Yes",OR(LEN('School Search'!$B$5)=0,ISNUMBER(SEARCH('School Search'!$B$5,B2269&amp;" "&amp;E2269&amp;" "&amp;A2269))),OR('School Search'!$D$5="All",C2269='School Search'!$D$5),OR('School Search'!$G$5="All eligible",AND('School Search'!$G$5="Not marked served",J2269&lt;&gt;"Yes"),AND('School Search'!$G$5="Missing data",V2269="Missing data"),AND('School Search'!$G$5="Marked served",J2269="Yes"))),1,0)</f>
        <v>1</v>
      </c>
      <c r="Z2269" s="1">
        <f ca="1">IF(Y2269=0,"",COUNTIFS($Y$2051:$Y$2550,1,$AO$2051:$AO$2550,"&lt;"&amp;AO2269)+COUNTIFS($Y$2051:Y2269,1,$AO$2051:AO2269,AO2269))</f>
        <v>124</v>
      </c>
      <c r="AA2269" s="1" t="str">
        <f t="shared" ca="1" si="108"/>
        <v>82% economic need; 0.52 mi fresh access; 9 nearby resources</v>
      </c>
      <c r="AB2269" s="1">
        <f t="shared" si="109"/>
        <v>219</v>
      </c>
      <c r="AC2269" s="1" t="str">
        <f t="shared" si="110"/>
        <v>COUSINS SUPERMARKET INC. #2</v>
      </c>
      <c r="AD2269" s="1" t="str">
        <f t="shared" si="111"/>
        <v>4037 N 5th St, Philadelphia, PA, 19140</v>
      </c>
      <c r="AE2269" s="1" t="str">
        <f t="shared" si="112"/>
        <v>122 W ERIE AVE</v>
      </c>
      <c r="AF2269" s="1">
        <f t="shared" si="113"/>
        <v>40.006819</v>
      </c>
      <c r="AG2269" s="1">
        <f t="shared" si="114"/>
        <v>-75.129735999999994</v>
      </c>
      <c r="AH2269" s="1" t="str">
        <f>IF(I2269=0,"Not contacted",IF(INDEX('Staff Review'!$J$8:$J$507,I2269)="","Not contacted",INDEX('Staff Review'!$J$8:$J$507,I2269)))</f>
        <v>Not contacted</v>
      </c>
      <c r="AI2269" s="1" t="str">
        <f ca="1">IF(I2269=0,"No",IF(AND(COUNT(INDEX('Staff Review'!$D$8:$D$507,I2269))=1,INDEX('Staff Review'!$D$8:$D$507,I2269)&gt;=0,COUNT(INDEX('Staff Review'!$E$8:$E$507,I2269))=1,INDEX('Staff Review'!$E$8:$E$507,I2269)&gt;0,INDEX('Staff Review'!$E$8:$E$507,I2269)&lt;='Top 25'!$E$5,'Top 25'!$E$5-INDEX('Staff Review'!$E$8:$E$507,I2269)&lt;='Top 25'!$H$5,LEN(INDEX('Staff Review'!$H$8:$H$507,I2269))&gt;0),"Yes","No"))</f>
        <v>No</v>
      </c>
      <c r="AJ2269" s="1" t="str">
        <f>IF(I2269=0,"No",IF(COUNT(INDEX('Staff Review'!$F$8:$F$507,I2269))&lt;&gt;1,"No",IF(AND(INDEX('Staff Review'!$F$8:$F$507,I2269)&gt;=0,MOD(INDEX('Staff Review'!$F$8:$F$507,I2269),1)=0,COUNT(INDEX('Staff Review'!$G$8:$G$507,I2269))=1,INDEX('Staff Review'!$G$8:$G$507,I2269)&gt;0,INDEX('Staff Review'!$G$8:$G$507,I2269)&lt;='Top 25'!$E$5,'Top 25'!$E$5-INDEX('Staff Review'!$G$8:$G$507,I2269)&lt;='Top 25'!$H$5,LEN(INDEX('Staff Review'!$H$8:$H$507,I2269))&gt;0),"Yes","No")))</f>
        <v>No</v>
      </c>
      <c r="AK2269" s="1">
        <f t="shared" si="115"/>
        <v>1</v>
      </c>
      <c r="AL2269" s="1">
        <f t="shared" ca="1" si="116"/>
        <v>1</v>
      </c>
      <c r="AM2269" s="1">
        <f t="shared" si="117"/>
        <v>5660</v>
      </c>
      <c r="AN2269" s="1">
        <f t="shared" si="118"/>
        <v>219</v>
      </c>
      <c r="AO2269">
        <f t="shared" ca="1" si="119"/>
        <v>124</v>
      </c>
      <c r="AP2269" s="105">
        <f ca="1">IF(AND(AL2269=1,OR('Top 25'!$A$10="All",C2269='Top 25'!$A$10),OR('Top 25'!$D$10="All",D2269='Top 25'!$D$10)),1,0)</f>
        <v>0</v>
      </c>
      <c r="AQ2269" s="105" t="str">
        <f ca="1">IF(AP2269=0,"",CHOOSE(MATCH('Top 25'!$G$10,{"Priority score","Economic need","Enrollment","Fresh miles","Nearby resources"},0),T2269,G2269,F2269,K2269,L2269))</f>
        <v/>
      </c>
      <c r="AR2269" s="105" t="str">
        <f ca="1">IF(AP2269=0,"",1+COUNTIFS($AP$2051:$AP$2550,1,$AQ$2051:$AQ$2550,IF('Top 25'!$J$10="Ascending","&lt;","&gt;")&amp;AQ2269)+COUNTIFS($AP$2051:$AP$2550,1,$AQ$2051:$AQ$2550,AQ2269,$W$2051:$W$2550,"&lt;"&amp;W2269))</f>
        <v/>
      </c>
      <c r="AT2269" s="105">
        <f ca="1">IF(AND(AL2269=1,OR(Master_rankableSchools!$A$10="All",C2269=Master_rankableSchools!$A$10),OR(Master_rankableSchools!$D$10="All",D2269=Master_rankableSchools!$D$10)),1,0)</f>
        <v>1</v>
      </c>
      <c r="AU2269" s="105">
        <f ca="1">IF(AT2269=0,"",CHOOSE(MATCH(Master_rankableSchools!$G$10,{"Priority score","Economic need","Enrollment","Fresh miles","Nearby resources"},0),T2269,G2269,F2269,K2269,L2269))</f>
        <v>42</v>
      </c>
      <c r="AV2269" s="105">
        <f ca="1">IF(AT2269=0,"",1+COUNTIFS($AT$2051:$AT$2550,1,$AU$2051:$AU$2550,IF(Master_rankableSchools!$J$10="Ascending","&lt;","&gt;")&amp;AU2269)+COUNTIFS($AT$2051:$AT$2550,1,$AU$2051:$AU$2550,AU2269,$W$2051:$W$2550,"&lt;"&amp;W2269))</f>
        <v>124</v>
      </c>
    </row>
    <row r="2270" spans="1:48" ht="22" customHeight="1">
      <c r="A2270" s="1" t="str">
        <f t="shared" si="90"/>
        <v>5680</v>
      </c>
      <c r="B2270" s="1" t="str">
        <f t="shared" si="91"/>
        <v>Honorable Luis Munoz-Marin School</v>
      </c>
      <c r="C2270" s="1" t="str">
        <f t="shared" si="92"/>
        <v>District</v>
      </c>
      <c r="D2270" s="1" t="str">
        <f t="shared" si="93"/>
        <v>Elementary-Middle</v>
      </c>
      <c r="E2270" s="1" t="str">
        <f t="shared" si="94"/>
        <v>19140</v>
      </c>
      <c r="F2270" s="1">
        <f t="shared" si="95"/>
        <v>482</v>
      </c>
      <c r="G2270" s="1">
        <f t="shared" si="96"/>
        <v>0.92110000000000003</v>
      </c>
      <c r="H2270" s="1" t="str">
        <f t="shared" si="97"/>
        <v>Yes</v>
      </c>
      <c r="I2270" s="1">
        <f>IF(OR(A2270="",COUNTIFS('Staff Review'!$A$8:$A$507,A2270)&lt;&gt;1),0,MATCH(A2270,'Staff Review'!$A$8:$A$507,0))</f>
        <v>116</v>
      </c>
      <c r="J2270" s="1" t="str">
        <f>IF(I2270=0,"No",IF(INDEX('Staff Review'!$C$8:$C$507,I2270)="Yes","Yes","No"))</f>
        <v>No</v>
      </c>
      <c r="K2270" s="1">
        <f ca="1">IF(AI2270="Yes",INDEX('Staff Review'!$D$8:$D$507,I2270),IF(AB2270=0,"",IF(COUNT(INDEX($C$1531:$C$2030,AB2270))=1,INDEX($C$1531:$C$2030,AB2270),"")))</f>
        <v>0.15156155022007126</v>
      </c>
      <c r="L2270" s="1">
        <f>IF(AJ2270="Yes",INDEX('Staff Review'!$F$8:$F$507,I2270),IF(AB2270=0,"",IF(COUNT(INDEX($G$1531:$G$2030,AB2270))=1,INDEX($G$1531:$G$2030,AB2270),"")))</f>
        <v>14</v>
      </c>
      <c r="M2270" s="1" t="str">
        <f t="shared" ca="1" si="98"/>
        <v>Listed</v>
      </c>
      <c r="N2270" s="1" t="str">
        <f t="shared" si="99"/>
        <v>Listed</v>
      </c>
      <c r="O2270" s="1">
        <f t="shared" si="100"/>
        <v>30</v>
      </c>
      <c r="P2270" s="1">
        <f t="shared" ca="1" si="101"/>
        <v>5</v>
      </c>
      <c r="Q2270" s="1">
        <f t="shared" si="102"/>
        <v>0</v>
      </c>
      <c r="R2270" s="1">
        <f t="shared" si="103"/>
        <v>3</v>
      </c>
      <c r="S2270" s="1">
        <f t="shared" ca="1" si="104"/>
        <v>38</v>
      </c>
      <c r="T2270" s="1">
        <f ca="1">IF(OR(COUNT(O2270:R2270)&lt;&gt;4,COUNT('Top 25'!$B$45:$E$45)&lt;&gt;4,MIN('Top 25'!$B$45:$E$45)&lt;0,SUM('Top 25'!$B$45:$E$45)&lt;=0),"",ROUND(85*(O2270/30*'Top 25'!$B$45+P2270/25*'Top 25'!$C$45+Q2270/25*'Top 25'!$D$45+R2270/5*'Top 25'!$E$45)/SUM('Top 25'!$B$45:$E$45),6))</f>
        <v>38</v>
      </c>
      <c r="U2270" s="1" t="str">
        <f t="shared" ca="1" si="105"/>
        <v>Listed</v>
      </c>
      <c r="V2270" s="1" t="str">
        <f ca="1">IF(A2270="","",IF(AK2270&lt;&gt;1,"Duplicate source ID",IF(COUNTIFS('Staff Review'!$A$8:$A$507,A2270)&gt;1,"Duplicate review ID",IF(H2270&lt;&gt;"Yes","Outside scope",IF(J2270="Yes","Already served",IF(NOT(ISNUMBER(T2270)),"Missing data","Candidate"))))))</f>
        <v>Candidate</v>
      </c>
      <c r="W2270" s="1">
        <f t="shared" ca="1" si="106"/>
        <v>166</v>
      </c>
      <c r="X2270" s="1">
        <f t="shared" ca="1" si="107"/>
        <v>166</v>
      </c>
      <c r="Y2270" s="1">
        <f ca="1">IF(AND(H2270="Yes",OR(LEN('School Search'!$B$5)=0,ISNUMBER(SEARCH('School Search'!$B$5,B2270&amp;" "&amp;E2270&amp;" "&amp;A2270))),OR('School Search'!$D$5="All",C2270='School Search'!$D$5),OR('School Search'!$G$5="All eligible",AND('School Search'!$G$5="Not marked served",J2270&lt;&gt;"Yes"),AND('School Search'!$G$5="Missing data",V2270="Missing data"),AND('School Search'!$G$5="Marked served",J2270="Yes"))),1,0)</f>
        <v>1</v>
      </c>
      <c r="Z2270" s="1">
        <f ca="1">IF(Y2270=0,"",COUNTIFS($Y$2051:$Y$2550,1,$AO$2051:$AO$2550,"&lt;"&amp;AO2270)+COUNTIFS($Y$2051:Y2270,1,$AO$2051:AO2270,AO2270))</f>
        <v>166</v>
      </c>
      <c r="AA2270" s="1" t="str">
        <f t="shared" ca="1" si="108"/>
        <v>92% economic need; 0.15 mi fresh access; 14 nearby resources</v>
      </c>
      <c r="AB2270" s="1">
        <f t="shared" si="109"/>
        <v>220</v>
      </c>
      <c r="AC2270" s="1" t="str">
        <f t="shared" si="110"/>
        <v>Save A Lot 60136</v>
      </c>
      <c r="AD2270" s="1" t="str">
        <f t="shared" si="111"/>
        <v>400 W Allegheny Ave, Philadelphia, PA, 19133</v>
      </c>
      <c r="AE2270" s="1" t="str">
        <f t="shared" si="112"/>
        <v>3300 N 3RD ST</v>
      </c>
      <c r="AF2270" s="1">
        <f t="shared" si="113"/>
        <v>40.00098011</v>
      </c>
      <c r="AG2270" s="1">
        <f t="shared" si="114"/>
        <v>-75.135389579999995</v>
      </c>
      <c r="AH2270" s="1" t="str">
        <f>IF(I2270=0,"Not contacted",IF(INDEX('Staff Review'!$J$8:$J$507,I2270)="","Not contacted",INDEX('Staff Review'!$J$8:$J$507,I2270)))</f>
        <v>Not contacted</v>
      </c>
      <c r="AI2270" s="1" t="str">
        <f ca="1">IF(I2270=0,"No",IF(AND(COUNT(INDEX('Staff Review'!$D$8:$D$507,I2270))=1,INDEX('Staff Review'!$D$8:$D$507,I2270)&gt;=0,COUNT(INDEX('Staff Review'!$E$8:$E$507,I2270))=1,INDEX('Staff Review'!$E$8:$E$507,I2270)&gt;0,INDEX('Staff Review'!$E$8:$E$507,I2270)&lt;='Top 25'!$E$5,'Top 25'!$E$5-INDEX('Staff Review'!$E$8:$E$507,I2270)&lt;='Top 25'!$H$5,LEN(INDEX('Staff Review'!$H$8:$H$507,I2270))&gt;0),"Yes","No"))</f>
        <v>No</v>
      </c>
      <c r="AJ2270" s="1" t="str">
        <f>IF(I2270=0,"No",IF(COUNT(INDEX('Staff Review'!$F$8:$F$507,I2270))&lt;&gt;1,"No",IF(AND(INDEX('Staff Review'!$F$8:$F$507,I2270)&gt;=0,MOD(INDEX('Staff Review'!$F$8:$F$507,I2270),1)=0,COUNT(INDEX('Staff Review'!$G$8:$G$507,I2270))=1,INDEX('Staff Review'!$G$8:$G$507,I2270)&gt;0,INDEX('Staff Review'!$G$8:$G$507,I2270)&lt;='Top 25'!$E$5,'Top 25'!$E$5-INDEX('Staff Review'!$G$8:$G$507,I2270)&lt;='Top 25'!$H$5,LEN(INDEX('Staff Review'!$H$8:$H$507,I2270))&gt;0),"Yes","No")))</f>
        <v>No</v>
      </c>
      <c r="AK2270" s="1">
        <f t="shared" si="115"/>
        <v>1</v>
      </c>
      <c r="AL2270" s="1">
        <f t="shared" ca="1" si="116"/>
        <v>1</v>
      </c>
      <c r="AM2270" s="1">
        <f t="shared" si="117"/>
        <v>5680</v>
      </c>
      <c r="AN2270" s="1">
        <f t="shared" si="118"/>
        <v>220</v>
      </c>
      <c r="AO2270">
        <f t="shared" ca="1" si="119"/>
        <v>166</v>
      </c>
      <c r="AP2270" s="105">
        <f ca="1">IF(AND(AL2270=1,OR('Top 25'!$A$10="All",C2270='Top 25'!$A$10),OR('Top 25'!$D$10="All",D2270='Top 25'!$D$10)),1,0)</f>
        <v>0</v>
      </c>
      <c r="AQ2270" s="105" t="str">
        <f ca="1">IF(AP2270=0,"",CHOOSE(MATCH('Top 25'!$G$10,{"Priority score","Economic need","Enrollment","Fresh miles","Nearby resources"},0),T2270,G2270,F2270,K2270,L2270))</f>
        <v/>
      </c>
      <c r="AR2270" s="105" t="str">
        <f ca="1">IF(AP2270=0,"",1+COUNTIFS($AP$2051:$AP$2550,1,$AQ$2051:$AQ$2550,IF('Top 25'!$J$10="Ascending","&lt;","&gt;")&amp;AQ2270)+COUNTIFS($AP$2051:$AP$2550,1,$AQ$2051:$AQ$2550,AQ2270,$W$2051:$W$2550,"&lt;"&amp;W2270))</f>
        <v/>
      </c>
      <c r="AT2270" s="105">
        <f ca="1">IF(AND(AL2270=1,OR(Master_rankableSchools!$A$10="All",C2270=Master_rankableSchools!$A$10),OR(Master_rankableSchools!$D$10="All",D2270=Master_rankableSchools!$D$10)),1,0)</f>
        <v>1</v>
      </c>
      <c r="AU2270" s="105">
        <f ca="1">IF(AT2270=0,"",CHOOSE(MATCH(Master_rankableSchools!$G$10,{"Priority score","Economic need","Enrollment","Fresh miles","Nearby resources"},0),T2270,G2270,F2270,K2270,L2270))</f>
        <v>38</v>
      </c>
      <c r="AV2270" s="105">
        <f ca="1">IF(AT2270=0,"",1+COUNTIFS($AT$2051:$AT$2550,1,$AU$2051:$AU$2550,IF(Master_rankableSchools!$J$10="Ascending","&lt;","&gt;")&amp;AU2270)+COUNTIFS($AT$2051:$AT$2550,1,$AU$2051:$AU$2550,AU2270,$W$2051:$W$2550,"&lt;"&amp;W2270))</f>
        <v>166</v>
      </c>
    </row>
    <row r="2271" spans="1:48" ht="22" customHeight="1">
      <c r="A2271" s="1" t="str">
        <f t="shared" si="90"/>
        <v>5700</v>
      </c>
      <c r="B2271" s="1" t="str">
        <f t="shared" si="91"/>
        <v>Kensington High School</v>
      </c>
      <c r="C2271" s="1" t="str">
        <f t="shared" si="92"/>
        <v>District</v>
      </c>
      <c r="D2271" s="1" t="str">
        <f t="shared" si="93"/>
        <v>High</v>
      </c>
      <c r="E2271" s="1" t="str">
        <f t="shared" si="94"/>
        <v>19152</v>
      </c>
      <c r="F2271" s="1">
        <f t="shared" si="95"/>
        <v>447</v>
      </c>
      <c r="G2271" s="1">
        <f t="shared" si="96"/>
        <v>0.85189999999999999</v>
      </c>
      <c r="H2271" s="1" t="str">
        <f t="shared" si="97"/>
        <v>Yes</v>
      </c>
      <c r="I2271" s="1">
        <f>IF(OR(A2271="",COUNTIFS('Staff Review'!$A$8:$A$507,A2271)&lt;&gt;1),0,MATCH(A2271,'Staff Review'!$A$8:$A$507,0))</f>
        <v>158</v>
      </c>
      <c r="J2271" s="1" t="str">
        <f>IF(I2271=0,"No",IF(INDEX('Staff Review'!$C$8:$C$507,I2271)="Yes","Yes","No"))</f>
        <v>No</v>
      </c>
      <c r="K2271" s="1">
        <f ca="1">IF(AI2271="Yes",INDEX('Staff Review'!$D$8:$D$507,I2271),IF(AB2271=0,"",IF(COUNT(INDEX($C$1531:$C$2030,AB2271))=1,INDEX($C$1531:$C$2030,AB2271),"")))</f>
        <v>0.61090703009295655</v>
      </c>
      <c r="L2271" s="1">
        <f>IF(AJ2271="Yes",INDEX('Staff Review'!$F$8:$F$507,I2271),IF(AB2271=0,"",IF(COUNT(INDEX($G$1531:$G$2030,AB2271))=1,INDEX($G$1531:$G$2030,AB2271),"")))</f>
        <v>2</v>
      </c>
      <c r="M2271" s="1" t="str">
        <f t="shared" ca="1" si="98"/>
        <v>Listed</v>
      </c>
      <c r="N2271" s="1" t="str">
        <f t="shared" si="99"/>
        <v>Listed</v>
      </c>
      <c r="O2271" s="1">
        <f t="shared" si="100"/>
        <v>25</v>
      </c>
      <c r="P2271" s="1">
        <f t="shared" ca="1" si="101"/>
        <v>15</v>
      </c>
      <c r="Q2271" s="1">
        <f t="shared" si="102"/>
        <v>15</v>
      </c>
      <c r="R2271" s="1">
        <f t="shared" si="103"/>
        <v>3</v>
      </c>
      <c r="S2271" s="1">
        <f t="shared" ca="1" si="104"/>
        <v>58</v>
      </c>
      <c r="T2271" s="1">
        <f ca="1">IF(OR(COUNT(O2271:R2271)&lt;&gt;4,COUNT('Top 25'!$B$45:$E$45)&lt;&gt;4,MIN('Top 25'!$B$45:$E$45)&lt;0,SUM('Top 25'!$B$45:$E$45)&lt;=0),"",ROUND(85*(O2271/30*'Top 25'!$B$45+P2271/25*'Top 25'!$C$45+Q2271/25*'Top 25'!$D$45+R2271/5*'Top 25'!$E$45)/SUM('Top 25'!$B$45:$E$45),6))</f>
        <v>58</v>
      </c>
      <c r="U2271" s="1" t="str">
        <f t="shared" ca="1" si="105"/>
        <v>Listed</v>
      </c>
      <c r="V2271" s="1" t="str">
        <f ca="1">IF(A2271="","",IF(AK2271&lt;&gt;1,"Duplicate source ID",IF(COUNTIFS('Staff Review'!$A$8:$A$507,A2271)&gt;1,"Duplicate review ID",IF(H2271&lt;&gt;"Yes","Outside scope",IF(J2271="Yes","Already served",IF(NOT(ISNUMBER(T2271)),"Missing data","Candidate"))))))</f>
        <v>Candidate</v>
      </c>
      <c r="W2271" s="1">
        <f t="shared" ca="1" si="106"/>
        <v>17</v>
      </c>
      <c r="X2271" s="1">
        <f t="shared" ca="1" si="107"/>
        <v>17</v>
      </c>
      <c r="Y2271" s="1">
        <f ca="1">IF(AND(H2271="Yes",OR(LEN('School Search'!$B$5)=0,ISNUMBER(SEARCH('School Search'!$B$5,B2271&amp;" "&amp;E2271&amp;" "&amp;A2271))),OR('School Search'!$D$5="All",C2271='School Search'!$D$5),OR('School Search'!$G$5="All eligible",AND('School Search'!$G$5="Not marked served",J2271&lt;&gt;"Yes"),AND('School Search'!$G$5="Missing data",V2271="Missing data"),AND('School Search'!$G$5="Marked served",J2271="Yes"))),1,0)</f>
        <v>1</v>
      </c>
      <c r="Z2271" s="1">
        <f ca="1">IF(Y2271=0,"",COUNTIFS($Y$2051:$Y$2550,1,$AO$2051:$AO$2550,"&lt;"&amp;AO2271)+COUNTIFS($Y$2051:Y2271,1,$AO$2051:AO2271,AO2271))</f>
        <v>17</v>
      </c>
      <c r="AA2271" s="1" t="str">
        <f t="shared" ca="1" si="108"/>
        <v>85% economic need; 0.61 mi fresh access; 2 nearby resources</v>
      </c>
      <c r="AB2271" s="1">
        <f t="shared" si="109"/>
        <v>221</v>
      </c>
      <c r="AC2271" s="1" t="str">
        <f t="shared" si="110"/>
        <v>No.1 Asian Supermarket Inc</v>
      </c>
      <c r="AD2271" s="1" t="str">
        <f t="shared" si="111"/>
        <v>2842 Saint Vincent St, Philadelphia, PA, 19149</v>
      </c>
      <c r="AE2271" s="1" t="str">
        <f t="shared" si="112"/>
        <v>3001 RYAN AVE</v>
      </c>
      <c r="AF2271" s="1">
        <f t="shared" si="113"/>
        <v>40.045606999999997</v>
      </c>
      <c r="AG2271" s="1">
        <f t="shared" si="114"/>
        <v>-75.044206000000003</v>
      </c>
      <c r="AH2271" s="1" t="str">
        <f>IF(I2271=0,"Not contacted",IF(INDEX('Staff Review'!$J$8:$J$507,I2271)="","Not contacted",INDEX('Staff Review'!$J$8:$J$507,I2271)))</f>
        <v>Not contacted</v>
      </c>
      <c r="AI2271" s="1" t="str">
        <f ca="1">IF(I2271=0,"No",IF(AND(COUNT(INDEX('Staff Review'!$D$8:$D$507,I2271))=1,INDEX('Staff Review'!$D$8:$D$507,I2271)&gt;=0,COUNT(INDEX('Staff Review'!$E$8:$E$507,I2271))=1,INDEX('Staff Review'!$E$8:$E$507,I2271)&gt;0,INDEX('Staff Review'!$E$8:$E$507,I2271)&lt;='Top 25'!$E$5,'Top 25'!$E$5-INDEX('Staff Review'!$E$8:$E$507,I2271)&lt;='Top 25'!$H$5,LEN(INDEX('Staff Review'!$H$8:$H$507,I2271))&gt;0),"Yes","No"))</f>
        <v>No</v>
      </c>
      <c r="AJ2271" s="1" t="str">
        <f>IF(I2271=0,"No",IF(COUNT(INDEX('Staff Review'!$F$8:$F$507,I2271))&lt;&gt;1,"No",IF(AND(INDEX('Staff Review'!$F$8:$F$507,I2271)&gt;=0,MOD(INDEX('Staff Review'!$F$8:$F$507,I2271),1)=0,COUNT(INDEX('Staff Review'!$G$8:$G$507,I2271))=1,INDEX('Staff Review'!$G$8:$G$507,I2271)&gt;0,INDEX('Staff Review'!$G$8:$G$507,I2271)&lt;='Top 25'!$E$5,'Top 25'!$E$5-INDEX('Staff Review'!$G$8:$G$507,I2271)&lt;='Top 25'!$H$5,LEN(INDEX('Staff Review'!$H$8:$H$507,I2271))&gt;0),"Yes","No")))</f>
        <v>No</v>
      </c>
      <c r="AK2271" s="1">
        <f t="shared" si="115"/>
        <v>1</v>
      </c>
      <c r="AL2271" s="1">
        <f t="shared" ca="1" si="116"/>
        <v>1</v>
      </c>
      <c r="AM2271" s="1">
        <f t="shared" si="117"/>
        <v>5700</v>
      </c>
      <c r="AN2271" s="1">
        <f t="shared" si="118"/>
        <v>221</v>
      </c>
      <c r="AO2271">
        <f t="shared" ca="1" si="119"/>
        <v>17</v>
      </c>
      <c r="AP2271" s="105">
        <f ca="1">IF(AND(AL2271=1,OR('Top 25'!$A$10="All",C2271='Top 25'!$A$10),OR('Top 25'!$D$10="All",D2271='Top 25'!$D$10)),1,0)</f>
        <v>0</v>
      </c>
      <c r="AQ2271" s="105" t="str">
        <f ca="1">IF(AP2271=0,"",CHOOSE(MATCH('Top 25'!$G$10,{"Priority score","Economic need","Enrollment","Fresh miles","Nearby resources"},0),T2271,G2271,F2271,K2271,L2271))</f>
        <v/>
      </c>
      <c r="AR2271" s="105" t="str">
        <f ca="1">IF(AP2271=0,"",1+COUNTIFS($AP$2051:$AP$2550,1,$AQ$2051:$AQ$2550,IF('Top 25'!$J$10="Ascending","&lt;","&gt;")&amp;AQ2271)+COUNTIFS($AP$2051:$AP$2550,1,$AQ$2051:$AQ$2550,AQ2271,$W$2051:$W$2550,"&lt;"&amp;W2271))</f>
        <v/>
      </c>
      <c r="AT2271" s="105">
        <f ca="1">IF(AND(AL2271=1,OR(Master_rankableSchools!$A$10="All",C2271=Master_rankableSchools!$A$10),OR(Master_rankableSchools!$D$10="All",D2271=Master_rankableSchools!$D$10)),1,0)</f>
        <v>1</v>
      </c>
      <c r="AU2271" s="105">
        <f ca="1">IF(AT2271=0,"",CHOOSE(MATCH(Master_rankableSchools!$G$10,{"Priority score","Economic need","Enrollment","Fresh miles","Nearby resources"},0),T2271,G2271,F2271,K2271,L2271))</f>
        <v>58</v>
      </c>
      <c r="AV2271" s="105">
        <f ca="1">IF(AT2271=0,"",1+COUNTIFS($AT$2051:$AT$2550,1,$AU$2051:$AU$2550,IF(Master_rankableSchools!$J$10="Ascending","&lt;","&gt;")&amp;AU2271)+COUNTIFS($AT$2051:$AT$2550,1,$AU$2051:$AU$2550,AU2271,$W$2051:$W$2550,"&lt;"&amp;W2271))</f>
        <v>17</v>
      </c>
    </row>
    <row r="2272" spans="1:48" ht="22" customHeight="1">
      <c r="A2272" s="1" t="str">
        <f t="shared" si="90"/>
        <v>5710</v>
      </c>
      <c r="B2272" s="1" t="str">
        <f t="shared" si="91"/>
        <v>Memphis Street Middle School</v>
      </c>
      <c r="C2272" s="1" t="str">
        <f t="shared" si="92"/>
        <v>District</v>
      </c>
      <c r="D2272" s="1" t="str">
        <f t="shared" si="93"/>
        <v>Middle</v>
      </c>
      <c r="E2272" s="1" t="str">
        <f t="shared" si="94"/>
        <v>19134</v>
      </c>
      <c r="F2272" s="1" t="str">
        <f t="shared" si="95"/>
        <v/>
      </c>
      <c r="G2272" s="1" t="str">
        <f t="shared" si="96"/>
        <v/>
      </c>
      <c r="H2272" s="1" t="str">
        <f t="shared" si="97"/>
        <v>Yes</v>
      </c>
      <c r="I2272" s="1">
        <f>IF(OR(A2272="",COUNTIFS('Staff Review'!$A$8:$A$507,A2272)&lt;&gt;1),0,MATCH(A2272,'Staff Review'!$A$8:$A$507,0))</f>
        <v>198</v>
      </c>
      <c r="J2272" s="1" t="str">
        <f>IF(I2272=0,"No",IF(INDEX('Staff Review'!$C$8:$C$507,I2272)="Yes","Yes","No"))</f>
        <v>No</v>
      </c>
      <c r="K2272" s="1">
        <f ca="1">IF(AI2272="Yes",INDEX('Staff Review'!$D$8:$D$507,I2272),IF(AB2272=0,"",IF(COUNT(INDEX($C$1531:$C$2030,AB2272))=1,INDEX($C$1531:$C$2030,AB2272),"")))</f>
        <v>0.44693046338504855</v>
      </c>
      <c r="L2272" s="1">
        <f>IF(AJ2272="Yes",INDEX('Staff Review'!$F$8:$F$507,I2272),IF(AB2272=0,"",IF(COUNT(INDEX($G$1531:$G$2030,AB2272))=1,INDEX($G$1531:$G$2030,AB2272),"")))</f>
        <v>9</v>
      </c>
      <c r="M2272" s="1" t="str">
        <f t="shared" ca="1" si="98"/>
        <v>Listed</v>
      </c>
      <c r="N2272" s="1" t="str">
        <f t="shared" si="99"/>
        <v>Listed</v>
      </c>
      <c r="O2272" s="1" t="str">
        <f t="shared" si="100"/>
        <v/>
      </c>
      <c r="P2272" s="1">
        <f t="shared" ca="1" si="101"/>
        <v>10</v>
      </c>
      <c r="Q2272" s="1">
        <f t="shared" si="102"/>
        <v>0</v>
      </c>
      <c r="R2272" s="1" t="str">
        <f t="shared" si="103"/>
        <v/>
      </c>
      <c r="S2272" s="1" t="str">
        <f t="shared" ca="1" si="104"/>
        <v/>
      </c>
      <c r="T2272" s="1" t="str">
        <f ca="1">IF(OR(COUNT(O2272:R2272)&lt;&gt;4,COUNT('Top 25'!$B$45:$E$45)&lt;&gt;4,MIN('Top 25'!$B$45:$E$45)&lt;0,SUM('Top 25'!$B$45:$E$45)&lt;=0),"",ROUND(85*(O2272/30*'Top 25'!$B$45+P2272/25*'Top 25'!$C$45+Q2272/25*'Top 25'!$D$45+R2272/5*'Top 25'!$E$45)/SUM('Top 25'!$B$45:$E$45),6))</f>
        <v/>
      </c>
      <c r="U2272" s="1" t="str">
        <f t="shared" ca="1" si="105"/>
        <v>Listed</v>
      </c>
      <c r="V2272" s="1" t="str">
        <f ca="1">IF(A2272="","",IF(AK2272&lt;&gt;1,"Duplicate source ID",IF(COUNTIFS('Staff Review'!$A$8:$A$507,A2272)&gt;1,"Duplicate review ID",IF(H2272&lt;&gt;"Yes","Outside scope",IF(J2272="Yes","Already served",IF(NOT(ISNUMBER(T2272)),"Missing data","Candidate"))))))</f>
        <v>Missing data</v>
      </c>
      <c r="W2272" s="1" t="str">
        <f t="shared" ca="1" si="106"/>
        <v/>
      </c>
      <c r="X2272" s="1" t="str">
        <f t="shared" ca="1" si="107"/>
        <v/>
      </c>
      <c r="Y2272" s="1">
        <f ca="1">IF(AND(H2272="Yes",OR(LEN('School Search'!$B$5)=0,ISNUMBER(SEARCH('School Search'!$B$5,B2272&amp;" "&amp;E2272&amp;" "&amp;A2272))),OR('School Search'!$D$5="All",C2272='School Search'!$D$5),OR('School Search'!$G$5="All eligible",AND('School Search'!$G$5="Not marked served",J2272&lt;&gt;"Yes"),AND('School Search'!$G$5="Missing data",V2272="Missing data"),AND('School Search'!$G$5="Marked served",J2272="Yes"))),1,0)</f>
        <v>1</v>
      </c>
      <c r="Z2272" s="1">
        <f ca="1">IF(Y2272=0,"",COUNTIFS($Y$2051:$Y$2550,1,$AO$2051:$AO$2550,"&lt;"&amp;AO2272)+COUNTIFS($Y$2051:Y2272,1,$AO$2051:AO2272,AO2272))</f>
        <v>302</v>
      </c>
      <c r="AA2272" s="1" t="str">
        <f t="shared" ca="1" si="108"/>
        <v>Missing demographic or access input</v>
      </c>
      <c r="AB2272" s="1">
        <f t="shared" si="109"/>
        <v>222</v>
      </c>
      <c r="AC2272" s="1" t="str">
        <f t="shared" si="110"/>
        <v>Save A Lot 30224</v>
      </c>
      <c r="AD2272" s="1" t="str">
        <f t="shared" si="111"/>
        <v>2132 E Lehigh Ave, Philadelphia, PA, 19125</v>
      </c>
      <c r="AE2272" s="1" t="str">
        <f t="shared" si="112"/>
        <v>2950 MEMPHIS ST</v>
      </c>
      <c r="AF2272" s="1">
        <f t="shared" si="113"/>
        <v>39.98588986</v>
      </c>
      <c r="AG2272" s="1">
        <f t="shared" si="114"/>
        <v>-75.112859490000005</v>
      </c>
      <c r="AH2272" s="1" t="str">
        <f>IF(I2272=0,"Not contacted",IF(INDEX('Staff Review'!$J$8:$J$507,I2272)="","Not contacted",INDEX('Staff Review'!$J$8:$J$507,I2272)))</f>
        <v>Not contacted</v>
      </c>
      <c r="AI2272" s="1" t="str">
        <f ca="1">IF(I2272=0,"No",IF(AND(COUNT(INDEX('Staff Review'!$D$8:$D$507,I2272))=1,INDEX('Staff Review'!$D$8:$D$507,I2272)&gt;=0,COUNT(INDEX('Staff Review'!$E$8:$E$507,I2272))=1,INDEX('Staff Review'!$E$8:$E$507,I2272)&gt;0,INDEX('Staff Review'!$E$8:$E$507,I2272)&lt;='Top 25'!$E$5,'Top 25'!$E$5-INDEX('Staff Review'!$E$8:$E$507,I2272)&lt;='Top 25'!$H$5,LEN(INDEX('Staff Review'!$H$8:$H$507,I2272))&gt;0),"Yes","No"))</f>
        <v>No</v>
      </c>
      <c r="AJ2272" s="1" t="str">
        <f>IF(I2272=0,"No",IF(COUNT(INDEX('Staff Review'!$F$8:$F$507,I2272))&lt;&gt;1,"No",IF(AND(INDEX('Staff Review'!$F$8:$F$507,I2272)&gt;=0,MOD(INDEX('Staff Review'!$F$8:$F$507,I2272),1)=0,COUNT(INDEX('Staff Review'!$G$8:$G$507,I2272))=1,INDEX('Staff Review'!$G$8:$G$507,I2272)&gt;0,INDEX('Staff Review'!$G$8:$G$507,I2272)&lt;='Top 25'!$E$5,'Top 25'!$E$5-INDEX('Staff Review'!$G$8:$G$507,I2272)&lt;='Top 25'!$H$5,LEN(INDEX('Staff Review'!$H$8:$H$507,I2272))&gt;0),"Yes","No")))</f>
        <v>No</v>
      </c>
      <c r="AK2272" s="1">
        <f t="shared" si="115"/>
        <v>1</v>
      </c>
      <c r="AL2272" s="1">
        <f t="shared" ca="1" si="116"/>
        <v>0</v>
      </c>
      <c r="AM2272" s="1">
        <f t="shared" si="117"/>
        <v>5710</v>
      </c>
      <c r="AN2272" s="1">
        <f t="shared" si="118"/>
        <v>222</v>
      </c>
      <c r="AO2272">
        <f t="shared" ca="1" si="119"/>
        <v>15710</v>
      </c>
      <c r="AP2272" s="105">
        <f ca="1">IF(AND(AL2272=1,OR('Top 25'!$A$10="All",C2272='Top 25'!$A$10),OR('Top 25'!$D$10="All",D2272='Top 25'!$D$10)),1,0)</f>
        <v>0</v>
      </c>
      <c r="AQ2272" s="105" t="str">
        <f ca="1">IF(AP2272=0,"",CHOOSE(MATCH('Top 25'!$G$10,{"Priority score","Economic need","Enrollment","Fresh miles","Nearby resources"},0),T2272,G2272,F2272,K2272,L2272))</f>
        <v/>
      </c>
      <c r="AR2272" s="105" t="str">
        <f ca="1">IF(AP2272=0,"",1+COUNTIFS($AP$2051:$AP$2550,1,$AQ$2051:$AQ$2550,IF('Top 25'!$J$10="Ascending","&lt;","&gt;")&amp;AQ2272)+COUNTIFS($AP$2051:$AP$2550,1,$AQ$2051:$AQ$2550,AQ2272,$W$2051:$W$2550,"&lt;"&amp;W2272))</f>
        <v/>
      </c>
      <c r="AT2272" s="105">
        <f ca="1">IF(AND(AL2272=1,OR(Master_rankableSchools!$A$10="All",C2272=Master_rankableSchools!$A$10),OR(Master_rankableSchools!$D$10="All",D2272=Master_rankableSchools!$D$10)),1,0)</f>
        <v>0</v>
      </c>
      <c r="AU2272" s="105" t="str">
        <f ca="1">IF(AT2272=0,"",CHOOSE(MATCH(Master_rankableSchools!$G$10,{"Priority score","Economic need","Enrollment","Fresh miles","Nearby resources"},0),T2272,G2272,F2272,K2272,L2272))</f>
        <v/>
      </c>
      <c r="AV2272" s="105" t="str">
        <f ca="1">IF(AT2272=0,"",1+COUNTIFS($AT$2051:$AT$2550,1,$AU$2051:$AU$2550,IF(Master_rankableSchools!$J$10="Ascending","&lt;","&gt;")&amp;AU2272)+COUNTIFS($AT$2051:$AT$2550,1,$AU$2051:$AU$2550,AU2272,$W$2051:$W$2550,"&lt;"&amp;W2272))</f>
        <v/>
      </c>
    </row>
    <row r="2273" spans="1:48" ht="22" customHeight="1">
      <c r="A2273" s="1" t="str">
        <f t="shared" si="90"/>
        <v>6010</v>
      </c>
      <c r="B2273" s="1" t="str">
        <f t="shared" si="91"/>
        <v>Central High School</v>
      </c>
      <c r="C2273" s="1" t="str">
        <f t="shared" si="92"/>
        <v>District</v>
      </c>
      <c r="D2273" s="1" t="str">
        <f t="shared" si="93"/>
        <v>High</v>
      </c>
      <c r="E2273" s="1" t="str">
        <f t="shared" si="94"/>
        <v>19141</v>
      </c>
      <c r="F2273" s="1">
        <f t="shared" si="95"/>
        <v>2343</v>
      </c>
      <c r="G2273" s="1">
        <f t="shared" si="96"/>
        <v>0.52729999999999999</v>
      </c>
      <c r="H2273" s="1" t="str">
        <f t="shared" si="97"/>
        <v>Yes</v>
      </c>
      <c r="I2273" s="1">
        <f>IF(OR(A2273="",COUNTIFS('Staff Review'!$A$8:$A$507,A2273)&lt;&gt;1),0,MATCH(A2273,'Staff Review'!$A$8:$A$507,0))</f>
        <v>39</v>
      </c>
      <c r="J2273" s="1" t="str">
        <f>IF(I2273=0,"No",IF(INDEX('Staff Review'!$C$8:$C$507,I2273)="Yes","Yes","No"))</f>
        <v>No</v>
      </c>
      <c r="K2273" s="1">
        <f ca="1">IF(AI2273="Yes",INDEX('Staff Review'!$D$8:$D$507,I2273),IF(AB2273=0,"",IF(COUNT(INDEX($C$1531:$C$2030,AB2273))=1,INDEX($C$1531:$C$2030,AB2273),"")))</f>
        <v>0.52481256973767909</v>
      </c>
      <c r="L2273" s="1">
        <f>IF(AJ2273="Yes",INDEX('Staff Review'!$F$8:$F$507,I2273),IF(AB2273=0,"",IF(COUNT(INDEX($G$1531:$G$2030,AB2273))=1,INDEX($G$1531:$G$2030,AB2273),"")))</f>
        <v>12</v>
      </c>
      <c r="M2273" s="1" t="str">
        <f t="shared" ca="1" si="98"/>
        <v>Listed</v>
      </c>
      <c r="N2273" s="1" t="str">
        <f t="shared" si="99"/>
        <v>Listed</v>
      </c>
      <c r="O2273" s="1">
        <f t="shared" si="100"/>
        <v>10</v>
      </c>
      <c r="P2273" s="1">
        <f t="shared" ca="1" si="101"/>
        <v>15</v>
      </c>
      <c r="Q2273" s="1">
        <f t="shared" si="102"/>
        <v>0</v>
      </c>
      <c r="R2273" s="1">
        <f t="shared" si="103"/>
        <v>5</v>
      </c>
      <c r="S2273" s="1">
        <f t="shared" ca="1" si="104"/>
        <v>30</v>
      </c>
      <c r="T2273" s="1">
        <f ca="1">IF(OR(COUNT(O2273:R2273)&lt;&gt;4,COUNT('Top 25'!$B$45:$E$45)&lt;&gt;4,MIN('Top 25'!$B$45:$E$45)&lt;0,SUM('Top 25'!$B$45:$E$45)&lt;=0),"",ROUND(85*(O2273/30*'Top 25'!$B$45+P2273/25*'Top 25'!$C$45+Q2273/25*'Top 25'!$D$45+R2273/5*'Top 25'!$E$45)/SUM('Top 25'!$B$45:$E$45),6))</f>
        <v>30</v>
      </c>
      <c r="U2273" s="1" t="str">
        <f t="shared" ca="1" si="105"/>
        <v>Listed</v>
      </c>
      <c r="V2273" s="1" t="str">
        <f ca="1">IF(A2273="","",IF(AK2273&lt;&gt;1,"Duplicate source ID",IF(COUNTIFS('Staff Review'!$A$8:$A$507,A2273)&gt;1,"Duplicate review ID",IF(H2273&lt;&gt;"Yes","Outside scope",IF(J2273="Yes","Already served",IF(NOT(ISNUMBER(T2273)),"Missing data","Candidate"))))))</f>
        <v>Candidate</v>
      </c>
      <c r="W2273" s="1">
        <f t="shared" ca="1" si="106"/>
        <v>262</v>
      </c>
      <c r="X2273" s="1">
        <f t="shared" ca="1" si="107"/>
        <v>253</v>
      </c>
      <c r="Y2273" s="1">
        <f ca="1">IF(AND(H2273="Yes",OR(LEN('School Search'!$B$5)=0,ISNUMBER(SEARCH('School Search'!$B$5,B2273&amp;" "&amp;E2273&amp;" "&amp;A2273))),OR('School Search'!$D$5="All",C2273='School Search'!$D$5),OR('School Search'!$G$5="All eligible",AND('School Search'!$G$5="Not marked served",J2273&lt;&gt;"Yes"),AND('School Search'!$G$5="Missing data",V2273="Missing data"),AND('School Search'!$G$5="Marked served",J2273="Yes"))),1,0)</f>
        <v>1</v>
      </c>
      <c r="Z2273" s="1">
        <f ca="1">IF(Y2273=0,"",COUNTIFS($Y$2051:$Y$2550,1,$AO$2051:$AO$2550,"&lt;"&amp;AO2273)+COUNTIFS($Y$2051:Y2273,1,$AO$2051:AO2273,AO2273))</f>
        <v>262</v>
      </c>
      <c r="AA2273" s="1" t="str">
        <f t="shared" ca="1" si="108"/>
        <v>53% economic need; 0.52 mi fresh access; 12 nearby resources</v>
      </c>
      <c r="AB2273" s="1">
        <f t="shared" si="109"/>
        <v>223</v>
      </c>
      <c r="AC2273" s="1" t="str">
        <f t="shared" si="110"/>
        <v>THE FRESH GROCER</v>
      </c>
      <c r="AD2273" s="1" t="str">
        <f t="shared" si="111"/>
        <v>5301 Chew Ave, Philadelphia, PA, 19138</v>
      </c>
      <c r="AE2273" s="1" t="str">
        <f t="shared" si="112"/>
        <v>1700 W OLNEY AVE</v>
      </c>
      <c r="AF2273" s="1">
        <f t="shared" si="113"/>
        <v>40.037285099999998</v>
      </c>
      <c r="AG2273" s="1">
        <f t="shared" si="114"/>
        <v>-75.150748250000007</v>
      </c>
      <c r="AH2273" s="1" t="str">
        <f>IF(I2273=0,"Not contacted",IF(INDEX('Staff Review'!$J$8:$J$507,I2273)="","Not contacted",INDEX('Staff Review'!$J$8:$J$507,I2273)))</f>
        <v>Not contacted</v>
      </c>
      <c r="AI2273" s="1" t="str">
        <f ca="1">IF(I2273=0,"No",IF(AND(COUNT(INDEX('Staff Review'!$D$8:$D$507,I2273))=1,INDEX('Staff Review'!$D$8:$D$507,I2273)&gt;=0,COUNT(INDEX('Staff Review'!$E$8:$E$507,I2273))=1,INDEX('Staff Review'!$E$8:$E$507,I2273)&gt;0,INDEX('Staff Review'!$E$8:$E$507,I2273)&lt;='Top 25'!$E$5,'Top 25'!$E$5-INDEX('Staff Review'!$E$8:$E$507,I2273)&lt;='Top 25'!$H$5,LEN(INDEX('Staff Review'!$H$8:$H$507,I2273))&gt;0),"Yes","No"))</f>
        <v>No</v>
      </c>
      <c r="AJ2273" s="1" t="str">
        <f>IF(I2273=0,"No",IF(COUNT(INDEX('Staff Review'!$F$8:$F$507,I2273))&lt;&gt;1,"No",IF(AND(INDEX('Staff Review'!$F$8:$F$507,I2273)&gt;=0,MOD(INDEX('Staff Review'!$F$8:$F$507,I2273),1)=0,COUNT(INDEX('Staff Review'!$G$8:$G$507,I2273))=1,INDEX('Staff Review'!$G$8:$G$507,I2273)&gt;0,INDEX('Staff Review'!$G$8:$G$507,I2273)&lt;='Top 25'!$E$5,'Top 25'!$E$5-INDEX('Staff Review'!$G$8:$G$507,I2273)&lt;='Top 25'!$H$5,LEN(INDEX('Staff Review'!$H$8:$H$507,I2273))&gt;0),"Yes","No")))</f>
        <v>No</v>
      </c>
      <c r="AK2273" s="1">
        <f t="shared" si="115"/>
        <v>1</v>
      </c>
      <c r="AL2273" s="1">
        <f t="shared" ca="1" si="116"/>
        <v>1</v>
      </c>
      <c r="AM2273" s="1">
        <f t="shared" si="117"/>
        <v>6010</v>
      </c>
      <c r="AN2273" s="1">
        <f t="shared" si="118"/>
        <v>223</v>
      </c>
      <c r="AO2273">
        <f t="shared" ca="1" si="119"/>
        <v>262</v>
      </c>
      <c r="AP2273" s="105">
        <f ca="1">IF(AND(AL2273=1,OR('Top 25'!$A$10="All",C2273='Top 25'!$A$10),OR('Top 25'!$D$10="All",D2273='Top 25'!$D$10)),1,0)</f>
        <v>0</v>
      </c>
      <c r="AQ2273" s="105" t="str">
        <f ca="1">IF(AP2273=0,"",CHOOSE(MATCH('Top 25'!$G$10,{"Priority score","Economic need","Enrollment","Fresh miles","Nearby resources"},0),T2273,G2273,F2273,K2273,L2273))</f>
        <v/>
      </c>
      <c r="AR2273" s="105" t="str">
        <f ca="1">IF(AP2273=0,"",1+COUNTIFS($AP$2051:$AP$2550,1,$AQ$2051:$AQ$2550,IF('Top 25'!$J$10="Ascending","&lt;","&gt;")&amp;AQ2273)+COUNTIFS($AP$2051:$AP$2550,1,$AQ$2051:$AQ$2550,AQ2273,$W$2051:$W$2550,"&lt;"&amp;W2273))</f>
        <v/>
      </c>
      <c r="AT2273" s="105">
        <f ca="1">IF(AND(AL2273=1,OR(Master_rankableSchools!$A$10="All",C2273=Master_rankableSchools!$A$10),OR(Master_rankableSchools!$D$10="All",D2273=Master_rankableSchools!$D$10)),1,0)</f>
        <v>1</v>
      </c>
      <c r="AU2273" s="105">
        <f ca="1">IF(AT2273=0,"",CHOOSE(MATCH(Master_rankableSchools!$G$10,{"Priority score","Economic need","Enrollment","Fresh miles","Nearby resources"},0),T2273,G2273,F2273,K2273,L2273))</f>
        <v>30</v>
      </c>
      <c r="AV2273" s="105">
        <f ca="1">IF(AT2273=0,"",1+COUNTIFS($AT$2051:$AT$2550,1,$AU$2051:$AU$2550,IF(Master_rankableSchools!$J$10="Ascending","&lt;","&gt;")&amp;AU2273)+COUNTIFS($AT$2051:$AT$2550,1,$AU$2051:$AU$2550,AU2273,$W$2051:$W$2550,"&lt;"&amp;W2273))</f>
        <v>262</v>
      </c>
    </row>
    <row r="2274" spans="1:48" ht="22" customHeight="1">
      <c r="A2274" s="1" t="str">
        <f t="shared" si="90"/>
        <v>6030</v>
      </c>
      <c r="B2274" s="1" t="str">
        <f t="shared" si="91"/>
        <v>Roxborough High School</v>
      </c>
      <c r="C2274" s="1" t="str">
        <f t="shared" si="92"/>
        <v>District</v>
      </c>
      <c r="D2274" s="1" t="str">
        <f t="shared" si="93"/>
        <v>High</v>
      </c>
      <c r="E2274" s="1" t="str">
        <f t="shared" si="94"/>
        <v>19128</v>
      </c>
      <c r="F2274" s="1">
        <f t="shared" si="95"/>
        <v>529</v>
      </c>
      <c r="G2274" s="1">
        <f t="shared" si="96"/>
        <v>0.77939999999999998</v>
      </c>
      <c r="H2274" s="1" t="str">
        <f t="shared" si="97"/>
        <v>Yes</v>
      </c>
      <c r="I2274" s="1">
        <f>IF(OR(A2274="",COUNTIFS('Staff Review'!$A$8:$A$507,A2274)&lt;&gt;1),0,MATCH(A2274,'Staff Review'!$A$8:$A$507,0))</f>
        <v>255</v>
      </c>
      <c r="J2274" s="1" t="str">
        <f>IF(I2274=0,"No",IF(INDEX('Staff Review'!$C$8:$C$507,I2274)="Yes","Yes","No"))</f>
        <v>No</v>
      </c>
      <c r="K2274" s="1">
        <f ca="1">IF(AI2274="Yes",INDEX('Staff Review'!$D$8:$D$507,I2274),IF(AB2274=0,"",IF(COUNT(INDEX($C$1531:$C$2030,AB2274))=1,INDEX($C$1531:$C$2030,AB2274),"")))</f>
        <v>0.44340961937886253</v>
      </c>
      <c r="L2274" s="1">
        <f>IF(AJ2274="Yes",INDEX('Staff Review'!$F$8:$F$507,I2274),IF(AB2274=0,"",IF(COUNT(INDEX($G$1531:$G$2030,AB2274))=1,INDEX($G$1531:$G$2030,AB2274),"")))</f>
        <v>1</v>
      </c>
      <c r="M2274" s="1" t="str">
        <f t="shared" ca="1" si="98"/>
        <v>Listed</v>
      </c>
      <c r="N2274" s="1" t="str">
        <f t="shared" si="99"/>
        <v>Listed</v>
      </c>
      <c r="O2274" s="1">
        <f t="shared" si="100"/>
        <v>20</v>
      </c>
      <c r="P2274" s="1">
        <f t="shared" ca="1" si="101"/>
        <v>10</v>
      </c>
      <c r="Q2274" s="1">
        <f t="shared" si="102"/>
        <v>20</v>
      </c>
      <c r="R2274" s="1">
        <f t="shared" si="103"/>
        <v>4</v>
      </c>
      <c r="S2274" s="1">
        <f t="shared" ca="1" si="104"/>
        <v>54</v>
      </c>
      <c r="T2274" s="1">
        <f ca="1">IF(OR(COUNT(O2274:R2274)&lt;&gt;4,COUNT('Top 25'!$B$45:$E$45)&lt;&gt;4,MIN('Top 25'!$B$45:$E$45)&lt;0,SUM('Top 25'!$B$45:$E$45)&lt;=0),"",ROUND(85*(O2274/30*'Top 25'!$B$45+P2274/25*'Top 25'!$C$45+Q2274/25*'Top 25'!$D$45+R2274/5*'Top 25'!$E$45)/SUM('Top 25'!$B$45:$E$45),6))</f>
        <v>54</v>
      </c>
      <c r="U2274" s="1" t="str">
        <f t="shared" ca="1" si="105"/>
        <v>Listed</v>
      </c>
      <c r="V2274" s="1" t="str">
        <f ca="1">IF(A2274="","",IF(AK2274&lt;&gt;1,"Duplicate source ID",IF(COUNTIFS('Staff Review'!$A$8:$A$507,A2274)&gt;1,"Duplicate review ID",IF(H2274&lt;&gt;"Yes","Outside scope",IF(J2274="Yes","Already served",IF(NOT(ISNUMBER(T2274)),"Missing data","Candidate"))))))</f>
        <v>Candidate</v>
      </c>
      <c r="W2274" s="1">
        <f t="shared" ca="1" si="106"/>
        <v>33</v>
      </c>
      <c r="X2274" s="1">
        <f t="shared" ca="1" si="107"/>
        <v>33</v>
      </c>
      <c r="Y2274" s="1">
        <f ca="1">IF(AND(H2274="Yes",OR(LEN('School Search'!$B$5)=0,ISNUMBER(SEARCH('School Search'!$B$5,B2274&amp;" "&amp;E2274&amp;" "&amp;A2274))),OR('School Search'!$D$5="All",C2274='School Search'!$D$5),OR('School Search'!$G$5="All eligible",AND('School Search'!$G$5="Not marked served",J2274&lt;&gt;"Yes"),AND('School Search'!$G$5="Missing data",V2274="Missing data"),AND('School Search'!$G$5="Marked served",J2274="Yes"))),1,0)</f>
        <v>1</v>
      </c>
      <c r="Z2274" s="1">
        <f ca="1">IF(Y2274=0,"",COUNTIFS($Y$2051:$Y$2550,1,$AO$2051:$AO$2550,"&lt;"&amp;AO2274)+COUNTIFS($Y$2051:Y2274,1,$AO$2051:AO2274,AO2274))</f>
        <v>33</v>
      </c>
      <c r="AA2274" s="1" t="str">
        <f t="shared" ca="1" si="108"/>
        <v>78% economic need; 0.44 mi fresh access; 1 nearby resources</v>
      </c>
      <c r="AB2274" s="1">
        <f t="shared" si="109"/>
        <v>224</v>
      </c>
      <c r="AC2274" s="1" t="str">
        <f t="shared" si="110"/>
        <v>Shop Rite of Roxborough 519</v>
      </c>
      <c r="AD2274" s="1" t="str">
        <f t="shared" si="111"/>
        <v>6901 Ridge Ave, Philadelphia, PA, 19128</v>
      </c>
      <c r="AE2274" s="1" t="str">
        <f t="shared" si="112"/>
        <v>6498 RIDGE AVE</v>
      </c>
      <c r="AF2274" s="1">
        <f t="shared" si="113"/>
        <v>40.038024790000001</v>
      </c>
      <c r="AG2274" s="1">
        <f t="shared" si="114"/>
        <v>-75.222833570000006</v>
      </c>
      <c r="AH2274" s="1" t="str">
        <f>IF(I2274=0,"Not contacted",IF(INDEX('Staff Review'!$J$8:$J$507,I2274)="","Not contacted",INDEX('Staff Review'!$J$8:$J$507,I2274)))</f>
        <v>Not contacted</v>
      </c>
      <c r="AI2274" s="1" t="str">
        <f ca="1">IF(I2274=0,"No",IF(AND(COUNT(INDEX('Staff Review'!$D$8:$D$507,I2274))=1,INDEX('Staff Review'!$D$8:$D$507,I2274)&gt;=0,COUNT(INDEX('Staff Review'!$E$8:$E$507,I2274))=1,INDEX('Staff Review'!$E$8:$E$507,I2274)&gt;0,INDEX('Staff Review'!$E$8:$E$507,I2274)&lt;='Top 25'!$E$5,'Top 25'!$E$5-INDEX('Staff Review'!$E$8:$E$507,I2274)&lt;='Top 25'!$H$5,LEN(INDEX('Staff Review'!$H$8:$H$507,I2274))&gt;0),"Yes","No"))</f>
        <v>No</v>
      </c>
      <c r="AJ2274" s="1" t="str">
        <f>IF(I2274=0,"No",IF(COUNT(INDEX('Staff Review'!$F$8:$F$507,I2274))&lt;&gt;1,"No",IF(AND(INDEX('Staff Review'!$F$8:$F$507,I2274)&gt;=0,MOD(INDEX('Staff Review'!$F$8:$F$507,I2274),1)=0,COUNT(INDEX('Staff Review'!$G$8:$G$507,I2274))=1,INDEX('Staff Review'!$G$8:$G$507,I2274)&gt;0,INDEX('Staff Review'!$G$8:$G$507,I2274)&lt;='Top 25'!$E$5,'Top 25'!$E$5-INDEX('Staff Review'!$G$8:$G$507,I2274)&lt;='Top 25'!$H$5,LEN(INDEX('Staff Review'!$H$8:$H$507,I2274))&gt;0),"Yes","No")))</f>
        <v>No</v>
      </c>
      <c r="AK2274" s="1">
        <f t="shared" si="115"/>
        <v>1</v>
      </c>
      <c r="AL2274" s="1">
        <f t="shared" ca="1" si="116"/>
        <v>1</v>
      </c>
      <c r="AM2274" s="1">
        <f t="shared" si="117"/>
        <v>6030</v>
      </c>
      <c r="AN2274" s="1">
        <f t="shared" si="118"/>
        <v>224</v>
      </c>
      <c r="AO2274">
        <f t="shared" ca="1" si="119"/>
        <v>33</v>
      </c>
      <c r="AP2274" s="105">
        <f ca="1">IF(AND(AL2274=1,OR('Top 25'!$A$10="All",C2274='Top 25'!$A$10),OR('Top 25'!$D$10="All",D2274='Top 25'!$D$10)),1,0)</f>
        <v>0</v>
      </c>
      <c r="AQ2274" s="105" t="str">
        <f ca="1">IF(AP2274=0,"",CHOOSE(MATCH('Top 25'!$G$10,{"Priority score","Economic need","Enrollment","Fresh miles","Nearby resources"},0),T2274,G2274,F2274,K2274,L2274))</f>
        <v/>
      </c>
      <c r="AR2274" s="105" t="str">
        <f ca="1">IF(AP2274=0,"",1+COUNTIFS($AP$2051:$AP$2550,1,$AQ$2051:$AQ$2550,IF('Top 25'!$J$10="Ascending","&lt;","&gt;")&amp;AQ2274)+COUNTIFS($AP$2051:$AP$2550,1,$AQ$2051:$AQ$2550,AQ2274,$W$2051:$W$2550,"&lt;"&amp;W2274))</f>
        <v/>
      </c>
      <c r="AT2274" s="105">
        <f ca="1">IF(AND(AL2274=1,OR(Master_rankableSchools!$A$10="All",C2274=Master_rankableSchools!$A$10),OR(Master_rankableSchools!$D$10="All",D2274=Master_rankableSchools!$D$10)),1,0)</f>
        <v>1</v>
      </c>
      <c r="AU2274" s="105">
        <f ca="1">IF(AT2274=0,"",CHOOSE(MATCH(Master_rankableSchools!$G$10,{"Priority score","Economic need","Enrollment","Fresh miles","Nearby resources"},0),T2274,G2274,F2274,K2274,L2274))</f>
        <v>54</v>
      </c>
      <c r="AV2274" s="105">
        <f ca="1">IF(AT2274=0,"",1+COUNTIFS($AT$2051:$AT$2550,1,$AU$2051:$AU$2550,IF(Master_rankableSchools!$J$10="Ascending","&lt;","&gt;")&amp;AU2274)+COUNTIFS($AT$2051:$AT$2550,1,$AU$2051:$AU$2550,AU2274,$W$2051:$W$2550,"&lt;"&amp;W2274))</f>
        <v>33</v>
      </c>
    </row>
    <row r="2275" spans="1:48" ht="22" customHeight="1">
      <c r="A2275" s="1" t="str">
        <f t="shared" si="90"/>
        <v>6040</v>
      </c>
      <c r="B2275" s="1" t="str">
        <f t="shared" si="91"/>
        <v>Walter B. Saul High School</v>
      </c>
      <c r="C2275" s="1" t="str">
        <f t="shared" si="92"/>
        <v>District</v>
      </c>
      <c r="D2275" s="1" t="str">
        <f t="shared" si="93"/>
        <v>High</v>
      </c>
      <c r="E2275" s="1" t="str">
        <f t="shared" si="94"/>
        <v>19128</v>
      </c>
      <c r="F2275" s="1">
        <f t="shared" si="95"/>
        <v>406</v>
      </c>
      <c r="G2275" s="1">
        <f t="shared" si="96"/>
        <v>0.67400000000000004</v>
      </c>
      <c r="H2275" s="1" t="str">
        <f t="shared" si="97"/>
        <v>Yes</v>
      </c>
      <c r="I2275" s="1">
        <f>IF(OR(A2275="",COUNTIFS('Staff Review'!$A$8:$A$507,A2275)&lt;&gt;1),0,MATCH(A2275,'Staff Review'!$A$8:$A$507,0))</f>
        <v>305</v>
      </c>
      <c r="J2275" s="1" t="str">
        <f>IF(I2275=0,"No",IF(INDEX('Staff Review'!$C$8:$C$507,I2275)="Yes","Yes","No"))</f>
        <v>No</v>
      </c>
      <c r="K2275" s="1">
        <f ca="1">IF(AI2275="Yes",INDEX('Staff Review'!$D$8:$D$507,I2275),IF(AB2275=0,"",IF(COUNT(INDEX($C$1531:$C$2030,AB2275))=1,INDEX($C$1531:$C$2030,AB2275),"")))</f>
        <v>0.56905153586304957</v>
      </c>
      <c r="L2275" s="1">
        <f>IF(AJ2275="Yes",INDEX('Staff Review'!$F$8:$F$507,I2275),IF(AB2275=0,"",IF(COUNT(INDEX($G$1531:$G$2030,AB2275))=1,INDEX($G$1531:$G$2030,AB2275),"")))</f>
        <v>0</v>
      </c>
      <c r="M2275" s="1" t="str">
        <f t="shared" ca="1" si="98"/>
        <v>Listed</v>
      </c>
      <c r="N2275" s="1" t="str">
        <f t="shared" si="99"/>
        <v>Listed</v>
      </c>
      <c r="O2275" s="1">
        <f t="shared" si="100"/>
        <v>15</v>
      </c>
      <c r="P2275" s="1">
        <f t="shared" ca="1" si="101"/>
        <v>15</v>
      </c>
      <c r="Q2275" s="1">
        <f t="shared" si="102"/>
        <v>25</v>
      </c>
      <c r="R2275" s="1">
        <f t="shared" si="103"/>
        <v>3</v>
      </c>
      <c r="S2275" s="1">
        <f t="shared" ca="1" si="104"/>
        <v>58</v>
      </c>
      <c r="T2275" s="1">
        <f ca="1">IF(OR(COUNT(O2275:R2275)&lt;&gt;4,COUNT('Top 25'!$B$45:$E$45)&lt;&gt;4,MIN('Top 25'!$B$45:$E$45)&lt;0,SUM('Top 25'!$B$45:$E$45)&lt;=0),"",ROUND(85*(O2275/30*'Top 25'!$B$45+P2275/25*'Top 25'!$C$45+Q2275/25*'Top 25'!$D$45+R2275/5*'Top 25'!$E$45)/SUM('Top 25'!$B$45:$E$45),6))</f>
        <v>58</v>
      </c>
      <c r="U2275" s="1" t="str">
        <f t="shared" ca="1" si="105"/>
        <v>Listed</v>
      </c>
      <c r="V2275" s="1" t="str">
        <f ca="1">IF(A2275="","",IF(AK2275&lt;&gt;1,"Duplicate source ID",IF(COUNTIFS('Staff Review'!$A$8:$A$507,A2275)&gt;1,"Duplicate review ID",IF(H2275&lt;&gt;"Yes","Outside scope",IF(J2275="Yes","Already served",IF(NOT(ISNUMBER(T2275)),"Missing data","Candidate"))))))</f>
        <v>Candidate</v>
      </c>
      <c r="W2275" s="1">
        <f t="shared" ca="1" si="106"/>
        <v>18</v>
      </c>
      <c r="X2275" s="1">
        <f t="shared" ca="1" si="107"/>
        <v>17</v>
      </c>
      <c r="Y2275" s="1">
        <f ca="1">IF(AND(H2275="Yes",OR(LEN('School Search'!$B$5)=0,ISNUMBER(SEARCH('School Search'!$B$5,B2275&amp;" "&amp;E2275&amp;" "&amp;A2275))),OR('School Search'!$D$5="All",C2275='School Search'!$D$5),OR('School Search'!$G$5="All eligible",AND('School Search'!$G$5="Not marked served",J2275&lt;&gt;"Yes"),AND('School Search'!$G$5="Missing data",V2275="Missing data"),AND('School Search'!$G$5="Marked served",J2275="Yes"))),1,0)</f>
        <v>1</v>
      </c>
      <c r="Z2275" s="1">
        <f ca="1">IF(Y2275=0,"",COUNTIFS($Y$2051:$Y$2550,1,$AO$2051:$AO$2550,"&lt;"&amp;AO2275)+COUNTIFS($Y$2051:Y2275,1,$AO$2051:AO2275,AO2275))</f>
        <v>18</v>
      </c>
      <c r="AA2275" s="1" t="str">
        <f t="shared" ca="1" si="108"/>
        <v>67% economic need; 0.57 mi fresh access; 0 nearby resources</v>
      </c>
      <c r="AB2275" s="1">
        <f t="shared" si="109"/>
        <v>225</v>
      </c>
      <c r="AC2275" s="1" t="str">
        <f t="shared" si="110"/>
        <v>Shop Rite of Roxborough 519</v>
      </c>
      <c r="AD2275" s="1" t="str">
        <f t="shared" si="111"/>
        <v>6901 Ridge Ave, Philadelphia, PA, 19128</v>
      </c>
      <c r="AE2275" s="1" t="str">
        <f t="shared" si="112"/>
        <v>7100 HENRY AVE</v>
      </c>
      <c r="AF2275" s="1">
        <f t="shared" si="113"/>
        <v>40.04902036</v>
      </c>
      <c r="AG2275" s="1">
        <f t="shared" si="114"/>
        <v>-75.21981676</v>
      </c>
      <c r="AH2275" s="1" t="str">
        <f>IF(I2275=0,"Not contacted",IF(INDEX('Staff Review'!$J$8:$J$507,I2275)="","Not contacted",INDEX('Staff Review'!$J$8:$J$507,I2275)))</f>
        <v>Not contacted</v>
      </c>
      <c r="AI2275" s="1" t="str">
        <f ca="1">IF(I2275=0,"No",IF(AND(COUNT(INDEX('Staff Review'!$D$8:$D$507,I2275))=1,INDEX('Staff Review'!$D$8:$D$507,I2275)&gt;=0,COUNT(INDEX('Staff Review'!$E$8:$E$507,I2275))=1,INDEX('Staff Review'!$E$8:$E$507,I2275)&gt;0,INDEX('Staff Review'!$E$8:$E$507,I2275)&lt;='Top 25'!$E$5,'Top 25'!$E$5-INDEX('Staff Review'!$E$8:$E$507,I2275)&lt;='Top 25'!$H$5,LEN(INDEX('Staff Review'!$H$8:$H$507,I2275))&gt;0),"Yes","No"))</f>
        <v>No</v>
      </c>
      <c r="AJ2275" s="1" t="str">
        <f>IF(I2275=0,"No",IF(COUNT(INDEX('Staff Review'!$F$8:$F$507,I2275))&lt;&gt;1,"No",IF(AND(INDEX('Staff Review'!$F$8:$F$507,I2275)&gt;=0,MOD(INDEX('Staff Review'!$F$8:$F$507,I2275),1)=0,COUNT(INDEX('Staff Review'!$G$8:$G$507,I2275))=1,INDEX('Staff Review'!$G$8:$G$507,I2275)&gt;0,INDEX('Staff Review'!$G$8:$G$507,I2275)&lt;='Top 25'!$E$5,'Top 25'!$E$5-INDEX('Staff Review'!$G$8:$G$507,I2275)&lt;='Top 25'!$H$5,LEN(INDEX('Staff Review'!$H$8:$H$507,I2275))&gt;0),"Yes","No")))</f>
        <v>No</v>
      </c>
      <c r="AK2275" s="1">
        <f t="shared" si="115"/>
        <v>1</v>
      </c>
      <c r="AL2275" s="1">
        <f t="shared" ca="1" si="116"/>
        <v>1</v>
      </c>
      <c r="AM2275" s="1">
        <f t="shared" si="117"/>
        <v>6040</v>
      </c>
      <c r="AN2275" s="1">
        <f t="shared" si="118"/>
        <v>225</v>
      </c>
      <c r="AO2275">
        <f t="shared" ca="1" si="119"/>
        <v>18</v>
      </c>
      <c r="AP2275" s="105">
        <f ca="1">IF(AND(AL2275=1,OR('Top 25'!$A$10="All",C2275='Top 25'!$A$10),OR('Top 25'!$D$10="All",D2275='Top 25'!$D$10)),1,0)</f>
        <v>0</v>
      </c>
      <c r="AQ2275" s="105" t="str">
        <f ca="1">IF(AP2275=0,"",CHOOSE(MATCH('Top 25'!$G$10,{"Priority score","Economic need","Enrollment","Fresh miles","Nearby resources"},0),T2275,G2275,F2275,K2275,L2275))</f>
        <v/>
      </c>
      <c r="AR2275" s="105" t="str">
        <f ca="1">IF(AP2275=0,"",1+COUNTIFS($AP$2051:$AP$2550,1,$AQ$2051:$AQ$2550,IF('Top 25'!$J$10="Ascending","&lt;","&gt;")&amp;AQ2275)+COUNTIFS($AP$2051:$AP$2550,1,$AQ$2051:$AQ$2550,AQ2275,$W$2051:$W$2550,"&lt;"&amp;W2275))</f>
        <v/>
      </c>
      <c r="AT2275" s="105">
        <f ca="1">IF(AND(AL2275=1,OR(Master_rankableSchools!$A$10="All",C2275=Master_rankableSchools!$A$10),OR(Master_rankableSchools!$D$10="All",D2275=Master_rankableSchools!$D$10)),1,0)</f>
        <v>1</v>
      </c>
      <c r="AU2275" s="105">
        <f ca="1">IF(AT2275=0,"",CHOOSE(MATCH(Master_rankableSchools!$G$10,{"Priority score","Economic need","Enrollment","Fresh miles","Nearby resources"},0),T2275,G2275,F2275,K2275,L2275))</f>
        <v>58</v>
      </c>
      <c r="AV2275" s="105">
        <f ca="1">IF(AT2275=0,"",1+COUNTIFS($AT$2051:$AT$2550,1,$AU$2051:$AU$2550,IF(Master_rankableSchools!$J$10="Ascending","&lt;","&gt;")&amp;AU2275)+COUNTIFS($AT$2051:$AT$2550,1,$AU$2051:$AU$2550,AU2275,$W$2051:$W$2550,"&lt;"&amp;W2275))</f>
        <v>18</v>
      </c>
    </row>
    <row r="2276" spans="1:48" ht="22" customHeight="1">
      <c r="A2276" s="1" t="str">
        <f t="shared" si="90"/>
        <v>6050</v>
      </c>
      <c r="B2276" s="1" t="str">
        <f t="shared" si="91"/>
        <v>Philadelphia High School for Girls</v>
      </c>
      <c r="C2276" s="1" t="str">
        <f t="shared" si="92"/>
        <v>District</v>
      </c>
      <c r="D2276" s="1" t="str">
        <f t="shared" si="93"/>
        <v>High</v>
      </c>
      <c r="E2276" s="1" t="str">
        <f t="shared" si="94"/>
        <v>19141</v>
      </c>
      <c r="F2276" s="1">
        <f t="shared" si="95"/>
        <v>592</v>
      </c>
      <c r="G2276" s="1">
        <f t="shared" si="96"/>
        <v>0.68710000000000004</v>
      </c>
      <c r="H2276" s="1" t="str">
        <f t="shared" si="97"/>
        <v>Yes</v>
      </c>
      <c r="I2276" s="1">
        <f>IF(OR(A2276="",COUNTIFS('Staff Review'!$A$8:$A$507,A2276)&lt;&gt;1),0,MATCH(A2276,'Staff Review'!$A$8:$A$507,0))</f>
        <v>235</v>
      </c>
      <c r="J2276" s="1" t="str">
        <f>IF(I2276=0,"No",IF(INDEX('Staff Review'!$C$8:$C$507,I2276)="Yes","Yes","No"))</f>
        <v>No</v>
      </c>
      <c r="K2276" s="1">
        <f ca="1">IF(AI2276="Yes",INDEX('Staff Review'!$D$8:$D$507,I2276),IF(AB2276=0,"",IF(COUNT(INDEX($C$1531:$C$2030,AB2276))=1,INDEX($C$1531:$C$2030,AB2276),"")))</f>
        <v>0.6142739073848581</v>
      </c>
      <c r="L2276" s="1">
        <f>IF(AJ2276="Yes",INDEX('Staff Review'!$F$8:$F$507,I2276),IF(AB2276=0,"",IF(COUNT(INDEX($G$1531:$G$2030,AB2276))=1,INDEX($G$1531:$G$2030,AB2276),"")))</f>
        <v>9</v>
      </c>
      <c r="M2276" s="1" t="str">
        <f t="shared" ca="1" si="98"/>
        <v>Listed</v>
      </c>
      <c r="N2276" s="1" t="str">
        <f t="shared" si="99"/>
        <v>Listed</v>
      </c>
      <c r="O2276" s="1">
        <f t="shared" si="100"/>
        <v>15</v>
      </c>
      <c r="P2276" s="1">
        <f t="shared" ca="1" si="101"/>
        <v>15</v>
      </c>
      <c r="Q2276" s="1">
        <f t="shared" si="102"/>
        <v>0</v>
      </c>
      <c r="R2276" s="1">
        <f t="shared" si="103"/>
        <v>4</v>
      </c>
      <c r="S2276" s="1">
        <f t="shared" ca="1" si="104"/>
        <v>34</v>
      </c>
      <c r="T2276" s="1">
        <f ca="1">IF(OR(COUNT(O2276:R2276)&lt;&gt;4,COUNT('Top 25'!$B$45:$E$45)&lt;&gt;4,MIN('Top 25'!$B$45:$E$45)&lt;0,SUM('Top 25'!$B$45:$E$45)&lt;=0),"",ROUND(85*(O2276/30*'Top 25'!$B$45+P2276/25*'Top 25'!$C$45+Q2276/25*'Top 25'!$D$45+R2276/5*'Top 25'!$E$45)/SUM('Top 25'!$B$45:$E$45),6))</f>
        <v>34</v>
      </c>
      <c r="U2276" s="1" t="str">
        <f t="shared" ca="1" si="105"/>
        <v>Listed</v>
      </c>
      <c r="V2276" s="1" t="str">
        <f ca="1">IF(A2276="","",IF(AK2276&lt;&gt;1,"Duplicate source ID",IF(COUNTIFS('Staff Review'!$A$8:$A$507,A2276)&gt;1,"Duplicate review ID",IF(H2276&lt;&gt;"Yes","Outside scope",IF(J2276="Yes","Already served",IF(NOT(ISNUMBER(T2276)),"Missing data","Candidate"))))))</f>
        <v>Candidate</v>
      </c>
      <c r="W2276" s="1">
        <f t="shared" ca="1" si="106"/>
        <v>231</v>
      </c>
      <c r="X2276" s="1">
        <f t="shared" ca="1" si="107"/>
        <v>221</v>
      </c>
      <c r="Y2276" s="1">
        <f ca="1">IF(AND(H2276="Yes",OR(LEN('School Search'!$B$5)=0,ISNUMBER(SEARCH('School Search'!$B$5,B2276&amp;" "&amp;E2276&amp;" "&amp;A2276))),OR('School Search'!$D$5="All",C2276='School Search'!$D$5),OR('School Search'!$G$5="All eligible",AND('School Search'!$G$5="Not marked served",J2276&lt;&gt;"Yes"),AND('School Search'!$G$5="Missing data",V2276="Missing data"),AND('School Search'!$G$5="Marked served",J2276="Yes"))),1,0)</f>
        <v>1</v>
      </c>
      <c r="Z2276" s="1">
        <f ca="1">IF(Y2276=0,"",COUNTIFS($Y$2051:$Y$2550,1,$AO$2051:$AO$2550,"&lt;"&amp;AO2276)+COUNTIFS($Y$2051:Y2276,1,$AO$2051:AO2276,AO2276))</f>
        <v>231</v>
      </c>
      <c r="AA2276" s="1" t="str">
        <f t="shared" ca="1" si="108"/>
        <v>69% economic need; 0.61 mi fresh access; 9 nearby resources</v>
      </c>
      <c r="AB2276" s="1">
        <f t="shared" si="109"/>
        <v>226</v>
      </c>
      <c r="AC2276" s="1" t="str">
        <f t="shared" si="110"/>
        <v>ALDI 60011 60011</v>
      </c>
      <c r="AD2276" s="1" t="str">
        <f t="shared" si="111"/>
        <v>6119 N Broad St, Philadelphia, PA, 19141</v>
      </c>
      <c r="AE2276" s="1" t="str">
        <f t="shared" si="112"/>
        <v>1400 W OLNEY AVE</v>
      </c>
      <c r="AF2276" s="1">
        <f t="shared" si="113"/>
        <v>40.038314200000002</v>
      </c>
      <c r="AG2276" s="1">
        <f t="shared" si="114"/>
        <v>-75.146055599999997</v>
      </c>
      <c r="AH2276" s="1" t="str">
        <f>IF(I2276=0,"Not contacted",IF(INDEX('Staff Review'!$J$8:$J$507,I2276)="","Not contacted",INDEX('Staff Review'!$J$8:$J$507,I2276)))</f>
        <v>Not contacted</v>
      </c>
      <c r="AI2276" s="1" t="str">
        <f ca="1">IF(I2276=0,"No",IF(AND(COUNT(INDEX('Staff Review'!$D$8:$D$507,I2276))=1,INDEX('Staff Review'!$D$8:$D$507,I2276)&gt;=0,COUNT(INDEX('Staff Review'!$E$8:$E$507,I2276))=1,INDEX('Staff Review'!$E$8:$E$507,I2276)&gt;0,INDEX('Staff Review'!$E$8:$E$507,I2276)&lt;='Top 25'!$E$5,'Top 25'!$E$5-INDEX('Staff Review'!$E$8:$E$507,I2276)&lt;='Top 25'!$H$5,LEN(INDEX('Staff Review'!$H$8:$H$507,I2276))&gt;0),"Yes","No"))</f>
        <v>No</v>
      </c>
      <c r="AJ2276" s="1" t="str">
        <f>IF(I2276=0,"No",IF(COUNT(INDEX('Staff Review'!$F$8:$F$507,I2276))&lt;&gt;1,"No",IF(AND(INDEX('Staff Review'!$F$8:$F$507,I2276)&gt;=0,MOD(INDEX('Staff Review'!$F$8:$F$507,I2276),1)=0,COUNT(INDEX('Staff Review'!$G$8:$G$507,I2276))=1,INDEX('Staff Review'!$G$8:$G$507,I2276)&gt;0,INDEX('Staff Review'!$G$8:$G$507,I2276)&lt;='Top 25'!$E$5,'Top 25'!$E$5-INDEX('Staff Review'!$G$8:$G$507,I2276)&lt;='Top 25'!$H$5,LEN(INDEX('Staff Review'!$H$8:$H$507,I2276))&gt;0),"Yes","No")))</f>
        <v>No</v>
      </c>
      <c r="AK2276" s="1">
        <f t="shared" si="115"/>
        <v>1</v>
      </c>
      <c r="AL2276" s="1">
        <f t="shared" ca="1" si="116"/>
        <v>1</v>
      </c>
      <c r="AM2276" s="1">
        <f t="shared" si="117"/>
        <v>6050</v>
      </c>
      <c r="AN2276" s="1">
        <f t="shared" si="118"/>
        <v>226</v>
      </c>
      <c r="AO2276">
        <f t="shared" ca="1" si="119"/>
        <v>231</v>
      </c>
      <c r="AP2276" s="105">
        <f ca="1">IF(AND(AL2276=1,OR('Top 25'!$A$10="All",C2276='Top 25'!$A$10),OR('Top 25'!$D$10="All",D2276='Top 25'!$D$10)),1,0)</f>
        <v>0</v>
      </c>
      <c r="AQ2276" s="105" t="str">
        <f ca="1">IF(AP2276=0,"",CHOOSE(MATCH('Top 25'!$G$10,{"Priority score","Economic need","Enrollment","Fresh miles","Nearby resources"},0),T2276,G2276,F2276,K2276,L2276))</f>
        <v/>
      </c>
      <c r="AR2276" s="105" t="str">
        <f ca="1">IF(AP2276=0,"",1+COUNTIFS($AP$2051:$AP$2550,1,$AQ$2051:$AQ$2550,IF('Top 25'!$J$10="Ascending","&lt;","&gt;")&amp;AQ2276)+COUNTIFS($AP$2051:$AP$2550,1,$AQ$2051:$AQ$2550,AQ2276,$W$2051:$W$2550,"&lt;"&amp;W2276))</f>
        <v/>
      </c>
      <c r="AT2276" s="105">
        <f ca="1">IF(AND(AL2276=1,OR(Master_rankableSchools!$A$10="All",C2276=Master_rankableSchools!$A$10),OR(Master_rankableSchools!$D$10="All",D2276=Master_rankableSchools!$D$10)),1,0)</f>
        <v>1</v>
      </c>
      <c r="AU2276" s="105">
        <f ca="1">IF(AT2276=0,"",CHOOSE(MATCH(Master_rankableSchools!$G$10,{"Priority score","Economic need","Enrollment","Fresh miles","Nearby resources"},0),T2276,G2276,F2276,K2276,L2276))</f>
        <v>34</v>
      </c>
      <c r="AV2276" s="105">
        <f ca="1">IF(AT2276=0,"",1+COUNTIFS($AT$2051:$AT$2550,1,$AU$2051:$AU$2550,IF(Master_rankableSchools!$J$10="Ascending","&lt;","&gt;")&amp;AU2276)+COUNTIFS($AT$2051:$AT$2550,1,$AU$2051:$AU$2550,AU2276,$W$2051:$W$2550,"&lt;"&amp;W2276))</f>
        <v>231</v>
      </c>
    </row>
    <row r="2277" spans="1:48" ht="22" customHeight="1">
      <c r="A2277" s="1" t="str">
        <f t="shared" si="90"/>
        <v>6060</v>
      </c>
      <c r="B2277" s="1" t="str">
        <f t="shared" si="91"/>
        <v>Martin Luther King High School</v>
      </c>
      <c r="C2277" s="1" t="str">
        <f t="shared" si="92"/>
        <v>District</v>
      </c>
      <c r="D2277" s="1" t="str">
        <f t="shared" si="93"/>
        <v>High</v>
      </c>
      <c r="E2277" s="1" t="str">
        <f t="shared" si="94"/>
        <v>19138</v>
      </c>
      <c r="F2277" s="1">
        <f t="shared" si="95"/>
        <v>604</v>
      </c>
      <c r="G2277" s="1">
        <f t="shared" si="96"/>
        <v>0.80659999999999998</v>
      </c>
      <c r="H2277" s="1" t="str">
        <f t="shared" si="97"/>
        <v>Yes</v>
      </c>
      <c r="I2277" s="1">
        <f>IF(OR(A2277="",COUNTIFS('Staff Review'!$A$8:$A$507,A2277)&lt;&gt;1),0,MATCH(A2277,'Staff Review'!$A$8:$A$507,0))</f>
        <v>177</v>
      </c>
      <c r="J2277" s="1" t="str">
        <f>IF(I2277=0,"No",IF(INDEX('Staff Review'!$C$8:$C$507,I2277)="Yes","Yes","No"))</f>
        <v>No</v>
      </c>
      <c r="K2277" s="1">
        <f ca="1">IF(AI2277="Yes",INDEX('Staff Review'!$D$8:$D$507,I2277),IF(AB2277=0,"",IF(COUNT(INDEX($C$1531:$C$2030,AB2277))=1,INDEX($C$1531:$C$2030,AB2277),"")))</f>
        <v>0.75924370962115928</v>
      </c>
      <c r="L2277" s="1">
        <f>IF(AJ2277="Yes",INDEX('Staff Review'!$F$8:$F$507,I2277),IF(AB2277=0,"",IF(COUNT(INDEX($G$1531:$G$2030,AB2277))=1,INDEX($G$1531:$G$2030,AB2277),"")))</f>
        <v>9</v>
      </c>
      <c r="M2277" s="1" t="str">
        <f t="shared" ca="1" si="98"/>
        <v>Listed</v>
      </c>
      <c r="N2277" s="1" t="str">
        <f t="shared" si="99"/>
        <v>Listed</v>
      </c>
      <c r="O2277" s="1">
        <f t="shared" si="100"/>
        <v>25</v>
      </c>
      <c r="P2277" s="1">
        <f t="shared" ca="1" si="101"/>
        <v>20</v>
      </c>
      <c r="Q2277" s="1">
        <f t="shared" si="102"/>
        <v>0</v>
      </c>
      <c r="R2277" s="1">
        <f t="shared" si="103"/>
        <v>4</v>
      </c>
      <c r="S2277" s="1">
        <f t="shared" ca="1" si="104"/>
        <v>49</v>
      </c>
      <c r="T2277" s="1">
        <f ca="1">IF(OR(COUNT(O2277:R2277)&lt;&gt;4,COUNT('Top 25'!$B$45:$E$45)&lt;&gt;4,MIN('Top 25'!$B$45:$E$45)&lt;0,SUM('Top 25'!$B$45:$E$45)&lt;=0),"",ROUND(85*(O2277/30*'Top 25'!$B$45+P2277/25*'Top 25'!$C$45+Q2277/25*'Top 25'!$D$45+R2277/5*'Top 25'!$E$45)/SUM('Top 25'!$B$45:$E$45),6))</f>
        <v>49</v>
      </c>
      <c r="U2277" s="1" t="str">
        <f t="shared" ca="1" si="105"/>
        <v>Listed</v>
      </c>
      <c r="V2277" s="1" t="str">
        <f ca="1">IF(A2277="","",IF(AK2277&lt;&gt;1,"Duplicate source ID",IF(COUNTIFS('Staff Review'!$A$8:$A$507,A2277)&gt;1,"Duplicate review ID",IF(H2277&lt;&gt;"Yes","Outside scope",IF(J2277="Yes","Already served",IF(NOT(ISNUMBER(T2277)),"Missing data","Candidate"))))))</f>
        <v>Candidate</v>
      </c>
      <c r="W2277" s="1">
        <f t="shared" ca="1" si="106"/>
        <v>52</v>
      </c>
      <c r="X2277" s="1">
        <f t="shared" ca="1" si="107"/>
        <v>46</v>
      </c>
      <c r="Y2277" s="1">
        <f ca="1">IF(AND(H2277="Yes",OR(LEN('School Search'!$B$5)=0,ISNUMBER(SEARCH('School Search'!$B$5,B2277&amp;" "&amp;E2277&amp;" "&amp;A2277))),OR('School Search'!$D$5="All",C2277='School Search'!$D$5),OR('School Search'!$G$5="All eligible",AND('School Search'!$G$5="Not marked served",J2277&lt;&gt;"Yes"),AND('School Search'!$G$5="Missing data",V2277="Missing data"),AND('School Search'!$G$5="Marked served",J2277="Yes"))),1,0)</f>
        <v>1</v>
      </c>
      <c r="Z2277" s="1">
        <f ca="1">IF(Y2277=0,"",COUNTIFS($Y$2051:$Y$2550,1,$AO$2051:$AO$2550,"&lt;"&amp;AO2277)+COUNTIFS($Y$2051:Y2277,1,$AO$2051:AO2277,AO2277))</f>
        <v>52</v>
      </c>
      <c r="AA2277" s="1" t="str">
        <f t="shared" ca="1" si="108"/>
        <v>81% economic need; 0.76 mi fresh access; 9 nearby resources</v>
      </c>
      <c r="AB2277" s="1">
        <f t="shared" si="109"/>
        <v>227</v>
      </c>
      <c r="AC2277" s="1" t="str">
        <f t="shared" si="110"/>
        <v>Save A Lot 45141</v>
      </c>
      <c r="AD2277" s="1" t="str">
        <f t="shared" si="111"/>
        <v>6301 Chew Ave, Philadelphia, PA, 19138</v>
      </c>
      <c r="AE2277" s="1" t="str">
        <f t="shared" si="112"/>
        <v>6100 STENTON AVE</v>
      </c>
      <c r="AF2277" s="1">
        <f t="shared" si="113"/>
        <v>40.05756238</v>
      </c>
      <c r="AG2277" s="1">
        <f t="shared" si="114"/>
        <v>-75.162171839999999</v>
      </c>
      <c r="AH2277" s="1" t="str">
        <f>IF(I2277=0,"Not contacted",IF(INDEX('Staff Review'!$J$8:$J$507,I2277)="","Not contacted",INDEX('Staff Review'!$J$8:$J$507,I2277)))</f>
        <v>Not contacted</v>
      </c>
      <c r="AI2277" s="1" t="str">
        <f ca="1">IF(I2277=0,"No",IF(AND(COUNT(INDEX('Staff Review'!$D$8:$D$507,I2277))=1,INDEX('Staff Review'!$D$8:$D$507,I2277)&gt;=0,COUNT(INDEX('Staff Review'!$E$8:$E$507,I2277))=1,INDEX('Staff Review'!$E$8:$E$507,I2277)&gt;0,INDEX('Staff Review'!$E$8:$E$507,I2277)&lt;='Top 25'!$E$5,'Top 25'!$E$5-INDEX('Staff Review'!$E$8:$E$507,I2277)&lt;='Top 25'!$H$5,LEN(INDEX('Staff Review'!$H$8:$H$507,I2277))&gt;0),"Yes","No"))</f>
        <v>No</v>
      </c>
      <c r="AJ2277" s="1" t="str">
        <f>IF(I2277=0,"No",IF(COUNT(INDEX('Staff Review'!$F$8:$F$507,I2277))&lt;&gt;1,"No",IF(AND(INDEX('Staff Review'!$F$8:$F$507,I2277)&gt;=0,MOD(INDEX('Staff Review'!$F$8:$F$507,I2277),1)=0,COUNT(INDEX('Staff Review'!$G$8:$G$507,I2277))=1,INDEX('Staff Review'!$G$8:$G$507,I2277)&gt;0,INDEX('Staff Review'!$G$8:$G$507,I2277)&lt;='Top 25'!$E$5,'Top 25'!$E$5-INDEX('Staff Review'!$G$8:$G$507,I2277)&lt;='Top 25'!$H$5,LEN(INDEX('Staff Review'!$H$8:$H$507,I2277))&gt;0),"Yes","No")))</f>
        <v>No</v>
      </c>
      <c r="AK2277" s="1">
        <f t="shared" si="115"/>
        <v>1</v>
      </c>
      <c r="AL2277" s="1">
        <f t="shared" ca="1" si="116"/>
        <v>1</v>
      </c>
      <c r="AM2277" s="1">
        <f t="shared" si="117"/>
        <v>6060</v>
      </c>
      <c r="AN2277" s="1">
        <f t="shared" si="118"/>
        <v>227</v>
      </c>
      <c r="AO2277">
        <f t="shared" ca="1" si="119"/>
        <v>52</v>
      </c>
      <c r="AP2277" s="105">
        <f ca="1">IF(AND(AL2277=1,OR('Top 25'!$A$10="All",C2277='Top 25'!$A$10),OR('Top 25'!$D$10="All",D2277='Top 25'!$D$10)),1,0)</f>
        <v>0</v>
      </c>
      <c r="AQ2277" s="105" t="str">
        <f ca="1">IF(AP2277=0,"",CHOOSE(MATCH('Top 25'!$G$10,{"Priority score","Economic need","Enrollment","Fresh miles","Nearby resources"},0),T2277,G2277,F2277,K2277,L2277))</f>
        <v/>
      </c>
      <c r="AR2277" s="105" t="str">
        <f ca="1">IF(AP2277=0,"",1+COUNTIFS($AP$2051:$AP$2550,1,$AQ$2051:$AQ$2550,IF('Top 25'!$J$10="Ascending","&lt;","&gt;")&amp;AQ2277)+COUNTIFS($AP$2051:$AP$2550,1,$AQ$2051:$AQ$2550,AQ2277,$W$2051:$W$2550,"&lt;"&amp;W2277))</f>
        <v/>
      </c>
      <c r="AT2277" s="105">
        <f ca="1">IF(AND(AL2277=1,OR(Master_rankableSchools!$A$10="All",C2277=Master_rankableSchools!$A$10),OR(Master_rankableSchools!$D$10="All",D2277=Master_rankableSchools!$D$10)),1,0)</f>
        <v>1</v>
      </c>
      <c r="AU2277" s="105">
        <f ca="1">IF(AT2277=0,"",CHOOSE(MATCH(Master_rankableSchools!$G$10,{"Priority score","Economic need","Enrollment","Fresh miles","Nearby resources"},0),T2277,G2277,F2277,K2277,L2277))</f>
        <v>49</v>
      </c>
      <c r="AV2277" s="105">
        <f ca="1">IF(AT2277=0,"",1+COUNTIFS($AT$2051:$AT$2550,1,$AU$2051:$AU$2550,IF(Master_rankableSchools!$J$10="Ascending","&lt;","&gt;")&amp;AU2277)+COUNTIFS($AT$2051:$AT$2550,1,$AU$2051:$AU$2550,AU2277,$W$2051:$W$2550,"&lt;"&amp;W2277))</f>
        <v>52</v>
      </c>
    </row>
    <row r="2278" spans="1:48" ht="22" customHeight="1">
      <c r="A2278" s="1" t="str">
        <f t="shared" si="90"/>
        <v>6090</v>
      </c>
      <c r="B2278" s="1" t="str">
        <f t="shared" si="91"/>
        <v>A. Philip Randolph Career and Technical High School</v>
      </c>
      <c r="C2278" s="1" t="str">
        <f t="shared" si="92"/>
        <v>District</v>
      </c>
      <c r="D2278" s="1" t="str">
        <f t="shared" si="93"/>
        <v>High</v>
      </c>
      <c r="E2278" s="1" t="str">
        <f t="shared" si="94"/>
        <v>19129</v>
      </c>
      <c r="F2278" s="1">
        <f t="shared" si="95"/>
        <v>403</v>
      </c>
      <c r="G2278" s="1">
        <f t="shared" si="96"/>
        <v>0.89470000000000005</v>
      </c>
      <c r="H2278" s="1" t="str">
        <f t="shared" si="97"/>
        <v>Yes</v>
      </c>
      <c r="I2278" s="1">
        <f>IF(OR(A2278="",COUNTIFS('Staff Review'!$A$8:$A$507,A2278)&lt;&gt;1),0,MATCH(A2278,'Staff Review'!$A$8:$A$507,0))</f>
        <v>1</v>
      </c>
      <c r="J2278" s="1" t="str">
        <f>IF(I2278=0,"No",IF(INDEX('Staff Review'!$C$8:$C$507,I2278)="Yes","Yes","No"))</f>
        <v>No</v>
      </c>
      <c r="K2278" s="1">
        <f ca="1">IF(AI2278="Yes",INDEX('Staff Review'!$D$8:$D$507,I2278),IF(AB2278=0,"",IF(COUNT(INDEX($C$1531:$C$2030,AB2278))=1,INDEX($C$1531:$C$2030,AB2278),"")))</f>
        <v>0.29480313408940284</v>
      </c>
      <c r="L2278" s="1">
        <f>IF(AJ2278="Yes",INDEX('Staff Review'!$F$8:$F$507,I2278),IF(AB2278=0,"",IF(COUNT(INDEX($G$1531:$G$2030,AB2278))=1,INDEX($G$1531:$G$2030,AB2278),"")))</f>
        <v>6</v>
      </c>
      <c r="M2278" s="1" t="str">
        <f t="shared" ca="1" si="98"/>
        <v>Listed</v>
      </c>
      <c r="N2278" s="1" t="str">
        <f t="shared" si="99"/>
        <v>Listed</v>
      </c>
      <c r="O2278" s="1">
        <f t="shared" si="100"/>
        <v>25</v>
      </c>
      <c r="P2278" s="1">
        <f t="shared" ca="1" si="101"/>
        <v>10</v>
      </c>
      <c r="Q2278" s="1">
        <f t="shared" si="102"/>
        <v>0</v>
      </c>
      <c r="R2278" s="1">
        <f t="shared" si="103"/>
        <v>3</v>
      </c>
      <c r="S2278" s="1">
        <f t="shared" ca="1" si="104"/>
        <v>38</v>
      </c>
      <c r="T2278" s="1">
        <f ca="1">IF(OR(COUNT(O2278:R2278)&lt;&gt;4,COUNT('Top 25'!$B$45:$E$45)&lt;&gt;4,MIN('Top 25'!$B$45:$E$45)&lt;0,SUM('Top 25'!$B$45:$E$45)&lt;=0),"",ROUND(85*(O2278/30*'Top 25'!$B$45+P2278/25*'Top 25'!$C$45+Q2278/25*'Top 25'!$D$45+R2278/5*'Top 25'!$E$45)/SUM('Top 25'!$B$45:$E$45),6))</f>
        <v>38</v>
      </c>
      <c r="U2278" s="1" t="str">
        <f t="shared" ca="1" si="105"/>
        <v>Listed</v>
      </c>
      <c r="V2278" s="1" t="str">
        <f ca="1">IF(A2278="","",IF(AK2278&lt;&gt;1,"Duplicate source ID",IF(COUNTIFS('Staff Review'!$A$8:$A$507,A2278)&gt;1,"Duplicate review ID",IF(H2278&lt;&gt;"Yes","Outside scope",IF(J2278="Yes","Already served",IF(NOT(ISNUMBER(T2278)),"Missing data","Candidate"))))))</f>
        <v>Candidate</v>
      </c>
      <c r="W2278" s="1">
        <f t="shared" ca="1" si="106"/>
        <v>170</v>
      </c>
      <c r="X2278" s="1">
        <f t="shared" ca="1" si="107"/>
        <v>166</v>
      </c>
      <c r="Y2278" s="1">
        <f ca="1">IF(AND(H2278="Yes",OR(LEN('School Search'!$B$5)=0,ISNUMBER(SEARCH('School Search'!$B$5,B2278&amp;" "&amp;E2278&amp;" "&amp;A2278))),OR('School Search'!$D$5="All",C2278='School Search'!$D$5),OR('School Search'!$G$5="All eligible",AND('School Search'!$G$5="Not marked served",J2278&lt;&gt;"Yes"),AND('School Search'!$G$5="Missing data",V2278="Missing data"),AND('School Search'!$G$5="Marked served",J2278="Yes"))),1,0)</f>
        <v>1</v>
      </c>
      <c r="Z2278" s="1">
        <f ca="1">IF(Y2278=0,"",COUNTIFS($Y$2051:$Y$2550,1,$AO$2051:$AO$2550,"&lt;"&amp;AO2278)+COUNTIFS($Y$2051:Y2278,1,$AO$2051:AO2278,AO2278))</f>
        <v>170</v>
      </c>
      <c r="AA2278" s="1" t="str">
        <f t="shared" ca="1" si="108"/>
        <v>89% economic need; 0.29 mi fresh access; 6 nearby resources</v>
      </c>
      <c r="AB2278" s="1">
        <f t="shared" si="109"/>
        <v>228</v>
      </c>
      <c r="AC2278" s="1" t="str">
        <f t="shared" si="110"/>
        <v>Shoprite of Fox Street 430</v>
      </c>
      <c r="AD2278" s="1" t="str">
        <f t="shared" si="111"/>
        <v>2800 Fox Street, Philadelphia, PA, 19129</v>
      </c>
      <c r="AE2278" s="1" t="str">
        <f t="shared" si="112"/>
        <v>3101 HENRY AVE</v>
      </c>
      <c r="AF2278" s="1">
        <f t="shared" si="113"/>
        <v>40.008504000000002</v>
      </c>
      <c r="AG2278" s="1">
        <f t="shared" si="114"/>
        <v>-75.179608999999999</v>
      </c>
      <c r="AH2278" s="1" t="str">
        <f>IF(I2278=0,"Not contacted",IF(INDEX('Staff Review'!$J$8:$J$507,I2278)="","Not contacted",INDEX('Staff Review'!$J$8:$J$507,I2278)))</f>
        <v>Not contacted</v>
      </c>
      <c r="AI2278" s="1" t="str">
        <f ca="1">IF(I2278=0,"No",IF(AND(COUNT(INDEX('Staff Review'!$D$8:$D$507,I2278))=1,INDEX('Staff Review'!$D$8:$D$507,I2278)&gt;=0,COUNT(INDEX('Staff Review'!$E$8:$E$507,I2278))=1,INDEX('Staff Review'!$E$8:$E$507,I2278)&gt;0,INDEX('Staff Review'!$E$8:$E$507,I2278)&lt;='Top 25'!$E$5,'Top 25'!$E$5-INDEX('Staff Review'!$E$8:$E$507,I2278)&lt;='Top 25'!$H$5,LEN(INDEX('Staff Review'!$H$8:$H$507,I2278))&gt;0),"Yes","No"))</f>
        <v>No</v>
      </c>
      <c r="AJ2278" s="1" t="str">
        <f>IF(I2278=0,"No",IF(COUNT(INDEX('Staff Review'!$F$8:$F$507,I2278))&lt;&gt;1,"No",IF(AND(INDEX('Staff Review'!$F$8:$F$507,I2278)&gt;=0,MOD(INDEX('Staff Review'!$F$8:$F$507,I2278),1)=0,COUNT(INDEX('Staff Review'!$G$8:$G$507,I2278))=1,INDEX('Staff Review'!$G$8:$G$507,I2278)&gt;0,INDEX('Staff Review'!$G$8:$G$507,I2278)&lt;='Top 25'!$E$5,'Top 25'!$E$5-INDEX('Staff Review'!$G$8:$G$507,I2278)&lt;='Top 25'!$H$5,LEN(INDEX('Staff Review'!$H$8:$H$507,I2278))&gt;0),"Yes","No")))</f>
        <v>No</v>
      </c>
      <c r="AK2278" s="1">
        <f t="shared" si="115"/>
        <v>1</v>
      </c>
      <c r="AL2278" s="1">
        <f t="shared" ca="1" si="116"/>
        <v>1</v>
      </c>
      <c r="AM2278" s="1">
        <f t="shared" si="117"/>
        <v>6090</v>
      </c>
      <c r="AN2278" s="1">
        <f t="shared" si="118"/>
        <v>228</v>
      </c>
      <c r="AO2278">
        <f t="shared" ca="1" si="119"/>
        <v>170</v>
      </c>
      <c r="AP2278" s="105">
        <f ca="1">IF(AND(AL2278=1,OR('Top 25'!$A$10="All",C2278='Top 25'!$A$10),OR('Top 25'!$D$10="All",D2278='Top 25'!$D$10)),1,0)</f>
        <v>0</v>
      </c>
      <c r="AQ2278" s="105" t="str">
        <f ca="1">IF(AP2278=0,"",CHOOSE(MATCH('Top 25'!$G$10,{"Priority score","Economic need","Enrollment","Fresh miles","Nearby resources"},0),T2278,G2278,F2278,K2278,L2278))</f>
        <v/>
      </c>
      <c r="AR2278" s="105" t="str">
        <f ca="1">IF(AP2278=0,"",1+COUNTIFS($AP$2051:$AP$2550,1,$AQ$2051:$AQ$2550,IF('Top 25'!$J$10="Ascending","&lt;","&gt;")&amp;AQ2278)+COUNTIFS($AP$2051:$AP$2550,1,$AQ$2051:$AQ$2550,AQ2278,$W$2051:$W$2550,"&lt;"&amp;W2278))</f>
        <v/>
      </c>
      <c r="AT2278" s="105">
        <f ca="1">IF(AND(AL2278=1,OR(Master_rankableSchools!$A$10="All",C2278=Master_rankableSchools!$A$10),OR(Master_rankableSchools!$D$10="All",D2278=Master_rankableSchools!$D$10)),1,0)</f>
        <v>1</v>
      </c>
      <c r="AU2278" s="105">
        <f ca="1">IF(AT2278=0,"",CHOOSE(MATCH(Master_rankableSchools!$G$10,{"Priority score","Economic need","Enrollment","Fresh miles","Nearby resources"},0),T2278,G2278,F2278,K2278,L2278))</f>
        <v>38</v>
      </c>
      <c r="AV2278" s="105">
        <f ca="1">IF(AT2278=0,"",1+COUNTIFS($AT$2051:$AT$2550,1,$AU$2051:$AU$2550,IF(Master_rankableSchools!$J$10="Ascending","&lt;","&gt;")&amp;AU2278)+COUNTIFS($AT$2051:$AT$2550,1,$AU$2051:$AU$2550,AU2278,$W$2051:$W$2550,"&lt;"&amp;W2278))</f>
        <v>170</v>
      </c>
    </row>
    <row r="2279" spans="1:48" ht="22" customHeight="1">
      <c r="A2279" s="1" t="str">
        <f t="shared" si="90"/>
        <v>6200</v>
      </c>
      <c r="B2279" s="1" t="str">
        <f t="shared" si="91"/>
        <v>Anna B. Day School</v>
      </c>
      <c r="C2279" s="1" t="str">
        <f t="shared" si="92"/>
        <v>District</v>
      </c>
      <c r="D2279" s="1" t="str">
        <f t="shared" si="93"/>
        <v>Elementary-Middle</v>
      </c>
      <c r="E2279" s="1" t="str">
        <f t="shared" si="94"/>
        <v>19138</v>
      </c>
      <c r="F2279" s="1">
        <f t="shared" si="95"/>
        <v>289</v>
      </c>
      <c r="G2279" s="1">
        <f t="shared" si="96"/>
        <v>0.82499999999999996</v>
      </c>
      <c r="H2279" s="1" t="str">
        <f t="shared" si="97"/>
        <v>Yes</v>
      </c>
      <c r="I2279" s="1">
        <f>IF(OR(A2279="",COUNTIFS('Staff Review'!$A$8:$A$507,A2279)&lt;&gt;1),0,MATCH(A2279,'Staff Review'!$A$8:$A$507,0))</f>
        <v>20</v>
      </c>
      <c r="J2279" s="1" t="str">
        <f>IF(I2279=0,"No",IF(INDEX('Staff Review'!$C$8:$C$507,I2279)="Yes","Yes","No"))</f>
        <v>No</v>
      </c>
      <c r="K2279" s="1">
        <f ca="1">IF(AI2279="Yes",INDEX('Staff Review'!$D$8:$D$507,I2279),IF(AB2279=0,"",IF(COUNT(INDEX($C$1531:$C$2030,AB2279))=1,INDEX($C$1531:$C$2030,AB2279),"")))</f>
        <v>0.59104790602180424</v>
      </c>
      <c r="L2279" s="1">
        <f>IF(AJ2279="Yes",INDEX('Staff Review'!$F$8:$F$507,I2279),IF(AB2279=0,"",IF(COUNT(INDEX($G$1531:$G$2030,AB2279))=1,INDEX($G$1531:$G$2030,AB2279),"")))</f>
        <v>10</v>
      </c>
      <c r="M2279" s="1" t="str">
        <f t="shared" ca="1" si="98"/>
        <v>Listed</v>
      </c>
      <c r="N2279" s="1" t="str">
        <f t="shared" si="99"/>
        <v>Listed</v>
      </c>
      <c r="O2279" s="1">
        <f t="shared" si="100"/>
        <v>25</v>
      </c>
      <c r="P2279" s="1">
        <f t="shared" ca="1" si="101"/>
        <v>15</v>
      </c>
      <c r="Q2279" s="1">
        <f t="shared" si="102"/>
        <v>0</v>
      </c>
      <c r="R2279" s="1">
        <f t="shared" si="103"/>
        <v>2</v>
      </c>
      <c r="S2279" s="1">
        <f t="shared" ca="1" si="104"/>
        <v>42</v>
      </c>
      <c r="T2279" s="1">
        <f ca="1">IF(OR(COUNT(O2279:R2279)&lt;&gt;4,COUNT('Top 25'!$B$45:$E$45)&lt;&gt;4,MIN('Top 25'!$B$45:$E$45)&lt;0,SUM('Top 25'!$B$45:$E$45)&lt;=0),"",ROUND(85*(O2279/30*'Top 25'!$B$45+P2279/25*'Top 25'!$C$45+Q2279/25*'Top 25'!$D$45+R2279/5*'Top 25'!$E$45)/SUM('Top 25'!$B$45:$E$45),6))</f>
        <v>42</v>
      </c>
      <c r="U2279" s="1" t="str">
        <f t="shared" ca="1" si="105"/>
        <v>Listed</v>
      </c>
      <c r="V2279" s="1" t="str">
        <f ca="1">IF(A2279="","",IF(AK2279&lt;&gt;1,"Duplicate source ID",IF(COUNTIFS('Staff Review'!$A$8:$A$507,A2279)&gt;1,"Duplicate review ID",IF(H2279&lt;&gt;"Yes","Outside scope",IF(J2279="Yes","Already served",IF(NOT(ISNUMBER(T2279)),"Missing data","Candidate"))))))</f>
        <v>Candidate</v>
      </c>
      <c r="W2279" s="1">
        <f t="shared" ca="1" si="106"/>
        <v>123</v>
      </c>
      <c r="X2279" s="1">
        <f t="shared" ca="1" si="107"/>
        <v>101</v>
      </c>
      <c r="Y2279" s="1">
        <f ca="1">IF(AND(H2279="Yes",OR(LEN('School Search'!$B$5)=0,ISNUMBER(SEARCH('School Search'!$B$5,B2279&amp;" "&amp;E2279&amp;" "&amp;A2279))),OR('School Search'!$D$5="All",C2279='School Search'!$D$5),OR('School Search'!$G$5="All eligible",AND('School Search'!$G$5="Not marked served",J2279&lt;&gt;"Yes"),AND('School Search'!$G$5="Missing data",V2279="Missing data"),AND('School Search'!$G$5="Marked served",J2279="Yes"))),1,0)</f>
        <v>1</v>
      </c>
      <c r="Z2279" s="1">
        <f ca="1">IF(Y2279=0,"",COUNTIFS($Y$2051:$Y$2550,1,$AO$2051:$AO$2550,"&lt;"&amp;AO2279)+COUNTIFS($Y$2051:Y2279,1,$AO$2051:AO2279,AO2279))</f>
        <v>123</v>
      </c>
      <c r="AA2279" s="1" t="str">
        <f t="shared" ca="1" si="108"/>
        <v>83% economic need; 0.59 mi fresh access; 10 nearby resources</v>
      </c>
      <c r="AB2279" s="1">
        <f t="shared" si="109"/>
        <v>229</v>
      </c>
      <c r="AC2279" s="1" t="str">
        <f t="shared" si="110"/>
        <v>Save A Lot 45141</v>
      </c>
      <c r="AD2279" s="1" t="str">
        <f t="shared" si="111"/>
        <v>6301 Chew Ave, Philadelphia, PA, 19138</v>
      </c>
      <c r="AE2279" s="1" t="str">
        <f t="shared" si="112"/>
        <v>6324 CRITTENDEN ST</v>
      </c>
      <c r="AF2279" s="1">
        <f t="shared" si="113"/>
        <v>40.058406820000002</v>
      </c>
      <c r="AG2279" s="1">
        <f t="shared" si="114"/>
        <v>-75.168334639999998</v>
      </c>
      <c r="AH2279" s="1" t="str">
        <f>IF(I2279=0,"Not contacted",IF(INDEX('Staff Review'!$J$8:$J$507,I2279)="","Not contacted",INDEX('Staff Review'!$J$8:$J$507,I2279)))</f>
        <v>Not contacted</v>
      </c>
      <c r="AI2279" s="1" t="str">
        <f ca="1">IF(I2279=0,"No",IF(AND(COUNT(INDEX('Staff Review'!$D$8:$D$507,I2279))=1,INDEX('Staff Review'!$D$8:$D$507,I2279)&gt;=0,COUNT(INDEX('Staff Review'!$E$8:$E$507,I2279))=1,INDEX('Staff Review'!$E$8:$E$507,I2279)&gt;0,INDEX('Staff Review'!$E$8:$E$507,I2279)&lt;='Top 25'!$E$5,'Top 25'!$E$5-INDEX('Staff Review'!$E$8:$E$507,I2279)&lt;='Top 25'!$H$5,LEN(INDEX('Staff Review'!$H$8:$H$507,I2279))&gt;0),"Yes","No"))</f>
        <v>No</v>
      </c>
      <c r="AJ2279" s="1" t="str">
        <f>IF(I2279=0,"No",IF(COUNT(INDEX('Staff Review'!$F$8:$F$507,I2279))&lt;&gt;1,"No",IF(AND(INDEX('Staff Review'!$F$8:$F$507,I2279)&gt;=0,MOD(INDEX('Staff Review'!$F$8:$F$507,I2279),1)=0,COUNT(INDEX('Staff Review'!$G$8:$G$507,I2279))=1,INDEX('Staff Review'!$G$8:$G$507,I2279)&gt;0,INDEX('Staff Review'!$G$8:$G$507,I2279)&lt;='Top 25'!$E$5,'Top 25'!$E$5-INDEX('Staff Review'!$G$8:$G$507,I2279)&lt;='Top 25'!$H$5,LEN(INDEX('Staff Review'!$H$8:$H$507,I2279))&gt;0),"Yes","No")))</f>
        <v>No</v>
      </c>
      <c r="AK2279" s="1">
        <f t="shared" si="115"/>
        <v>1</v>
      </c>
      <c r="AL2279" s="1">
        <f t="shared" ca="1" si="116"/>
        <v>1</v>
      </c>
      <c r="AM2279" s="1">
        <f t="shared" si="117"/>
        <v>6200</v>
      </c>
      <c r="AN2279" s="1">
        <f t="shared" si="118"/>
        <v>229</v>
      </c>
      <c r="AO2279">
        <f t="shared" ca="1" si="119"/>
        <v>123</v>
      </c>
      <c r="AP2279" s="105">
        <f ca="1">IF(AND(AL2279=1,OR('Top 25'!$A$10="All",C2279='Top 25'!$A$10),OR('Top 25'!$D$10="All",D2279='Top 25'!$D$10)),1,0)</f>
        <v>0</v>
      </c>
      <c r="AQ2279" s="105" t="str">
        <f ca="1">IF(AP2279=0,"",CHOOSE(MATCH('Top 25'!$G$10,{"Priority score","Economic need","Enrollment","Fresh miles","Nearby resources"},0),T2279,G2279,F2279,K2279,L2279))</f>
        <v/>
      </c>
      <c r="AR2279" s="105" t="str">
        <f ca="1">IF(AP2279=0,"",1+COUNTIFS($AP$2051:$AP$2550,1,$AQ$2051:$AQ$2550,IF('Top 25'!$J$10="Ascending","&lt;","&gt;")&amp;AQ2279)+COUNTIFS($AP$2051:$AP$2550,1,$AQ$2051:$AQ$2550,AQ2279,$W$2051:$W$2550,"&lt;"&amp;W2279))</f>
        <v/>
      </c>
      <c r="AT2279" s="105">
        <f ca="1">IF(AND(AL2279=1,OR(Master_rankableSchools!$A$10="All",C2279=Master_rankableSchools!$A$10),OR(Master_rankableSchools!$D$10="All",D2279=Master_rankableSchools!$D$10)),1,0)</f>
        <v>1</v>
      </c>
      <c r="AU2279" s="105">
        <f ca="1">IF(AT2279=0,"",CHOOSE(MATCH(Master_rankableSchools!$G$10,{"Priority score","Economic need","Enrollment","Fresh miles","Nearby resources"},0),T2279,G2279,F2279,K2279,L2279))</f>
        <v>42</v>
      </c>
      <c r="AV2279" s="105">
        <f ca="1">IF(AT2279=0,"",1+COUNTIFS($AT$2051:$AT$2550,1,$AU$2051:$AU$2550,IF(Master_rankableSchools!$J$10="Ascending","&lt;","&gt;")&amp;AU2279)+COUNTIFS($AT$2051:$AT$2550,1,$AU$2051:$AU$2550,AU2279,$W$2051:$W$2550,"&lt;"&amp;W2279))</f>
        <v>123</v>
      </c>
    </row>
    <row r="2280" spans="1:48" ht="22" customHeight="1">
      <c r="A2280" s="1" t="str">
        <f t="shared" si="90"/>
        <v>6210</v>
      </c>
      <c r="B2280" s="1" t="str">
        <f t="shared" si="91"/>
        <v>Franklin S. Edmonds School</v>
      </c>
      <c r="C2280" s="1" t="str">
        <f t="shared" si="92"/>
        <v>District</v>
      </c>
      <c r="D2280" s="1" t="str">
        <f t="shared" si="93"/>
        <v>Elementary-Middle</v>
      </c>
      <c r="E2280" s="1" t="str">
        <f t="shared" si="94"/>
        <v>19150</v>
      </c>
      <c r="F2280" s="1">
        <f t="shared" si="95"/>
        <v>376</v>
      </c>
      <c r="G2280" s="1">
        <f t="shared" si="96"/>
        <v>0.79059999999999997</v>
      </c>
      <c r="H2280" s="1" t="str">
        <f t="shared" si="97"/>
        <v>Yes</v>
      </c>
      <c r="I2280" s="1">
        <f>IF(OR(A2280="",COUNTIFS('Staff Review'!$A$8:$A$507,A2280)&lt;&gt;1),0,MATCH(A2280,'Staff Review'!$A$8:$A$507,0))</f>
        <v>84</v>
      </c>
      <c r="J2280" s="1" t="str">
        <f>IF(I2280=0,"No",IF(INDEX('Staff Review'!$C$8:$C$507,I2280)="Yes","Yes","No"))</f>
        <v>No</v>
      </c>
      <c r="K2280" s="1">
        <f ca="1">IF(AI2280="Yes",INDEX('Staff Review'!$D$8:$D$507,I2280),IF(AB2280=0,"",IF(COUNT(INDEX($C$1531:$C$2030,AB2280))=1,INDEX($C$1531:$C$2030,AB2280),"")))</f>
        <v>0.69991420185199138</v>
      </c>
      <c r="L2280" s="1">
        <f>IF(AJ2280="Yes",INDEX('Staff Review'!$F$8:$F$507,I2280),IF(AB2280=0,"",IF(COUNT(INDEX($G$1531:$G$2030,AB2280))=1,INDEX($G$1531:$G$2030,AB2280),"")))</f>
        <v>4</v>
      </c>
      <c r="M2280" s="1" t="str">
        <f t="shared" ca="1" si="98"/>
        <v>Listed</v>
      </c>
      <c r="N2280" s="1" t="str">
        <f t="shared" si="99"/>
        <v>Listed</v>
      </c>
      <c r="O2280" s="1">
        <f t="shared" si="100"/>
        <v>20</v>
      </c>
      <c r="P2280" s="1">
        <f t="shared" ca="1" si="101"/>
        <v>15</v>
      </c>
      <c r="Q2280" s="1">
        <f t="shared" si="102"/>
        <v>5</v>
      </c>
      <c r="R2280" s="1">
        <f t="shared" si="103"/>
        <v>3</v>
      </c>
      <c r="S2280" s="1">
        <f t="shared" ca="1" si="104"/>
        <v>43</v>
      </c>
      <c r="T2280" s="1">
        <f ca="1">IF(OR(COUNT(O2280:R2280)&lt;&gt;4,COUNT('Top 25'!$B$45:$E$45)&lt;&gt;4,MIN('Top 25'!$B$45:$E$45)&lt;0,SUM('Top 25'!$B$45:$E$45)&lt;=0),"",ROUND(85*(O2280/30*'Top 25'!$B$45+P2280/25*'Top 25'!$C$45+Q2280/25*'Top 25'!$D$45+R2280/5*'Top 25'!$E$45)/SUM('Top 25'!$B$45:$E$45),6))</f>
        <v>43</v>
      </c>
      <c r="U2280" s="1" t="str">
        <f t="shared" ca="1" si="105"/>
        <v>Listed</v>
      </c>
      <c r="V2280" s="1" t="str">
        <f ca="1">IF(A2280="","",IF(AK2280&lt;&gt;1,"Duplicate source ID",IF(COUNTIFS('Staff Review'!$A$8:$A$507,A2280)&gt;1,"Duplicate review ID",IF(H2280&lt;&gt;"Yes","Outside scope",IF(J2280="Yes","Already served",IF(NOT(ISNUMBER(T2280)),"Missing data","Candidate"))))))</f>
        <v>Candidate</v>
      </c>
      <c r="W2280" s="1">
        <f t="shared" ca="1" si="106"/>
        <v>98</v>
      </c>
      <c r="X2280" s="1">
        <f t="shared" ca="1" si="107"/>
        <v>90</v>
      </c>
      <c r="Y2280" s="1">
        <f ca="1">IF(AND(H2280="Yes",OR(LEN('School Search'!$B$5)=0,ISNUMBER(SEARCH('School Search'!$B$5,B2280&amp;" "&amp;E2280&amp;" "&amp;A2280))),OR('School Search'!$D$5="All",C2280='School Search'!$D$5),OR('School Search'!$G$5="All eligible",AND('School Search'!$G$5="Not marked served",J2280&lt;&gt;"Yes"),AND('School Search'!$G$5="Missing data",V2280="Missing data"),AND('School Search'!$G$5="Marked served",J2280="Yes"))),1,0)</f>
        <v>1</v>
      </c>
      <c r="Z2280" s="1">
        <f ca="1">IF(Y2280=0,"",COUNTIFS($Y$2051:$Y$2550,1,$AO$2051:$AO$2550,"&lt;"&amp;AO2280)+COUNTIFS($Y$2051:Y2280,1,$AO$2051:AO2280,AO2280))</f>
        <v>98</v>
      </c>
      <c r="AA2280" s="1" t="str">
        <f t="shared" ca="1" si="108"/>
        <v>79% economic need; 0.70 mi fresh access; 4 nearby resources</v>
      </c>
      <c r="AB2280" s="1">
        <f t="shared" si="109"/>
        <v>230</v>
      </c>
      <c r="AC2280" s="1" t="str">
        <f t="shared" si="110"/>
        <v>Shoprite of Cheltenham 426</v>
      </c>
      <c r="AD2280" s="1" t="str">
        <f t="shared" si="111"/>
        <v>2471 W Cheltenham Ave, Wyncote, PA, 19095</v>
      </c>
      <c r="AE2280" s="1" t="str">
        <f t="shared" si="112"/>
        <v>8025 THOURON AVE</v>
      </c>
      <c r="AF2280" s="1">
        <f t="shared" si="113"/>
        <v>40.071725499999999</v>
      </c>
      <c r="AG2280" s="1">
        <f t="shared" si="114"/>
        <v>-75.169249500000006</v>
      </c>
      <c r="AH2280" s="1" t="str">
        <f>IF(I2280=0,"Not contacted",IF(INDEX('Staff Review'!$J$8:$J$507,I2280)="","Not contacted",INDEX('Staff Review'!$J$8:$J$507,I2280)))</f>
        <v>Not contacted</v>
      </c>
      <c r="AI2280" s="1" t="str">
        <f ca="1">IF(I2280=0,"No",IF(AND(COUNT(INDEX('Staff Review'!$D$8:$D$507,I2280))=1,INDEX('Staff Review'!$D$8:$D$507,I2280)&gt;=0,COUNT(INDEX('Staff Review'!$E$8:$E$507,I2280))=1,INDEX('Staff Review'!$E$8:$E$507,I2280)&gt;0,INDEX('Staff Review'!$E$8:$E$507,I2280)&lt;='Top 25'!$E$5,'Top 25'!$E$5-INDEX('Staff Review'!$E$8:$E$507,I2280)&lt;='Top 25'!$H$5,LEN(INDEX('Staff Review'!$H$8:$H$507,I2280))&gt;0),"Yes","No"))</f>
        <v>No</v>
      </c>
      <c r="AJ2280" s="1" t="str">
        <f>IF(I2280=0,"No",IF(COUNT(INDEX('Staff Review'!$F$8:$F$507,I2280))&lt;&gt;1,"No",IF(AND(INDEX('Staff Review'!$F$8:$F$507,I2280)&gt;=0,MOD(INDEX('Staff Review'!$F$8:$F$507,I2280),1)=0,COUNT(INDEX('Staff Review'!$G$8:$G$507,I2280))=1,INDEX('Staff Review'!$G$8:$G$507,I2280)&gt;0,INDEX('Staff Review'!$G$8:$G$507,I2280)&lt;='Top 25'!$E$5,'Top 25'!$E$5-INDEX('Staff Review'!$G$8:$G$507,I2280)&lt;='Top 25'!$H$5,LEN(INDEX('Staff Review'!$H$8:$H$507,I2280))&gt;0),"Yes","No")))</f>
        <v>No</v>
      </c>
      <c r="AK2280" s="1">
        <f t="shared" si="115"/>
        <v>1</v>
      </c>
      <c r="AL2280" s="1">
        <f t="shared" ca="1" si="116"/>
        <v>1</v>
      </c>
      <c r="AM2280" s="1">
        <f t="shared" si="117"/>
        <v>6210</v>
      </c>
      <c r="AN2280" s="1">
        <f t="shared" si="118"/>
        <v>230</v>
      </c>
      <c r="AO2280">
        <f t="shared" ca="1" si="119"/>
        <v>98</v>
      </c>
      <c r="AP2280" s="105">
        <f ca="1">IF(AND(AL2280=1,OR('Top 25'!$A$10="All",C2280='Top 25'!$A$10),OR('Top 25'!$D$10="All",D2280='Top 25'!$D$10)),1,0)</f>
        <v>0</v>
      </c>
      <c r="AQ2280" s="105" t="str">
        <f ca="1">IF(AP2280=0,"",CHOOSE(MATCH('Top 25'!$G$10,{"Priority score","Economic need","Enrollment","Fresh miles","Nearby resources"},0),T2280,G2280,F2280,K2280,L2280))</f>
        <v/>
      </c>
      <c r="AR2280" s="105" t="str">
        <f ca="1">IF(AP2280=0,"",1+COUNTIFS($AP$2051:$AP$2550,1,$AQ$2051:$AQ$2550,IF('Top 25'!$J$10="Ascending","&lt;","&gt;")&amp;AQ2280)+COUNTIFS($AP$2051:$AP$2550,1,$AQ$2051:$AQ$2550,AQ2280,$W$2051:$W$2550,"&lt;"&amp;W2280))</f>
        <v/>
      </c>
      <c r="AT2280" s="105">
        <f ca="1">IF(AND(AL2280=1,OR(Master_rankableSchools!$A$10="All",C2280=Master_rankableSchools!$A$10),OR(Master_rankableSchools!$D$10="All",D2280=Master_rankableSchools!$D$10)),1,0)</f>
        <v>1</v>
      </c>
      <c r="AU2280" s="105">
        <f ca="1">IF(AT2280=0,"",CHOOSE(MATCH(Master_rankableSchools!$G$10,{"Priority score","Economic need","Enrollment","Fresh miles","Nearby resources"},0),T2280,G2280,F2280,K2280,L2280))</f>
        <v>43</v>
      </c>
      <c r="AV2280" s="105">
        <f ca="1">IF(AT2280=0,"",1+COUNTIFS($AT$2051:$AT$2550,1,$AU$2051:$AU$2550,IF(Master_rankableSchools!$J$10="Ascending","&lt;","&gt;")&amp;AU2280)+COUNTIFS($AT$2051:$AT$2550,1,$AU$2051:$AU$2550,AU2280,$W$2051:$W$2550,"&lt;"&amp;W2280))</f>
        <v>98</v>
      </c>
    </row>
    <row r="2281" spans="1:48" ht="22" customHeight="1">
      <c r="A2281" s="1" t="str">
        <f t="shared" si="90"/>
        <v>6220</v>
      </c>
      <c r="B2281" s="1" t="str">
        <f t="shared" si="91"/>
        <v>Eleanor C. Emlen School</v>
      </c>
      <c r="C2281" s="1" t="str">
        <f t="shared" si="92"/>
        <v>District</v>
      </c>
      <c r="D2281" s="1" t="str">
        <f t="shared" si="93"/>
        <v>Elementary</v>
      </c>
      <c r="E2281" s="1" t="str">
        <f t="shared" si="94"/>
        <v>19119</v>
      </c>
      <c r="F2281" s="1">
        <f t="shared" si="95"/>
        <v>261</v>
      </c>
      <c r="G2281" s="1">
        <f t="shared" si="96"/>
        <v>0.87319999999999998</v>
      </c>
      <c r="H2281" s="1" t="str">
        <f t="shared" si="97"/>
        <v>Yes</v>
      </c>
      <c r="I2281" s="1">
        <f>IF(OR(A2281="",COUNTIFS('Staff Review'!$A$8:$A$507,A2281)&lt;&gt;1),0,MATCH(A2281,'Staff Review'!$A$8:$A$507,0))</f>
        <v>61</v>
      </c>
      <c r="J2281" s="1" t="str">
        <f>IF(I2281=0,"No",IF(INDEX('Staff Review'!$C$8:$C$507,I2281)="Yes","Yes","No"))</f>
        <v>No</v>
      </c>
      <c r="K2281" s="1">
        <f ca="1">IF(AI2281="Yes",INDEX('Staff Review'!$D$8:$D$507,I2281),IF(AB2281=0,"",IF(COUNT(INDEX($C$1531:$C$2030,AB2281))=1,INDEX($C$1531:$C$2030,AB2281),"")))</f>
        <v>0.33706104927098002</v>
      </c>
      <c r="L2281" s="1">
        <f>IF(AJ2281="Yes",INDEX('Staff Review'!$F$8:$F$507,I2281),IF(AB2281=0,"",IF(COUNT(INDEX($G$1531:$G$2030,AB2281))=1,INDEX($G$1531:$G$2030,AB2281),"")))</f>
        <v>13</v>
      </c>
      <c r="M2281" s="1" t="str">
        <f t="shared" ca="1" si="98"/>
        <v>Listed</v>
      </c>
      <c r="N2281" s="1" t="str">
        <f t="shared" si="99"/>
        <v>Listed</v>
      </c>
      <c r="O2281" s="1">
        <f t="shared" si="100"/>
        <v>25</v>
      </c>
      <c r="P2281" s="1">
        <f t="shared" ca="1" si="101"/>
        <v>10</v>
      </c>
      <c r="Q2281" s="1">
        <f t="shared" si="102"/>
        <v>0</v>
      </c>
      <c r="R2281" s="1">
        <f t="shared" si="103"/>
        <v>2</v>
      </c>
      <c r="S2281" s="1">
        <f t="shared" ca="1" si="104"/>
        <v>37</v>
      </c>
      <c r="T2281" s="1">
        <f ca="1">IF(OR(COUNT(O2281:R2281)&lt;&gt;4,COUNT('Top 25'!$B$45:$E$45)&lt;&gt;4,MIN('Top 25'!$B$45:$E$45)&lt;0,SUM('Top 25'!$B$45:$E$45)&lt;=0),"",ROUND(85*(O2281/30*'Top 25'!$B$45+P2281/25*'Top 25'!$C$45+Q2281/25*'Top 25'!$D$45+R2281/5*'Top 25'!$E$45)/SUM('Top 25'!$B$45:$E$45),6))</f>
        <v>37</v>
      </c>
      <c r="U2281" s="1" t="str">
        <f t="shared" ca="1" si="105"/>
        <v>Listed</v>
      </c>
      <c r="V2281" s="1" t="str">
        <f ca="1">IF(A2281="","",IF(AK2281&lt;&gt;1,"Duplicate source ID",IF(COUNTIFS('Staff Review'!$A$8:$A$507,A2281)&gt;1,"Duplicate review ID",IF(H2281&lt;&gt;"Yes","Outside scope",IF(J2281="Yes","Already served",IF(NOT(ISNUMBER(T2281)),"Missing data","Candidate"))))))</f>
        <v>Candidate</v>
      </c>
      <c r="W2281" s="1">
        <f t="shared" ca="1" si="106"/>
        <v>191</v>
      </c>
      <c r="X2281" s="1">
        <f t="shared" ca="1" si="107"/>
        <v>182</v>
      </c>
      <c r="Y2281" s="1">
        <f ca="1">IF(AND(H2281="Yes",OR(LEN('School Search'!$B$5)=0,ISNUMBER(SEARCH('School Search'!$B$5,B2281&amp;" "&amp;E2281&amp;" "&amp;A2281))),OR('School Search'!$D$5="All",C2281='School Search'!$D$5),OR('School Search'!$G$5="All eligible",AND('School Search'!$G$5="Not marked served",J2281&lt;&gt;"Yes"),AND('School Search'!$G$5="Missing data",V2281="Missing data"),AND('School Search'!$G$5="Marked served",J2281="Yes"))),1,0)</f>
        <v>1</v>
      </c>
      <c r="Z2281" s="1">
        <f ca="1">IF(Y2281=0,"",COUNTIFS($Y$2051:$Y$2550,1,$AO$2051:$AO$2550,"&lt;"&amp;AO2281)+COUNTIFS($Y$2051:Y2281,1,$AO$2051:AO2281,AO2281))</f>
        <v>191</v>
      </c>
      <c r="AA2281" s="1" t="str">
        <f t="shared" ca="1" si="108"/>
        <v>87% economic need; 0.34 mi fresh access; 13 nearby resources</v>
      </c>
      <c r="AB2281" s="1">
        <f t="shared" si="109"/>
        <v>231</v>
      </c>
      <c r="AC2281" s="1" t="str">
        <f t="shared" si="110"/>
        <v>Save A Lot 45141</v>
      </c>
      <c r="AD2281" s="1" t="str">
        <f t="shared" si="111"/>
        <v>6301 Chew Ave, Philadelphia, PA, 19138</v>
      </c>
      <c r="AE2281" s="1" t="str">
        <f t="shared" si="112"/>
        <v>6501 CHEW AVE</v>
      </c>
      <c r="AF2281" s="1">
        <f t="shared" si="113"/>
        <v>40.05436289</v>
      </c>
      <c r="AG2281" s="1">
        <f t="shared" si="114"/>
        <v>-75.177905730000006</v>
      </c>
      <c r="AH2281" s="1" t="str">
        <f>IF(I2281=0,"Not contacted",IF(INDEX('Staff Review'!$J$8:$J$507,I2281)="","Not contacted",INDEX('Staff Review'!$J$8:$J$507,I2281)))</f>
        <v>Not contacted</v>
      </c>
      <c r="AI2281" s="1" t="str">
        <f ca="1">IF(I2281=0,"No",IF(AND(COUNT(INDEX('Staff Review'!$D$8:$D$507,I2281))=1,INDEX('Staff Review'!$D$8:$D$507,I2281)&gt;=0,COUNT(INDEX('Staff Review'!$E$8:$E$507,I2281))=1,INDEX('Staff Review'!$E$8:$E$507,I2281)&gt;0,INDEX('Staff Review'!$E$8:$E$507,I2281)&lt;='Top 25'!$E$5,'Top 25'!$E$5-INDEX('Staff Review'!$E$8:$E$507,I2281)&lt;='Top 25'!$H$5,LEN(INDEX('Staff Review'!$H$8:$H$507,I2281))&gt;0),"Yes","No"))</f>
        <v>No</v>
      </c>
      <c r="AJ2281" s="1" t="str">
        <f>IF(I2281=0,"No",IF(COUNT(INDEX('Staff Review'!$F$8:$F$507,I2281))&lt;&gt;1,"No",IF(AND(INDEX('Staff Review'!$F$8:$F$507,I2281)&gt;=0,MOD(INDEX('Staff Review'!$F$8:$F$507,I2281),1)=0,COUNT(INDEX('Staff Review'!$G$8:$G$507,I2281))=1,INDEX('Staff Review'!$G$8:$G$507,I2281)&gt;0,INDEX('Staff Review'!$G$8:$G$507,I2281)&lt;='Top 25'!$E$5,'Top 25'!$E$5-INDEX('Staff Review'!$G$8:$G$507,I2281)&lt;='Top 25'!$H$5,LEN(INDEX('Staff Review'!$H$8:$H$507,I2281))&gt;0),"Yes","No")))</f>
        <v>No</v>
      </c>
      <c r="AK2281" s="1">
        <f t="shared" si="115"/>
        <v>1</v>
      </c>
      <c r="AL2281" s="1">
        <f t="shared" ca="1" si="116"/>
        <v>1</v>
      </c>
      <c r="AM2281" s="1">
        <f t="shared" si="117"/>
        <v>6220</v>
      </c>
      <c r="AN2281" s="1">
        <f t="shared" si="118"/>
        <v>231</v>
      </c>
      <c r="AO2281">
        <f t="shared" ca="1" si="119"/>
        <v>191</v>
      </c>
      <c r="AP2281" s="105">
        <f ca="1">IF(AND(AL2281=1,OR('Top 25'!$A$10="All",C2281='Top 25'!$A$10),OR('Top 25'!$D$10="All",D2281='Top 25'!$D$10)),1,0)</f>
        <v>1</v>
      </c>
      <c r="AQ2281" s="105">
        <f ca="1">IF(AP2281=0,"",CHOOSE(MATCH('Top 25'!$G$10,{"Priority score","Economic need","Enrollment","Fresh miles","Nearby resources"},0),T2281,G2281,F2281,K2281,L2281))</f>
        <v>37</v>
      </c>
      <c r="AR2281" s="105">
        <f ca="1">IF(AP2281=0,"",1+COUNTIFS($AP$2051:$AP$2550,1,$AQ$2051:$AQ$2550,IF('Top 25'!$J$10="Ascending","&lt;","&gt;")&amp;AQ2281)+COUNTIFS($AP$2051:$AP$2550,1,$AQ$2051:$AQ$2550,AQ2281,$W$2051:$W$2550,"&lt;"&amp;W2281))</f>
        <v>31</v>
      </c>
      <c r="AT2281" s="105">
        <f ca="1">IF(AND(AL2281=1,OR(Master_rankableSchools!$A$10="All",C2281=Master_rankableSchools!$A$10),OR(Master_rankableSchools!$D$10="All",D2281=Master_rankableSchools!$D$10)),1,0)</f>
        <v>1</v>
      </c>
      <c r="AU2281" s="105">
        <f ca="1">IF(AT2281=0,"",CHOOSE(MATCH(Master_rankableSchools!$G$10,{"Priority score","Economic need","Enrollment","Fresh miles","Nearby resources"},0),T2281,G2281,F2281,K2281,L2281))</f>
        <v>37</v>
      </c>
      <c r="AV2281" s="105">
        <f ca="1">IF(AT2281=0,"",1+COUNTIFS($AT$2051:$AT$2550,1,$AU$2051:$AU$2550,IF(Master_rankableSchools!$J$10="Ascending","&lt;","&gt;")&amp;AU2281)+COUNTIFS($AT$2051:$AT$2550,1,$AU$2051:$AU$2550,AU2281,$W$2051:$W$2550,"&lt;"&amp;W2281))</f>
        <v>191</v>
      </c>
    </row>
    <row r="2282" spans="1:48" ht="22" customHeight="1">
      <c r="A2282" s="1" t="str">
        <f t="shared" si="90"/>
        <v>6230</v>
      </c>
      <c r="B2282" s="1" t="str">
        <f t="shared" si="91"/>
        <v>Fitler Academics Plus School</v>
      </c>
      <c r="C2282" s="1" t="str">
        <f t="shared" si="92"/>
        <v>District</v>
      </c>
      <c r="D2282" s="1" t="str">
        <f t="shared" si="93"/>
        <v>Elementary-Middle</v>
      </c>
      <c r="E2282" s="1" t="str">
        <f t="shared" si="94"/>
        <v>19144</v>
      </c>
      <c r="F2282" s="1">
        <f t="shared" si="95"/>
        <v>177</v>
      </c>
      <c r="G2282" s="1">
        <f t="shared" si="96"/>
        <v>0.84740000000000004</v>
      </c>
      <c r="H2282" s="1" t="str">
        <f t="shared" si="97"/>
        <v>Yes</v>
      </c>
      <c r="I2282" s="1">
        <f>IF(OR(A2282="",COUNTIFS('Staff Review'!$A$8:$A$507,A2282)&lt;&gt;1),0,MATCH(A2282,'Staff Review'!$A$8:$A$507,0))</f>
        <v>76</v>
      </c>
      <c r="J2282" s="1" t="str">
        <f>IF(I2282=0,"No",IF(INDEX('Staff Review'!$C$8:$C$507,I2282)="Yes","Yes","No"))</f>
        <v>No</v>
      </c>
      <c r="K2282" s="1">
        <f ca="1">IF(AI2282="Yes",INDEX('Staff Review'!$D$8:$D$507,I2282),IF(AB2282=0,"",IF(COUNT(INDEX($C$1531:$C$2030,AB2282))=1,INDEX($C$1531:$C$2030,AB2282),"")))</f>
        <v>0.76489357891222021</v>
      </c>
      <c r="L2282" s="1">
        <f>IF(AJ2282="Yes",INDEX('Staff Review'!$F$8:$F$507,I2282),IF(AB2282=0,"",IF(COUNT(INDEX($G$1531:$G$2030,AB2282))=1,INDEX($G$1531:$G$2030,AB2282),"")))</f>
        <v>14</v>
      </c>
      <c r="M2282" s="1" t="str">
        <f t="shared" ca="1" si="98"/>
        <v>Listed</v>
      </c>
      <c r="N2282" s="1" t="str">
        <f t="shared" si="99"/>
        <v>Listed</v>
      </c>
      <c r="O2282" s="1">
        <f t="shared" si="100"/>
        <v>25</v>
      </c>
      <c r="P2282" s="1">
        <f t="shared" ca="1" si="101"/>
        <v>20</v>
      </c>
      <c r="Q2282" s="1">
        <f t="shared" si="102"/>
        <v>0</v>
      </c>
      <c r="R2282" s="1">
        <f t="shared" si="103"/>
        <v>1</v>
      </c>
      <c r="S2282" s="1">
        <f t="shared" ca="1" si="104"/>
        <v>46</v>
      </c>
      <c r="T2282" s="1">
        <f ca="1">IF(OR(COUNT(O2282:R2282)&lt;&gt;4,COUNT('Top 25'!$B$45:$E$45)&lt;&gt;4,MIN('Top 25'!$B$45:$E$45)&lt;0,SUM('Top 25'!$B$45:$E$45)&lt;=0),"",ROUND(85*(O2282/30*'Top 25'!$B$45+P2282/25*'Top 25'!$C$45+Q2282/25*'Top 25'!$D$45+R2282/5*'Top 25'!$E$45)/SUM('Top 25'!$B$45:$E$45),6))</f>
        <v>46</v>
      </c>
      <c r="U2282" s="1" t="str">
        <f t="shared" ca="1" si="105"/>
        <v>Listed</v>
      </c>
      <c r="V2282" s="1" t="str">
        <f ca="1">IF(A2282="","",IF(AK2282&lt;&gt;1,"Duplicate source ID",IF(COUNTIFS('Staff Review'!$A$8:$A$507,A2282)&gt;1,"Duplicate review ID",IF(H2282&lt;&gt;"Yes","Outside scope",IF(J2282="Yes","Already served",IF(NOT(ISNUMBER(T2282)),"Missing data","Candidate"))))))</f>
        <v>Candidate</v>
      </c>
      <c r="W2282" s="1">
        <f t="shared" ca="1" si="106"/>
        <v>72</v>
      </c>
      <c r="X2282" s="1">
        <f t="shared" ca="1" si="107"/>
        <v>71</v>
      </c>
      <c r="Y2282" s="1">
        <f ca="1">IF(AND(H2282="Yes",OR(LEN('School Search'!$B$5)=0,ISNUMBER(SEARCH('School Search'!$B$5,B2282&amp;" "&amp;E2282&amp;" "&amp;A2282))),OR('School Search'!$D$5="All",C2282='School Search'!$D$5),OR('School Search'!$G$5="All eligible",AND('School Search'!$G$5="Not marked served",J2282&lt;&gt;"Yes"),AND('School Search'!$G$5="Missing data",V2282="Missing data"),AND('School Search'!$G$5="Marked served",J2282="Yes"))),1,0)</f>
        <v>1</v>
      </c>
      <c r="Z2282" s="1">
        <f ca="1">IF(Y2282=0,"",COUNTIFS($Y$2051:$Y$2550,1,$AO$2051:$AO$2550,"&lt;"&amp;AO2282)+COUNTIFS($Y$2051:Y2282,1,$AO$2051:AO2282,AO2282))</f>
        <v>72</v>
      </c>
      <c r="AA2282" s="1" t="str">
        <f t="shared" ca="1" si="108"/>
        <v>85% economic need; 0.76 mi fresh access; 14 nearby resources</v>
      </c>
      <c r="AB2282" s="1">
        <f t="shared" si="109"/>
        <v>232</v>
      </c>
      <c r="AC2282" s="1" t="str">
        <f t="shared" si="110"/>
        <v>Chelten Market Inc</v>
      </c>
      <c r="AD2282" s="1" t="str">
        <f t="shared" si="111"/>
        <v>176-82 W Chelten Ave, Philadelphia, PA, 19144</v>
      </c>
      <c r="AE2282" s="1" t="str">
        <f t="shared" si="112"/>
        <v>140 W SEYMOUR ST</v>
      </c>
      <c r="AF2282" s="1">
        <f t="shared" si="113"/>
        <v>40.02610052</v>
      </c>
      <c r="AG2282" s="1">
        <f t="shared" si="114"/>
        <v>-75.166337330000005</v>
      </c>
      <c r="AH2282" s="1" t="str">
        <f>IF(I2282=0,"Not contacted",IF(INDEX('Staff Review'!$J$8:$J$507,I2282)="","Not contacted",INDEX('Staff Review'!$J$8:$J$507,I2282)))</f>
        <v>Not contacted</v>
      </c>
      <c r="AI2282" s="1" t="str">
        <f ca="1">IF(I2282=0,"No",IF(AND(COUNT(INDEX('Staff Review'!$D$8:$D$507,I2282))=1,INDEX('Staff Review'!$D$8:$D$507,I2282)&gt;=0,COUNT(INDEX('Staff Review'!$E$8:$E$507,I2282))=1,INDEX('Staff Review'!$E$8:$E$507,I2282)&gt;0,INDEX('Staff Review'!$E$8:$E$507,I2282)&lt;='Top 25'!$E$5,'Top 25'!$E$5-INDEX('Staff Review'!$E$8:$E$507,I2282)&lt;='Top 25'!$H$5,LEN(INDEX('Staff Review'!$H$8:$H$507,I2282))&gt;0),"Yes","No"))</f>
        <v>No</v>
      </c>
      <c r="AJ2282" s="1" t="str">
        <f>IF(I2282=0,"No",IF(COUNT(INDEX('Staff Review'!$F$8:$F$507,I2282))&lt;&gt;1,"No",IF(AND(INDEX('Staff Review'!$F$8:$F$507,I2282)&gt;=0,MOD(INDEX('Staff Review'!$F$8:$F$507,I2282),1)=0,COUNT(INDEX('Staff Review'!$G$8:$G$507,I2282))=1,INDEX('Staff Review'!$G$8:$G$507,I2282)&gt;0,INDEX('Staff Review'!$G$8:$G$507,I2282)&lt;='Top 25'!$E$5,'Top 25'!$E$5-INDEX('Staff Review'!$G$8:$G$507,I2282)&lt;='Top 25'!$H$5,LEN(INDEX('Staff Review'!$H$8:$H$507,I2282))&gt;0),"Yes","No")))</f>
        <v>No</v>
      </c>
      <c r="AK2282" s="1">
        <f t="shared" si="115"/>
        <v>1</v>
      </c>
      <c r="AL2282" s="1">
        <f t="shared" ca="1" si="116"/>
        <v>1</v>
      </c>
      <c r="AM2282" s="1">
        <f t="shared" si="117"/>
        <v>6230</v>
      </c>
      <c r="AN2282" s="1">
        <f t="shared" si="118"/>
        <v>232</v>
      </c>
      <c r="AO2282">
        <f t="shared" ca="1" si="119"/>
        <v>72</v>
      </c>
      <c r="AP2282" s="105">
        <f ca="1">IF(AND(AL2282=1,OR('Top 25'!$A$10="All",C2282='Top 25'!$A$10),OR('Top 25'!$D$10="All",D2282='Top 25'!$D$10)),1,0)</f>
        <v>0</v>
      </c>
      <c r="AQ2282" s="105" t="str">
        <f ca="1">IF(AP2282=0,"",CHOOSE(MATCH('Top 25'!$G$10,{"Priority score","Economic need","Enrollment","Fresh miles","Nearby resources"},0),T2282,G2282,F2282,K2282,L2282))</f>
        <v/>
      </c>
      <c r="AR2282" s="105" t="str">
        <f ca="1">IF(AP2282=0,"",1+COUNTIFS($AP$2051:$AP$2550,1,$AQ$2051:$AQ$2550,IF('Top 25'!$J$10="Ascending","&lt;","&gt;")&amp;AQ2282)+COUNTIFS($AP$2051:$AP$2550,1,$AQ$2051:$AQ$2550,AQ2282,$W$2051:$W$2550,"&lt;"&amp;W2282))</f>
        <v/>
      </c>
      <c r="AT2282" s="105">
        <f ca="1">IF(AND(AL2282=1,OR(Master_rankableSchools!$A$10="All",C2282=Master_rankableSchools!$A$10),OR(Master_rankableSchools!$D$10="All",D2282=Master_rankableSchools!$D$10)),1,0)</f>
        <v>1</v>
      </c>
      <c r="AU2282" s="105">
        <f ca="1">IF(AT2282=0,"",CHOOSE(MATCH(Master_rankableSchools!$G$10,{"Priority score","Economic need","Enrollment","Fresh miles","Nearby resources"},0),T2282,G2282,F2282,K2282,L2282))</f>
        <v>46</v>
      </c>
      <c r="AV2282" s="105">
        <f ca="1">IF(AT2282=0,"",1+COUNTIFS($AT$2051:$AT$2550,1,$AU$2051:$AU$2550,IF(Master_rankableSchools!$J$10="Ascending","&lt;","&gt;")&amp;AU2282)+COUNTIFS($AT$2051:$AT$2550,1,$AU$2051:$AU$2550,AU2282,$W$2051:$W$2550,"&lt;"&amp;W2282))</f>
        <v>72</v>
      </c>
    </row>
    <row r="2283" spans="1:48" ht="22" customHeight="1">
      <c r="A2283" s="1" t="str">
        <f t="shared" si="90"/>
        <v>6250</v>
      </c>
      <c r="B2283" s="1" t="str">
        <f t="shared" si="91"/>
        <v>Charles W. Henry School</v>
      </c>
      <c r="C2283" s="1" t="str">
        <f t="shared" si="92"/>
        <v>District</v>
      </c>
      <c r="D2283" s="1" t="str">
        <f t="shared" si="93"/>
        <v>Elementary-Middle</v>
      </c>
      <c r="E2283" s="1" t="str">
        <f t="shared" si="94"/>
        <v>19119</v>
      </c>
      <c r="F2283" s="1">
        <f t="shared" si="95"/>
        <v>550</v>
      </c>
      <c r="G2283" s="1">
        <f t="shared" si="96"/>
        <v>0.41270000000000001</v>
      </c>
      <c r="H2283" s="1" t="str">
        <f t="shared" si="97"/>
        <v>Yes</v>
      </c>
      <c r="I2283" s="1">
        <f>IF(OR(A2283="",COUNTIFS('Staff Review'!$A$8:$A$507,A2283)&lt;&gt;1),0,MATCH(A2283,'Staff Review'!$A$8:$A$507,0))</f>
        <v>41</v>
      </c>
      <c r="J2283" s="1" t="str">
        <f>IF(I2283=0,"No",IF(INDEX('Staff Review'!$C$8:$C$507,I2283)="Yes","Yes","No"))</f>
        <v>No</v>
      </c>
      <c r="K2283" s="1">
        <f ca="1">IF(AI2283="Yes",INDEX('Staff Review'!$D$8:$D$507,I2283),IF(AB2283=0,"",IF(COUNT(INDEX($C$1531:$C$2030,AB2283))=1,INDEX($C$1531:$C$2030,AB2283),"")))</f>
        <v>0.6497032188856483</v>
      </c>
      <c r="L2283" s="1">
        <f>IF(AJ2283="Yes",INDEX('Staff Review'!$F$8:$F$507,I2283),IF(AB2283=0,"",IF(COUNT(INDEX($G$1531:$G$2030,AB2283))=1,INDEX($G$1531:$G$2030,AB2283),"")))</f>
        <v>3</v>
      </c>
      <c r="M2283" s="1" t="str">
        <f t="shared" ca="1" si="98"/>
        <v>Listed</v>
      </c>
      <c r="N2283" s="1" t="str">
        <f t="shared" si="99"/>
        <v>Listed</v>
      </c>
      <c r="O2283" s="1">
        <f t="shared" si="100"/>
        <v>5</v>
      </c>
      <c r="P2283" s="1">
        <f t="shared" ca="1" si="101"/>
        <v>15</v>
      </c>
      <c r="Q2283" s="1">
        <f t="shared" si="102"/>
        <v>10</v>
      </c>
      <c r="R2283" s="1">
        <f t="shared" si="103"/>
        <v>4</v>
      </c>
      <c r="S2283" s="1">
        <f t="shared" ca="1" si="104"/>
        <v>34</v>
      </c>
      <c r="T2283" s="1">
        <f ca="1">IF(OR(COUNT(O2283:R2283)&lt;&gt;4,COUNT('Top 25'!$B$45:$E$45)&lt;&gt;4,MIN('Top 25'!$B$45:$E$45)&lt;0,SUM('Top 25'!$B$45:$E$45)&lt;=0),"",ROUND(85*(O2283/30*'Top 25'!$B$45+P2283/25*'Top 25'!$C$45+Q2283/25*'Top 25'!$D$45+R2283/5*'Top 25'!$E$45)/SUM('Top 25'!$B$45:$E$45),6))</f>
        <v>34</v>
      </c>
      <c r="U2283" s="1" t="str">
        <f t="shared" ca="1" si="105"/>
        <v>Listed</v>
      </c>
      <c r="V2283" s="1" t="str">
        <f ca="1">IF(A2283="","",IF(AK2283&lt;&gt;1,"Duplicate source ID",IF(COUNTIFS('Staff Review'!$A$8:$A$507,A2283)&gt;1,"Duplicate review ID",IF(H2283&lt;&gt;"Yes","Outside scope",IF(J2283="Yes","Already served",IF(NOT(ISNUMBER(T2283)),"Missing data","Candidate"))))))</f>
        <v>Candidate</v>
      </c>
      <c r="W2283" s="1">
        <f t="shared" ca="1" si="106"/>
        <v>232</v>
      </c>
      <c r="X2283" s="1">
        <f t="shared" ca="1" si="107"/>
        <v>221</v>
      </c>
      <c r="Y2283" s="1">
        <f ca="1">IF(AND(H2283="Yes",OR(LEN('School Search'!$B$5)=0,ISNUMBER(SEARCH('School Search'!$B$5,B2283&amp;" "&amp;E2283&amp;" "&amp;A2283))),OR('School Search'!$D$5="All",C2283='School Search'!$D$5),OR('School Search'!$G$5="All eligible",AND('School Search'!$G$5="Not marked served",J2283&lt;&gt;"Yes"),AND('School Search'!$G$5="Missing data",V2283="Missing data"),AND('School Search'!$G$5="Marked served",J2283="Yes"))),1,0)</f>
        <v>1</v>
      </c>
      <c r="Z2283" s="1">
        <f ca="1">IF(Y2283=0,"",COUNTIFS($Y$2051:$Y$2550,1,$AO$2051:$AO$2550,"&lt;"&amp;AO2283)+COUNTIFS($Y$2051:Y2283,1,$AO$2051:AO2283,AO2283))</f>
        <v>232</v>
      </c>
      <c r="AA2283" s="1" t="str">
        <f t="shared" ca="1" si="108"/>
        <v>41% economic need; 0.65 mi fresh access; 3 nearby resources</v>
      </c>
      <c r="AB2283" s="1">
        <f t="shared" si="109"/>
        <v>233</v>
      </c>
      <c r="AC2283" s="1" t="str">
        <f t="shared" si="110"/>
        <v>Grocery Outlet 728</v>
      </c>
      <c r="AD2283" s="1" t="str">
        <f t="shared" si="111"/>
        <v>25 W Hortter St, Philadelphia, PA, 19119</v>
      </c>
      <c r="AE2283" s="1" t="str">
        <f t="shared" si="112"/>
        <v>601 CARPENTER LN</v>
      </c>
      <c r="AF2283" s="1">
        <f t="shared" si="113"/>
        <v>40.046257709999999</v>
      </c>
      <c r="AG2283" s="1">
        <f t="shared" si="114"/>
        <v>-75.19658776</v>
      </c>
      <c r="AH2283" s="1" t="str">
        <f>IF(I2283=0,"Not contacted",IF(INDEX('Staff Review'!$J$8:$J$507,I2283)="","Not contacted",INDEX('Staff Review'!$J$8:$J$507,I2283)))</f>
        <v>Not contacted</v>
      </c>
      <c r="AI2283" s="1" t="str">
        <f ca="1">IF(I2283=0,"No",IF(AND(COUNT(INDEX('Staff Review'!$D$8:$D$507,I2283))=1,INDEX('Staff Review'!$D$8:$D$507,I2283)&gt;=0,COUNT(INDEX('Staff Review'!$E$8:$E$507,I2283))=1,INDEX('Staff Review'!$E$8:$E$507,I2283)&gt;0,INDEX('Staff Review'!$E$8:$E$507,I2283)&lt;='Top 25'!$E$5,'Top 25'!$E$5-INDEX('Staff Review'!$E$8:$E$507,I2283)&lt;='Top 25'!$H$5,LEN(INDEX('Staff Review'!$H$8:$H$507,I2283))&gt;0),"Yes","No"))</f>
        <v>No</v>
      </c>
      <c r="AJ2283" s="1" t="str">
        <f>IF(I2283=0,"No",IF(COUNT(INDEX('Staff Review'!$F$8:$F$507,I2283))&lt;&gt;1,"No",IF(AND(INDEX('Staff Review'!$F$8:$F$507,I2283)&gt;=0,MOD(INDEX('Staff Review'!$F$8:$F$507,I2283),1)=0,COUNT(INDEX('Staff Review'!$G$8:$G$507,I2283))=1,INDEX('Staff Review'!$G$8:$G$507,I2283)&gt;0,INDEX('Staff Review'!$G$8:$G$507,I2283)&lt;='Top 25'!$E$5,'Top 25'!$E$5-INDEX('Staff Review'!$G$8:$G$507,I2283)&lt;='Top 25'!$H$5,LEN(INDEX('Staff Review'!$H$8:$H$507,I2283))&gt;0),"Yes","No")))</f>
        <v>No</v>
      </c>
      <c r="AK2283" s="1">
        <f t="shared" si="115"/>
        <v>1</v>
      </c>
      <c r="AL2283" s="1">
        <f t="shared" ca="1" si="116"/>
        <v>1</v>
      </c>
      <c r="AM2283" s="1">
        <f t="shared" si="117"/>
        <v>6250</v>
      </c>
      <c r="AN2283" s="1">
        <f t="shared" si="118"/>
        <v>233</v>
      </c>
      <c r="AO2283">
        <f t="shared" ca="1" si="119"/>
        <v>232</v>
      </c>
      <c r="AP2283" s="105">
        <f ca="1">IF(AND(AL2283=1,OR('Top 25'!$A$10="All",C2283='Top 25'!$A$10),OR('Top 25'!$D$10="All",D2283='Top 25'!$D$10)),1,0)</f>
        <v>0</v>
      </c>
      <c r="AQ2283" s="105" t="str">
        <f ca="1">IF(AP2283=0,"",CHOOSE(MATCH('Top 25'!$G$10,{"Priority score","Economic need","Enrollment","Fresh miles","Nearby resources"},0),T2283,G2283,F2283,K2283,L2283))</f>
        <v/>
      </c>
      <c r="AR2283" s="105" t="str">
        <f ca="1">IF(AP2283=0,"",1+COUNTIFS($AP$2051:$AP$2550,1,$AQ$2051:$AQ$2550,IF('Top 25'!$J$10="Ascending","&lt;","&gt;")&amp;AQ2283)+COUNTIFS($AP$2051:$AP$2550,1,$AQ$2051:$AQ$2550,AQ2283,$W$2051:$W$2550,"&lt;"&amp;W2283))</f>
        <v/>
      </c>
      <c r="AT2283" s="105">
        <f ca="1">IF(AND(AL2283=1,OR(Master_rankableSchools!$A$10="All",C2283=Master_rankableSchools!$A$10),OR(Master_rankableSchools!$D$10="All",D2283=Master_rankableSchools!$D$10)),1,0)</f>
        <v>1</v>
      </c>
      <c r="AU2283" s="105">
        <f ca="1">IF(AT2283=0,"",CHOOSE(MATCH(Master_rankableSchools!$G$10,{"Priority score","Economic need","Enrollment","Fresh miles","Nearby resources"},0),T2283,G2283,F2283,K2283,L2283))</f>
        <v>34</v>
      </c>
      <c r="AV2283" s="105">
        <f ca="1">IF(AT2283=0,"",1+COUNTIFS($AT$2051:$AT$2550,1,$AU$2051:$AU$2550,IF(Master_rankableSchools!$J$10="Ascending","&lt;","&gt;")&amp;AU2283)+COUNTIFS($AT$2051:$AT$2550,1,$AU$2051:$AU$2550,AU2283,$W$2051:$W$2550,"&lt;"&amp;W2283))</f>
        <v>232</v>
      </c>
    </row>
    <row r="2284" spans="1:48" ht="22" customHeight="1">
      <c r="A2284" s="1" t="str">
        <f t="shared" si="90"/>
        <v>6260</v>
      </c>
      <c r="B2284" s="1" t="str">
        <f t="shared" si="91"/>
        <v>Henry H. Houston School</v>
      </c>
      <c r="C2284" s="1" t="str">
        <f t="shared" si="92"/>
        <v>District</v>
      </c>
      <c r="D2284" s="1" t="str">
        <f t="shared" si="93"/>
        <v>Elementary-Middle</v>
      </c>
      <c r="E2284" s="1" t="str">
        <f t="shared" si="94"/>
        <v>19119</v>
      </c>
      <c r="F2284" s="1">
        <f t="shared" si="95"/>
        <v>473</v>
      </c>
      <c r="G2284" s="1">
        <f t="shared" si="96"/>
        <v>0.50949999999999995</v>
      </c>
      <c r="H2284" s="1" t="str">
        <f t="shared" si="97"/>
        <v>Yes</v>
      </c>
      <c r="I2284" s="1">
        <f>IF(OR(A2284="",COUNTIFS('Staff Review'!$A$8:$A$507,A2284)&lt;&gt;1),0,MATCH(A2284,'Staff Review'!$A$8:$A$507,0))</f>
        <v>111</v>
      </c>
      <c r="J2284" s="1" t="str">
        <f>IF(I2284=0,"No",IF(INDEX('Staff Review'!$C$8:$C$507,I2284)="Yes","Yes","No"))</f>
        <v>No</v>
      </c>
      <c r="K2284" s="1">
        <f ca="1">IF(AI2284="Yes",INDEX('Staff Review'!$D$8:$D$507,I2284),IF(AB2284=0,"",IF(COUNT(INDEX($C$1531:$C$2030,AB2284))=1,INDEX($C$1531:$C$2030,AB2284),"")))</f>
        <v>0.35314230213490028</v>
      </c>
      <c r="L2284" s="1">
        <f>IF(AJ2284="Yes",INDEX('Staff Review'!$F$8:$F$507,I2284),IF(AB2284=0,"",IF(COUNT(INDEX($G$1531:$G$2030,AB2284))=1,INDEX($G$1531:$G$2030,AB2284),"")))</f>
        <v>2</v>
      </c>
      <c r="M2284" s="1" t="str">
        <f t="shared" ca="1" si="98"/>
        <v>Listed</v>
      </c>
      <c r="N2284" s="1" t="str">
        <f t="shared" si="99"/>
        <v>Listed</v>
      </c>
      <c r="O2284" s="1">
        <f t="shared" si="100"/>
        <v>10</v>
      </c>
      <c r="P2284" s="1">
        <f t="shared" ca="1" si="101"/>
        <v>10</v>
      </c>
      <c r="Q2284" s="1">
        <f t="shared" si="102"/>
        <v>15</v>
      </c>
      <c r="R2284" s="1">
        <f t="shared" si="103"/>
        <v>3</v>
      </c>
      <c r="S2284" s="1">
        <f t="shared" ca="1" si="104"/>
        <v>38</v>
      </c>
      <c r="T2284" s="1">
        <f ca="1">IF(OR(COUNT(O2284:R2284)&lt;&gt;4,COUNT('Top 25'!$B$45:$E$45)&lt;&gt;4,MIN('Top 25'!$B$45:$E$45)&lt;0,SUM('Top 25'!$B$45:$E$45)&lt;=0),"",ROUND(85*(O2284/30*'Top 25'!$B$45+P2284/25*'Top 25'!$C$45+Q2284/25*'Top 25'!$D$45+R2284/5*'Top 25'!$E$45)/SUM('Top 25'!$B$45:$E$45),6))</f>
        <v>38</v>
      </c>
      <c r="U2284" s="1" t="str">
        <f t="shared" ca="1" si="105"/>
        <v>Listed</v>
      </c>
      <c r="V2284" s="1" t="str">
        <f ca="1">IF(A2284="","",IF(AK2284&lt;&gt;1,"Duplicate source ID",IF(COUNTIFS('Staff Review'!$A$8:$A$507,A2284)&gt;1,"Duplicate review ID",IF(H2284&lt;&gt;"Yes","Outside scope",IF(J2284="Yes","Already served",IF(NOT(ISNUMBER(T2284)),"Missing data","Candidate"))))))</f>
        <v>Candidate</v>
      </c>
      <c r="W2284" s="1">
        <f t="shared" ca="1" si="106"/>
        <v>181</v>
      </c>
      <c r="X2284" s="1">
        <f t="shared" ca="1" si="107"/>
        <v>166</v>
      </c>
      <c r="Y2284" s="1">
        <f ca="1">IF(AND(H2284="Yes",OR(LEN('School Search'!$B$5)=0,ISNUMBER(SEARCH('School Search'!$B$5,B2284&amp;" "&amp;E2284&amp;" "&amp;A2284))),OR('School Search'!$D$5="All",C2284='School Search'!$D$5),OR('School Search'!$G$5="All eligible",AND('School Search'!$G$5="Not marked served",J2284&lt;&gt;"Yes"),AND('School Search'!$G$5="Missing data",V2284="Missing data"),AND('School Search'!$G$5="Marked served",J2284="Yes"))),1,0)</f>
        <v>1</v>
      </c>
      <c r="Z2284" s="1">
        <f ca="1">IF(Y2284=0,"",COUNTIFS($Y$2051:$Y$2550,1,$AO$2051:$AO$2550,"&lt;"&amp;AO2284)+COUNTIFS($Y$2051:Y2284,1,$AO$2051:AO2284,AO2284))</f>
        <v>181</v>
      </c>
      <c r="AA2284" s="1" t="str">
        <f t="shared" ca="1" si="108"/>
        <v>51% economic need; 0.35 mi fresh access; 2 nearby resources</v>
      </c>
      <c r="AB2284" s="1">
        <f t="shared" si="109"/>
        <v>234</v>
      </c>
      <c r="AC2284" s="1" t="str">
        <f t="shared" si="110"/>
        <v>ACME 114</v>
      </c>
      <c r="AD2284" s="1" t="str">
        <f t="shared" si="111"/>
        <v>7010 Germantown Ave, Philadelphia, PA, 19119</v>
      </c>
      <c r="AE2284" s="1" t="str">
        <f t="shared" si="112"/>
        <v>7300 RURAL LN</v>
      </c>
      <c r="AF2284" s="1">
        <f t="shared" si="113"/>
        <v>40.059002999999997</v>
      </c>
      <c r="AG2284" s="1">
        <f t="shared" si="114"/>
        <v>-75.195083999999994</v>
      </c>
      <c r="AH2284" s="1" t="str">
        <f>IF(I2284=0,"Not contacted",IF(INDEX('Staff Review'!$J$8:$J$507,I2284)="","Not contacted",INDEX('Staff Review'!$J$8:$J$507,I2284)))</f>
        <v>Not contacted</v>
      </c>
      <c r="AI2284" s="1" t="str">
        <f ca="1">IF(I2284=0,"No",IF(AND(COUNT(INDEX('Staff Review'!$D$8:$D$507,I2284))=1,INDEX('Staff Review'!$D$8:$D$507,I2284)&gt;=0,COUNT(INDEX('Staff Review'!$E$8:$E$507,I2284))=1,INDEX('Staff Review'!$E$8:$E$507,I2284)&gt;0,INDEX('Staff Review'!$E$8:$E$507,I2284)&lt;='Top 25'!$E$5,'Top 25'!$E$5-INDEX('Staff Review'!$E$8:$E$507,I2284)&lt;='Top 25'!$H$5,LEN(INDEX('Staff Review'!$H$8:$H$507,I2284))&gt;0),"Yes","No"))</f>
        <v>No</v>
      </c>
      <c r="AJ2284" s="1" t="str">
        <f>IF(I2284=0,"No",IF(COUNT(INDEX('Staff Review'!$F$8:$F$507,I2284))&lt;&gt;1,"No",IF(AND(INDEX('Staff Review'!$F$8:$F$507,I2284)&gt;=0,MOD(INDEX('Staff Review'!$F$8:$F$507,I2284),1)=0,COUNT(INDEX('Staff Review'!$G$8:$G$507,I2284))=1,INDEX('Staff Review'!$G$8:$G$507,I2284)&gt;0,INDEX('Staff Review'!$G$8:$G$507,I2284)&lt;='Top 25'!$E$5,'Top 25'!$E$5-INDEX('Staff Review'!$G$8:$G$507,I2284)&lt;='Top 25'!$H$5,LEN(INDEX('Staff Review'!$H$8:$H$507,I2284))&gt;0),"Yes","No")))</f>
        <v>No</v>
      </c>
      <c r="AK2284" s="1">
        <f t="shared" si="115"/>
        <v>1</v>
      </c>
      <c r="AL2284" s="1">
        <f t="shared" ca="1" si="116"/>
        <v>1</v>
      </c>
      <c r="AM2284" s="1">
        <f t="shared" si="117"/>
        <v>6260</v>
      </c>
      <c r="AN2284" s="1">
        <f t="shared" si="118"/>
        <v>234</v>
      </c>
      <c r="AO2284">
        <f t="shared" ca="1" si="119"/>
        <v>181</v>
      </c>
      <c r="AP2284" s="105">
        <f ca="1">IF(AND(AL2284=1,OR('Top 25'!$A$10="All",C2284='Top 25'!$A$10),OR('Top 25'!$D$10="All",D2284='Top 25'!$D$10)),1,0)</f>
        <v>0</v>
      </c>
      <c r="AQ2284" s="105" t="str">
        <f ca="1">IF(AP2284=0,"",CHOOSE(MATCH('Top 25'!$G$10,{"Priority score","Economic need","Enrollment","Fresh miles","Nearby resources"},0),T2284,G2284,F2284,K2284,L2284))</f>
        <v/>
      </c>
      <c r="AR2284" s="105" t="str">
        <f ca="1">IF(AP2284=0,"",1+COUNTIFS($AP$2051:$AP$2550,1,$AQ$2051:$AQ$2550,IF('Top 25'!$J$10="Ascending","&lt;","&gt;")&amp;AQ2284)+COUNTIFS($AP$2051:$AP$2550,1,$AQ$2051:$AQ$2550,AQ2284,$W$2051:$W$2550,"&lt;"&amp;W2284))</f>
        <v/>
      </c>
      <c r="AT2284" s="105">
        <f ca="1">IF(AND(AL2284=1,OR(Master_rankableSchools!$A$10="All",C2284=Master_rankableSchools!$A$10),OR(Master_rankableSchools!$D$10="All",D2284=Master_rankableSchools!$D$10)),1,0)</f>
        <v>1</v>
      </c>
      <c r="AU2284" s="105">
        <f ca="1">IF(AT2284=0,"",CHOOSE(MATCH(Master_rankableSchools!$G$10,{"Priority score","Economic need","Enrollment","Fresh miles","Nearby resources"},0),T2284,G2284,F2284,K2284,L2284))</f>
        <v>38</v>
      </c>
      <c r="AV2284" s="105">
        <f ca="1">IF(AT2284=0,"",1+COUNTIFS($AT$2051:$AT$2550,1,$AU$2051:$AU$2550,IF(Master_rankableSchools!$J$10="Ascending","&lt;","&gt;")&amp;AU2284)+COUNTIFS($AT$2051:$AT$2550,1,$AU$2051:$AU$2550,AU2284,$W$2051:$W$2550,"&lt;"&amp;W2284))</f>
        <v>181</v>
      </c>
    </row>
    <row r="2285" spans="1:48" ht="22" customHeight="1">
      <c r="A2285" s="1" t="str">
        <f t="shared" si="90"/>
        <v>6270</v>
      </c>
      <c r="B2285" s="1" t="str">
        <f t="shared" si="91"/>
        <v>John S. Jenks Academy for the Arts and Sciences</v>
      </c>
      <c r="C2285" s="1" t="str">
        <f t="shared" si="92"/>
        <v>District</v>
      </c>
      <c r="D2285" s="1" t="str">
        <f t="shared" si="93"/>
        <v>Elementary-Middle</v>
      </c>
      <c r="E2285" s="1" t="str">
        <f t="shared" si="94"/>
        <v>19118</v>
      </c>
      <c r="F2285" s="1">
        <f t="shared" si="95"/>
        <v>380</v>
      </c>
      <c r="G2285" s="1">
        <f t="shared" si="96"/>
        <v>0.60780000000000001</v>
      </c>
      <c r="H2285" s="1" t="str">
        <f t="shared" si="97"/>
        <v>Yes</v>
      </c>
      <c r="I2285" s="1">
        <f>IF(OR(A2285="",COUNTIFS('Staff Review'!$A$8:$A$507,A2285)&lt;&gt;1),0,MATCH(A2285,'Staff Review'!$A$8:$A$507,0))</f>
        <v>144</v>
      </c>
      <c r="J2285" s="1" t="str">
        <f>IF(I2285=0,"No",IF(INDEX('Staff Review'!$C$8:$C$507,I2285)="Yes","Yes","No"))</f>
        <v>No</v>
      </c>
      <c r="K2285" s="1">
        <f ca="1">IF(AI2285="Yes",INDEX('Staff Review'!$D$8:$D$507,I2285),IF(AB2285=0,"",IF(COUNT(INDEX($C$1531:$C$2030,AB2285))=1,INDEX($C$1531:$C$2030,AB2285),"")))</f>
        <v>7.2008835620664083E-2</v>
      </c>
      <c r="L2285" s="1">
        <f>IF(AJ2285="Yes",INDEX('Staff Review'!$F$8:$F$507,I2285),IF(AB2285=0,"",IF(COUNT(INDEX($G$1531:$G$2030,AB2285))=1,INDEX($G$1531:$G$2030,AB2285),"")))</f>
        <v>0</v>
      </c>
      <c r="M2285" s="1" t="str">
        <f t="shared" ca="1" si="98"/>
        <v>Listed</v>
      </c>
      <c r="N2285" s="1" t="str">
        <f t="shared" si="99"/>
        <v>Listed</v>
      </c>
      <c r="O2285" s="1">
        <f t="shared" si="100"/>
        <v>15</v>
      </c>
      <c r="P2285" s="1">
        <f t="shared" ca="1" si="101"/>
        <v>5</v>
      </c>
      <c r="Q2285" s="1">
        <f t="shared" si="102"/>
        <v>25</v>
      </c>
      <c r="R2285" s="1">
        <f t="shared" si="103"/>
        <v>3</v>
      </c>
      <c r="S2285" s="1">
        <f t="shared" ca="1" si="104"/>
        <v>48</v>
      </c>
      <c r="T2285" s="1">
        <f ca="1">IF(OR(COUNT(O2285:R2285)&lt;&gt;4,COUNT('Top 25'!$B$45:$E$45)&lt;&gt;4,MIN('Top 25'!$B$45:$E$45)&lt;0,SUM('Top 25'!$B$45:$E$45)&lt;=0),"",ROUND(85*(O2285/30*'Top 25'!$B$45+P2285/25*'Top 25'!$C$45+Q2285/25*'Top 25'!$D$45+R2285/5*'Top 25'!$E$45)/SUM('Top 25'!$B$45:$E$45),6))</f>
        <v>48</v>
      </c>
      <c r="U2285" s="1" t="str">
        <f t="shared" ca="1" si="105"/>
        <v>Listed</v>
      </c>
      <c r="V2285" s="1" t="str">
        <f ca="1">IF(A2285="","",IF(AK2285&lt;&gt;1,"Duplicate source ID",IF(COUNTIFS('Staff Review'!$A$8:$A$507,A2285)&gt;1,"Duplicate review ID",IF(H2285&lt;&gt;"Yes","Outside scope",IF(J2285="Yes","Already served",IF(NOT(ISNUMBER(T2285)),"Missing data","Candidate"))))))</f>
        <v>Candidate</v>
      </c>
      <c r="W2285" s="1">
        <f t="shared" ca="1" si="106"/>
        <v>62</v>
      </c>
      <c r="X2285" s="1">
        <f t="shared" ca="1" si="107"/>
        <v>56</v>
      </c>
      <c r="Y2285" s="1">
        <f ca="1">IF(AND(H2285="Yes",OR(LEN('School Search'!$B$5)=0,ISNUMBER(SEARCH('School Search'!$B$5,B2285&amp;" "&amp;E2285&amp;" "&amp;A2285))),OR('School Search'!$D$5="All",C2285='School Search'!$D$5),OR('School Search'!$G$5="All eligible",AND('School Search'!$G$5="Not marked served",J2285&lt;&gt;"Yes"),AND('School Search'!$G$5="Missing data",V2285="Missing data"),AND('School Search'!$G$5="Marked served",J2285="Yes"))),1,0)</f>
        <v>1</v>
      </c>
      <c r="Z2285" s="1">
        <f ca="1">IF(Y2285=0,"",COUNTIFS($Y$2051:$Y$2550,1,$AO$2051:$AO$2550,"&lt;"&amp;AO2285)+COUNTIFS($Y$2051:Y2285,1,$AO$2051:AO2285,AO2285))</f>
        <v>62</v>
      </c>
      <c r="AA2285" s="1" t="str">
        <f t="shared" ca="1" si="108"/>
        <v>61% economic need; 0.07 mi fresh access; 0 nearby resources</v>
      </c>
      <c r="AB2285" s="1">
        <f t="shared" si="109"/>
        <v>235</v>
      </c>
      <c r="AC2285" s="1" t="str">
        <f t="shared" si="110"/>
        <v>The Fresh Market 133</v>
      </c>
      <c r="AD2285" s="1" t="str">
        <f t="shared" si="111"/>
        <v>8208 Germantown Ave, Philadelphia, PA, 19118</v>
      </c>
      <c r="AE2285" s="1" t="str">
        <f t="shared" si="112"/>
        <v>8301 GERMANTOWN AVE</v>
      </c>
      <c r="AF2285" s="1">
        <f t="shared" si="113"/>
        <v>40.074408869999999</v>
      </c>
      <c r="AG2285" s="1">
        <f t="shared" si="114"/>
        <v>-75.203561620000002</v>
      </c>
      <c r="AH2285" s="1" t="str">
        <f>IF(I2285=0,"Not contacted",IF(INDEX('Staff Review'!$J$8:$J$507,I2285)="","Not contacted",INDEX('Staff Review'!$J$8:$J$507,I2285)))</f>
        <v>Not contacted</v>
      </c>
      <c r="AI2285" s="1" t="str">
        <f ca="1">IF(I2285=0,"No",IF(AND(COUNT(INDEX('Staff Review'!$D$8:$D$507,I2285))=1,INDEX('Staff Review'!$D$8:$D$507,I2285)&gt;=0,COUNT(INDEX('Staff Review'!$E$8:$E$507,I2285))=1,INDEX('Staff Review'!$E$8:$E$507,I2285)&gt;0,INDEX('Staff Review'!$E$8:$E$507,I2285)&lt;='Top 25'!$E$5,'Top 25'!$E$5-INDEX('Staff Review'!$E$8:$E$507,I2285)&lt;='Top 25'!$H$5,LEN(INDEX('Staff Review'!$H$8:$H$507,I2285))&gt;0),"Yes","No"))</f>
        <v>No</v>
      </c>
      <c r="AJ2285" s="1" t="str">
        <f>IF(I2285=0,"No",IF(COUNT(INDEX('Staff Review'!$F$8:$F$507,I2285))&lt;&gt;1,"No",IF(AND(INDEX('Staff Review'!$F$8:$F$507,I2285)&gt;=0,MOD(INDEX('Staff Review'!$F$8:$F$507,I2285),1)=0,COUNT(INDEX('Staff Review'!$G$8:$G$507,I2285))=1,INDEX('Staff Review'!$G$8:$G$507,I2285)&gt;0,INDEX('Staff Review'!$G$8:$G$507,I2285)&lt;='Top 25'!$E$5,'Top 25'!$E$5-INDEX('Staff Review'!$G$8:$G$507,I2285)&lt;='Top 25'!$H$5,LEN(INDEX('Staff Review'!$H$8:$H$507,I2285))&gt;0),"Yes","No")))</f>
        <v>No</v>
      </c>
      <c r="AK2285" s="1">
        <f t="shared" si="115"/>
        <v>1</v>
      </c>
      <c r="AL2285" s="1">
        <f t="shared" ca="1" si="116"/>
        <v>1</v>
      </c>
      <c r="AM2285" s="1">
        <f t="shared" si="117"/>
        <v>6270</v>
      </c>
      <c r="AN2285" s="1">
        <f t="shared" si="118"/>
        <v>235</v>
      </c>
      <c r="AO2285">
        <f t="shared" ca="1" si="119"/>
        <v>62</v>
      </c>
      <c r="AP2285" s="105">
        <f ca="1">IF(AND(AL2285=1,OR('Top 25'!$A$10="All",C2285='Top 25'!$A$10),OR('Top 25'!$D$10="All",D2285='Top 25'!$D$10)),1,0)</f>
        <v>0</v>
      </c>
      <c r="AQ2285" s="105" t="str">
        <f ca="1">IF(AP2285=0,"",CHOOSE(MATCH('Top 25'!$G$10,{"Priority score","Economic need","Enrollment","Fresh miles","Nearby resources"},0),T2285,G2285,F2285,K2285,L2285))</f>
        <v/>
      </c>
      <c r="AR2285" s="105" t="str">
        <f ca="1">IF(AP2285=0,"",1+COUNTIFS($AP$2051:$AP$2550,1,$AQ$2051:$AQ$2550,IF('Top 25'!$J$10="Ascending","&lt;","&gt;")&amp;AQ2285)+COUNTIFS($AP$2051:$AP$2550,1,$AQ$2051:$AQ$2550,AQ2285,$W$2051:$W$2550,"&lt;"&amp;W2285))</f>
        <v/>
      </c>
      <c r="AT2285" s="105">
        <f ca="1">IF(AND(AL2285=1,OR(Master_rankableSchools!$A$10="All",C2285=Master_rankableSchools!$A$10),OR(Master_rankableSchools!$D$10="All",D2285=Master_rankableSchools!$D$10)),1,0)</f>
        <v>1</v>
      </c>
      <c r="AU2285" s="105">
        <f ca="1">IF(AT2285=0,"",CHOOSE(MATCH(Master_rankableSchools!$G$10,{"Priority score","Economic need","Enrollment","Fresh miles","Nearby resources"},0),T2285,G2285,F2285,K2285,L2285))</f>
        <v>48</v>
      </c>
      <c r="AV2285" s="105">
        <f ca="1">IF(AT2285=0,"",1+COUNTIFS($AT$2051:$AT$2550,1,$AU$2051:$AU$2550,IF(Master_rankableSchools!$J$10="Ascending","&lt;","&gt;")&amp;AU2285)+COUNTIFS($AT$2051:$AT$2550,1,$AU$2051:$AU$2550,AU2285,$W$2051:$W$2550,"&lt;"&amp;W2285))</f>
        <v>62</v>
      </c>
    </row>
    <row r="2286" spans="1:48" ht="22" customHeight="1">
      <c r="A2286" s="1" t="str">
        <f t="shared" si="90"/>
        <v>6300</v>
      </c>
      <c r="B2286" s="1" t="str">
        <f t="shared" si="91"/>
        <v>James Logan School</v>
      </c>
      <c r="C2286" s="1" t="str">
        <f t="shared" si="92"/>
        <v>District</v>
      </c>
      <c r="D2286" s="1" t="str">
        <f t="shared" si="93"/>
        <v>Elementary</v>
      </c>
      <c r="E2286" s="1" t="str">
        <f t="shared" si="94"/>
        <v>19141</v>
      </c>
      <c r="F2286" s="1">
        <f t="shared" si="95"/>
        <v>223</v>
      </c>
      <c r="G2286" s="1">
        <f t="shared" si="96"/>
        <v>0.90229999999999999</v>
      </c>
      <c r="H2286" s="1" t="str">
        <f t="shared" si="97"/>
        <v>Yes</v>
      </c>
      <c r="I2286" s="1">
        <f>IF(OR(A2286="",COUNTIFS('Staff Review'!$A$8:$A$507,A2286)&lt;&gt;1),0,MATCH(A2286,'Staff Review'!$A$8:$A$507,0))</f>
        <v>128</v>
      </c>
      <c r="J2286" s="1" t="str">
        <f>IF(I2286=0,"No",IF(INDEX('Staff Review'!$C$8:$C$507,I2286)="Yes","Yes","No"))</f>
        <v>No</v>
      </c>
      <c r="K2286" s="1">
        <f ca="1">IF(AI2286="Yes",INDEX('Staff Review'!$D$8:$D$507,I2286),IF(AB2286=0,"",IF(COUNT(INDEX($C$1531:$C$2030,AB2286))=1,INDEX($C$1531:$C$2030,AB2286),"")))</f>
        <v>0.69701528040601435</v>
      </c>
      <c r="L2286" s="1">
        <f>IF(AJ2286="Yes",INDEX('Staff Review'!$F$8:$F$507,I2286),IF(AB2286=0,"",IF(COUNT(INDEX($G$1531:$G$2030,AB2286))=1,INDEX($G$1531:$G$2030,AB2286),"")))</f>
        <v>8</v>
      </c>
      <c r="M2286" s="1" t="str">
        <f t="shared" ca="1" si="98"/>
        <v>Listed</v>
      </c>
      <c r="N2286" s="1" t="str">
        <f t="shared" si="99"/>
        <v>Listed</v>
      </c>
      <c r="O2286" s="1">
        <f t="shared" si="100"/>
        <v>30</v>
      </c>
      <c r="P2286" s="1">
        <f t="shared" ca="1" si="101"/>
        <v>15</v>
      </c>
      <c r="Q2286" s="1">
        <f t="shared" si="102"/>
        <v>0</v>
      </c>
      <c r="R2286" s="1">
        <f t="shared" si="103"/>
        <v>2</v>
      </c>
      <c r="S2286" s="1">
        <f t="shared" ca="1" si="104"/>
        <v>47</v>
      </c>
      <c r="T2286" s="1">
        <f ca="1">IF(OR(COUNT(O2286:R2286)&lt;&gt;4,COUNT('Top 25'!$B$45:$E$45)&lt;&gt;4,MIN('Top 25'!$B$45:$E$45)&lt;0,SUM('Top 25'!$B$45:$E$45)&lt;=0),"",ROUND(85*(O2286/30*'Top 25'!$B$45+P2286/25*'Top 25'!$C$45+Q2286/25*'Top 25'!$D$45+R2286/5*'Top 25'!$E$45)/SUM('Top 25'!$B$45:$E$45),6))</f>
        <v>47</v>
      </c>
      <c r="U2286" s="1" t="str">
        <f t="shared" ca="1" si="105"/>
        <v>Listed</v>
      </c>
      <c r="V2286" s="1" t="str">
        <f ca="1">IF(A2286="","",IF(AK2286&lt;&gt;1,"Duplicate source ID",IF(COUNTIFS('Staff Review'!$A$8:$A$507,A2286)&gt;1,"Duplicate review ID",IF(H2286&lt;&gt;"Yes","Outside scope",IF(J2286="Yes","Already served",IF(NOT(ISNUMBER(T2286)),"Missing data","Candidate"))))))</f>
        <v>Candidate</v>
      </c>
      <c r="W2286" s="1">
        <f t="shared" ca="1" si="106"/>
        <v>68</v>
      </c>
      <c r="X2286" s="1">
        <f t="shared" ca="1" si="107"/>
        <v>64</v>
      </c>
      <c r="Y2286" s="1">
        <f ca="1">IF(AND(H2286="Yes",OR(LEN('School Search'!$B$5)=0,ISNUMBER(SEARCH('School Search'!$B$5,B2286&amp;" "&amp;E2286&amp;" "&amp;A2286))),OR('School Search'!$D$5="All",C2286='School Search'!$D$5),OR('School Search'!$G$5="All eligible",AND('School Search'!$G$5="Not marked served",J2286&lt;&gt;"Yes"),AND('School Search'!$G$5="Missing data",V2286="Missing data"),AND('School Search'!$G$5="Marked served",J2286="Yes"))),1,0)</f>
        <v>1</v>
      </c>
      <c r="Z2286" s="1">
        <f ca="1">IF(Y2286=0,"",COUNTIFS($Y$2051:$Y$2550,1,$AO$2051:$AO$2550,"&lt;"&amp;AO2286)+COUNTIFS($Y$2051:Y2286,1,$AO$2051:AO2286,AO2286))</f>
        <v>68</v>
      </c>
      <c r="AA2286" s="1" t="str">
        <f t="shared" ca="1" si="108"/>
        <v>90% economic need; 0.70 mi fresh access; 8 nearby resources</v>
      </c>
      <c r="AB2286" s="1">
        <f t="shared" si="109"/>
        <v>236</v>
      </c>
      <c r="AC2286" s="1" t="str">
        <f t="shared" si="110"/>
        <v>Save-A-Lot 60138</v>
      </c>
      <c r="AD2286" s="1" t="str">
        <f t="shared" si="111"/>
        <v>4424 N Broad St, Philadelphia, PA, 19140</v>
      </c>
      <c r="AE2286" s="1" t="str">
        <f t="shared" si="112"/>
        <v>1700 LINDLEY AVE</v>
      </c>
      <c r="AF2286" s="1">
        <f t="shared" si="113"/>
        <v>40.030853059999998</v>
      </c>
      <c r="AG2286" s="1">
        <f t="shared" si="114"/>
        <v>-75.152059949999995</v>
      </c>
      <c r="AH2286" s="1" t="str">
        <f>IF(I2286=0,"Not contacted",IF(INDEX('Staff Review'!$J$8:$J$507,I2286)="","Not contacted",INDEX('Staff Review'!$J$8:$J$507,I2286)))</f>
        <v>Not contacted</v>
      </c>
      <c r="AI2286" s="1" t="str">
        <f ca="1">IF(I2286=0,"No",IF(AND(COUNT(INDEX('Staff Review'!$D$8:$D$507,I2286))=1,INDEX('Staff Review'!$D$8:$D$507,I2286)&gt;=0,COUNT(INDEX('Staff Review'!$E$8:$E$507,I2286))=1,INDEX('Staff Review'!$E$8:$E$507,I2286)&gt;0,INDEX('Staff Review'!$E$8:$E$507,I2286)&lt;='Top 25'!$E$5,'Top 25'!$E$5-INDEX('Staff Review'!$E$8:$E$507,I2286)&lt;='Top 25'!$H$5,LEN(INDEX('Staff Review'!$H$8:$H$507,I2286))&gt;0),"Yes","No"))</f>
        <v>No</v>
      </c>
      <c r="AJ2286" s="1" t="str">
        <f>IF(I2286=0,"No",IF(COUNT(INDEX('Staff Review'!$F$8:$F$507,I2286))&lt;&gt;1,"No",IF(AND(INDEX('Staff Review'!$F$8:$F$507,I2286)&gt;=0,MOD(INDEX('Staff Review'!$F$8:$F$507,I2286),1)=0,COUNT(INDEX('Staff Review'!$G$8:$G$507,I2286))=1,INDEX('Staff Review'!$G$8:$G$507,I2286)&gt;0,INDEX('Staff Review'!$G$8:$G$507,I2286)&lt;='Top 25'!$E$5,'Top 25'!$E$5-INDEX('Staff Review'!$G$8:$G$507,I2286)&lt;='Top 25'!$H$5,LEN(INDEX('Staff Review'!$H$8:$H$507,I2286))&gt;0),"Yes","No")))</f>
        <v>No</v>
      </c>
      <c r="AK2286" s="1">
        <f t="shared" si="115"/>
        <v>1</v>
      </c>
      <c r="AL2286" s="1">
        <f t="shared" ca="1" si="116"/>
        <v>1</v>
      </c>
      <c r="AM2286" s="1">
        <f t="shared" si="117"/>
        <v>6300</v>
      </c>
      <c r="AN2286" s="1">
        <f t="shared" si="118"/>
        <v>236</v>
      </c>
      <c r="AO2286">
        <f t="shared" ca="1" si="119"/>
        <v>68</v>
      </c>
      <c r="AP2286" s="105">
        <f ca="1">IF(AND(AL2286=1,OR('Top 25'!$A$10="All",C2286='Top 25'!$A$10),OR('Top 25'!$D$10="All",D2286='Top 25'!$D$10)),1,0)</f>
        <v>1</v>
      </c>
      <c r="AQ2286" s="105">
        <f ca="1">IF(AP2286=0,"",CHOOSE(MATCH('Top 25'!$G$10,{"Priority score","Economic need","Enrollment","Fresh miles","Nearby resources"},0),T2286,G2286,F2286,K2286,L2286))</f>
        <v>47</v>
      </c>
      <c r="AR2286" s="105">
        <f ca="1">IF(AP2286=0,"",1+COUNTIFS($AP$2051:$AP$2550,1,$AQ$2051:$AQ$2550,IF('Top 25'!$J$10="Ascending","&lt;","&gt;")&amp;AQ2286)+COUNTIFS($AP$2051:$AP$2550,1,$AQ$2051:$AQ$2550,AQ2286,$W$2051:$W$2550,"&lt;"&amp;W2286))</f>
        <v>11</v>
      </c>
      <c r="AT2286" s="105">
        <f ca="1">IF(AND(AL2286=1,OR(Master_rankableSchools!$A$10="All",C2286=Master_rankableSchools!$A$10),OR(Master_rankableSchools!$D$10="All",D2286=Master_rankableSchools!$D$10)),1,0)</f>
        <v>1</v>
      </c>
      <c r="AU2286" s="105">
        <f ca="1">IF(AT2286=0,"",CHOOSE(MATCH(Master_rankableSchools!$G$10,{"Priority score","Economic need","Enrollment","Fresh miles","Nearby resources"},0),T2286,G2286,F2286,K2286,L2286))</f>
        <v>47</v>
      </c>
      <c r="AV2286" s="105">
        <f ca="1">IF(AT2286=0,"",1+COUNTIFS($AT$2051:$AT$2550,1,$AU$2051:$AU$2550,IF(Master_rankableSchools!$J$10="Ascending","&lt;","&gt;")&amp;AU2286)+COUNTIFS($AT$2051:$AT$2550,1,$AU$2051:$AU$2550,AU2286,$W$2051:$W$2550,"&lt;"&amp;W2286))</f>
        <v>68</v>
      </c>
    </row>
    <row r="2287" spans="1:48" ht="22" customHeight="1">
      <c r="A2287" s="1" t="str">
        <f t="shared" si="90"/>
        <v>6310</v>
      </c>
      <c r="B2287" s="1" t="str">
        <f t="shared" si="91"/>
        <v>John F. McCloskey School</v>
      </c>
      <c r="C2287" s="1" t="str">
        <f t="shared" si="92"/>
        <v>District</v>
      </c>
      <c r="D2287" s="1" t="str">
        <f t="shared" si="93"/>
        <v>Elementary-Middle</v>
      </c>
      <c r="E2287" s="1" t="str">
        <f t="shared" si="94"/>
        <v>19150</v>
      </c>
      <c r="F2287" s="1">
        <f t="shared" si="95"/>
        <v>217</v>
      </c>
      <c r="G2287" s="1">
        <f t="shared" si="96"/>
        <v>0.75570000000000004</v>
      </c>
      <c r="H2287" s="1" t="str">
        <f t="shared" si="97"/>
        <v>Yes</v>
      </c>
      <c r="I2287" s="1">
        <f>IF(OR(A2287="",COUNTIFS('Staff Review'!$A$8:$A$507,A2287)&lt;&gt;1),0,MATCH(A2287,'Staff Review'!$A$8:$A$507,0))</f>
        <v>138</v>
      </c>
      <c r="J2287" s="1" t="str">
        <f>IF(I2287=0,"No",IF(INDEX('Staff Review'!$C$8:$C$507,I2287)="Yes","Yes","No"))</f>
        <v>No</v>
      </c>
      <c r="K2287" s="1">
        <f ca="1">IF(AI2287="Yes",INDEX('Staff Review'!$D$8:$D$507,I2287),IF(AB2287=0,"",IF(COUNT(INDEX($C$1531:$C$2030,AB2287))=1,INDEX($C$1531:$C$2030,AB2287),"")))</f>
        <v>0.25948804250327318</v>
      </c>
      <c r="L2287" s="1">
        <f>IF(AJ2287="Yes",INDEX('Staff Review'!$F$8:$F$507,I2287),IF(AB2287=0,"",IF(COUNT(INDEX($G$1531:$G$2030,AB2287))=1,INDEX($G$1531:$G$2030,AB2287),"")))</f>
        <v>0</v>
      </c>
      <c r="M2287" s="1" t="str">
        <f t="shared" ca="1" si="98"/>
        <v>Listed</v>
      </c>
      <c r="N2287" s="1" t="str">
        <f t="shared" si="99"/>
        <v>Listed</v>
      </c>
      <c r="O2287" s="1">
        <f t="shared" si="100"/>
        <v>20</v>
      </c>
      <c r="P2287" s="1">
        <f t="shared" ca="1" si="101"/>
        <v>10</v>
      </c>
      <c r="Q2287" s="1">
        <f t="shared" si="102"/>
        <v>25</v>
      </c>
      <c r="R2287" s="1">
        <f t="shared" si="103"/>
        <v>2</v>
      </c>
      <c r="S2287" s="1">
        <f t="shared" ca="1" si="104"/>
        <v>57</v>
      </c>
      <c r="T2287" s="1">
        <f ca="1">IF(OR(COUNT(O2287:R2287)&lt;&gt;4,COUNT('Top 25'!$B$45:$E$45)&lt;&gt;4,MIN('Top 25'!$B$45:$E$45)&lt;0,SUM('Top 25'!$B$45:$E$45)&lt;=0),"",ROUND(85*(O2287/30*'Top 25'!$B$45+P2287/25*'Top 25'!$C$45+Q2287/25*'Top 25'!$D$45+R2287/5*'Top 25'!$E$45)/SUM('Top 25'!$B$45:$E$45),6))</f>
        <v>57</v>
      </c>
      <c r="U2287" s="1" t="str">
        <f t="shared" ca="1" si="105"/>
        <v>Listed</v>
      </c>
      <c r="V2287" s="1" t="str">
        <f ca="1">IF(A2287="","",IF(AK2287&lt;&gt;1,"Duplicate source ID",IF(COUNTIFS('Staff Review'!$A$8:$A$507,A2287)&gt;1,"Duplicate review ID",IF(H2287&lt;&gt;"Yes","Outside scope",IF(J2287="Yes","Already served",IF(NOT(ISNUMBER(T2287)),"Missing data","Candidate"))))))</f>
        <v>Candidate</v>
      </c>
      <c r="W2287" s="1">
        <f t="shared" ca="1" si="106"/>
        <v>20</v>
      </c>
      <c r="X2287" s="1">
        <f t="shared" ca="1" si="107"/>
        <v>20</v>
      </c>
      <c r="Y2287" s="1">
        <f ca="1">IF(AND(H2287="Yes",OR(LEN('School Search'!$B$5)=0,ISNUMBER(SEARCH('School Search'!$B$5,B2287&amp;" "&amp;E2287&amp;" "&amp;A2287))),OR('School Search'!$D$5="All",C2287='School Search'!$D$5),OR('School Search'!$G$5="All eligible",AND('School Search'!$G$5="Not marked served",J2287&lt;&gt;"Yes"),AND('School Search'!$G$5="Missing data",V2287="Missing data"),AND('School Search'!$G$5="Marked served",J2287="Yes"))),1,0)</f>
        <v>1</v>
      </c>
      <c r="Z2287" s="1">
        <f ca="1">IF(Y2287=0,"",COUNTIFS($Y$2051:$Y$2550,1,$AO$2051:$AO$2550,"&lt;"&amp;AO2287)+COUNTIFS($Y$2051:Y2287,1,$AO$2051:AO2287,AO2287))</f>
        <v>20</v>
      </c>
      <c r="AA2287" s="1" t="str">
        <f t="shared" ca="1" si="108"/>
        <v>76% economic need; 0.26 mi fresh access; 0 nearby resources</v>
      </c>
      <c r="AB2287" s="1">
        <f t="shared" si="109"/>
        <v>237</v>
      </c>
      <c r="AC2287" s="1" t="str">
        <f t="shared" si="110"/>
        <v>Fresh Grocer Of Wyncote 415</v>
      </c>
      <c r="AD2287" s="1" t="str">
        <f t="shared" si="111"/>
        <v>1000 Easton Rd, Wyncote, PA, 19095</v>
      </c>
      <c r="AE2287" s="1" t="str">
        <f t="shared" si="112"/>
        <v>8500 PICKERING AVE</v>
      </c>
      <c r="AF2287" s="1">
        <f t="shared" si="113"/>
        <v>40.081626679999999</v>
      </c>
      <c r="AG2287" s="1">
        <f t="shared" si="114"/>
        <v>-75.175337479999996</v>
      </c>
      <c r="AH2287" s="1" t="str">
        <f>IF(I2287=0,"Not contacted",IF(INDEX('Staff Review'!$J$8:$J$507,I2287)="","Not contacted",INDEX('Staff Review'!$J$8:$J$507,I2287)))</f>
        <v>Not contacted</v>
      </c>
      <c r="AI2287" s="1" t="str">
        <f ca="1">IF(I2287=0,"No",IF(AND(COUNT(INDEX('Staff Review'!$D$8:$D$507,I2287))=1,INDEX('Staff Review'!$D$8:$D$507,I2287)&gt;=0,COUNT(INDEX('Staff Review'!$E$8:$E$507,I2287))=1,INDEX('Staff Review'!$E$8:$E$507,I2287)&gt;0,INDEX('Staff Review'!$E$8:$E$507,I2287)&lt;='Top 25'!$E$5,'Top 25'!$E$5-INDEX('Staff Review'!$E$8:$E$507,I2287)&lt;='Top 25'!$H$5,LEN(INDEX('Staff Review'!$H$8:$H$507,I2287))&gt;0),"Yes","No"))</f>
        <v>No</v>
      </c>
      <c r="AJ2287" s="1" t="str">
        <f>IF(I2287=0,"No",IF(COUNT(INDEX('Staff Review'!$F$8:$F$507,I2287))&lt;&gt;1,"No",IF(AND(INDEX('Staff Review'!$F$8:$F$507,I2287)&gt;=0,MOD(INDEX('Staff Review'!$F$8:$F$507,I2287),1)=0,COUNT(INDEX('Staff Review'!$G$8:$G$507,I2287))=1,INDEX('Staff Review'!$G$8:$G$507,I2287)&gt;0,INDEX('Staff Review'!$G$8:$G$507,I2287)&lt;='Top 25'!$E$5,'Top 25'!$E$5-INDEX('Staff Review'!$G$8:$G$507,I2287)&lt;='Top 25'!$H$5,LEN(INDEX('Staff Review'!$H$8:$H$507,I2287))&gt;0),"Yes","No")))</f>
        <v>No</v>
      </c>
      <c r="AK2287" s="1">
        <f t="shared" si="115"/>
        <v>1</v>
      </c>
      <c r="AL2287" s="1">
        <f t="shared" ca="1" si="116"/>
        <v>1</v>
      </c>
      <c r="AM2287" s="1">
        <f t="shared" si="117"/>
        <v>6310</v>
      </c>
      <c r="AN2287" s="1">
        <f t="shared" si="118"/>
        <v>237</v>
      </c>
      <c r="AO2287">
        <f t="shared" ca="1" si="119"/>
        <v>20</v>
      </c>
      <c r="AP2287" s="105">
        <f ca="1">IF(AND(AL2287=1,OR('Top 25'!$A$10="All",C2287='Top 25'!$A$10),OR('Top 25'!$D$10="All",D2287='Top 25'!$D$10)),1,0)</f>
        <v>0</v>
      </c>
      <c r="AQ2287" s="105" t="str">
        <f ca="1">IF(AP2287=0,"",CHOOSE(MATCH('Top 25'!$G$10,{"Priority score","Economic need","Enrollment","Fresh miles","Nearby resources"},0),T2287,G2287,F2287,K2287,L2287))</f>
        <v/>
      </c>
      <c r="AR2287" s="105" t="str">
        <f ca="1">IF(AP2287=0,"",1+COUNTIFS($AP$2051:$AP$2550,1,$AQ$2051:$AQ$2550,IF('Top 25'!$J$10="Ascending","&lt;","&gt;")&amp;AQ2287)+COUNTIFS($AP$2051:$AP$2550,1,$AQ$2051:$AQ$2550,AQ2287,$W$2051:$W$2550,"&lt;"&amp;W2287))</f>
        <v/>
      </c>
      <c r="AT2287" s="105">
        <f ca="1">IF(AND(AL2287=1,OR(Master_rankableSchools!$A$10="All",C2287=Master_rankableSchools!$A$10),OR(Master_rankableSchools!$D$10="All",D2287=Master_rankableSchools!$D$10)),1,0)</f>
        <v>1</v>
      </c>
      <c r="AU2287" s="105">
        <f ca="1">IF(AT2287=0,"",CHOOSE(MATCH(Master_rankableSchools!$G$10,{"Priority score","Economic need","Enrollment","Fresh miles","Nearby resources"},0),T2287,G2287,F2287,K2287,L2287))</f>
        <v>57</v>
      </c>
      <c r="AV2287" s="105">
        <f ca="1">IF(AT2287=0,"",1+COUNTIFS($AT$2051:$AT$2550,1,$AU$2051:$AU$2550,IF(Master_rankableSchools!$J$10="Ascending","&lt;","&gt;")&amp;AU2287)+COUNTIFS($AT$2051:$AT$2550,1,$AU$2051:$AU$2550,AU2287,$W$2051:$W$2550,"&lt;"&amp;W2287))</f>
        <v>20</v>
      </c>
    </row>
    <row r="2288" spans="1:48" ht="22" customHeight="1">
      <c r="A2288" s="1" t="str">
        <f t="shared" si="90"/>
        <v>6320</v>
      </c>
      <c r="B2288" s="1" t="str">
        <f t="shared" si="91"/>
        <v>Thomas Mifflin School</v>
      </c>
      <c r="C2288" s="1" t="str">
        <f t="shared" si="92"/>
        <v>District</v>
      </c>
      <c r="D2288" s="1" t="str">
        <f t="shared" si="93"/>
        <v>Elementary-Middle</v>
      </c>
      <c r="E2288" s="1" t="str">
        <f t="shared" si="94"/>
        <v>19129</v>
      </c>
      <c r="F2288" s="1">
        <f t="shared" si="95"/>
        <v>396</v>
      </c>
      <c r="G2288" s="1">
        <f t="shared" si="96"/>
        <v>0.60370000000000001</v>
      </c>
      <c r="H2288" s="1" t="str">
        <f t="shared" si="97"/>
        <v>Yes</v>
      </c>
      <c r="I2288" s="1">
        <f>IF(OR(A2288="",COUNTIFS('Staff Review'!$A$8:$A$507,A2288)&lt;&gt;1),0,MATCH(A2288,'Staff Review'!$A$8:$A$507,0))</f>
        <v>297</v>
      </c>
      <c r="J2288" s="1" t="str">
        <f>IF(I2288=0,"No",IF(INDEX('Staff Review'!$C$8:$C$507,I2288)="Yes","Yes","No"))</f>
        <v>No</v>
      </c>
      <c r="K2288" s="1">
        <f ca="1">IF(AI2288="Yes",INDEX('Staff Review'!$D$8:$D$507,I2288),IF(AB2288=0,"",IF(COUNT(INDEX($C$1531:$C$2030,AB2288))=1,INDEX($C$1531:$C$2030,AB2288),"")))</f>
        <v>0.87254924112408028</v>
      </c>
      <c r="L2288" s="1">
        <f>IF(AJ2288="Yes",INDEX('Staff Review'!$F$8:$F$507,I2288),IF(AB2288=0,"",IF(COUNT(INDEX($G$1531:$G$2030,AB2288))=1,INDEX($G$1531:$G$2030,AB2288),"")))</f>
        <v>3</v>
      </c>
      <c r="M2288" s="1" t="str">
        <f t="shared" ca="1" si="98"/>
        <v>Listed</v>
      </c>
      <c r="N2288" s="1" t="str">
        <f t="shared" si="99"/>
        <v>Listed</v>
      </c>
      <c r="O2288" s="1">
        <f t="shared" si="100"/>
        <v>15</v>
      </c>
      <c r="P2288" s="1">
        <f t="shared" ca="1" si="101"/>
        <v>20</v>
      </c>
      <c r="Q2288" s="1">
        <f t="shared" si="102"/>
        <v>10</v>
      </c>
      <c r="R2288" s="1">
        <f t="shared" si="103"/>
        <v>3</v>
      </c>
      <c r="S2288" s="1">
        <f t="shared" ca="1" si="104"/>
        <v>48</v>
      </c>
      <c r="T2288" s="1">
        <f ca="1">IF(OR(COUNT(O2288:R2288)&lt;&gt;4,COUNT('Top 25'!$B$45:$E$45)&lt;&gt;4,MIN('Top 25'!$B$45:$E$45)&lt;0,SUM('Top 25'!$B$45:$E$45)&lt;=0),"",ROUND(85*(O2288/30*'Top 25'!$B$45+P2288/25*'Top 25'!$C$45+Q2288/25*'Top 25'!$D$45+R2288/5*'Top 25'!$E$45)/SUM('Top 25'!$B$45:$E$45),6))</f>
        <v>48</v>
      </c>
      <c r="U2288" s="1" t="str">
        <f t="shared" ca="1" si="105"/>
        <v>Listed</v>
      </c>
      <c r="V2288" s="1" t="str">
        <f ca="1">IF(A2288="","",IF(AK2288&lt;&gt;1,"Duplicate source ID",IF(COUNTIFS('Staff Review'!$A$8:$A$507,A2288)&gt;1,"Duplicate review ID",IF(H2288&lt;&gt;"Yes","Outside scope",IF(J2288="Yes","Already served",IF(NOT(ISNUMBER(T2288)),"Missing data","Candidate"))))))</f>
        <v>Candidate</v>
      </c>
      <c r="W2288" s="1">
        <f t="shared" ca="1" si="106"/>
        <v>63</v>
      </c>
      <c r="X2288" s="1">
        <f t="shared" ca="1" si="107"/>
        <v>56</v>
      </c>
      <c r="Y2288" s="1">
        <f ca="1">IF(AND(H2288="Yes",OR(LEN('School Search'!$B$5)=0,ISNUMBER(SEARCH('School Search'!$B$5,B2288&amp;" "&amp;E2288&amp;" "&amp;A2288))),OR('School Search'!$D$5="All",C2288='School Search'!$D$5),OR('School Search'!$G$5="All eligible",AND('School Search'!$G$5="Not marked served",J2288&lt;&gt;"Yes"),AND('School Search'!$G$5="Missing data",V2288="Missing data"),AND('School Search'!$G$5="Marked served",J2288="Yes"))),1,0)</f>
        <v>1</v>
      </c>
      <c r="Z2288" s="1">
        <f ca="1">IF(Y2288=0,"",COUNTIFS($Y$2051:$Y$2550,1,$AO$2051:$AO$2550,"&lt;"&amp;AO2288)+COUNTIFS($Y$2051:Y2288,1,$AO$2051:AO2288,AO2288))</f>
        <v>63</v>
      </c>
      <c r="AA2288" s="1" t="str">
        <f t="shared" ca="1" si="108"/>
        <v>60% economic need; 0.87 mi fresh access; 3 nearby resources</v>
      </c>
      <c r="AB2288" s="1">
        <f t="shared" si="109"/>
        <v>238</v>
      </c>
      <c r="AC2288" s="1" t="str">
        <f t="shared" si="110"/>
        <v>Shoprite of Fox Street 430</v>
      </c>
      <c r="AD2288" s="1" t="str">
        <f t="shared" si="111"/>
        <v>2800 Fox Street, Philadelphia, PA, 19129</v>
      </c>
      <c r="AE2288" s="1" t="str">
        <f t="shared" si="112"/>
        <v>3624 CONRAD ST</v>
      </c>
      <c r="AF2288" s="1">
        <f t="shared" si="113"/>
        <v>40.013570430000001</v>
      </c>
      <c r="AG2288" s="1">
        <f t="shared" si="114"/>
        <v>-75.191288040000003</v>
      </c>
      <c r="AH2288" s="1" t="str">
        <f>IF(I2288=0,"Not contacted",IF(INDEX('Staff Review'!$J$8:$J$507,I2288)="","Not contacted",INDEX('Staff Review'!$J$8:$J$507,I2288)))</f>
        <v>Not contacted</v>
      </c>
      <c r="AI2288" s="1" t="str">
        <f ca="1">IF(I2288=0,"No",IF(AND(COUNT(INDEX('Staff Review'!$D$8:$D$507,I2288))=1,INDEX('Staff Review'!$D$8:$D$507,I2288)&gt;=0,COUNT(INDEX('Staff Review'!$E$8:$E$507,I2288))=1,INDEX('Staff Review'!$E$8:$E$507,I2288)&gt;0,INDEX('Staff Review'!$E$8:$E$507,I2288)&lt;='Top 25'!$E$5,'Top 25'!$E$5-INDEX('Staff Review'!$E$8:$E$507,I2288)&lt;='Top 25'!$H$5,LEN(INDEX('Staff Review'!$H$8:$H$507,I2288))&gt;0),"Yes","No"))</f>
        <v>No</v>
      </c>
      <c r="AJ2288" s="1" t="str">
        <f>IF(I2288=0,"No",IF(COUNT(INDEX('Staff Review'!$F$8:$F$507,I2288))&lt;&gt;1,"No",IF(AND(INDEX('Staff Review'!$F$8:$F$507,I2288)&gt;=0,MOD(INDEX('Staff Review'!$F$8:$F$507,I2288),1)=0,COUNT(INDEX('Staff Review'!$G$8:$G$507,I2288))=1,INDEX('Staff Review'!$G$8:$G$507,I2288)&gt;0,INDEX('Staff Review'!$G$8:$G$507,I2288)&lt;='Top 25'!$E$5,'Top 25'!$E$5-INDEX('Staff Review'!$G$8:$G$507,I2288)&lt;='Top 25'!$H$5,LEN(INDEX('Staff Review'!$H$8:$H$507,I2288))&gt;0),"Yes","No")))</f>
        <v>No</v>
      </c>
      <c r="AK2288" s="1">
        <f t="shared" si="115"/>
        <v>1</v>
      </c>
      <c r="AL2288" s="1">
        <f t="shared" ca="1" si="116"/>
        <v>1</v>
      </c>
      <c r="AM2288" s="1">
        <f t="shared" si="117"/>
        <v>6320</v>
      </c>
      <c r="AN2288" s="1">
        <f t="shared" si="118"/>
        <v>238</v>
      </c>
      <c r="AO2288">
        <f t="shared" ca="1" si="119"/>
        <v>63</v>
      </c>
      <c r="AP2288" s="105">
        <f ca="1">IF(AND(AL2288=1,OR('Top 25'!$A$10="All",C2288='Top 25'!$A$10),OR('Top 25'!$D$10="All",D2288='Top 25'!$D$10)),1,0)</f>
        <v>0</v>
      </c>
      <c r="AQ2288" s="105" t="str">
        <f ca="1">IF(AP2288=0,"",CHOOSE(MATCH('Top 25'!$G$10,{"Priority score","Economic need","Enrollment","Fresh miles","Nearby resources"},0),T2288,G2288,F2288,K2288,L2288))</f>
        <v/>
      </c>
      <c r="AR2288" s="105" t="str">
        <f ca="1">IF(AP2288=0,"",1+COUNTIFS($AP$2051:$AP$2550,1,$AQ$2051:$AQ$2550,IF('Top 25'!$J$10="Ascending","&lt;","&gt;")&amp;AQ2288)+COUNTIFS($AP$2051:$AP$2550,1,$AQ$2051:$AQ$2550,AQ2288,$W$2051:$W$2550,"&lt;"&amp;W2288))</f>
        <v/>
      </c>
      <c r="AT2288" s="105">
        <f ca="1">IF(AND(AL2288=1,OR(Master_rankableSchools!$A$10="All",C2288=Master_rankableSchools!$A$10),OR(Master_rankableSchools!$D$10="All",D2288=Master_rankableSchools!$D$10)),1,0)</f>
        <v>1</v>
      </c>
      <c r="AU2288" s="105">
        <f ca="1">IF(AT2288=0,"",CHOOSE(MATCH(Master_rankableSchools!$G$10,{"Priority score","Economic need","Enrollment","Fresh miles","Nearby resources"},0),T2288,G2288,F2288,K2288,L2288))</f>
        <v>48</v>
      </c>
      <c r="AV2288" s="105">
        <f ca="1">IF(AT2288=0,"",1+COUNTIFS($AT$2051:$AT$2550,1,$AU$2051:$AU$2550,IF(Master_rankableSchools!$J$10="Ascending","&lt;","&gt;")&amp;AU2288)+COUNTIFS($AT$2051:$AT$2550,1,$AU$2051:$AU$2550,AU2288,$W$2051:$W$2550,"&lt;"&amp;W2288))</f>
        <v>63</v>
      </c>
    </row>
    <row r="2289" spans="1:48" ht="22" customHeight="1">
      <c r="A2289" s="1" t="str">
        <f t="shared" si="90"/>
        <v>6340</v>
      </c>
      <c r="B2289" s="1" t="str">
        <f t="shared" si="91"/>
        <v>Joseph Pennell School</v>
      </c>
      <c r="C2289" s="1" t="str">
        <f t="shared" si="92"/>
        <v>District</v>
      </c>
      <c r="D2289" s="1" t="str">
        <f t="shared" si="93"/>
        <v>Elementary</v>
      </c>
      <c r="E2289" s="1" t="str">
        <f t="shared" si="94"/>
        <v>19141</v>
      </c>
      <c r="F2289" s="1">
        <f t="shared" si="95"/>
        <v>249</v>
      </c>
      <c r="G2289" s="1">
        <f t="shared" si="96"/>
        <v>0.88439999999999996</v>
      </c>
      <c r="H2289" s="1" t="str">
        <f t="shared" si="97"/>
        <v>Yes</v>
      </c>
      <c r="I2289" s="1">
        <f>IF(OR(A2289="",COUNTIFS('Staff Review'!$A$8:$A$507,A2289)&lt;&gt;1),0,MATCH(A2289,'Staff Review'!$A$8:$A$507,0))</f>
        <v>148</v>
      </c>
      <c r="J2289" s="1" t="str">
        <f>IF(I2289=0,"No",IF(INDEX('Staff Review'!$C$8:$C$507,I2289)="Yes","Yes","No"))</f>
        <v>No</v>
      </c>
      <c r="K2289" s="1">
        <f ca="1">IF(AI2289="Yes",INDEX('Staff Review'!$D$8:$D$507,I2289),IF(AB2289=0,"",IF(COUNT(INDEX($C$1531:$C$2030,AB2289))=1,INDEX($C$1531:$C$2030,AB2289),"")))</f>
        <v>0.36982424424793359</v>
      </c>
      <c r="L2289" s="1">
        <f>IF(AJ2289="Yes",INDEX('Staff Review'!$F$8:$F$507,I2289),IF(AB2289=0,"",IF(COUNT(INDEX($G$1531:$G$2030,AB2289))=1,INDEX($G$1531:$G$2030,AB2289),"")))</f>
        <v>13</v>
      </c>
      <c r="M2289" s="1" t="str">
        <f t="shared" ca="1" si="98"/>
        <v>Listed</v>
      </c>
      <c r="N2289" s="1" t="str">
        <f t="shared" si="99"/>
        <v>Listed</v>
      </c>
      <c r="O2289" s="1">
        <f t="shared" si="100"/>
        <v>25</v>
      </c>
      <c r="P2289" s="1">
        <f t="shared" ca="1" si="101"/>
        <v>10</v>
      </c>
      <c r="Q2289" s="1">
        <f t="shared" si="102"/>
        <v>0</v>
      </c>
      <c r="R2289" s="1">
        <f t="shared" si="103"/>
        <v>2</v>
      </c>
      <c r="S2289" s="1">
        <f t="shared" ca="1" si="104"/>
        <v>37</v>
      </c>
      <c r="T2289" s="1">
        <f ca="1">IF(OR(COUNT(O2289:R2289)&lt;&gt;4,COUNT('Top 25'!$B$45:$E$45)&lt;&gt;4,MIN('Top 25'!$B$45:$E$45)&lt;0,SUM('Top 25'!$B$45:$E$45)&lt;=0),"",ROUND(85*(O2289/30*'Top 25'!$B$45+P2289/25*'Top 25'!$C$45+Q2289/25*'Top 25'!$D$45+R2289/5*'Top 25'!$E$45)/SUM('Top 25'!$B$45:$E$45),6))</f>
        <v>37</v>
      </c>
      <c r="U2289" s="1" t="str">
        <f t="shared" ca="1" si="105"/>
        <v>Listed</v>
      </c>
      <c r="V2289" s="1" t="str">
        <f ca="1">IF(A2289="","",IF(AK2289&lt;&gt;1,"Duplicate source ID",IF(COUNTIFS('Staff Review'!$A$8:$A$507,A2289)&gt;1,"Duplicate review ID",IF(H2289&lt;&gt;"Yes","Outside scope",IF(J2289="Yes","Already served",IF(NOT(ISNUMBER(T2289)),"Missing data","Candidate"))))))</f>
        <v>Candidate</v>
      </c>
      <c r="W2289" s="1">
        <f t="shared" ca="1" si="106"/>
        <v>188</v>
      </c>
      <c r="X2289" s="1">
        <f t="shared" ca="1" si="107"/>
        <v>182</v>
      </c>
      <c r="Y2289" s="1">
        <f ca="1">IF(AND(H2289="Yes",OR(LEN('School Search'!$B$5)=0,ISNUMBER(SEARCH('School Search'!$B$5,B2289&amp;" "&amp;E2289&amp;" "&amp;A2289))),OR('School Search'!$D$5="All",C2289='School Search'!$D$5),OR('School Search'!$G$5="All eligible",AND('School Search'!$G$5="Not marked served",J2289&lt;&gt;"Yes"),AND('School Search'!$G$5="Missing data",V2289="Missing data"),AND('School Search'!$G$5="Marked served",J2289="Yes"))),1,0)</f>
        <v>1</v>
      </c>
      <c r="Z2289" s="1">
        <f ca="1">IF(Y2289=0,"",COUNTIFS($Y$2051:$Y$2550,1,$AO$2051:$AO$2550,"&lt;"&amp;AO2289)+COUNTIFS($Y$2051:Y2289,1,$AO$2051:AO2289,AO2289))</f>
        <v>188</v>
      </c>
      <c r="AA2289" s="1" t="str">
        <f t="shared" ca="1" si="108"/>
        <v>88% economic need; 0.37 mi fresh access; 13 nearby resources</v>
      </c>
      <c r="AB2289" s="1">
        <f t="shared" si="109"/>
        <v>239</v>
      </c>
      <c r="AC2289" s="1" t="str">
        <f t="shared" si="110"/>
        <v>THE FRESH GROCER</v>
      </c>
      <c r="AD2289" s="1" t="str">
        <f t="shared" si="111"/>
        <v>5301 Chew Ave, Philadelphia, PA, 19138</v>
      </c>
      <c r="AE2289" s="1" t="str">
        <f t="shared" si="112"/>
        <v>1800 NEDRO AVE</v>
      </c>
      <c r="AF2289" s="1">
        <f t="shared" si="113"/>
        <v>40.043518059999997</v>
      </c>
      <c r="AG2289" s="1">
        <f t="shared" si="114"/>
        <v>-75.152086629999999</v>
      </c>
      <c r="AH2289" s="1" t="str">
        <f>IF(I2289=0,"Not contacted",IF(INDEX('Staff Review'!$J$8:$J$507,I2289)="","Not contacted",INDEX('Staff Review'!$J$8:$J$507,I2289)))</f>
        <v>Not contacted</v>
      </c>
      <c r="AI2289" s="1" t="str">
        <f ca="1">IF(I2289=0,"No",IF(AND(COUNT(INDEX('Staff Review'!$D$8:$D$507,I2289))=1,INDEX('Staff Review'!$D$8:$D$507,I2289)&gt;=0,COUNT(INDEX('Staff Review'!$E$8:$E$507,I2289))=1,INDEX('Staff Review'!$E$8:$E$507,I2289)&gt;0,INDEX('Staff Review'!$E$8:$E$507,I2289)&lt;='Top 25'!$E$5,'Top 25'!$E$5-INDEX('Staff Review'!$E$8:$E$507,I2289)&lt;='Top 25'!$H$5,LEN(INDEX('Staff Review'!$H$8:$H$507,I2289))&gt;0),"Yes","No"))</f>
        <v>No</v>
      </c>
      <c r="AJ2289" s="1" t="str">
        <f>IF(I2289=0,"No",IF(COUNT(INDEX('Staff Review'!$F$8:$F$507,I2289))&lt;&gt;1,"No",IF(AND(INDEX('Staff Review'!$F$8:$F$507,I2289)&gt;=0,MOD(INDEX('Staff Review'!$F$8:$F$507,I2289),1)=0,COUNT(INDEX('Staff Review'!$G$8:$G$507,I2289))=1,INDEX('Staff Review'!$G$8:$G$507,I2289)&gt;0,INDEX('Staff Review'!$G$8:$G$507,I2289)&lt;='Top 25'!$E$5,'Top 25'!$E$5-INDEX('Staff Review'!$G$8:$G$507,I2289)&lt;='Top 25'!$H$5,LEN(INDEX('Staff Review'!$H$8:$H$507,I2289))&gt;0),"Yes","No")))</f>
        <v>No</v>
      </c>
      <c r="AK2289" s="1">
        <f t="shared" si="115"/>
        <v>1</v>
      </c>
      <c r="AL2289" s="1">
        <f t="shared" ca="1" si="116"/>
        <v>1</v>
      </c>
      <c r="AM2289" s="1">
        <f t="shared" si="117"/>
        <v>6340</v>
      </c>
      <c r="AN2289" s="1">
        <f t="shared" si="118"/>
        <v>239</v>
      </c>
      <c r="AO2289">
        <f t="shared" ca="1" si="119"/>
        <v>188</v>
      </c>
      <c r="AP2289" s="105">
        <f ca="1">IF(AND(AL2289=1,OR('Top 25'!$A$10="All",C2289='Top 25'!$A$10),OR('Top 25'!$D$10="All",D2289='Top 25'!$D$10)),1,0)</f>
        <v>1</v>
      </c>
      <c r="AQ2289" s="105">
        <f ca="1">IF(AP2289=0,"",CHOOSE(MATCH('Top 25'!$G$10,{"Priority score","Economic need","Enrollment","Fresh miles","Nearby resources"},0),T2289,G2289,F2289,K2289,L2289))</f>
        <v>37</v>
      </c>
      <c r="AR2289" s="105">
        <f ca="1">IF(AP2289=0,"",1+COUNTIFS($AP$2051:$AP$2550,1,$AQ$2051:$AQ$2550,IF('Top 25'!$J$10="Ascending","&lt;","&gt;")&amp;AQ2289)+COUNTIFS($AP$2051:$AP$2550,1,$AQ$2051:$AQ$2550,AQ2289,$W$2051:$W$2550,"&lt;"&amp;W2289))</f>
        <v>30</v>
      </c>
      <c r="AT2289" s="105">
        <f ca="1">IF(AND(AL2289=1,OR(Master_rankableSchools!$A$10="All",C2289=Master_rankableSchools!$A$10),OR(Master_rankableSchools!$D$10="All",D2289=Master_rankableSchools!$D$10)),1,0)</f>
        <v>1</v>
      </c>
      <c r="AU2289" s="105">
        <f ca="1">IF(AT2289=0,"",CHOOSE(MATCH(Master_rankableSchools!$G$10,{"Priority score","Economic need","Enrollment","Fresh miles","Nearby resources"},0),T2289,G2289,F2289,K2289,L2289))</f>
        <v>37</v>
      </c>
      <c r="AV2289" s="105">
        <f ca="1">IF(AT2289=0,"",1+COUNTIFS($AT$2051:$AT$2550,1,$AU$2051:$AU$2550,IF(Master_rankableSchools!$J$10="Ascending","&lt;","&gt;")&amp;AU2289)+COUNTIFS($AT$2051:$AT$2550,1,$AU$2051:$AU$2550,AU2289,$W$2051:$W$2550,"&lt;"&amp;W2289))</f>
        <v>188</v>
      </c>
    </row>
    <row r="2290" spans="1:48" ht="22" customHeight="1">
      <c r="A2290" s="1" t="str">
        <f t="shared" si="90"/>
        <v>6350</v>
      </c>
      <c r="B2290" s="1" t="str">
        <f t="shared" si="91"/>
        <v>Samuel Pennypacker School</v>
      </c>
      <c r="C2290" s="1" t="str">
        <f t="shared" si="92"/>
        <v>District</v>
      </c>
      <c r="D2290" s="1" t="str">
        <f t="shared" si="93"/>
        <v>Elementary-Middle</v>
      </c>
      <c r="E2290" s="1" t="str">
        <f t="shared" si="94"/>
        <v>19138</v>
      </c>
      <c r="F2290" s="1">
        <f t="shared" si="95"/>
        <v>302</v>
      </c>
      <c r="G2290" s="1">
        <f t="shared" si="96"/>
        <v>0.86929999999999996</v>
      </c>
      <c r="H2290" s="1" t="str">
        <f t="shared" si="97"/>
        <v>Yes</v>
      </c>
      <c r="I2290" s="1">
        <f>IF(OR(A2290="",COUNTIFS('Staff Review'!$A$8:$A$507,A2290)&lt;&gt;1),0,MATCH(A2290,'Staff Review'!$A$8:$A$507,0))</f>
        <v>263</v>
      </c>
      <c r="J2290" s="1" t="str">
        <f>IF(I2290=0,"No",IF(INDEX('Staff Review'!$C$8:$C$507,I2290)="Yes","Yes","No"))</f>
        <v>No</v>
      </c>
      <c r="K2290" s="1">
        <f ca="1">IF(AI2290="Yes",INDEX('Staff Review'!$D$8:$D$507,I2290),IF(AB2290=0,"",IF(COUNT(INDEX($C$1531:$C$2030,AB2290))=1,INDEX($C$1531:$C$2030,AB2290),"")))</f>
        <v>0.71542009682673491</v>
      </c>
      <c r="L2290" s="1">
        <f>IF(AJ2290="Yes",INDEX('Staff Review'!$F$8:$F$507,I2290),IF(AB2290=0,"",IF(COUNT(INDEX($G$1531:$G$2030,AB2290))=1,INDEX($G$1531:$G$2030,AB2290),"")))</f>
        <v>6</v>
      </c>
      <c r="M2290" s="1" t="str">
        <f t="shared" ca="1" si="98"/>
        <v>Listed</v>
      </c>
      <c r="N2290" s="1" t="str">
        <f t="shared" si="99"/>
        <v>Listed</v>
      </c>
      <c r="O2290" s="1">
        <f t="shared" si="100"/>
        <v>25</v>
      </c>
      <c r="P2290" s="1">
        <f t="shared" ca="1" si="101"/>
        <v>15</v>
      </c>
      <c r="Q2290" s="1">
        <f t="shared" si="102"/>
        <v>0</v>
      </c>
      <c r="R2290" s="1">
        <f t="shared" si="103"/>
        <v>2</v>
      </c>
      <c r="S2290" s="1">
        <f t="shared" ca="1" si="104"/>
        <v>42</v>
      </c>
      <c r="T2290" s="1">
        <f ca="1">IF(OR(COUNT(O2290:R2290)&lt;&gt;4,COUNT('Top 25'!$B$45:$E$45)&lt;&gt;4,MIN('Top 25'!$B$45:$E$45)&lt;0,SUM('Top 25'!$B$45:$E$45)&lt;=0),"",ROUND(85*(O2290/30*'Top 25'!$B$45+P2290/25*'Top 25'!$C$45+Q2290/25*'Top 25'!$D$45+R2290/5*'Top 25'!$E$45)/SUM('Top 25'!$B$45:$E$45),6))</f>
        <v>42</v>
      </c>
      <c r="U2290" s="1" t="str">
        <f t="shared" ca="1" si="105"/>
        <v>Listed</v>
      </c>
      <c r="V2290" s="1" t="str">
        <f ca="1">IF(A2290="","",IF(AK2290&lt;&gt;1,"Duplicate source ID",IF(COUNTIFS('Staff Review'!$A$8:$A$507,A2290)&gt;1,"Duplicate review ID",IF(H2290&lt;&gt;"Yes","Outside scope",IF(J2290="Yes","Already served",IF(NOT(ISNUMBER(T2290)),"Missing data","Candidate"))))))</f>
        <v>Candidate</v>
      </c>
      <c r="W2290" s="1">
        <f t="shared" ca="1" si="106"/>
        <v>117</v>
      </c>
      <c r="X2290" s="1">
        <f t="shared" ca="1" si="107"/>
        <v>101</v>
      </c>
      <c r="Y2290" s="1">
        <f ca="1">IF(AND(H2290="Yes",OR(LEN('School Search'!$B$5)=0,ISNUMBER(SEARCH('School Search'!$B$5,B2290&amp;" "&amp;E2290&amp;" "&amp;A2290))),OR('School Search'!$D$5="All",C2290='School Search'!$D$5),OR('School Search'!$G$5="All eligible",AND('School Search'!$G$5="Not marked served",J2290&lt;&gt;"Yes"),AND('School Search'!$G$5="Missing data",V2290="Missing data"),AND('School Search'!$G$5="Marked served",J2290="Yes"))),1,0)</f>
        <v>1</v>
      </c>
      <c r="Z2290" s="1">
        <f ca="1">IF(Y2290=0,"",COUNTIFS($Y$2051:$Y$2550,1,$AO$2051:$AO$2550,"&lt;"&amp;AO2290)+COUNTIFS($Y$2051:Y2290,1,$AO$2051:AO2290,AO2290))</f>
        <v>117</v>
      </c>
      <c r="AA2290" s="1" t="str">
        <f t="shared" ca="1" si="108"/>
        <v>87% economic need; 0.72 mi fresh access; 6 nearby resources</v>
      </c>
      <c r="AB2290" s="1">
        <f t="shared" si="109"/>
        <v>240</v>
      </c>
      <c r="AC2290" s="1" t="str">
        <f t="shared" si="110"/>
        <v>Shoprite of Cheltenham 426</v>
      </c>
      <c r="AD2290" s="1" t="str">
        <f t="shared" si="111"/>
        <v>2471 W Cheltenham Ave, Wyncote, PA, 19095</v>
      </c>
      <c r="AE2290" s="1" t="str">
        <f t="shared" si="112"/>
        <v>1858 E WASHINGTON LN</v>
      </c>
      <c r="AF2290" s="1">
        <f t="shared" si="113"/>
        <v>40.065270320000003</v>
      </c>
      <c r="AG2290" s="1">
        <f t="shared" si="114"/>
        <v>-75.159794599999998</v>
      </c>
      <c r="AH2290" s="1" t="str">
        <f>IF(I2290=0,"Not contacted",IF(INDEX('Staff Review'!$J$8:$J$507,I2290)="","Not contacted",INDEX('Staff Review'!$J$8:$J$507,I2290)))</f>
        <v>Not contacted</v>
      </c>
      <c r="AI2290" s="1" t="str">
        <f ca="1">IF(I2290=0,"No",IF(AND(COUNT(INDEX('Staff Review'!$D$8:$D$507,I2290))=1,INDEX('Staff Review'!$D$8:$D$507,I2290)&gt;=0,COUNT(INDEX('Staff Review'!$E$8:$E$507,I2290))=1,INDEX('Staff Review'!$E$8:$E$507,I2290)&gt;0,INDEX('Staff Review'!$E$8:$E$507,I2290)&lt;='Top 25'!$E$5,'Top 25'!$E$5-INDEX('Staff Review'!$E$8:$E$507,I2290)&lt;='Top 25'!$H$5,LEN(INDEX('Staff Review'!$H$8:$H$507,I2290))&gt;0),"Yes","No"))</f>
        <v>No</v>
      </c>
      <c r="AJ2290" s="1" t="str">
        <f>IF(I2290=0,"No",IF(COUNT(INDEX('Staff Review'!$F$8:$F$507,I2290))&lt;&gt;1,"No",IF(AND(INDEX('Staff Review'!$F$8:$F$507,I2290)&gt;=0,MOD(INDEX('Staff Review'!$F$8:$F$507,I2290),1)=0,COUNT(INDEX('Staff Review'!$G$8:$G$507,I2290))=1,INDEX('Staff Review'!$G$8:$G$507,I2290)&gt;0,INDEX('Staff Review'!$G$8:$G$507,I2290)&lt;='Top 25'!$E$5,'Top 25'!$E$5-INDEX('Staff Review'!$G$8:$G$507,I2290)&lt;='Top 25'!$H$5,LEN(INDEX('Staff Review'!$H$8:$H$507,I2290))&gt;0),"Yes","No")))</f>
        <v>No</v>
      </c>
      <c r="AK2290" s="1">
        <f t="shared" si="115"/>
        <v>1</v>
      </c>
      <c r="AL2290" s="1">
        <f t="shared" ca="1" si="116"/>
        <v>1</v>
      </c>
      <c r="AM2290" s="1">
        <f t="shared" si="117"/>
        <v>6350</v>
      </c>
      <c r="AN2290" s="1">
        <f t="shared" si="118"/>
        <v>240</v>
      </c>
      <c r="AO2290">
        <f t="shared" ca="1" si="119"/>
        <v>117</v>
      </c>
      <c r="AP2290" s="105">
        <f ca="1">IF(AND(AL2290=1,OR('Top 25'!$A$10="All",C2290='Top 25'!$A$10),OR('Top 25'!$D$10="All",D2290='Top 25'!$D$10)),1,0)</f>
        <v>0</v>
      </c>
      <c r="AQ2290" s="105" t="str">
        <f ca="1">IF(AP2290=0,"",CHOOSE(MATCH('Top 25'!$G$10,{"Priority score","Economic need","Enrollment","Fresh miles","Nearby resources"},0),T2290,G2290,F2290,K2290,L2290))</f>
        <v/>
      </c>
      <c r="AR2290" s="105" t="str">
        <f ca="1">IF(AP2290=0,"",1+COUNTIFS($AP$2051:$AP$2550,1,$AQ$2051:$AQ$2550,IF('Top 25'!$J$10="Ascending","&lt;","&gt;")&amp;AQ2290)+COUNTIFS($AP$2051:$AP$2550,1,$AQ$2051:$AQ$2550,AQ2290,$W$2051:$W$2550,"&lt;"&amp;W2290))</f>
        <v/>
      </c>
      <c r="AT2290" s="105">
        <f ca="1">IF(AND(AL2290=1,OR(Master_rankableSchools!$A$10="All",C2290=Master_rankableSchools!$A$10),OR(Master_rankableSchools!$D$10="All",D2290=Master_rankableSchools!$D$10)),1,0)</f>
        <v>1</v>
      </c>
      <c r="AU2290" s="105">
        <f ca="1">IF(AT2290=0,"",CHOOSE(MATCH(Master_rankableSchools!$G$10,{"Priority score","Economic need","Enrollment","Fresh miles","Nearby resources"},0),T2290,G2290,F2290,K2290,L2290))</f>
        <v>42</v>
      </c>
      <c r="AV2290" s="105">
        <f ca="1">IF(AT2290=0,"",1+COUNTIFS($AT$2051:$AT$2550,1,$AU$2051:$AU$2550,IF(Master_rankableSchools!$J$10="Ascending","&lt;","&gt;")&amp;AU2290)+COUNTIFS($AT$2051:$AT$2550,1,$AU$2051:$AU$2550,AU2290,$W$2051:$W$2550,"&lt;"&amp;W2290))</f>
        <v>117</v>
      </c>
    </row>
    <row r="2291" spans="1:48" ht="22" customHeight="1">
      <c r="A2291" s="1" t="str">
        <f t="shared" si="90"/>
        <v>6360</v>
      </c>
      <c r="B2291" s="1" t="str">
        <f t="shared" si="91"/>
        <v>Theodore Roosevelt School</v>
      </c>
      <c r="C2291" s="1" t="str">
        <f t="shared" si="92"/>
        <v>District</v>
      </c>
      <c r="D2291" s="1" t="str">
        <f t="shared" si="93"/>
        <v>Elementary-Middle</v>
      </c>
      <c r="E2291" s="1" t="str">
        <f t="shared" si="94"/>
        <v>19144</v>
      </c>
      <c r="F2291" s="1">
        <f t="shared" si="95"/>
        <v>407</v>
      </c>
      <c r="G2291" s="1">
        <f t="shared" si="96"/>
        <v>0.91579999999999995</v>
      </c>
      <c r="H2291" s="1" t="str">
        <f t="shared" si="97"/>
        <v>Yes</v>
      </c>
      <c r="I2291" s="1">
        <f>IF(OR(A2291="",COUNTIFS('Staff Review'!$A$8:$A$507,A2291)&lt;&gt;1),0,MATCH(A2291,'Staff Review'!$A$8:$A$507,0))</f>
        <v>291</v>
      </c>
      <c r="J2291" s="1" t="str">
        <f>IF(I2291=0,"No",IF(INDEX('Staff Review'!$C$8:$C$507,I2291)="Yes","Yes","No"))</f>
        <v>No</v>
      </c>
      <c r="K2291" s="1">
        <f ca="1">IF(AI2291="Yes",INDEX('Staff Review'!$D$8:$D$507,I2291),IF(AB2291=0,"",IF(COUNT(INDEX($C$1531:$C$2030,AB2291))=1,INDEX($C$1531:$C$2030,AB2291),"")))</f>
        <v>0.1824803055818448</v>
      </c>
      <c r="L2291" s="1">
        <f>IF(AJ2291="Yes",INDEX('Staff Review'!$F$8:$F$507,I2291),IF(AB2291=0,"",IF(COUNT(INDEX($G$1531:$G$2030,AB2291))=1,INDEX($G$1531:$G$2030,AB2291),"")))</f>
        <v>18</v>
      </c>
      <c r="M2291" s="1" t="str">
        <f t="shared" ca="1" si="98"/>
        <v>Listed</v>
      </c>
      <c r="N2291" s="1" t="str">
        <f t="shared" si="99"/>
        <v>Listed</v>
      </c>
      <c r="O2291" s="1">
        <f t="shared" si="100"/>
        <v>30</v>
      </c>
      <c r="P2291" s="1">
        <f t="shared" ca="1" si="101"/>
        <v>5</v>
      </c>
      <c r="Q2291" s="1">
        <f t="shared" si="102"/>
        <v>0</v>
      </c>
      <c r="R2291" s="1">
        <f t="shared" si="103"/>
        <v>3</v>
      </c>
      <c r="S2291" s="1">
        <f t="shared" ca="1" si="104"/>
        <v>38</v>
      </c>
      <c r="T2291" s="1">
        <f ca="1">IF(OR(COUNT(O2291:R2291)&lt;&gt;4,COUNT('Top 25'!$B$45:$E$45)&lt;&gt;4,MIN('Top 25'!$B$45:$E$45)&lt;0,SUM('Top 25'!$B$45:$E$45)&lt;=0),"",ROUND(85*(O2291/30*'Top 25'!$B$45+P2291/25*'Top 25'!$C$45+Q2291/25*'Top 25'!$D$45+R2291/5*'Top 25'!$E$45)/SUM('Top 25'!$B$45:$E$45),6))</f>
        <v>38</v>
      </c>
      <c r="U2291" s="1" t="str">
        <f t="shared" ca="1" si="105"/>
        <v>Listed</v>
      </c>
      <c r="V2291" s="1" t="str">
        <f ca="1">IF(A2291="","",IF(AK2291&lt;&gt;1,"Duplicate source ID",IF(COUNTIFS('Staff Review'!$A$8:$A$507,A2291)&gt;1,"Duplicate review ID",IF(H2291&lt;&gt;"Yes","Outside scope",IF(J2291="Yes","Already served",IF(NOT(ISNUMBER(T2291)),"Missing data","Candidate"))))))</f>
        <v>Candidate</v>
      </c>
      <c r="W2291" s="1">
        <f t="shared" ca="1" si="106"/>
        <v>167</v>
      </c>
      <c r="X2291" s="1">
        <f t="shared" ca="1" si="107"/>
        <v>166</v>
      </c>
      <c r="Y2291" s="1">
        <f ca="1">IF(AND(H2291="Yes",OR(LEN('School Search'!$B$5)=0,ISNUMBER(SEARCH('School Search'!$B$5,B2291&amp;" "&amp;E2291&amp;" "&amp;A2291))),OR('School Search'!$D$5="All",C2291='School Search'!$D$5),OR('School Search'!$G$5="All eligible",AND('School Search'!$G$5="Not marked served",J2291&lt;&gt;"Yes"),AND('School Search'!$G$5="Missing data",V2291="Missing data"),AND('School Search'!$G$5="Marked served",J2291="Yes"))),1,0)</f>
        <v>1</v>
      </c>
      <c r="Z2291" s="1">
        <f ca="1">IF(Y2291=0,"",COUNTIFS($Y$2051:$Y$2550,1,$AO$2051:$AO$2550,"&lt;"&amp;AO2291)+COUNTIFS($Y$2051:Y2291,1,$AO$2051:AO2291,AO2291))</f>
        <v>167</v>
      </c>
      <c r="AA2291" s="1" t="str">
        <f t="shared" ca="1" si="108"/>
        <v>92% economic need; 0.18 mi fresh access; 18 nearby resources</v>
      </c>
      <c r="AB2291" s="1">
        <f t="shared" si="109"/>
        <v>241</v>
      </c>
      <c r="AC2291" s="1" t="str">
        <f t="shared" si="110"/>
        <v>Save A Lot 45141</v>
      </c>
      <c r="AD2291" s="1" t="str">
        <f t="shared" si="111"/>
        <v>6301 Chew Ave, Philadelphia, PA, 19138</v>
      </c>
      <c r="AE2291" s="1" t="str">
        <f t="shared" si="112"/>
        <v>430 E WASHINGTON LN</v>
      </c>
      <c r="AF2291" s="1">
        <f t="shared" si="113"/>
        <v>40.048562619999998</v>
      </c>
      <c r="AG2291" s="1">
        <f t="shared" si="114"/>
        <v>-75.175290790000005</v>
      </c>
      <c r="AH2291" s="1" t="str">
        <f>IF(I2291=0,"Not contacted",IF(INDEX('Staff Review'!$J$8:$J$507,I2291)="","Not contacted",INDEX('Staff Review'!$J$8:$J$507,I2291)))</f>
        <v>Not contacted</v>
      </c>
      <c r="AI2291" s="1" t="str">
        <f ca="1">IF(I2291=0,"No",IF(AND(COUNT(INDEX('Staff Review'!$D$8:$D$507,I2291))=1,INDEX('Staff Review'!$D$8:$D$507,I2291)&gt;=0,COUNT(INDEX('Staff Review'!$E$8:$E$507,I2291))=1,INDEX('Staff Review'!$E$8:$E$507,I2291)&gt;0,INDEX('Staff Review'!$E$8:$E$507,I2291)&lt;='Top 25'!$E$5,'Top 25'!$E$5-INDEX('Staff Review'!$E$8:$E$507,I2291)&lt;='Top 25'!$H$5,LEN(INDEX('Staff Review'!$H$8:$H$507,I2291))&gt;0),"Yes","No"))</f>
        <v>No</v>
      </c>
      <c r="AJ2291" s="1" t="str">
        <f>IF(I2291=0,"No",IF(COUNT(INDEX('Staff Review'!$F$8:$F$507,I2291))&lt;&gt;1,"No",IF(AND(INDEX('Staff Review'!$F$8:$F$507,I2291)&gt;=0,MOD(INDEX('Staff Review'!$F$8:$F$507,I2291),1)=0,COUNT(INDEX('Staff Review'!$G$8:$G$507,I2291))=1,INDEX('Staff Review'!$G$8:$G$507,I2291)&gt;0,INDEX('Staff Review'!$G$8:$G$507,I2291)&lt;='Top 25'!$E$5,'Top 25'!$E$5-INDEX('Staff Review'!$G$8:$G$507,I2291)&lt;='Top 25'!$H$5,LEN(INDEX('Staff Review'!$H$8:$H$507,I2291))&gt;0),"Yes","No")))</f>
        <v>No</v>
      </c>
      <c r="AK2291" s="1">
        <f t="shared" si="115"/>
        <v>1</v>
      </c>
      <c r="AL2291" s="1">
        <f t="shared" ca="1" si="116"/>
        <v>1</v>
      </c>
      <c r="AM2291" s="1">
        <f t="shared" si="117"/>
        <v>6360</v>
      </c>
      <c r="AN2291" s="1">
        <f t="shared" si="118"/>
        <v>241</v>
      </c>
      <c r="AO2291">
        <f t="shared" ca="1" si="119"/>
        <v>167</v>
      </c>
      <c r="AP2291" s="105">
        <f ca="1">IF(AND(AL2291=1,OR('Top 25'!$A$10="All",C2291='Top 25'!$A$10),OR('Top 25'!$D$10="All",D2291='Top 25'!$D$10)),1,0)</f>
        <v>0</v>
      </c>
      <c r="AQ2291" s="105" t="str">
        <f ca="1">IF(AP2291=0,"",CHOOSE(MATCH('Top 25'!$G$10,{"Priority score","Economic need","Enrollment","Fresh miles","Nearby resources"},0),T2291,G2291,F2291,K2291,L2291))</f>
        <v/>
      </c>
      <c r="AR2291" s="105" t="str">
        <f ca="1">IF(AP2291=0,"",1+COUNTIFS($AP$2051:$AP$2550,1,$AQ$2051:$AQ$2550,IF('Top 25'!$J$10="Ascending","&lt;","&gt;")&amp;AQ2291)+COUNTIFS($AP$2051:$AP$2550,1,$AQ$2051:$AQ$2550,AQ2291,$W$2051:$W$2550,"&lt;"&amp;W2291))</f>
        <v/>
      </c>
      <c r="AT2291" s="105">
        <f ca="1">IF(AND(AL2291=1,OR(Master_rankableSchools!$A$10="All",C2291=Master_rankableSchools!$A$10),OR(Master_rankableSchools!$D$10="All",D2291=Master_rankableSchools!$D$10)),1,0)</f>
        <v>1</v>
      </c>
      <c r="AU2291" s="105">
        <f ca="1">IF(AT2291=0,"",CHOOSE(MATCH(Master_rankableSchools!$G$10,{"Priority score","Economic need","Enrollment","Fresh miles","Nearby resources"},0),T2291,G2291,F2291,K2291,L2291))</f>
        <v>38</v>
      </c>
      <c r="AV2291" s="105">
        <f ca="1">IF(AT2291=0,"",1+COUNTIFS($AT$2051:$AT$2550,1,$AU$2051:$AU$2550,IF(Master_rankableSchools!$J$10="Ascending","&lt;","&gt;")&amp;AU2291)+COUNTIFS($AT$2051:$AT$2550,1,$AU$2051:$AU$2550,AU2291,$W$2051:$W$2550,"&lt;"&amp;W2291))</f>
        <v>167</v>
      </c>
    </row>
    <row r="2292" spans="1:48" ht="22" customHeight="1">
      <c r="A2292" s="1" t="str">
        <f t="shared" si="90"/>
        <v>6380</v>
      </c>
      <c r="B2292" s="1" t="str">
        <f t="shared" si="91"/>
        <v>Shawmont School</v>
      </c>
      <c r="C2292" s="1" t="str">
        <f t="shared" si="92"/>
        <v>District</v>
      </c>
      <c r="D2292" s="1" t="str">
        <f t="shared" si="93"/>
        <v>Elementary-Middle</v>
      </c>
      <c r="E2292" s="1" t="str">
        <f t="shared" si="94"/>
        <v>19128</v>
      </c>
      <c r="F2292" s="1">
        <f t="shared" si="95"/>
        <v>457</v>
      </c>
      <c r="G2292" s="1">
        <f t="shared" si="96"/>
        <v>0.62839999999999996</v>
      </c>
      <c r="H2292" s="1" t="str">
        <f t="shared" si="97"/>
        <v>Yes</v>
      </c>
      <c r="I2292" s="1">
        <f>IF(OR(A2292="",COUNTIFS('Staff Review'!$A$8:$A$507,A2292)&lt;&gt;1),0,MATCH(A2292,'Staff Review'!$A$8:$A$507,0))</f>
        <v>268</v>
      </c>
      <c r="J2292" s="1" t="str">
        <f>IF(I2292=0,"No",IF(INDEX('Staff Review'!$C$8:$C$507,I2292)="Yes","Yes","No"))</f>
        <v>No</v>
      </c>
      <c r="K2292" s="1">
        <f ca="1">IF(AI2292="Yes",INDEX('Staff Review'!$D$8:$D$507,I2292),IF(AB2292=0,"",IF(COUNT(INDEX($C$1531:$C$2030,AB2292))=1,INDEX($C$1531:$C$2030,AB2292),"")))</f>
        <v>0.57084825977341969</v>
      </c>
      <c r="L2292" s="1">
        <f>IF(AJ2292="Yes",INDEX('Staff Review'!$F$8:$F$507,I2292),IF(AB2292=0,"",IF(COUNT(INDEX($G$1531:$G$2030,AB2292))=1,INDEX($G$1531:$G$2030,AB2292),"")))</f>
        <v>0</v>
      </c>
      <c r="M2292" s="1" t="str">
        <f t="shared" ca="1" si="98"/>
        <v>Listed</v>
      </c>
      <c r="N2292" s="1" t="str">
        <f t="shared" si="99"/>
        <v>Listed</v>
      </c>
      <c r="O2292" s="1">
        <f t="shared" si="100"/>
        <v>15</v>
      </c>
      <c r="P2292" s="1">
        <f t="shared" ca="1" si="101"/>
        <v>15</v>
      </c>
      <c r="Q2292" s="1">
        <f t="shared" si="102"/>
        <v>25</v>
      </c>
      <c r="R2292" s="1">
        <f t="shared" si="103"/>
        <v>3</v>
      </c>
      <c r="S2292" s="1">
        <f t="shared" ca="1" si="104"/>
        <v>58</v>
      </c>
      <c r="T2292" s="1">
        <f ca="1">IF(OR(COUNT(O2292:R2292)&lt;&gt;4,COUNT('Top 25'!$B$45:$E$45)&lt;&gt;4,MIN('Top 25'!$B$45:$E$45)&lt;0,SUM('Top 25'!$B$45:$E$45)&lt;=0),"",ROUND(85*(O2292/30*'Top 25'!$B$45+P2292/25*'Top 25'!$C$45+Q2292/25*'Top 25'!$D$45+R2292/5*'Top 25'!$E$45)/SUM('Top 25'!$B$45:$E$45),6))</f>
        <v>58</v>
      </c>
      <c r="U2292" s="1" t="str">
        <f t="shared" ca="1" si="105"/>
        <v>Listed</v>
      </c>
      <c r="V2292" s="1" t="str">
        <f ca="1">IF(A2292="","",IF(AK2292&lt;&gt;1,"Duplicate source ID",IF(COUNTIFS('Staff Review'!$A$8:$A$507,A2292)&gt;1,"Duplicate review ID",IF(H2292&lt;&gt;"Yes","Outside scope",IF(J2292="Yes","Already served",IF(NOT(ISNUMBER(T2292)),"Missing data","Candidate"))))))</f>
        <v>Candidate</v>
      </c>
      <c r="W2292" s="1">
        <f t="shared" ca="1" si="106"/>
        <v>19</v>
      </c>
      <c r="X2292" s="1">
        <f t="shared" ca="1" si="107"/>
        <v>17</v>
      </c>
      <c r="Y2292" s="1">
        <f ca="1">IF(AND(H2292="Yes",OR(LEN('School Search'!$B$5)=0,ISNUMBER(SEARCH('School Search'!$B$5,B2292&amp;" "&amp;E2292&amp;" "&amp;A2292))),OR('School Search'!$D$5="All",C2292='School Search'!$D$5),OR('School Search'!$G$5="All eligible",AND('School Search'!$G$5="Not marked served",J2292&lt;&gt;"Yes"),AND('School Search'!$G$5="Missing data",V2292="Missing data"),AND('School Search'!$G$5="Marked served",J2292="Yes"))),1,0)</f>
        <v>1</v>
      </c>
      <c r="Z2292" s="1">
        <f ca="1">IF(Y2292=0,"",COUNTIFS($Y$2051:$Y$2550,1,$AO$2051:$AO$2550,"&lt;"&amp;AO2292)+COUNTIFS($Y$2051:Y2292,1,$AO$2051:AO2292,AO2292))</f>
        <v>19</v>
      </c>
      <c r="AA2292" s="1" t="str">
        <f t="shared" ca="1" si="108"/>
        <v>63% economic need; 0.57 mi fresh access; 0 nearby resources</v>
      </c>
      <c r="AB2292" s="1">
        <f t="shared" si="109"/>
        <v>242</v>
      </c>
      <c r="AC2292" s="1" t="str">
        <f t="shared" si="110"/>
        <v>Target 3247</v>
      </c>
      <c r="AD2292" s="1" t="str">
        <f t="shared" si="111"/>
        <v>7162 Ridge Ave, Philadelphia, PA, 19128</v>
      </c>
      <c r="AE2292" s="1" t="str">
        <f t="shared" si="112"/>
        <v>535 SHAWMONT AVE</v>
      </c>
      <c r="AF2292" s="1">
        <f t="shared" si="113"/>
        <v>40.051478000000003</v>
      </c>
      <c r="AG2292" s="1">
        <f t="shared" si="114"/>
        <v>-75.238543000000007</v>
      </c>
      <c r="AH2292" s="1" t="str">
        <f>IF(I2292=0,"Not contacted",IF(INDEX('Staff Review'!$J$8:$J$507,I2292)="","Not contacted",INDEX('Staff Review'!$J$8:$J$507,I2292)))</f>
        <v>Not contacted</v>
      </c>
      <c r="AI2292" s="1" t="str">
        <f ca="1">IF(I2292=0,"No",IF(AND(COUNT(INDEX('Staff Review'!$D$8:$D$507,I2292))=1,INDEX('Staff Review'!$D$8:$D$507,I2292)&gt;=0,COUNT(INDEX('Staff Review'!$E$8:$E$507,I2292))=1,INDEX('Staff Review'!$E$8:$E$507,I2292)&gt;0,INDEX('Staff Review'!$E$8:$E$507,I2292)&lt;='Top 25'!$E$5,'Top 25'!$E$5-INDEX('Staff Review'!$E$8:$E$507,I2292)&lt;='Top 25'!$H$5,LEN(INDEX('Staff Review'!$H$8:$H$507,I2292))&gt;0),"Yes","No"))</f>
        <v>No</v>
      </c>
      <c r="AJ2292" s="1" t="str">
        <f>IF(I2292=0,"No",IF(COUNT(INDEX('Staff Review'!$F$8:$F$507,I2292))&lt;&gt;1,"No",IF(AND(INDEX('Staff Review'!$F$8:$F$507,I2292)&gt;=0,MOD(INDEX('Staff Review'!$F$8:$F$507,I2292),1)=0,COUNT(INDEX('Staff Review'!$G$8:$G$507,I2292))=1,INDEX('Staff Review'!$G$8:$G$507,I2292)&gt;0,INDEX('Staff Review'!$G$8:$G$507,I2292)&lt;='Top 25'!$E$5,'Top 25'!$E$5-INDEX('Staff Review'!$G$8:$G$507,I2292)&lt;='Top 25'!$H$5,LEN(INDEX('Staff Review'!$H$8:$H$507,I2292))&gt;0),"Yes","No")))</f>
        <v>No</v>
      </c>
      <c r="AK2292" s="1">
        <f t="shared" si="115"/>
        <v>1</v>
      </c>
      <c r="AL2292" s="1">
        <f t="shared" ca="1" si="116"/>
        <v>1</v>
      </c>
      <c r="AM2292" s="1">
        <f t="shared" si="117"/>
        <v>6380</v>
      </c>
      <c r="AN2292" s="1">
        <f t="shared" si="118"/>
        <v>242</v>
      </c>
      <c r="AO2292">
        <f t="shared" ca="1" si="119"/>
        <v>19</v>
      </c>
      <c r="AP2292" s="105">
        <f ca="1">IF(AND(AL2292=1,OR('Top 25'!$A$10="All",C2292='Top 25'!$A$10),OR('Top 25'!$D$10="All",D2292='Top 25'!$D$10)),1,0)</f>
        <v>0</v>
      </c>
      <c r="AQ2292" s="105" t="str">
        <f ca="1">IF(AP2292=0,"",CHOOSE(MATCH('Top 25'!$G$10,{"Priority score","Economic need","Enrollment","Fresh miles","Nearby resources"},0),T2292,G2292,F2292,K2292,L2292))</f>
        <v/>
      </c>
      <c r="AR2292" s="105" t="str">
        <f ca="1">IF(AP2292=0,"",1+COUNTIFS($AP$2051:$AP$2550,1,$AQ$2051:$AQ$2550,IF('Top 25'!$J$10="Ascending","&lt;","&gt;")&amp;AQ2292)+COUNTIFS($AP$2051:$AP$2550,1,$AQ$2051:$AQ$2550,AQ2292,$W$2051:$W$2550,"&lt;"&amp;W2292))</f>
        <v/>
      </c>
      <c r="AT2292" s="105">
        <f ca="1">IF(AND(AL2292=1,OR(Master_rankableSchools!$A$10="All",C2292=Master_rankableSchools!$A$10),OR(Master_rankableSchools!$D$10="All",D2292=Master_rankableSchools!$D$10)),1,0)</f>
        <v>1</v>
      </c>
      <c r="AU2292" s="105">
        <f ca="1">IF(AT2292=0,"",CHOOSE(MATCH(Master_rankableSchools!$G$10,{"Priority score","Economic need","Enrollment","Fresh miles","Nearby resources"},0),T2292,G2292,F2292,K2292,L2292))</f>
        <v>58</v>
      </c>
      <c r="AV2292" s="105">
        <f ca="1">IF(AT2292=0,"",1+COUNTIFS($AT$2051:$AT$2550,1,$AU$2051:$AU$2550,IF(Master_rankableSchools!$J$10="Ascending","&lt;","&gt;")&amp;AU2292)+COUNTIFS($AT$2051:$AT$2550,1,$AU$2051:$AU$2550,AU2292,$W$2051:$W$2550,"&lt;"&amp;W2292))</f>
        <v>19</v>
      </c>
    </row>
    <row r="2293" spans="1:48" ht="22" customHeight="1">
      <c r="A2293" s="1" t="str">
        <f t="shared" si="90"/>
        <v>6390</v>
      </c>
      <c r="B2293" s="1" t="str">
        <f t="shared" si="91"/>
        <v>Edward T. Steel School</v>
      </c>
      <c r="C2293" s="1" t="str">
        <f t="shared" si="92"/>
        <v>District</v>
      </c>
      <c r="D2293" s="1" t="str">
        <f t="shared" si="93"/>
        <v>Elementary-Middle</v>
      </c>
      <c r="E2293" s="1" t="str">
        <f t="shared" si="94"/>
        <v>19140</v>
      </c>
      <c r="F2293" s="1">
        <f t="shared" si="95"/>
        <v>331</v>
      </c>
      <c r="G2293" s="1">
        <f t="shared" si="96"/>
        <v>0.90159999999999996</v>
      </c>
      <c r="H2293" s="1" t="str">
        <f t="shared" si="97"/>
        <v>Yes</v>
      </c>
      <c r="I2293" s="1">
        <f>IF(OR(A2293="",COUNTIFS('Staff Review'!$A$8:$A$507,A2293)&lt;&gt;1),0,MATCH(A2293,'Staff Review'!$A$8:$A$507,0))</f>
        <v>57</v>
      </c>
      <c r="J2293" s="1" t="str">
        <f>IF(I2293=0,"No",IF(INDEX('Staff Review'!$C$8:$C$507,I2293)="Yes","Yes","No"))</f>
        <v>No</v>
      </c>
      <c r="K2293" s="1">
        <f ca="1">IF(AI2293="Yes",INDEX('Staff Review'!$D$8:$D$507,I2293),IF(AB2293=0,"",IF(COUNT(INDEX($C$1531:$C$2030,AB2293))=1,INDEX($C$1531:$C$2030,AB2293),"")))</f>
        <v>0.46393107210585915</v>
      </c>
      <c r="L2293" s="1">
        <f>IF(AJ2293="Yes",INDEX('Staff Review'!$F$8:$F$507,I2293),IF(AB2293=0,"",IF(COUNT(INDEX($G$1531:$G$2030,AB2293))=1,INDEX($G$1531:$G$2030,AB2293),"")))</f>
        <v>7</v>
      </c>
      <c r="M2293" s="1" t="str">
        <f t="shared" ca="1" si="98"/>
        <v>Listed</v>
      </c>
      <c r="N2293" s="1" t="str">
        <f t="shared" si="99"/>
        <v>Listed</v>
      </c>
      <c r="O2293" s="1">
        <f t="shared" si="100"/>
        <v>30</v>
      </c>
      <c r="P2293" s="1">
        <f t="shared" ca="1" si="101"/>
        <v>10</v>
      </c>
      <c r="Q2293" s="1">
        <f t="shared" si="102"/>
        <v>0</v>
      </c>
      <c r="R2293" s="1">
        <f t="shared" si="103"/>
        <v>2</v>
      </c>
      <c r="S2293" s="1">
        <f t="shared" ca="1" si="104"/>
        <v>42</v>
      </c>
      <c r="T2293" s="1">
        <f ca="1">IF(OR(COUNT(O2293:R2293)&lt;&gt;4,COUNT('Top 25'!$B$45:$E$45)&lt;&gt;4,MIN('Top 25'!$B$45:$E$45)&lt;0,SUM('Top 25'!$B$45:$E$45)&lt;=0),"",ROUND(85*(O2293/30*'Top 25'!$B$45+P2293/25*'Top 25'!$C$45+Q2293/25*'Top 25'!$D$45+R2293/5*'Top 25'!$E$45)/SUM('Top 25'!$B$45:$E$45),6))</f>
        <v>42</v>
      </c>
      <c r="U2293" s="1" t="str">
        <f t="shared" ca="1" si="105"/>
        <v>Listed</v>
      </c>
      <c r="V2293" s="1" t="str">
        <f ca="1">IF(A2293="","",IF(AK2293&lt;&gt;1,"Duplicate source ID",IF(COUNTIFS('Staff Review'!$A$8:$A$507,A2293)&gt;1,"Duplicate review ID",IF(H2293&lt;&gt;"Yes","Outside scope",IF(J2293="Yes","Already served",IF(NOT(ISNUMBER(T2293)),"Missing data","Candidate"))))))</f>
        <v>Candidate</v>
      </c>
      <c r="W2293" s="1">
        <f t="shared" ca="1" si="106"/>
        <v>112</v>
      </c>
      <c r="X2293" s="1">
        <f t="shared" ca="1" si="107"/>
        <v>101</v>
      </c>
      <c r="Y2293" s="1">
        <f ca="1">IF(AND(H2293="Yes",OR(LEN('School Search'!$B$5)=0,ISNUMBER(SEARCH('School Search'!$B$5,B2293&amp;" "&amp;E2293&amp;" "&amp;A2293))),OR('School Search'!$D$5="All",C2293='School Search'!$D$5),OR('School Search'!$G$5="All eligible",AND('School Search'!$G$5="Not marked served",J2293&lt;&gt;"Yes"),AND('School Search'!$G$5="Missing data",V2293="Missing data"),AND('School Search'!$G$5="Marked served",J2293="Yes"))),1,0)</f>
        <v>1</v>
      </c>
      <c r="Z2293" s="1">
        <f ca="1">IF(Y2293=0,"",COUNTIFS($Y$2051:$Y$2550,1,$AO$2051:$AO$2550,"&lt;"&amp;AO2293)+COUNTIFS($Y$2051:Y2293,1,$AO$2051:AO2293,AO2293))</f>
        <v>112</v>
      </c>
      <c r="AA2293" s="1" t="str">
        <f t="shared" ca="1" si="108"/>
        <v>90% economic need; 0.46 mi fresh access; 7 nearby resources</v>
      </c>
      <c r="AB2293" s="1">
        <f t="shared" si="109"/>
        <v>243</v>
      </c>
      <c r="AC2293" s="1" t="str">
        <f t="shared" si="110"/>
        <v>Save-A-Lot 60138</v>
      </c>
      <c r="AD2293" s="1" t="str">
        <f t="shared" si="111"/>
        <v>4424 N Broad St, Philadelphia, PA, 19140</v>
      </c>
      <c r="AE2293" s="1" t="str">
        <f t="shared" si="112"/>
        <v>4301 WAYNE AVE</v>
      </c>
      <c r="AF2293" s="1">
        <f t="shared" si="113"/>
        <v>40.018795019999999</v>
      </c>
      <c r="AG2293" s="1">
        <f t="shared" si="114"/>
        <v>-75.15689064</v>
      </c>
      <c r="AH2293" s="1" t="str">
        <f>IF(I2293=0,"Not contacted",IF(INDEX('Staff Review'!$J$8:$J$507,I2293)="","Not contacted",INDEX('Staff Review'!$J$8:$J$507,I2293)))</f>
        <v>Not contacted</v>
      </c>
      <c r="AI2293" s="1" t="str">
        <f ca="1">IF(I2293=0,"No",IF(AND(COUNT(INDEX('Staff Review'!$D$8:$D$507,I2293))=1,INDEX('Staff Review'!$D$8:$D$507,I2293)&gt;=0,COUNT(INDEX('Staff Review'!$E$8:$E$507,I2293))=1,INDEX('Staff Review'!$E$8:$E$507,I2293)&gt;0,INDEX('Staff Review'!$E$8:$E$507,I2293)&lt;='Top 25'!$E$5,'Top 25'!$E$5-INDEX('Staff Review'!$E$8:$E$507,I2293)&lt;='Top 25'!$H$5,LEN(INDEX('Staff Review'!$H$8:$H$507,I2293))&gt;0),"Yes","No"))</f>
        <v>No</v>
      </c>
      <c r="AJ2293" s="1" t="str">
        <f>IF(I2293=0,"No",IF(COUNT(INDEX('Staff Review'!$F$8:$F$507,I2293))&lt;&gt;1,"No",IF(AND(INDEX('Staff Review'!$F$8:$F$507,I2293)&gt;=0,MOD(INDEX('Staff Review'!$F$8:$F$507,I2293),1)=0,COUNT(INDEX('Staff Review'!$G$8:$G$507,I2293))=1,INDEX('Staff Review'!$G$8:$G$507,I2293)&gt;0,INDEX('Staff Review'!$G$8:$G$507,I2293)&lt;='Top 25'!$E$5,'Top 25'!$E$5-INDEX('Staff Review'!$G$8:$G$507,I2293)&lt;='Top 25'!$H$5,LEN(INDEX('Staff Review'!$H$8:$H$507,I2293))&gt;0),"Yes","No")))</f>
        <v>No</v>
      </c>
      <c r="AK2293" s="1">
        <f t="shared" si="115"/>
        <v>1</v>
      </c>
      <c r="AL2293" s="1">
        <f t="shared" ca="1" si="116"/>
        <v>1</v>
      </c>
      <c r="AM2293" s="1">
        <f t="shared" si="117"/>
        <v>6390</v>
      </c>
      <c r="AN2293" s="1">
        <f t="shared" si="118"/>
        <v>243</v>
      </c>
      <c r="AO2293">
        <f t="shared" ca="1" si="119"/>
        <v>112</v>
      </c>
      <c r="AP2293" s="105">
        <f ca="1">IF(AND(AL2293=1,OR('Top 25'!$A$10="All",C2293='Top 25'!$A$10),OR('Top 25'!$D$10="All",D2293='Top 25'!$D$10)),1,0)</f>
        <v>0</v>
      </c>
      <c r="AQ2293" s="105" t="str">
        <f ca="1">IF(AP2293=0,"",CHOOSE(MATCH('Top 25'!$G$10,{"Priority score","Economic need","Enrollment","Fresh miles","Nearby resources"},0),T2293,G2293,F2293,K2293,L2293))</f>
        <v/>
      </c>
      <c r="AR2293" s="105" t="str">
        <f ca="1">IF(AP2293=0,"",1+COUNTIFS($AP$2051:$AP$2550,1,$AQ$2051:$AQ$2550,IF('Top 25'!$J$10="Ascending","&lt;","&gt;")&amp;AQ2293)+COUNTIFS($AP$2051:$AP$2550,1,$AQ$2051:$AQ$2550,AQ2293,$W$2051:$W$2550,"&lt;"&amp;W2293))</f>
        <v/>
      </c>
      <c r="AT2293" s="105">
        <f ca="1">IF(AND(AL2293=1,OR(Master_rankableSchools!$A$10="All",C2293=Master_rankableSchools!$A$10),OR(Master_rankableSchools!$D$10="All",D2293=Master_rankableSchools!$D$10)),1,0)</f>
        <v>1</v>
      </c>
      <c r="AU2293" s="105">
        <f ca="1">IF(AT2293=0,"",CHOOSE(MATCH(Master_rankableSchools!$G$10,{"Priority score","Economic need","Enrollment","Fresh miles","Nearby resources"},0),T2293,G2293,F2293,K2293,L2293))</f>
        <v>42</v>
      </c>
      <c r="AV2293" s="105">
        <f ca="1">IF(AT2293=0,"",1+COUNTIFS($AT$2051:$AT$2550,1,$AU$2051:$AU$2550,IF(Master_rankableSchools!$J$10="Ascending","&lt;","&gt;")&amp;AU2293)+COUNTIFS($AT$2051:$AT$2550,1,$AU$2051:$AU$2550,AU2293,$W$2051:$W$2550,"&lt;"&amp;W2293))</f>
        <v>112</v>
      </c>
    </row>
    <row r="2294" spans="1:48" ht="22" customHeight="1">
      <c r="A2294" s="1" t="str">
        <f t="shared" si="90"/>
        <v>6400</v>
      </c>
      <c r="B2294" s="1" t="str">
        <f t="shared" si="91"/>
        <v>Widener Memorial School</v>
      </c>
      <c r="C2294" s="1" t="str">
        <f t="shared" si="92"/>
        <v>District</v>
      </c>
      <c r="D2294" s="1" t="str">
        <f t="shared" si="93"/>
        <v>Elementary-Middle-High</v>
      </c>
      <c r="E2294" s="1" t="str">
        <f t="shared" si="94"/>
        <v>19141</v>
      </c>
      <c r="F2294" s="1">
        <f t="shared" si="95"/>
        <v>138</v>
      </c>
      <c r="G2294" s="1">
        <f t="shared" si="96"/>
        <v>0.79849999999999999</v>
      </c>
      <c r="H2294" s="1" t="str">
        <f t="shared" si="97"/>
        <v>Yes</v>
      </c>
      <c r="I2294" s="1">
        <f>IF(OR(A2294="",COUNTIFS('Staff Review'!$A$8:$A$507,A2294)&lt;&gt;1),0,MATCH(A2294,'Staff Review'!$A$8:$A$507,0))</f>
        <v>311</v>
      </c>
      <c r="J2294" s="1" t="str">
        <f>IF(I2294=0,"No",IF(INDEX('Staff Review'!$C$8:$C$507,I2294)="Yes","Yes","No"))</f>
        <v>No</v>
      </c>
      <c r="K2294" s="1">
        <f ca="1">IF(AI2294="Yes",INDEX('Staff Review'!$D$8:$D$507,I2294),IF(AB2294=0,"",IF(COUNT(INDEX($C$1531:$C$2030,AB2294))=1,INDEX($C$1531:$C$2030,AB2294),"")))</f>
        <v>0.72902058200269082</v>
      </c>
      <c r="L2294" s="1">
        <f>IF(AJ2294="Yes",INDEX('Staff Review'!$F$8:$F$507,I2294),IF(AB2294=0,"",IF(COUNT(INDEX($G$1531:$G$2030,AB2294))=1,INDEX($G$1531:$G$2030,AB2294),"")))</f>
        <v>9</v>
      </c>
      <c r="M2294" s="1" t="str">
        <f t="shared" ca="1" si="98"/>
        <v>Listed</v>
      </c>
      <c r="N2294" s="1" t="str">
        <f t="shared" si="99"/>
        <v>Listed</v>
      </c>
      <c r="O2294" s="1">
        <f t="shared" si="100"/>
        <v>20</v>
      </c>
      <c r="P2294" s="1">
        <f t="shared" ca="1" si="101"/>
        <v>15</v>
      </c>
      <c r="Q2294" s="1">
        <f t="shared" si="102"/>
        <v>0</v>
      </c>
      <c r="R2294" s="1">
        <f t="shared" si="103"/>
        <v>1</v>
      </c>
      <c r="S2294" s="1">
        <f t="shared" ca="1" si="104"/>
        <v>36</v>
      </c>
      <c r="T2294" s="1">
        <f ca="1">IF(OR(COUNT(O2294:R2294)&lt;&gt;4,COUNT('Top 25'!$B$45:$E$45)&lt;&gt;4,MIN('Top 25'!$B$45:$E$45)&lt;0,SUM('Top 25'!$B$45:$E$45)&lt;=0),"",ROUND(85*(O2294/30*'Top 25'!$B$45+P2294/25*'Top 25'!$C$45+Q2294/25*'Top 25'!$D$45+R2294/5*'Top 25'!$E$45)/SUM('Top 25'!$B$45:$E$45),6))</f>
        <v>36</v>
      </c>
      <c r="U2294" s="1" t="str">
        <f t="shared" ca="1" si="105"/>
        <v>Listed</v>
      </c>
      <c r="V2294" s="1" t="str">
        <f ca="1">IF(A2294="","",IF(AK2294&lt;&gt;1,"Duplicate source ID",IF(COUNTIFS('Staff Review'!$A$8:$A$507,A2294)&gt;1,"Duplicate review ID",IF(H2294&lt;&gt;"Yes","Outside scope",IF(J2294="Yes","Already served",IF(NOT(ISNUMBER(T2294)),"Missing data","Candidate"))))))</f>
        <v>Candidate</v>
      </c>
      <c r="W2294" s="1">
        <f t="shared" ca="1" si="106"/>
        <v>209</v>
      </c>
      <c r="X2294" s="1">
        <f t="shared" ca="1" si="107"/>
        <v>205</v>
      </c>
      <c r="Y2294" s="1">
        <f ca="1">IF(AND(H2294="Yes",OR(LEN('School Search'!$B$5)=0,ISNUMBER(SEARCH('School Search'!$B$5,B2294&amp;" "&amp;E2294&amp;" "&amp;A2294))),OR('School Search'!$D$5="All",C2294='School Search'!$D$5),OR('School Search'!$G$5="All eligible",AND('School Search'!$G$5="Not marked served",J2294&lt;&gt;"Yes"),AND('School Search'!$G$5="Missing data",V2294="Missing data"),AND('School Search'!$G$5="Marked served",J2294="Yes"))),1,0)</f>
        <v>1</v>
      </c>
      <c r="Z2294" s="1">
        <f ca="1">IF(Y2294=0,"",COUNTIFS($Y$2051:$Y$2550,1,$AO$2051:$AO$2550,"&lt;"&amp;AO2294)+COUNTIFS($Y$2051:Y2294,1,$AO$2051:AO2294,AO2294))</f>
        <v>209</v>
      </c>
      <c r="AA2294" s="1" t="str">
        <f t="shared" ca="1" si="108"/>
        <v>80% economic need; 0.73 mi fresh access; 9 nearby resources</v>
      </c>
      <c r="AB2294" s="1">
        <f t="shared" si="109"/>
        <v>244</v>
      </c>
      <c r="AC2294" s="1" t="str">
        <f t="shared" si="110"/>
        <v>ALDI 60011 60011</v>
      </c>
      <c r="AD2294" s="1" t="str">
        <f t="shared" si="111"/>
        <v>6119 N Broad St, Philadelphia, PA, 19141</v>
      </c>
      <c r="AE2294" s="1" t="str">
        <f t="shared" si="112"/>
        <v>1450 W OLNEY AVE</v>
      </c>
      <c r="AF2294" s="1">
        <f t="shared" si="113"/>
        <v>40.036706000000002</v>
      </c>
      <c r="AG2294" s="1">
        <f t="shared" si="114"/>
        <v>-75.146597999999997</v>
      </c>
      <c r="AH2294" s="1" t="str">
        <f>IF(I2294=0,"Not contacted",IF(INDEX('Staff Review'!$J$8:$J$507,I2294)="","Not contacted",INDEX('Staff Review'!$J$8:$J$507,I2294)))</f>
        <v>Not contacted</v>
      </c>
      <c r="AI2294" s="1" t="str">
        <f ca="1">IF(I2294=0,"No",IF(AND(COUNT(INDEX('Staff Review'!$D$8:$D$507,I2294))=1,INDEX('Staff Review'!$D$8:$D$507,I2294)&gt;=0,COUNT(INDEX('Staff Review'!$E$8:$E$507,I2294))=1,INDEX('Staff Review'!$E$8:$E$507,I2294)&gt;0,INDEX('Staff Review'!$E$8:$E$507,I2294)&lt;='Top 25'!$E$5,'Top 25'!$E$5-INDEX('Staff Review'!$E$8:$E$507,I2294)&lt;='Top 25'!$H$5,LEN(INDEX('Staff Review'!$H$8:$H$507,I2294))&gt;0),"Yes","No"))</f>
        <v>No</v>
      </c>
      <c r="AJ2294" s="1" t="str">
        <f>IF(I2294=0,"No",IF(COUNT(INDEX('Staff Review'!$F$8:$F$507,I2294))&lt;&gt;1,"No",IF(AND(INDEX('Staff Review'!$F$8:$F$507,I2294)&gt;=0,MOD(INDEX('Staff Review'!$F$8:$F$507,I2294),1)=0,COUNT(INDEX('Staff Review'!$G$8:$G$507,I2294))=1,INDEX('Staff Review'!$G$8:$G$507,I2294)&gt;0,INDEX('Staff Review'!$G$8:$G$507,I2294)&lt;='Top 25'!$E$5,'Top 25'!$E$5-INDEX('Staff Review'!$G$8:$G$507,I2294)&lt;='Top 25'!$H$5,LEN(INDEX('Staff Review'!$H$8:$H$507,I2294))&gt;0),"Yes","No")))</f>
        <v>No</v>
      </c>
      <c r="AK2294" s="1">
        <f t="shared" si="115"/>
        <v>1</v>
      </c>
      <c r="AL2294" s="1">
        <f t="shared" ca="1" si="116"/>
        <v>1</v>
      </c>
      <c r="AM2294" s="1">
        <f t="shared" si="117"/>
        <v>6400</v>
      </c>
      <c r="AN2294" s="1">
        <f t="shared" si="118"/>
        <v>244</v>
      </c>
      <c r="AO2294">
        <f t="shared" ca="1" si="119"/>
        <v>209</v>
      </c>
      <c r="AP2294" s="105">
        <f ca="1">IF(AND(AL2294=1,OR('Top 25'!$A$10="All",C2294='Top 25'!$A$10),OR('Top 25'!$D$10="All",D2294='Top 25'!$D$10)),1,0)</f>
        <v>0</v>
      </c>
      <c r="AQ2294" s="105" t="str">
        <f ca="1">IF(AP2294=0,"",CHOOSE(MATCH('Top 25'!$G$10,{"Priority score","Economic need","Enrollment","Fresh miles","Nearby resources"},0),T2294,G2294,F2294,K2294,L2294))</f>
        <v/>
      </c>
      <c r="AR2294" s="105" t="str">
        <f ca="1">IF(AP2294=0,"",1+COUNTIFS($AP$2051:$AP$2550,1,$AQ$2051:$AQ$2550,IF('Top 25'!$J$10="Ascending","&lt;","&gt;")&amp;AQ2294)+COUNTIFS($AP$2051:$AP$2550,1,$AQ$2051:$AQ$2550,AQ2294,$W$2051:$W$2550,"&lt;"&amp;W2294))</f>
        <v/>
      </c>
      <c r="AT2294" s="105">
        <f ca="1">IF(AND(AL2294=1,OR(Master_rankableSchools!$A$10="All",C2294=Master_rankableSchools!$A$10),OR(Master_rankableSchools!$D$10="All",D2294=Master_rankableSchools!$D$10)),1,0)</f>
        <v>1</v>
      </c>
      <c r="AU2294" s="105">
        <f ca="1">IF(AT2294=0,"",CHOOSE(MATCH(Master_rankableSchools!$G$10,{"Priority score","Economic need","Enrollment","Fresh miles","Nearby resources"},0),T2294,G2294,F2294,K2294,L2294))</f>
        <v>36</v>
      </c>
      <c r="AV2294" s="105">
        <f ca="1">IF(AT2294=0,"",1+COUNTIFS($AT$2051:$AT$2550,1,$AU$2051:$AU$2550,IF(Master_rankableSchools!$J$10="Ascending","&lt;","&gt;")&amp;AU2294)+COUNTIFS($AT$2051:$AT$2550,1,$AU$2051:$AU$2550,AU2294,$W$2051:$W$2550,"&lt;"&amp;W2294))</f>
        <v>209</v>
      </c>
    </row>
    <row r="2295" spans="1:48" ht="22" customHeight="1">
      <c r="A2295" s="1" t="str">
        <f t="shared" si="90"/>
        <v>6410</v>
      </c>
      <c r="B2295" s="1" t="str">
        <f t="shared" si="91"/>
        <v>Cook-Wissahickon School</v>
      </c>
      <c r="C2295" s="1" t="str">
        <f t="shared" si="92"/>
        <v>District</v>
      </c>
      <c r="D2295" s="1" t="str">
        <f t="shared" si="93"/>
        <v>Elementary-Middle</v>
      </c>
      <c r="E2295" s="1" t="str">
        <f t="shared" si="94"/>
        <v>19128</v>
      </c>
      <c r="F2295" s="1">
        <f t="shared" si="95"/>
        <v>426</v>
      </c>
      <c r="G2295" s="1">
        <f t="shared" si="96"/>
        <v>0.47399999999999998</v>
      </c>
      <c r="H2295" s="1" t="str">
        <f t="shared" si="97"/>
        <v>Yes</v>
      </c>
      <c r="I2295" s="1">
        <f>IF(OR(A2295="",COUNTIFS('Staff Review'!$A$8:$A$507,A2295)&lt;&gt;1),0,MATCH(A2295,'Staff Review'!$A$8:$A$507,0))</f>
        <v>46</v>
      </c>
      <c r="J2295" s="1" t="str">
        <f>IF(I2295=0,"No",IF(INDEX('Staff Review'!$C$8:$C$507,I2295)="Yes","Yes","No"))</f>
        <v>No</v>
      </c>
      <c r="K2295" s="1">
        <f ca="1">IF(AI2295="Yes",INDEX('Staff Review'!$D$8:$D$507,I2295),IF(AB2295=0,"",IF(COUNT(INDEX($C$1531:$C$2030,AB2295))=1,INDEX($C$1531:$C$2030,AB2295),"")))</f>
        <v>0.64413707291291522</v>
      </c>
      <c r="L2295" s="1">
        <f>IF(AJ2295="Yes",INDEX('Staff Review'!$F$8:$F$507,I2295),IF(AB2295=0,"",IF(COUNT(INDEX($G$1531:$G$2030,AB2295))=1,INDEX($G$1531:$G$2030,AB2295),"")))</f>
        <v>1</v>
      </c>
      <c r="M2295" s="1" t="str">
        <f t="shared" ca="1" si="98"/>
        <v>Listed</v>
      </c>
      <c r="N2295" s="1" t="str">
        <f t="shared" si="99"/>
        <v>Listed</v>
      </c>
      <c r="O2295" s="1">
        <f t="shared" si="100"/>
        <v>5</v>
      </c>
      <c r="P2295" s="1">
        <f t="shared" ca="1" si="101"/>
        <v>15</v>
      </c>
      <c r="Q2295" s="1">
        <f t="shared" si="102"/>
        <v>20</v>
      </c>
      <c r="R2295" s="1">
        <f t="shared" si="103"/>
        <v>3</v>
      </c>
      <c r="S2295" s="1">
        <f t="shared" ca="1" si="104"/>
        <v>43</v>
      </c>
      <c r="T2295" s="1">
        <f ca="1">IF(OR(COUNT(O2295:R2295)&lt;&gt;4,COUNT('Top 25'!$B$45:$E$45)&lt;&gt;4,MIN('Top 25'!$B$45:$E$45)&lt;0,SUM('Top 25'!$B$45:$E$45)&lt;=0),"",ROUND(85*(O2295/30*'Top 25'!$B$45+P2295/25*'Top 25'!$C$45+Q2295/25*'Top 25'!$D$45+R2295/5*'Top 25'!$E$45)/SUM('Top 25'!$B$45:$E$45),6))</f>
        <v>43</v>
      </c>
      <c r="U2295" s="1" t="str">
        <f t="shared" ca="1" si="105"/>
        <v>Listed</v>
      </c>
      <c r="V2295" s="1" t="str">
        <f ca="1">IF(A2295="","",IF(AK2295&lt;&gt;1,"Duplicate source ID",IF(COUNTIFS('Staff Review'!$A$8:$A$507,A2295)&gt;1,"Duplicate review ID",IF(H2295&lt;&gt;"Yes","Outside scope",IF(J2295="Yes","Already served",IF(NOT(ISNUMBER(T2295)),"Missing data","Candidate"))))))</f>
        <v>Candidate</v>
      </c>
      <c r="W2295" s="1">
        <f t="shared" ca="1" si="106"/>
        <v>100</v>
      </c>
      <c r="X2295" s="1">
        <f t="shared" ca="1" si="107"/>
        <v>90</v>
      </c>
      <c r="Y2295" s="1">
        <f ca="1">IF(AND(H2295="Yes",OR(LEN('School Search'!$B$5)=0,ISNUMBER(SEARCH('School Search'!$B$5,B2295&amp;" "&amp;E2295&amp;" "&amp;A2295))),OR('School Search'!$D$5="All",C2295='School Search'!$D$5),OR('School Search'!$G$5="All eligible",AND('School Search'!$G$5="Not marked served",J2295&lt;&gt;"Yes"),AND('School Search'!$G$5="Missing data",V2295="Missing data"),AND('School Search'!$G$5="Marked served",J2295="Yes"))),1,0)</f>
        <v>1</v>
      </c>
      <c r="Z2295" s="1">
        <f ca="1">IF(Y2295=0,"",COUNTIFS($Y$2051:$Y$2550,1,$AO$2051:$AO$2550,"&lt;"&amp;AO2295)+COUNTIFS($Y$2051:Y2295,1,$AO$2051:AO2295,AO2295))</f>
        <v>100</v>
      </c>
      <c r="AA2295" s="1" t="str">
        <f t="shared" ca="1" si="108"/>
        <v>47% economic need; 0.64 mi fresh access; 1 nearby resources</v>
      </c>
      <c r="AB2295" s="1">
        <f t="shared" si="109"/>
        <v>245</v>
      </c>
      <c r="AC2295" s="1" t="str">
        <f t="shared" si="110"/>
        <v>ACME 2762</v>
      </c>
      <c r="AD2295" s="1" t="str">
        <f t="shared" si="111"/>
        <v>5927-59 Ridge Ave, Philadelphia, PA, 19128</v>
      </c>
      <c r="AE2295" s="1" t="str">
        <f t="shared" si="112"/>
        <v>201 E SALAIGNAC ST</v>
      </c>
      <c r="AF2295" s="1">
        <f t="shared" si="113"/>
        <v>40.022472</v>
      </c>
      <c r="AG2295" s="1">
        <f t="shared" si="114"/>
        <v>-75.206801999999996</v>
      </c>
      <c r="AH2295" s="1" t="str">
        <f>IF(I2295=0,"Not contacted",IF(INDEX('Staff Review'!$J$8:$J$507,I2295)="","Not contacted",INDEX('Staff Review'!$J$8:$J$507,I2295)))</f>
        <v>Not contacted</v>
      </c>
      <c r="AI2295" s="1" t="str">
        <f ca="1">IF(I2295=0,"No",IF(AND(COUNT(INDEX('Staff Review'!$D$8:$D$507,I2295))=1,INDEX('Staff Review'!$D$8:$D$507,I2295)&gt;=0,COUNT(INDEX('Staff Review'!$E$8:$E$507,I2295))=1,INDEX('Staff Review'!$E$8:$E$507,I2295)&gt;0,INDEX('Staff Review'!$E$8:$E$507,I2295)&lt;='Top 25'!$E$5,'Top 25'!$E$5-INDEX('Staff Review'!$E$8:$E$507,I2295)&lt;='Top 25'!$H$5,LEN(INDEX('Staff Review'!$H$8:$H$507,I2295))&gt;0),"Yes","No"))</f>
        <v>No</v>
      </c>
      <c r="AJ2295" s="1" t="str">
        <f>IF(I2295=0,"No",IF(COUNT(INDEX('Staff Review'!$F$8:$F$507,I2295))&lt;&gt;1,"No",IF(AND(INDEX('Staff Review'!$F$8:$F$507,I2295)&gt;=0,MOD(INDEX('Staff Review'!$F$8:$F$507,I2295),1)=0,COUNT(INDEX('Staff Review'!$G$8:$G$507,I2295))=1,INDEX('Staff Review'!$G$8:$G$507,I2295)&gt;0,INDEX('Staff Review'!$G$8:$G$507,I2295)&lt;='Top 25'!$E$5,'Top 25'!$E$5-INDEX('Staff Review'!$G$8:$G$507,I2295)&lt;='Top 25'!$H$5,LEN(INDEX('Staff Review'!$H$8:$H$507,I2295))&gt;0),"Yes","No")))</f>
        <v>No</v>
      </c>
      <c r="AK2295" s="1">
        <f t="shared" si="115"/>
        <v>1</v>
      </c>
      <c r="AL2295" s="1">
        <f t="shared" ca="1" si="116"/>
        <v>1</v>
      </c>
      <c r="AM2295" s="1">
        <f t="shared" si="117"/>
        <v>6410</v>
      </c>
      <c r="AN2295" s="1">
        <f t="shared" si="118"/>
        <v>245</v>
      </c>
      <c r="AO2295">
        <f t="shared" ca="1" si="119"/>
        <v>100</v>
      </c>
      <c r="AP2295" s="105">
        <f ca="1">IF(AND(AL2295=1,OR('Top 25'!$A$10="All",C2295='Top 25'!$A$10),OR('Top 25'!$D$10="All",D2295='Top 25'!$D$10)),1,0)</f>
        <v>0</v>
      </c>
      <c r="AQ2295" s="105" t="str">
        <f ca="1">IF(AP2295=0,"",CHOOSE(MATCH('Top 25'!$G$10,{"Priority score","Economic need","Enrollment","Fresh miles","Nearby resources"},0),T2295,G2295,F2295,K2295,L2295))</f>
        <v/>
      </c>
      <c r="AR2295" s="105" t="str">
        <f ca="1">IF(AP2295=0,"",1+COUNTIFS($AP$2051:$AP$2550,1,$AQ$2051:$AQ$2550,IF('Top 25'!$J$10="Ascending","&lt;","&gt;")&amp;AQ2295)+COUNTIFS($AP$2051:$AP$2550,1,$AQ$2051:$AQ$2550,AQ2295,$W$2051:$W$2550,"&lt;"&amp;W2295))</f>
        <v/>
      </c>
      <c r="AT2295" s="105">
        <f ca="1">IF(AND(AL2295=1,OR(Master_rankableSchools!$A$10="All",C2295=Master_rankableSchools!$A$10),OR(Master_rankableSchools!$D$10="All",D2295=Master_rankableSchools!$D$10)),1,0)</f>
        <v>1</v>
      </c>
      <c r="AU2295" s="105">
        <f ca="1">IF(AT2295=0,"",CHOOSE(MATCH(Master_rankableSchools!$G$10,{"Priority score","Economic need","Enrollment","Fresh miles","Nearby resources"},0),T2295,G2295,F2295,K2295,L2295))</f>
        <v>43</v>
      </c>
      <c r="AV2295" s="105">
        <f ca="1">IF(AT2295=0,"",1+COUNTIFS($AT$2051:$AT$2550,1,$AU$2051:$AU$2550,IF(Master_rankableSchools!$J$10="Ascending","&lt;","&gt;")&amp;AU2295)+COUNTIFS($AT$2051:$AT$2550,1,$AU$2051:$AU$2550,AU2295,$W$2051:$W$2550,"&lt;"&amp;W2295))</f>
        <v>100</v>
      </c>
    </row>
    <row r="2296" spans="1:48" ht="22" customHeight="1">
      <c r="A2296" s="1" t="str">
        <f t="shared" si="90"/>
        <v>6440</v>
      </c>
      <c r="B2296" s="1" t="str">
        <f t="shared" si="91"/>
        <v>Anna L. Lingelbach School</v>
      </c>
      <c r="C2296" s="1" t="str">
        <f t="shared" si="92"/>
        <v>District</v>
      </c>
      <c r="D2296" s="1" t="str">
        <f t="shared" si="93"/>
        <v>Elementary-Middle</v>
      </c>
      <c r="E2296" s="1" t="str">
        <f t="shared" si="94"/>
        <v>19144</v>
      </c>
      <c r="F2296" s="1">
        <f t="shared" si="95"/>
        <v>366</v>
      </c>
      <c r="G2296" s="1">
        <f t="shared" si="96"/>
        <v>0.63280000000000003</v>
      </c>
      <c r="H2296" s="1" t="str">
        <f t="shared" si="97"/>
        <v>Yes</v>
      </c>
      <c r="I2296" s="1">
        <f>IF(OR(A2296="",COUNTIFS('Staff Review'!$A$8:$A$507,A2296)&lt;&gt;1),0,MATCH(A2296,'Staff Review'!$A$8:$A$507,0))</f>
        <v>21</v>
      </c>
      <c r="J2296" s="1" t="str">
        <f>IF(I2296=0,"No",IF(INDEX('Staff Review'!$C$8:$C$507,I2296)="Yes","Yes","No"))</f>
        <v>No</v>
      </c>
      <c r="K2296" s="1">
        <f ca="1">IF(AI2296="Yes",INDEX('Staff Review'!$D$8:$D$507,I2296),IF(AB2296=0,"",IF(COUNT(INDEX($C$1531:$C$2030,AB2296))=1,INDEX($C$1531:$C$2030,AB2296),"")))</f>
        <v>0.50919049133552885</v>
      </c>
      <c r="L2296" s="1">
        <f>IF(AJ2296="Yes",INDEX('Staff Review'!$F$8:$F$507,I2296),IF(AB2296=0,"",IF(COUNT(INDEX($G$1531:$G$2030,AB2296))=1,INDEX($G$1531:$G$2030,AB2296),"")))</f>
        <v>12</v>
      </c>
      <c r="M2296" s="1" t="str">
        <f t="shared" ca="1" si="98"/>
        <v>Listed</v>
      </c>
      <c r="N2296" s="1" t="str">
        <f t="shared" si="99"/>
        <v>Listed</v>
      </c>
      <c r="O2296" s="1">
        <f t="shared" si="100"/>
        <v>15</v>
      </c>
      <c r="P2296" s="1">
        <f t="shared" ca="1" si="101"/>
        <v>15</v>
      </c>
      <c r="Q2296" s="1">
        <f t="shared" si="102"/>
        <v>0</v>
      </c>
      <c r="R2296" s="1">
        <f t="shared" si="103"/>
        <v>3</v>
      </c>
      <c r="S2296" s="1">
        <f t="shared" ca="1" si="104"/>
        <v>33</v>
      </c>
      <c r="T2296" s="1">
        <f ca="1">IF(OR(COUNT(O2296:R2296)&lt;&gt;4,COUNT('Top 25'!$B$45:$E$45)&lt;&gt;4,MIN('Top 25'!$B$45:$E$45)&lt;0,SUM('Top 25'!$B$45:$E$45)&lt;=0),"",ROUND(85*(O2296/30*'Top 25'!$B$45+P2296/25*'Top 25'!$C$45+Q2296/25*'Top 25'!$D$45+R2296/5*'Top 25'!$E$45)/SUM('Top 25'!$B$45:$E$45),6))</f>
        <v>33</v>
      </c>
      <c r="U2296" s="1" t="str">
        <f t="shared" ca="1" si="105"/>
        <v>Listed</v>
      </c>
      <c r="V2296" s="1" t="str">
        <f ca="1">IF(A2296="","",IF(AK2296&lt;&gt;1,"Duplicate source ID",IF(COUNTIFS('Staff Review'!$A$8:$A$507,A2296)&gt;1,"Duplicate review ID",IF(H2296&lt;&gt;"Yes","Outside scope",IF(J2296="Yes","Already served",IF(NOT(ISNUMBER(T2296)),"Missing data","Candidate"))))))</f>
        <v>Candidate</v>
      </c>
      <c r="W2296" s="1">
        <f t="shared" ca="1" si="106"/>
        <v>242</v>
      </c>
      <c r="X2296" s="1">
        <f t="shared" ca="1" si="107"/>
        <v>233</v>
      </c>
      <c r="Y2296" s="1">
        <f ca="1">IF(AND(H2296="Yes",OR(LEN('School Search'!$B$5)=0,ISNUMBER(SEARCH('School Search'!$B$5,B2296&amp;" "&amp;E2296&amp;" "&amp;A2296))),OR('School Search'!$D$5="All",C2296='School Search'!$D$5),OR('School Search'!$G$5="All eligible",AND('School Search'!$G$5="Not marked served",J2296&lt;&gt;"Yes"),AND('School Search'!$G$5="Missing data",V2296="Missing data"),AND('School Search'!$G$5="Marked served",J2296="Yes"))),1,0)</f>
        <v>1</v>
      </c>
      <c r="Z2296" s="1">
        <f ca="1">IF(Y2296=0,"",COUNTIFS($Y$2051:$Y$2550,1,$AO$2051:$AO$2550,"&lt;"&amp;AO2296)+COUNTIFS($Y$2051:Y2296,1,$AO$2051:AO2296,AO2296))</f>
        <v>242</v>
      </c>
      <c r="AA2296" s="1" t="str">
        <f t="shared" ca="1" si="108"/>
        <v>63% economic need; 0.51 mi fresh access; 12 nearby resources</v>
      </c>
      <c r="AB2296" s="1">
        <f t="shared" si="109"/>
        <v>246</v>
      </c>
      <c r="AC2296" s="1" t="str">
        <f t="shared" si="110"/>
        <v>ARKADY DVOR T/A A&amp;N HOUSE OF PROD</v>
      </c>
      <c r="AD2296" s="1" t="str">
        <f t="shared" si="111"/>
        <v>5929 Greene St, Philadelphia, PA, 19144</v>
      </c>
      <c r="AE2296" s="1" t="str">
        <f t="shared" si="112"/>
        <v>6340 WAYNE AVE</v>
      </c>
      <c r="AF2296" s="1">
        <f t="shared" si="113"/>
        <v>40.037084129999997</v>
      </c>
      <c r="AG2296" s="1">
        <f t="shared" si="114"/>
        <v>-75.189613640000005</v>
      </c>
      <c r="AH2296" s="1" t="str">
        <f>IF(I2296=0,"Not contacted",IF(INDEX('Staff Review'!$J$8:$J$507,I2296)="","Not contacted",INDEX('Staff Review'!$J$8:$J$507,I2296)))</f>
        <v>Not contacted</v>
      </c>
      <c r="AI2296" s="1" t="str">
        <f ca="1">IF(I2296=0,"No",IF(AND(COUNT(INDEX('Staff Review'!$D$8:$D$507,I2296))=1,INDEX('Staff Review'!$D$8:$D$507,I2296)&gt;=0,COUNT(INDEX('Staff Review'!$E$8:$E$507,I2296))=1,INDEX('Staff Review'!$E$8:$E$507,I2296)&gt;0,INDEX('Staff Review'!$E$8:$E$507,I2296)&lt;='Top 25'!$E$5,'Top 25'!$E$5-INDEX('Staff Review'!$E$8:$E$507,I2296)&lt;='Top 25'!$H$5,LEN(INDEX('Staff Review'!$H$8:$H$507,I2296))&gt;0),"Yes","No"))</f>
        <v>No</v>
      </c>
      <c r="AJ2296" s="1" t="str">
        <f>IF(I2296=0,"No",IF(COUNT(INDEX('Staff Review'!$F$8:$F$507,I2296))&lt;&gt;1,"No",IF(AND(INDEX('Staff Review'!$F$8:$F$507,I2296)&gt;=0,MOD(INDEX('Staff Review'!$F$8:$F$507,I2296),1)=0,COUNT(INDEX('Staff Review'!$G$8:$G$507,I2296))=1,INDEX('Staff Review'!$G$8:$G$507,I2296)&gt;0,INDEX('Staff Review'!$G$8:$G$507,I2296)&lt;='Top 25'!$E$5,'Top 25'!$E$5-INDEX('Staff Review'!$G$8:$G$507,I2296)&lt;='Top 25'!$H$5,LEN(INDEX('Staff Review'!$H$8:$H$507,I2296))&gt;0),"Yes","No")))</f>
        <v>No</v>
      </c>
      <c r="AK2296" s="1">
        <f t="shared" si="115"/>
        <v>1</v>
      </c>
      <c r="AL2296" s="1">
        <f t="shared" ca="1" si="116"/>
        <v>1</v>
      </c>
      <c r="AM2296" s="1">
        <f t="shared" si="117"/>
        <v>6440</v>
      </c>
      <c r="AN2296" s="1">
        <f t="shared" si="118"/>
        <v>246</v>
      </c>
      <c r="AO2296">
        <f t="shared" ca="1" si="119"/>
        <v>242</v>
      </c>
      <c r="AP2296" s="105">
        <f ca="1">IF(AND(AL2296=1,OR('Top 25'!$A$10="All",C2296='Top 25'!$A$10),OR('Top 25'!$D$10="All",D2296='Top 25'!$D$10)),1,0)</f>
        <v>0</v>
      </c>
      <c r="AQ2296" s="105" t="str">
        <f ca="1">IF(AP2296=0,"",CHOOSE(MATCH('Top 25'!$G$10,{"Priority score","Economic need","Enrollment","Fresh miles","Nearby resources"},0),T2296,G2296,F2296,K2296,L2296))</f>
        <v/>
      </c>
      <c r="AR2296" s="105" t="str">
        <f ca="1">IF(AP2296=0,"",1+COUNTIFS($AP$2051:$AP$2550,1,$AQ$2051:$AQ$2550,IF('Top 25'!$J$10="Ascending","&lt;","&gt;")&amp;AQ2296)+COUNTIFS($AP$2051:$AP$2550,1,$AQ$2051:$AQ$2550,AQ2296,$W$2051:$W$2550,"&lt;"&amp;W2296))</f>
        <v/>
      </c>
      <c r="AT2296" s="105">
        <f ca="1">IF(AND(AL2296=1,OR(Master_rankableSchools!$A$10="All",C2296=Master_rankableSchools!$A$10),OR(Master_rankableSchools!$D$10="All",D2296=Master_rankableSchools!$D$10)),1,0)</f>
        <v>1</v>
      </c>
      <c r="AU2296" s="105">
        <f ca="1">IF(AT2296=0,"",CHOOSE(MATCH(Master_rankableSchools!$G$10,{"Priority score","Economic need","Enrollment","Fresh miles","Nearby resources"},0),T2296,G2296,F2296,K2296,L2296))</f>
        <v>33</v>
      </c>
      <c r="AV2296" s="105">
        <f ca="1">IF(AT2296=0,"",1+COUNTIFS($AT$2051:$AT$2550,1,$AU$2051:$AU$2550,IF(Master_rankableSchools!$J$10="Ascending","&lt;","&gt;")&amp;AU2296)+COUNTIFS($AT$2051:$AT$2550,1,$AU$2051:$AU$2550,AU2296,$W$2051:$W$2550,"&lt;"&amp;W2296))</f>
        <v>242</v>
      </c>
    </row>
    <row r="2297" spans="1:48" ht="22" customHeight="1">
      <c r="A2297" s="1" t="str">
        <f t="shared" si="90"/>
        <v>6450</v>
      </c>
      <c r="B2297" s="1" t="str">
        <f t="shared" si="91"/>
        <v>James Dobson School</v>
      </c>
      <c r="C2297" s="1" t="str">
        <f t="shared" si="92"/>
        <v>District</v>
      </c>
      <c r="D2297" s="1" t="str">
        <f t="shared" si="93"/>
        <v>Elementary-Middle</v>
      </c>
      <c r="E2297" s="1" t="str">
        <f t="shared" si="94"/>
        <v>19127</v>
      </c>
      <c r="F2297" s="1">
        <f t="shared" si="95"/>
        <v>253</v>
      </c>
      <c r="G2297" s="1">
        <f t="shared" si="96"/>
        <v>0.49009999999999998</v>
      </c>
      <c r="H2297" s="1" t="str">
        <f t="shared" si="97"/>
        <v>Yes</v>
      </c>
      <c r="I2297" s="1">
        <f>IF(OR(A2297="",COUNTIFS('Staff Review'!$A$8:$A$507,A2297)&lt;&gt;1),0,MATCH(A2297,'Staff Review'!$A$8:$A$507,0))</f>
        <v>125</v>
      </c>
      <c r="J2297" s="1" t="str">
        <f>IF(I2297=0,"No",IF(INDEX('Staff Review'!$C$8:$C$507,I2297)="Yes","Yes","No"))</f>
        <v>No</v>
      </c>
      <c r="K2297" s="1">
        <f ca="1">IF(AI2297="Yes",INDEX('Staff Review'!$D$8:$D$507,I2297),IF(AB2297=0,"",IF(COUNT(INDEX($C$1531:$C$2030,AB2297))=1,INDEX($C$1531:$C$2030,AB2297),"")))</f>
        <v>0.83432830510015976</v>
      </c>
      <c r="L2297" s="1">
        <f>IF(AJ2297="Yes",INDEX('Staff Review'!$F$8:$F$507,I2297),IF(AB2297=0,"",IF(COUNT(INDEX($G$1531:$G$2030,AB2297))=1,INDEX($G$1531:$G$2030,AB2297),"")))</f>
        <v>1</v>
      </c>
      <c r="M2297" s="1" t="str">
        <f t="shared" ca="1" si="98"/>
        <v>Listed</v>
      </c>
      <c r="N2297" s="1" t="str">
        <f t="shared" si="99"/>
        <v>Listed</v>
      </c>
      <c r="O2297" s="1">
        <f t="shared" si="100"/>
        <v>5</v>
      </c>
      <c r="P2297" s="1">
        <f t="shared" ca="1" si="101"/>
        <v>20</v>
      </c>
      <c r="Q2297" s="1">
        <f t="shared" si="102"/>
        <v>20</v>
      </c>
      <c r="R2297" s="1">
        <f t="shared" si="103"/>
        <v>2</v>
      </c>
      <c r="S2297" s="1">
        <f t="shared" ca="1" si="104"/>
        <v>47</v>
      </c>
      <c r="T2297" s="1">
        <f ca="1">IF(OR(COUNT(O2297:R2297)&lt;&gt;4,COUNT('Top 25'!$B$45:$E$45)&lt;&gt;4,MIN('Top 25'!$B$45:$E$45)&lt;0,SUM('Top 25'!$B$45:$E$45)&lt;=0),"",ROUND(85*(O2297/30*'Top 25'!$B$45+P2297/25*'Top 25'!$C$45+Q2297/25*'Top 25'!$D$45+R2297/5*'Top 25'!$E$45)/SUM('Top 25'!$B$45:$E$45),6))</f>
        <v>47</v>
      </c>
      <c r="U2297" s="1" t="str">
        <f t="shared" ca="1" si="105"/>
        <v>Listed</v>
      </c>
      <c r="V2297" s="1" t="str">
        <f ca="1">IF(A2297="","",IF(AK2297&lt;&gt;1,"Duplicate source ID",IF(COUNTIFS('Staff Review'!$A$8:$A$507,A2297)&gt;1,"Duplicate review ID",IF(H2297&lt;&gt;"Yes","Outside scope",IF(J2297="Yes","Already served",IF(NOT(ISNUMBER(T2297)),"Missing data","Candidate"))))))</f>
        <v>Candidate</v>
      </c>
      <c r="W2297" s="1">
        <f t="shared" ca="1" si="106"/>
        <v>70</v>
      </c>
      <c r="X2297" s="1">
        <f t="shared" ca="1" si="107"/>
        <v>64</v>
      </c>
      <c r="Y2297" s="1">
        <f ca="1">IF(AND(H2297="Yes",OR(LEN('School Search'!$B$5)=0,ISNUMBER(SEARCH('School Search'!$B$5,B2297&amp;" "&amp;E2297&amp;" "&amp;A2297))),OR('School Search'!$D$5="All",C2297='School Search'!$D$5),OR('School Search'!$G$5="All eligible",AND('School Search'!$G$5="Not marked served",J2297&lt;&gt;"Yes"),AND('School Search'!$G$5="Missing data",V2297="Missing data"),AND('School Search'!$G$5="Marked served",J2297="Yes"))),1,0)</f>
        <v>1</v>
      </c>
      <c r="Z2297" s="1">
        <f ca="1">IF(Y2297=0,"",COUNTIFS($Y$2051:$Y$2550,1,$AO$2051:$AO$2550,"&lt;"&amp;AO2297)+COUNTIFS($Y$2051:Y2297,1,$AO$2051:AO2297,AO2297))</f>
        <v>70</v>
      </c>
      <c r="AA2297" s="1" t="str">
        <f t="shared" ca="1" si="108"/>
        <v>49% economic need; 0.83 mi fresh access; 1 nearby resources</v>
      </c>
      <c r="AB2297" s="1">
        <f t="shared" si="109"/>
        <v>247</v>
      </c>
      <c r="AC2297" s="1" t="str">
        <f t="shared" si="110"/>
        <v>Shop Rite of Roxborough 519</v>
      </c>
      <c r="AD2297" s="1" t="str">
        <f t="shared" si="111"/>
        <v>6901 Ridge Ave, Philadelphia, PA, 19128</v>
      </c>
      <c r="AE2297" s="1" t="str">
        <f t="shared" si="112"/>
        <v>4667 UMBRIA ST</v>
      </c>
      <c r="AF2297" s="1">
        <f t="shared" si="113"/>
        <v>40.031475360000002</v>
      </c>
      <c r="AG2297" s="1">
        <f t="shared" si="114"/>
        <v>-75.230671630000003</v>
      </c>
      <c r="AH2297" s="1" t="str">
        <f>IF(I2297=0,"Not contacted",IF(INDEX('Staff Review'!$J$8:$J$507,I2297)="","Not contacted",INDEX('Staff Review'!$J$8:$J$507,I2297)))</f>
        <v>Not contacted</v>
      </c>
      <c r="AI2297" s="1" t="str">
        <f ca="1">IF(I2297=0,"No",IF(AND(COUNT(INDEX('Staff Review'!$D$8:$D$507,I2297))=1,INDEX('Staff Review'!$D$8:$D$507,I2297)&gt;=0,COUNT(INDEX('Staff Review'!$E$8:$E$507,I2297))=1,INDEX('Staff Review'!$E$8:$E$507,I2297)&gt;0,INDEX('Staff Review'!$E$8:$E$507,I2297)&lt;='Top 25'!$E$5,'Top 25'!$E$5-INDEX('Staff Review'!$E$8:$E$507,I2297)&lt;='Top 25'!$H$5,LEN(INDEX('Staff Review'!$H$8:$H$507,I2297))&gt;0),"Yes","No"))</f>
        <v>No</v>
      </c>
      <c r="AJ2297" s="1" t="str">
        <f>IF(I2297=0,"No",IF(COUNT(INDEX('Staff Review'!$F$8:$F$507,I2297))&lt;&gt;1,"No",IF(AND(INDEX('Staff Review'!$F$8:$F$507,I2297)&gt;=0,MOD(INDEX('Staff Review'!$F$8:$F$507,I2297),1)=0,COUNT(INDEX('Staff Review'!$G$8:$G$507,I2297))=1,INDEX('Staff Review'!$G$8:$G$507,I2297)&gt;0,INDEX('Staff Review'!$G$8:$G$507,I2297)&lt;='Top 25'!$E$5,'Top 25'!$E$5-INDEX('Staff Review'!$G$8:$G$507,I2297)&lt;='Top 25'!$H$5,LEN(INDEX('Staff Review'!$H$8:$H$507,I2297))&gt;0),"Yes","No")))</f>
        <v>No</v>
      </c>
      <c r="AK2297" s="1">
        <f t="shared" si="115"/>
        <v>1</v>
      </c>
      <c r="AL2297" s="1">
        <f t="shared" ca="1" si="116"/>
        <v>1</v>
      </c>
      <c r="AM2297" s="1">
        <f t="shared" si="117"/>
        <v>6450</v>
      </c>
      <c r="AN2297" s="1">
        <f t="shared" si="118"/>
        <v>247</v>
      </c>
      <c r="AO2297">
        <f t="shared" ca="1" si="119"/>
        <v>70</v>
      </c>
      <c r="AP2297" s="105">
        <f ca="1">IF(AND(AL2297=1,OR('Top 25'!$A$10="All",C2297='Top 25'!$A$10),OR('Top 25'!$D$10="All",D2297='Top 25'!$D$10)),1,0)</f>
        <v>0</v>
      </c>
      <c r="AQ2297" s="105" t="str">
        <f ca="1">IF(AP2297=0,"",CHOOSE(MATCH('Top 25'!$G$10,{"Priority score","Economic need","Enrollment","Fresh miles","Nearby resources"},0),T2297,G2297,F2297,K2297,L2297))</f>
        <v/>
      </c>
      <c r="AR2297" s="105" t="str">
        <f ca="1">IF(AP2297=0,"",1+COUNTIFS($AP$2051:$AP$2550,1,$AQ$2051:$AQ$2550,IF('Top 25'!$J$10="Ascending","&lt;","&gt;")&amp;AQ2297)+COUNTIFS($AP$2051:$AP$2550,1,$AQ$2051:$AQ$2550,AQ2297,$W$2051:$W$2550,"&lt;"&amp;W2297))</f>
        <v/>
      </c>
      <c r="AT2297" s="105">
        <f ca="1">IF(AND(AL2297=1,OR(Master_rankableSchools!$A$10="All",C2297=Master_rankableSchools!$A$10),OR(Master_rankableSchools!$D$10="All",D2297=Master_rankableSchools!$D$10)),1,0)</f>
        <v>1</v>
      </c>
      <c r="AU2297" s="105">
        <f ca="1">IF(AT2297=0,"",CHOOSE(MATCH(Master_rankableSchools!$G$10,{"Priority score","Economic need","Enrollment","Fresh miles","Nearby resources"},0),T2297,G2297,F2297,K2297,L2297))</f>
        <v>47</v>
      </c>
      <c r="AV2297" s="105">
        <f ca="1">IF(AT2297=0,"",1+COUNTIFS($AT$2051:$AT$2550,1,$AU$2051:$AU$2550,IF(Master_rankableSchools!$J$10="Ascending","&lt;","&gt;")&amp;AU2297)+COUNTIFS($AT$2051:$AT$2550,1,$AU$2051:$AU$2550,AU2297,$W$2051:$W$2550,"&lt;"&amp;W2297))</f>
        <v>70</v>
      </c>
    </row>
    <row r="2298" spans="1:48" ht="22" customHeight="1">
      <c r="A2298" s="1" t="str">
        <f t="shared" si="90"/>
        <v>6460</v>
      </c>
      <c r="B2298" s="1" t="str">
        <f t="shared" si="91"/>
        <v>Hill-Freedman World Academy</v>
      </c>
      <c r="C2298" s="1" t="str">
        <f t="shared" si="92"/>
        <v>District</v>
      </c>
      <c r="D2298" s="1" t="str">
        <f t="shared" si="93"/>
        <v>Middle-High</v>
      </c>
      <c r="E2298" s="1" t="str">
        <f t="shared" si="94"/>
        <v>19150</v>
      </c>
      <c r="F2298" s="1">
        <f t="shared" si="95"/>
        <v>650</v>
      </c>
      <c r="G2298" s="1">
        <f t="shared" si="96"/>
        <v>0.67810000000000004</v>
      </c>
      <c r="H2298" s="1" t="str">
        <f t="shared" si="97"/>
        <v>Yes</v>
      </c>
      <c r="I2298" s="1">
        <f>IF(OR(A2298="",COUNTIFS('Staff Review'!$A$8:$A$507,A2298)&lt;&gt;1),0,MATCH(A2298,'Staff Review'!$A$8:$A$507,0))</f>
        <v>115</v>
      </c>
      <c r="J2298" s="1" t="str">
        <f>IF(I2298=0,"No",IF(INDEX('Staff Review'!$C$8:$C$507,I2298)="Yes","Yes","No"))</f>
        <v>No</v>
      </c>
      <c r="K2298" s="1">
        <f ca="1">IF(AI2298="Yes",INDEX('Staff Review'!$D$8:$D$507,I2298),IF(AB2298=0,"",IF(COUNT(INDEX($C$1531:$C$2030,AB2298))=1,INDEX($C$1531:$C$2030,AB2298),"")))</f>
        <v>0.83599563873424443</v>
      </c>
      <c r="L2298" s="1">
        <f>IF(AJ2298="Yes",INDEX('Staff Review'!$F$8:$F$507,I2298),IF(AB2298=0,"",IF(COUNT(INDEX($G$1531:$G$2030,AB2298))=1,INDEX($G$1531:$G$2030,AB2298),"")))</f>
        <v>3</v>
      </c>
      <c r="M2298" s="1" t="str">
        <f t="shared" ca="1" si="98"/>
        <v>Listed</v>
      </c>
      <c r="N2298" s="1" t="str">
        <f t="shared" si="99"/>
        <v>Listed</v>
      </c>
      <c r="O2298" s="1">
        <f t="shared" si="100"/>
        <v>15</v>
      </c>
      <c r="P2298" s="1">
        <f t="shared" ca="1" si="101"/>
        <v>20</v>
      </c>
      <c r="Q2298" s="1">
        <f t="shared" si="102"/>
        <v>10</v>
      </c>
      <c r="R2298" s="1">
        <f t="shared" si="103"/>
        <v>4</v>
      </c>
      <c r="S2298" s="1">
        <f t="shared" ca="1" si="104"/>
        <v>49</v>
      </c>
      <c r="T2298" s="1">
        <f ca="1">IF(OR(COUNT(O2298:R2298)&lt;&gt;4,COUNT('Top 25'!$B$45:$E$45)&lt;&gt;4,MIN('Top 25'!$B$45:$E$45)&lt;0,SUM('Top 25'!$B$45:$E$45)&lt;=0),"",ROUND(85*(O2298/30*'Top 25'!$B$45+P2298/25*'Top 25'!$C$45+Q2298/25*'Top 25'!$D$45+R2298/5*'Top 25'!$E$45)/SUM('Top 25'!$B$45:$E$45),6))</f>
        <v>49</v>
      </c>
      <c r="U2298" s="1" t="str">
        <f t="shared" ca="1" si="105"/>
        <v>Listed</v>
      </c>
      <c r="V2298" s="1" t="str">
        <f ca="1">IF(A2298="","",IF(AK2298&lt;&gt;1,"Duplicate source ID",IF(COUNTIFS('Staff Review'!$A$8:$A$507,A2298)&gt;1,"Duplicate review ID",IF(H2298&lt;&gt;"Yes","Outside scope",IF(J2298="Yes","Already served",IF(NOT(ISNUMBER(T2298)),"Missing data","Candidate"))))))</f>
        <v>Candidate</v>
      </c>
      <c r="W2298" s="1">
        <f t="shared" ca="1" si="106"/>
        <v>53</v>
      </c>
      <c r="X2298" s="1">
        <f t="shared" ca="1" si="107"/>
        <v>46</v>
      </c>
      <c r="Y2298" s="1">
        <f ca="1">IF(AND(H2298="Yes",OR(LEN('School Search'!$B$5)=0,ISNUMBER(SEARCH('School Search'!$B$5,B2298&amp;" "&amp;E2298&amp;" "&amp;A2298))),OR('School Search'!$D$5="All",C2298='School Search'!$D$5),OR('School Search'!$G$5="All eligible",AND('School Search'!$G$5="Not marked served",J2298&lt;&gt;"Yes"),AND('School Search'!$G$5="Missing data",V2298="Missing data"),AND('School Search'!$G$5="Marked served",J2298="Yes"))),1,0)</f>
        <v>1</v>
      </c>
      <c r="Z2298" s="1">
        <f ca="1">IF(Y2298=0,"",COUNTIFS($Y$2051:$Y$2550,1,$AO$2051:$AO$2550,"&lt;"&amp;AO2298)+COUNTIFS($Y$2051:Y2298,1,$AO$2051:AO2298,AO2298))</f>
        <v>53</v>
      </c>
      <c r="AA2298" s="1" t="str">
        <f t="shared" ca="1" si="108"/>
        <v>68% economic need; 0.84 mi fresh access; 3 nearby resources</v>
      </c>
      <c r="AB2298" s="1">
        <f t="shared" si="109"/>
        <v>248</v>
      </c>
      <c r="AC2298" s="1" t="str">
        <f t="shared" si="110"/>
        <v>Fresh Grocer Of Wyncote 415</v>
      </c>
      <c r="AD2298" s="1" t="str">
        <f t="shared" si="111"/>
        <v>1000 Easton Rd, Wyncote, PA, 19095</v>
      </c>
      <c r="AE2298" s="1" t="str">
        <f t="shared" si="112"/>
        <v>1100 E MOUNT PLEASANT AVE</v>
      </c>
      <c r="AF2298" s="1">
        <f t="shared" si="113"/>
        <v>40.071311000000001</v>
      </c>
      <c r="AG2298" s="1">
        <f t="shared" si="114"/>
        <v>-75.175303</v>
      </c>
      <c r="AH2298" s="1" t="str">
        <f>IF(I2298=0,"Not contacted",IF(INDEX('Staff Review'!$J$8:$J$507,I2298)="","Not contacted",INDEX('Staff Review'!$J$8:$J$507,I2298)))</f>
        <v>Not contacted</v>
      </c>
      <c r="AI2298" s="1" t="str">
        <f ca="1">IF(I2298=0,"No",IF(AND(COUNT(INDEX('Staff Review'!$D$8:$D$507,I2298))=1,INDEX('Staff Review'!$D$8:$D$507,I2298)&gt;=0,COUNT(INDEX('Staff Review'!$E$8:$E$507,I2298))=1,INDEX('Staff Review'!$E$8:$E$507,I2298)&gt;0,INDEX('Staff Review'!$E$8:$E$507,I2298)&lt;='Top 25'!$E$5,'Top 25'!$E$5-INDEX('Staff Review'!$E$8:$E$507,I2298)&lt;='Top 25'!$H$5,LEN(INDEX('Staff Review'!$H$8:$H$507,I2298))&gt;0),"Yes","No"))</f>
        <v>No</v>
      </c>
      <c r="AJ2298" s="1" t="str">
        <f>IF(I2298=0,"No",IF(COUNT(INDEX('Staff Review'!$F$8:$F$507,I2298))&lt;&gt;1,"No",IF(AND(INDEX('Staff Review'!$F$8:$F$507,I2298)&gt;=0,MOD(INDEX('Staff Review'!$F$8:$F$507,I2298),1)=0,COUNT(INDEX('Staff Review'!$G$8:$G$507,I2298))=1,INDEX('Staff Review'!$G$8:$G$507,I2298)&gt;0,INDEX('Staff Review'!$G$8:$G$507,I2298)&lt;='Top 25'!$E$5,'Top 25'!$E$5-INDEX('Staff Review'!$G$8:$G$507,I2298)&lt;='Top 25'!$H$5,LEN(INDEX('Staff Review'!$H$8:$H$507,I2298))&gt;0),"Yes","No")))</f>
        <v>No</v>
      </c>
      <c r="AK2298" s="1">
        <f t="shared" si="115"/>
        <v>1</v>
      </c>
      <c r="AL2298" s="1">
        <f t="shared" ca="1" si="116"/>
        <v>1</v>
      </c>
      <c r="AM2298" s="1">
        <f t="shared" si="117"/>
        <v>6460</v>
      </c>
      <c r="AN2298" s="1">
        <f t="shared" si="118"/>
        <v>248</v>
      </c>
      <c r="AO2298">
        <f t="shared" ca="1" si="119"/>
        <v>53</v>
      </c>
      <c r="AP2298" s="105">
        <f ca="1">IF(AND(AL2298=1,OR('Top 25'!$A$10="All",C2298='Top 25'!$A$10),OR('Top 25'!$D$10="All",D2298='Top 25'!$D$10)),1,0)</f>
        <v>0</v>
      </c>
      <c r="AQ2298" s="105" t="str">
        <f ca="1">IF(AP2298=0,"",CHOOSE(MATCH('Top 25'!$G$10,{"Priority score","Economic need","Enrollment","Fresh miles","Nearby resources"},0),T2298,G2298,F2298,K2298,L2298))</f>
        <v/>
      </c>
      <c r="AR2298" s="105" t="str">
        <f ca="1">IF(AP2298=0,"",1+COUNTIFS($AP$2051:$AP$2550,1,$AQ$2051:$AQ$2550,IF('Top 25'!$J$10="Ascending","&lt;","&gt;")&amp;AQ2298)+COUNTIFS($AP$2051:$AP$2550,1,$AQ$2051:$AQ$2550,AQ2298,$W$2051:$W$2550,"&lt;"&amp;W2298))</f>
        <v/>
      </c>
      <c r="AT2298" s="105">
        <f ca="1">IF(AND(AL2298=1,OR(Master_rankableSchools!$A$10="All",C2298=Master_rankableSchools!$A$10),OR(Master_rankableSchools!$D$10="All",D2298=Master_rankableSchools!$D$10)),1,0)</f>
        <v>1</v>
      </c>
      <c r="AU2298" s="105">
        <f ca="1">IF(AT2298=0,"",CHOOSE(MATCH(Master_rankableSchools!$G$10,{"Priority score","Economic need","Enrollment","Fresh miles","Nearby resources"},0),T2298,G2298,F2298,K2298,L2298))</f>
        <v>49</v>
      </c>
      <c r="AV2298" s="105">
        <f ca="1">IF(AT2298=0,"",1+COUNTIFS($AT$2051:$AT$2550,1,$AU$2051:$AU$2550,IF(Master_rankableSchools!$J$10="Ascending","&lt;","&gt;")&amp;AU2298)+COUNTIFS($AT$2051:$AT$2550,1,$AU$2051:$AU$2550,AU2298,$W$2051:$W$2550,"&lt;"&amp;W2298))</f>
        <v>53</v>
      </c>
    </row>
    <row r="2299" spans="1:48" ht="22" customHeight="1">
      <c r="A2299" s="1" t="str">
        <f t="shared" si="90"/>
        <v>6470</v>
      </c>
      <c r="B2299" s="1" t="str">
        <f t="shared" si="91"/>
        <v>John B. Kelly School</v>
      </c>
      <c r="C2299" s="1" t="str">
        <f t="shared" si="92"/>
        <v>District</v>
      </c>
      <c r="D2299" s="1" t="str">
        <f t="shared" si="93"/>
        <v>Elementary</v>
      </c>
      <c r="E2299" s="1" t="str">
        <f t="shared" si="94"/>
        <v>19144</v>
      </c>
      <c r="F2299" s="1">
        <f t="shared" si="95"/>
        <v>346</v>
      </c>
      <c r="G2299" s="1">
        <f t="shared" si="96"/>
        <v>0.86990000000000001</v>
      </c>
      <c r="H2299" s="1" t="str">
        <f t="shared" si="97"/>
        <v>Yes</v>
      </c>
      <c r="I2299" s="1">
        <f>IF(OR(A2299="",COUNTIFS('Staff Review'!$A$8:$A$507,A2299)&lt;&gt;1),0,MATCH(A2299,'Staff Review'!$A$8:$A$507,0))</f>
        <v>133</v>
      </c>
      <c r="J2299" s="1" t="str">
        <f>IF(I2299=0,"No",IF(INDEX('Staff Review'!$C$8:$C$507,I2299)="Yes","Yes","No"))</f>
        <v>No</v>
      </c>
      <c r="K2299" s="1">
        <f ca="1">IF(AI2299="Yes",INDEX('Staff Review'!$D$8:$D$507,I2299),IF(AB2299=0,"",IF(COUNT(INDEX($C$1531:$C$2030,AB2299))=1,INDEX($C$1531:$C$2030,AB2299),"")))</f>
        <v>0.63546306847062006</v>
      </c>
      <c r="L2299" s="1">
        <f>IF(AJ2299="Yes",INDEX('Staff Review'!$F$8:$F$507,I2299),IF(AB2299=0,"",IF(COUNT(INDEX($G$1531:$G$2030,AB2299))=1,INDEX($G$1531:$G$2030,AB2299),"")))</f>
        <v>11</v>
      </c>
      <c r="M2299" s="1" t="str">
        <f t="shared" ca="1" si="98"/>
        <v>Listed</v>
      </c>
      <c r="N2299" s="1" t="str">
        <f t="shared" si="99"/>
        <v>Listed</v>
      </c>
      <c r="O2299" s="1">
        <f t="shared" si="100"/>
        <v>25</v>
      </c>
      <c r="P2299" s="1">
        <f t="shared" ca="1" si="101"/>
        <v>15</v>
      </c>
      <c r="Q2299" s="1">
        <f t="shared" si="102"/>
        <v>0</v>
      </c>
      <c r="R2299" s="1">
        <f t="shared" si="103"/>
        <v>2</v>
      </c>
      <c r="S2299" s="1">
        <f t="shared" ca="1" si="104"/>
        <v>42</v>
      </c>
      <c r="T2299" s="1">
        <f ca="1">IF(OR(COUNT(O2299:R2299)&lt;&gt;4,COUNT('Top 25'!$B$45:$E$45)&lt;&gt;4,MIN('Top 25'!$B$45:$E$45)&lt;0,SUM('Top 25'!$B$45:$E$45)&lt;=0),"",ROUND(85*(O2299/30*'Top 25'!$B$45+P2299/25*'Top 25'!$C$45+Q2299/25*'Top 25'!$D$45+R2299/5*'Top 25'!$E$45)/SUM('Top 25'!$B$45:$E$45),6))</f>
        <v>42</v>
      </c>
      <c r="U2299" s="1" t="str">
        <f t="shared" ca="1" si="105"/>
        <v>Listed</v>
      </c>
      <c r="V2299" s="1" t="str">
        <f ca="1">IF(A2299="","",IF(AK2299&lt;&gt;1,"Duplicate source ID",IF(COUNTIFS('Staff Review'!$A$8:$A$507,A2299)&gt;1,"Duplicate review ID",IF(H2299&lt;&gt;"Yes","Outside scope",IF(J2299="Yes","Already served",IF(NOT(ISNUMBER(T2299)),"Missing data","Candidate"))))))</f>
        <v>Candidate</v>
      </c>
      <c r="W2299" s="1">
        <f t="shared" ca="1" si="106"/>
        <v>116</v>
      </c>
      <c r="X2299" s="1">
        <f t="shared" ca="1" si="107"/>
        <v>101</v>
      </c>
      <c r="Y2299" s="1">
        <f ca="1">IF(AND(H2299="Yes",OR(LEN('School Search'!$B$5)=0,ISNUMBER(SEARCH('School Search'!$B$5,B2299&amp;" "&amp;E2299&amp;" "&amp;A2299))),OR('School Search'!$D$5="All",C2299='School Search'!$D$5),OR('School Search'!$G$5="All eligible",AND('School Search'!$G$5="Not marked served",J2299&lt;&gt;"Yes"),AND('School Search'!$G$5="Missing data",V2299="Missing data"),AND('School Search'!$G$5="Marked served",J2299="Yes"))),1,0)</f>
        <v>1</v>
      </c>
      <c r="Z2299" s="1">
        <f ca="1">IF(Y2299=0,"",COUNTIFS($Y$2051:$Y$2550,1,$AO$2051:$AO$2550,"&lt;"&amp;AO2299)+COUNTIFS($Y$2051:Y2299,1,$AO$2051:AO2299,AO2299))</f>
        <v>116</v>
      </c>
      <c r="AA2299" s="1" t="str">
        <f t="shared" ca="1" si="108"/>
        <v>87% economic need; 0.64 mi fresh access; 11 nearby resources</v>
      </c>
      <c r="AB2299" s="1">
        <f t="shared" si="109"/>
        <v>249</v>
      </c>
      <c r="AC2299" s="1" t="str">
        <f t="shared" si="110"/>
        <v>Chelten Market Inc</v>
      </c>
      <c r="AD2299" s="1" t="str">
        <f t="shared" si="111"/>
        <v>176-82 W Chelten Ave, Philadelphia, PA, 19144</v>
      </c>
      <c r="AE2299" s="1" t="str">
        <f t="shared" si="112"/>
        <v>5116 PULASKI AVE</v>
      </c>
      <c r="AF2299" s="1">
        <f t="shared" si="113"/>
        <v>40.024791430000001</v>
      </c>
      <c r="AG2299" s="1">
        <f t="shared" si="114"/>
        <v>-75.171186800000001</v>
      </c>
      <c r="AH2299" s="1" t="str">
        <f>IF(I2299=0,"Not contacted",IF(INDEX('Staff Review'!$J$8:$J$507,I2299)="","Not contacted",INDEX('Staff Review'!$J$8:$J$507,I2299)))</f>
        <v>Not contacted</v>
      </c>
      <c r="AI2299" s="1" t="str">
        <f ca="1">IF(I2299=0,"No",IF(AND(COUNT(INDEX('Staff Review'!$D$8:$D$507,I2299))=1,INDEX('Staff Review'!$D$8:$D$507,I2299)&gt;=0,COUNT(INDEX('Staff Review'!$E$8:$E$507,I2299))=1,INDEX('Staff Review'!$E$8:$E$507,I2299)&gt;0,INDEX('Staff Review'!$E$8:$E$507,I2299)&lt;='Top 25'!$E$5,'Top 25'!$E$5-INDEX('Staff Review'!$E$8:$E$507,I2299)&lt;='Top 25'!$H$5,LEN(INDEX('Staff Review'!$H$8:$H$507,I2299))&gt;0),"Yes","No"))</f>
        <v>No</v>
      </c>
      <c r="AJ2299" s="1" t="str">
        <f>IF(I2299=0,"No",IF(COUNT(INDEX('Staff Review'!$F$8:$F$507,I2299))&lt;&gt;1,"No",IF(AND(INDEX('Staff Review'!$F$8:$F$507,I2299)&gt;=0,MOD(INDEX('Staff Review'!$F$8:$F$507,I2299),1)=0,COUNT(INDEX('Staff Review'!$G$8:$G$507,I2299))=1,INDEX('Staff Review'!$G$8:$G$507,I2299)&gt;0,INDEX('Staff Review'!$G$8:$G$507,I2299)&lt;='Top 25'!$E$5,'Top 25'!$E$5-INDEX('Staff Review'!$G$8:$G$507,I2299)&lt;='Top 25'!$H$5,LEN(INDEX('Staff Review'!$H$8:$H$507,I2299))&gt;0),"Yes","No")))</f>
        <v>No</v>
      </c>
      <c r="AK2299" s="1">
        <f t="shared" si="115"/>
        <v>1</v>
      </c>
      <c r="AL2299" s="1">
        <f t="shared" ca="1" si="116"/>
        <v>1</v>
      </c>
      <c r="AM2299" s="1">
        <f t="shared" si="117"/>
        <v>6470</v>
      </c>
      <c r="AN2299" s="1">
        <f t="shared" si="118"/>
        <v>249</v>
      </c>
      <c r="AO2299">
        <f t="shared" ca="1" si="119"/>
        <v>116</v>
      </c>
      <c r="AP2299" s="105">
        <f ca="1">IF(AND(AL2299=1,OR('Top 25'!$A$10="All",C2299='Top 25'!$A$10),OR('Top 25'!$D$10="All",D2299='Top 25'!$D$10)),1,0)</f>
        <v>1</v>
      </c>
      <c r="AQ2299" s="105">
        <f ca="1">IF(AP2299=0,"",CHOOSE(MATCH('Top 25'!$G$10,{"Priority score","Economic need","Enrollment","Fresh miles","Nearby resources"},0),T2299,G2299,F2299,K2299,L2299))</f>
        <v>42</v>
      </c>
      <c r="AR2299" s="105">
        <f ca="1">IF(AP2299=0,"",1+COUNTIFS($AP$2051:$AP$2550,1,$AQ$2051:$AQ$2550,IF('Top 25'!$J$10="Ascending","&lt;","&gt;")&amp;AQ2299)+COUNTIFS($AP$2051:$AP$2550,1,$AQ$2051:$AQ$2550,AQ2299,$W$2051:$W$2550,"&lt;"&amp;W2299))</f>
        <v>18</v>
      </c>
      <c r="AT2299" s="105">
        <f ca="1">IF(AND(AL2299=1,OR(Master_rankableSchools!$A$10="All",C2299=Master_rankableSchools!$A$10),OR(Master_rankableSchools!$D$10="All",D2299=Master_rankableSchools!$D$10)),1,0)</f>
        <v>1</v>
      </c>
      <c r="AU2299" s="105">
        <f ca="1">IF(AT2299=0,"",CHOOSE(MATCH(Master_rankableSchools!$G$10,{"Priority score","Economic need","Enrollment","Fresh miles","Nearby resources"},0),T2299,G2299,F2299,K2299,L2299))</f>
        <v>42</v>
      </c>
      <c r="AV2299" s="105">
        <f ca="1">IF(AT2299=0,"",1+COUNTIFS($AT$2051:$AT$2550,1,$AU$2051:$AU$2550,IF(Master_rankableSchools!$J$10="Ascending","&lt;","&gt;")&amp;AU2299)+COUNTIFS($AT$2051:$AT$2550,1,$AU$2051:$AU$2550,AU2299,$W$2051:$W$2550,"&lt;"&amp;W2299))</f>
        <v>116</v>
      </c>
    </row>
    <row r="2300" spans="1:48" ht="22" customHeight="1">
      <c r="A2300" s="1" t="str">
        <f t="shared" si="90"/>
        <v>6480</v>
      </c>
      <c r="B2300" s="1" t="str">
        <f t="shared" si="91"/>
        <v>Academy for the Middle Years at Northwest</v>
      </c>
      <c r="C2300" s="1" t="str">
        <f t="shared" si="92"/>
        <v>District</v>
      </c>
      <c r="D2300" s="1" t="str">
        <f t="shared" si="93"/>
        <v>Middle</v>
      </c>
      <c r="E2300" s="1" t="str">
        <f t="shared" si="94"/>
        <v>19128</v>
      </c>
      <c r="F2300" s="1">
        <f t="shared" si="95"/>
        <v>136</v>
      </c>
      <c r="G2300" s="1">
        <f t="shared" si="96"/>
        <v>0.77200000000000002</v>
      </c>
      <c r="H2300" s="1" t="str">
        <f t="shared" si="97"/>
        <v>Yes</v>
      </c>
      <c r="I2300" s="1">
        <f>IF(OR(A2300="",COUNTIFS('Staff Review'!$A$8:$A$507,A2300)&lt;&gt;1),0,MATCH(A2300,'Staff Review'!$A$8:$A$507,0))</f>
        <v>5</v>
      </c>
      <c r="J2300" s="1" t="str">
        <f>IF(I2300=0,"No",IF(INDEX('Staff Review'!$C$8:$C$507,I2300)="Yes","Yes","No"))</f>
        <v>No</v>
      </c>
      <c r="K2300" s="1">
        <f ca="1">IF(AI2300="Yes",INDEX('Staff Review'!$D$8:$D$507,I2300),IF(AB2300=0,"",IF(COUNT(INDEX($C$1531:$C$2030,AB2300))=1,INDEX($C$1531:$C$2030,AB2300),"")))</f>
        <v>7.6516780020060932E-2</v>
      </c>
      <c r="L2300" s="1">
        <f>IF(AJ2300="Yes",INDEX('Staff Review'!$F$8:$F$507,I2300),IF(AB2300=0,"",IF(COUNT(INDEX($G$1531:$G$2030,AB2300))=1,INDEX($G$1531:$G$2030,AB2300),"")))</f>
        <v>1</v>
      </c>
      <c r="M2300" s="1" t="str">
        <f t="shared" ca="1" si="98"/>
        <v>Listed</v>
      </c>
      <c r="N2300" s="1" t="str">
        <f t="shared" si="99"/>
        <v>Listed</v>
      </c>
      <c r="O2300" s="1">
        <f t="shared" si="100"/>
        <v>20</v>
      </c>
      <c r="P2300" s="1">
        <f t="shared" ca="1" si="101"/>
        <v>5</v>
      </c>
      <c r="Q2300" s="1">
        <f t="shared" si="102"/>
        <v>20</v>
      </c>
      <c r="R2300" s="1">
        <f t="shared" si="103"/>
        <v>1</v>
      </c>
      <c r="S2300" s="1">
        <f t="shared" ca="1" si="104"/>
        <v>46</v>
      </c>
      <c r="T2300" s="1">
        <f ca="1">IF(OR(COUNT(O2300:R2300)&lt;&gt;4,COUNT('Top 25'!$B$45:$E$45)&lt;&gt;4,MIN('Top 25'!$B$45:$E$45)&lt;0,SUM('Top 25'!$B$45:$E$45)&lt;=0),"",ROUND(85*(O2300/30*'Top 25'!$B$45+P2300/25*'Top 25'!$C$45+Q2300/25*'Top 25'!$D$45+R2300/5*'Top 25'!$E$45)/SUM('Top 25'!$B$45:$E$45),6))</f>
        <v>46</v>
      </c>
      <c r="U2300" s="1" t="str">
        <f t="shared" ca="1" si="105"/>
        <v>Listed</v>
      </c>
      <c r="V2300" s="1" t="str">
        <f ca="1">IF(A2300="","",IF(AK2300&lt;&gt;1,"Duplicate source ID",IF(COUNTIFS('Staff Review'!$A$8:$A$507,A2300)&gt;1,"Duplicate review ID",IF(H2300&lt;&gt;"Yes","Outside scope",IF(J2300="Yes","Already served",IF(NOT(ISNUMBER(T2300)),"Missing data","Candidate"))))))</f>
        <v>Candidate</v>
      </c>
      <c r="W2300" s="1">
        <f t="shared" ca="1" si="106"/>
        <v>73</v>
      </c>
      <c r="X2300" s="1">
        <f t="shared" ca="1" si="107"/>
        <v>71</v>
      </c>
      <c r="Y2300" s="1">
        <f ca="1">IF(AND(H2300="Yes",OR(LEN('School Search'!$B$5)=0,ISNUMBER(SEARCH('School Search'!$B$5,B2300&amp;" "&amp;E2300&amp;" "&amp;A2300))),OR('School Search'!$D$5="All",C2300='School Search'!$D$5),OR('School Search'!$G$5="All eligible",AND('School Search'!$G$5="Not marked served",J2300&lt;&gt;"Yes"),AND('School Search'!$G$5="Missing data",V2300="Missing data"),AND('School Search'!$G$5="Marked served",J2300="Yes"))),1,0)</f>
        <v>1</v>
      </c>
      <c r="Z2300" s="1">
        <f ca="1">IF(Y2300=0,"",COUNTIFS($Y$2051:$Y$2550,1,$AO$2051:$AO$2550,"&lt;"&amp;AO2300)+COUNTIFS($Y$2051:Y2300,1,$AO$2051:AO2300,AO2300))</f>
        <v>73</v>
      </c>
      <c r="AA2300" s="1" t="str">
        <f t="shared" ca="1" si="108"/>
        <v>77% economic need; 0.08 mi fresh access; 1 nearby resources</v>
      </c>
      <c r="AB2300" s="1">
        <f t="shared" si="109"/>
        <v>250</v>
      </c>
      <c r="AC2300" s="1" t="str">
        <f t="shared" si="110"/>
        <v>ACME 2762</v>
      </c>
      <c r="AD2300" s="1" t="str">
        <f t="shared" si="111"/>
        <v>5927-59 Ridge Ave, Philadelphia, PA, 19128</v>
      </c>
      <c r="AE2300" s="1" t="str">
        <f t="shared" si="112"/>
        <v>6000 RIDGE AVE</v>
      </c>
      <c r="AF2300" s="1">
        <f t="shared" si="113"/>
        <v>40.031545430000001</v>
      </c>
      <c r="AG2300" s="1">
        <f t="shared" si="114"/>
        <v>-75.213176090000005</v>
      </c>
      <c r="AH2300" s="1" t="str">
        <f>IF(I2300=0,"Not contacted",IF(INDEX('Staff Review'!$J$8:$J$507,I2300)="","Not contacted",INDEX('Staff Review'!$J$8:$J$507,I2300)))</f>
        <v>Not contacted</v>
      </c>
      <c r="AI2300" s="1" t="str">
        <f ca="1">IF(I2300=0,"No",IF(AND(COUNT(INDEX('Staff Review'!$D$8:$D$507,I2300))=1,INDEX('Staff Review'!$D$8:$D$507,I2300)&gt;=0,COUNT(INDEX('Staff Review'!$E$8:$E$507,I2300))=1,INDEX('Staff Review'!$E$8:$E$507,I2300)&gt;0,INDEX('Staff Review'!$E$8:$E$507,I2300)&lt;='Top 25'!$E$5,'Top 25'!$E$5-INDEX('Staff Review'!$E$8:$E$507,I2300)&lt;='Top 25'!$H$5,LEN(INDEX('Staff Review'!$H$8:$H$507,I2300))&gt;0),"Yes","No"))</f>
        <v>No</v>
      </c>
      <c r="AJ2300" s="1" t="str">
        <f>IF(I2300=0,"No",IF(COUNT(INDEX('Staff Review'!$F$8:$F$507,I2300))&lt;&gt;1,"No",IF(AND(INDEX('Staff Review'!$F$8:$F$507,I2300)&gt;=0,MOD(INDEX('Staff Review'!$F$8:$F$507,I2300),1)=0,COUNT(INDEX('Staff Review'!$G$8:$G$507,I2300))=1,INDEX('Staff Review'!$G$8:$G$507,I2300)&gt;0,INDEX('Staff Review'!$G$8:$G$507,I2300)&lt;='Top 25'!$E$5,'Top 25'!$E$5-INDEX('Staff Review'!$G$8:$G$507,I2300)&lt;='Top 25'!$H$5,LEN(INDEX('Staff Review'!$H$8:$H$507,I2300))&gt;0),"Yes","No")))</f>
        <v>No</v>
      </c>
      <c r="AK2300" s="1">
        <f t="shared" si="115"/>
        <v>1</v>
      </c>
      <c r="AL2300" s="1">
        <f t="shared" ca="1" si="116"/>
        <v>1</v>
      </c>
      <c r="AM2300" s="1">
        <f t="shared" si="117"/>
        <v>6480</v>
      </c>
      <c r="AN2300" s="1">
        <f t="shared" si="118"/>
        <v>250</v>
      </c>
      <c r="AO2300">
        <f t="shared" ca="1" si="119"/>
        <v>73</v>
      </c>
      <c r="AP2300" s="105">
        <f ca="1">IF(AND(AL2300=1,OR('Top 25'!$A$10="All",C2300='Top 25'!$A$10),OR('Top 25'!$D$10="All",D2300='Top 25'!$D$10)),1,0)</f>
        <v>0</v>
      </c>
      <c r="AQ2300" s="105" t="str">
        <f ca="1">IF(AP2300=0,"",CHOOSE(MATCH('Top 25'!$G$10,{"Priority score","Economic need","Enrollment","Fresh miles","Nearby resources"},0),T2300,G2300,F2300,K2300,L2300))</f>
        <v/>
      </c>
      <c r="AR2300" s="105" t="str">
        <f ca="1">IF(AP2300=0,"",1+COUNTIFS($AP$2051:$AP$2550,1,$AQ$2051:$AQ$2550,IF('Top 25'!$J$10="Ascending","&lt;","&gt;")&amp;AQ2300)+COUNTIFS($AP$2051:$AP$2550,1,$AQ$2051:$AQ$2550,AQ2300,$W$2051:$W$2550,"&lt;"&amp;W2300))</f>
        <v/>
      </c>
      <c r="AT2300" s="105">
        <f ca="1">IF(AND(AL2300=1,OR(Master_rankableSchools!$A$10="All",C2300=Master_rankableSchools!$A$10),OR(Master_rankableSchools!$D$10="All",D2300=Master_rankableSchools!$D$10)),1,0)</f>
        <v>1</v>
      </c>
      <c r="AU2300" s="105">
        <f ca="1">IF(AT2300=0,"",CHOOSE(MATCH(Master_rankableSchools!$G$10,{"Priority score","Economic need","Enrollment","Fresh miles","Nearby resources"},0),T2300,G2300,F2300,K2300,L2300))</f>
        <v>46</v>
      </c>
      <c r="AV2300" s="105">
        <f ca="1">IF(AT2300=0,"",1+COUNTIFS($AT$2051:$AT$2550,1,$AU$2051:$AU$2550,IF(Master_rankableSchools!$J$10="Ascending","&lt;","&gt;")&amp;AU2300)+COUNTIFS($AT$2051:$AT$2550,1,$AU$2051:$AU$2550,AU2300,$W$2051:$W$2550,"&lt;"&amp;W2300))</f>
        <v>73</v>
      </c>
    </row>
    <row r="2301" spans="1:48" ht="22" customHeight="1">
      <c r="A2301" s="1" t="str">
        <f t="shared" si="90"/>
        <v>6540</v>
      </c>
      <c r="B2301" s="1" t="str">
        <f t="shared" si="91"/>
        <v>Lankenau High School</v>
      </c>
      <c r="C2301" s="1" t="str">
        <f t="shared" si="92"/>
        <v>District</v>
      </c>
      <c r="D2301" s="1" t="str">
        <f t="shared" si="93"/>
        <v>High</v>
      </c>
      <c r="E2301" s="1" t="str">
        <f t="shared" si="94"/>
        <v>19128</v>
      </c>
      <c r="F2301" s="1">
        <f t="shared" si="95"/>
        <v>225</v>
      </c>
      <c r="G2301" s="1">
        <f t="shared" si="96"/>
        <v>0.64</v>
      </c>
      <c r="H2301" s="1" t="str">
        <f t="shared" si="97"/>
        <v>Yes</v>
      </c>
      <c r="I2301" s="1">
        <f>IF(OR(A2301="",COUNTIFS('Staff Review'!$A$8:$A$507,A2301)&lt;&gt;1),0,MATCH(A2301,'Staff Review'!$A$8:$A$507,0))</f>
        <v>167</v>
      </c>
      <c r="J2301" s="1" t="str">
        <f>IF(I2301=0,"No",IF(INDEX('Staff Review'!$C$8:$C$507,I2301)="Yes","Yes","No"))</f>
        <v>No</v>
      </c>
      <c r="K2301" s="1">
        <f ca="1">IF(AI2301="Yes",INDEX('Staff Review'!$D$8:$D$507,I2301),IF(AB2301=0,"",IF(COUNT(INDEX($C$1531:$C$2030,AB2301))=1,INDEX($C$1531:$C$2030,AB2301),"")))</f>
        <v>0.86714508435949522</v>
      </c>
      <c r="L2301" s="1">
        <f>IF(AJ2301="Yes",INDEX('Staff Review'!$F$8:$F$507,I2301),IF(AB2301=0,"",IF(COUNT(INDEX($G$1531:$G$2030,AB2301))=1,INDEX($G$1531:$G$2030,AB2301),"")))</f>
        <v>0</v>
      </c>
      <c r="M2301" s="1" t="str">
        <f t="shared" ca="1" si="98"/>
        <v>Listed</v>
      </c>
      <c r="N2301" s="1" t="str">
        <f t="shared" si="99"/>
        <v>Listed</v>
      </c>
      <c r="O2301" s="1">
        <f t="shared" si="100"/>
        <v>15</v>
      </c>
      <c r="P2301" s="1">
        <f t="shared" ca="1" si="101"/>
        <v>20</v>
      </c>
      <c r="Q2301" s="1">
        <f t="shared" si="102"/>
        <v>25</v>
      </c>
      <c r="R2301" s="1">
        <f t="shared" si="103"/>
        <v>2</v>
      </c>
      <c r="S2301" s="1">
        <f t="shared" ca="1" si="104"/>
        <v>62</v>
      </c>
      <c r="T2301" s="1">
        <f ca="1">IF(OR(COUNT(O2301:R2301)&lt;&gt;4,COUNT('Top 25'!$B$45:$E$45)&lt;&gt;4,MIN('Top 25'!$B$45:$E$45)&lt;0,SUM('Top 25'!$B$45:$E$45)&lt;=0),"",ROUND(85*(O2301/30*'Top 25'!$B$45+P2301/25*'Top 25'!$C$45+Q2301/25*'Top 25'!$D$45+R2301/5*'Top 25'!$E$45)/SUM('Top 25'!$B$45:$E$45),6))</f>
        <v>62</v>
      </c>
      <c r="U2301" s="1" t="str">
        <f t="shared" ca="1" si="105"/>
        <v>Listed</v>
      </c>
      <c r="V2301" s="1" t="str">
        <f ca="1">IF(A2301="","",IF(AK2301&lt;&gt;1,"Duplicate source ID",IF(COUNTIFS('Staff Review'!$A$8:$A$507,A2301)&gt;1,"Duplicate review ID",IF(H2301&lt;&gt;"Yes","Outside scope",IF(J2301="Yes","Already served",IF(NOT(ISNUMBER(T2301)),"Missing data","Candidate"))))))</f>
        <v>Candidate</v>
      </c>
      <c r="W2301" s="1">
        <f t="shared" ca="1" si="106"/>
        <v>9</v>
      </c>
      <c r="X2301" s="1">
        <f t="shared" ca="1" si="107"/>
        <v>9</v>
      </c>
      <c r="Y2301" s="1">
        <f ca="1">IF(AND(H2301="Yes",OR(LEN('School Search'!$B$5)=0,ISNUMBER(SEARCH('School Search'!$B$5,B2301&amp;" "&amp;E2301&amp;" "&amp;A2301))),OR('School Search'!$D$5="All",C2301='School Search'!$D$5),OR('School Search'!$G$5="All eligible",AND('School Search'!$G$5="Not marked served",J2301&lt;&gt;"Yes"),AND('School Search'!$G$5="Missing data",V2301="Missing data"),AND('School Search'!$G$5="Marked served",J2301="Yes"))),1,0)</f>
        <v>1</v>
      </c>
      <c r="Z2301" s="1">
        <f ca="1">IF(Y2301=0,"",COUNTIFS($Y$2051:$Y$2550,1,$AO$2051:$AO$2550,"&lt;"&amp;AO2301)+COUNTIFS($Y$2051:Y2301,1,$AO$2051:AO2301,AO2301))</f>
        <v>9</v>
      </c>
      <c r="AA2301" s="1" t="str">
        <f t="shared" ca="1" si="108"/>
        <v>64% economic need; 0.87 mi fresh access; 0 nearby resources</v>
      </c>
      <c r="AB2301" s="1">
        <f t="shared" si="109"/>
        <v>251</v>
      </c>
      <c r="AC2301" s="1" t="str">
        <f t="shared" si="110"/>
        <v>Giant Food Store 6581</v>
      </c>
      <c r="AD2301" s="1" t="str">
        <f t="shared" si="111"/>
        <v>701 Cathedral Road, Philadelphia, PA, 19128</v>
      </c>
      <c r="AE2301" s="1" t="str">
        <f t="shared" si="112"/>
        <v>201 SPRING LN</v>
      </c>
      <c r="AF2301" s="1">
        <f t="shared" si="113"/>
        <v>40.061532710000002</v>
      </c>
      <c r="AG2301" s="1">
        <f t="shared" si="114"/>
        <v>-75.252955940000007</v>
      </c>
      <c r="AH2301" s="1" t="str">
        <f>IF(I2301=0,"Not contacted",IF(INDEX('Staff Review'!$J$8:$J$507,I2301)="","Not contacted",INDEX('Staff Review'!$J$8:$J$507,I2301)))</f>
        <v>Not contacted</v>
      </c>
      <c r="AI2301" s="1" t="str">
        <f ca="1">IF(I2301=0,"No",IF(AND(COUNT(INDEX('Staff Review'!$D$8:$D$507,I2301))=1,INDEX('Staff Review'!$D$8:$D$507,I2301)&gt;=0,COUNT(INDEX('Staff Review'!$E$8:$E$507,I2301))=1,INDEX('Staff Review'!$E$8:$E$507,I2301)&gt;0,INDEX('Staff Review'!$E$8:$E$507,I2301)&lt;='Top 25'!$E$5,'Top 25'!$E$5-INDEX('Staff Review'!$E$8:$E$507,I2301)&lt;='Top 25'!$H$5,LEN(INDEX('Staff Review'!$H$8:$H$507,I2301))&gt;0),"Yes","No"))</f>
        <v>No</v>
      </c>
      <c r="AJ2301" s="1" t="str">
        <f>IF(I2301=0,"No",IF(COUNT(INDEX('Staff Review'!$F$8:$F$507,I2301))&lt;&gt;1,"No",IF(AND(INDEX('Staff Review'!$F$8:$F$507,I2301)&gt;=0,MOD(INDEX('Staff Review'!$F$8:$F$507,I2301),1)=0,COUNT(INDEX('Staff Review'!$G$8:$G$507,I2301))=1,INDEX('Staff Review'!$G$8:$G$507,I2301)&gt;0,INDEX('Staff Review'!$G$8:$G$507,I2301)&lt;='Top 25'!$E$5,'Top 25'!$E$5-INDEX('Staff Review'!$G$8:$G$507,I2301)&lt;='Top 25'!$H$5,LEN(INDEX('Staff Review'!$H$8:$H$507,I2301))&gt;0),"Yes","No")))</f>
        <v>No</v>
      </c>
      <c r="AK2301" s="1">
        <f t="shared" si="115"/>
        <v>1</v>
      </c>
      <c r="AL2301" s="1">
        <f t="shared" ca="1" si="116"/>
        <v>1</v>
      </c>
      <c r="AM2301" s="1">
        <f t="shared" si="117"/>
        <v>6540</v>
      </c>
      <c r="AN2301" s="1">
        <f t="shared" si="118"/>
        <v>251</v>
      </c>
      <c r="AO2301">
        <f t="shared" ca="1" si="119"/>
        <v>9</v>
      </c>
      <c r="AP2301" s="105">
        <f ca="1">IF(AND(AL2301=1,OR('Top 25'!$A$10="All",C2301='Top 25'!$A$10),OR('Top 25'!$D$10="All",D2301='Top 25'!$D$10)),1,0)</f>
        <v>0</v>
      </c>
      <c r="AQ2301" s="105" t="str">
        <f ca="1">IF(AP2301=0,"",CHOOSE(MATCH('Top 25'!$G$10,{"Priority score","Economic need","Enrollment","Fresh miles","Nearby resources"},0),T2301,G2301,F2301,K2301,L2301))</f>
        <v/>
      </c>
      <c r="AR2301" s="105" t="str">
        <f ca="1">IF(AP2301=0,"",1+COUNTIFS($AP$2051:$AP$2550,1,$AQ$2051:$AQ$2550,IF('Top 25'!$J$10="Ascending","&lt;","&gt;")&amp;AQ2301)+COUNTIFS($AP$2051:$AP$2550,1,$AQ$2051:$AQ$2550,AQ2301,$W$2051:$W$2550,"&lt;"&amp;W2301))</f>
        <v/>
      </c>
      <c r="AT2301" s="105">
        <f ca="1">IF(AND(AL2301=1,OR(Master_rankableSchools!$A$10="All",C2301=Master_rankableSchools!$A$10),OR(Master_rankableSchools!$D$10="All",D2301=Master_rankableSchools!$D$10)),1,0)</f>
        <v>1</v>
      </c>
      <c r="AU2301" s="105">
        <f ca="1">IF(AT2301=0,"",CHOOSE(MATCH(Master_rankableSchools!$G$10,{"Priority score","Economic need","Enrollment","Fresh miles","Nearby resources"},0),T2301,G2301,F2301,K2301,L2301))</f>
        <v>62</v>
      </c>
      <c r="AV2301" s="105">
        <f ca="1">IF(AT2301=0,"",1+COUNTIFS($AT$2051:$AT$2550,1,$AU$2051:$AU$2550,IF(Master_rankableSchools!$J$10="Ascending","&lt;","&gt;")&amp;AU2301)+COUNTIFS($AT$2051:$AT$2550,1,$AU$2051:$AU$2550,AU2301,$W$2051:$W$2550,"&lt;"&amp;W2301))</f>
        <v>9</v>
      </c>
    </row>
    <row r="2302" spans="1:48" ht="22" customHeight="1">
      <c r="A2302" s="1" t="str">
        <f t="shared" si="90"/>
        <v>7010</v>
      </c>
      <c r="B2302" s="1" t="str">
        <f t="shared" si="91"/>
        <v>Frankford High School</v>
      </c>
      <c r="C2302" s="1" t="str">
        <f t="shared" si="92"/>
        <v>District</v>
      </c>
      <c r="D2302" s="1" t="str">
        <f t="shared" si="93"/>
        <v>High</v>
      </c>
      <c r="E2302" s="1" t="str">
        <f t="shared" si="94"/>
        <v>19124</v>
      </c>
      <c r="F2302" s="1">
        <f t="shared" si="95"/>
        <v>908</v>
      </c>
      <c r="G2302" s="1">
        <f t="shared" si="96"/>
        <v>0.80400000000000005</v>
      </c>
      <c r="H2302" s="1" t="str">
        <f t="shared" si="97"/>
        <v>Yes</v>
      </c>
      <c r="I2302" s="1">
        <f>IF(OR(A2302="",COUNTIFS('Staff Review'!$A$8:$A$507,A2302)&lt;&gt;1),0,MATCH(A2302,'Staff Review'!$A$8:$A$507,0))</f>
        <v>82</v>
      </c>
      <c r="J2302" s="1" t="str">
        <f>IF(I2302=0,"No",IF(INDEX('Staff Review'!$C$8:$C$507,I2302)="Yes","Yes","No"))</f>
        <v>No</v>
      </c>
      <c r="K2302" s="1">
        <f ca="1">IF(AI2302="Yes",INDEX('Staff Review'!$D$8:$D$507,I2302),IF(AB2302=0,"",IF(COUNT(INDEX($C$1531:$C$2030,AB2302))=1,INDEX($C$1531:$C$2030,AB2302),"")))</f>
        <v>0.47425198671318852</v>
      </c>
      <c r="L2302" s="1">
        <f>IF(AJ2302="Yes",INDEX('Staff Review'!$F$8:$F$507,I2302),IF(AB2302=0,"",IF(COUNT(INDEX($G$1531:$G$2030,AB2302))=1,INDEX($G$1531:$G$2030,AB2302),"")))</f>
        <v>7</v>
      </c>
      <c r="M2302" s="1" t="str">
        <f t="shared" ca="1" si="98"/>
        <v>Listed</v>
      </c>
      <c r="N2302" s="1" t="str">
        <f t="shared" si="99"/>
        <v>Listed</v>
      </c>
      <c r="O2302" s="1">
        <f t="shared" si="100"/>
        <v>25</v>
      </c>
      <c r="P2302" s="1">
        <f t="shared" ca="1" si="101"/>
        <v>10</v>
      </c>
      <c r="Q2302" s="1">
        <f t="shared" si="102"/>
        <v>0</v>
      </c>
      <c r="R2302" s="1">
        <f t="shared" si="103"/>
        <v>5</v>
      </c>
      <c r="S2302" s="1">
        <f t="shared" ca="1" si="104"/>
        <v>40</v>
      </c>
      <c r="T2302" s="1">
        <f ca="1">IF(OR(COUNT(O2302:R2302)&lt;&gt;4,COUNT('Top 25'!$B$45:$E$45)&lt;&gt;4,MIN('Top 25'!$B$45:$E$45)&lt;0,SUM('Top 25'!$B$45:$E$45)&lt;=0),"",ROUND(85*(O2302/30*'Top 25'!$B$45+P2302/25*'Top 25'!$C$45+Q2302/25*'Top 25'!$D$45+R2302/5*'Top 25'!$E$45)/SUM('Top 25'!$B$45:$E$45),6))</f>
        <v>40</v>
      </c>
      <c r="U2302" s="1" t="str">
        <f t="shared" ca="1" si="105"/>
        <v>Listed</v>
      </c>
      <c r="V2302" s="1" t="str">
        <f ca="1">IF(A2302="","",IF(AK2302&lt;&gt;1,"Duplicate source ID",IF(COUNTIFS('Staff Review'!$A$8:$A$507,A2302)&gt;1,"Duplicate review ID",IF(H2302&lt;&gt;"Yes","Outside scope",IF(J2302="Yes","Already served",IF(NOT(ISNUMBER(T2302)),"Missing data","Candidate"))))))</f>
        <v>Candidate</v>
      </c>
      <c r="W2302" s="1">
        <f t="shared" ca="1" si="106"/>
        <v>142</v>
      </c>
      <c r="X2302" s="1">
        <f t="shared" ca="1" si="107"/>
        <v>133</v>
      </c>
      <c r="Y2302" s="1">
        <f ca="1">IF(AND(H2302="Yes",OR(LEN('School Search'!$B$5)=0,ISNUMBER(SEARCH('School Search'!$B$5,B2302&amp;" "&amp;E2302&amp;" "&amp;A2302))),OR('School Search'!$D$5="All",C2302='School Search'!$D$5),OR('School Search'!$G$5="All eligible",AND('School Search'!$G$5="Not marked served",J2302&lt;&gt;"Yes"),AND('School Search'!$G$5="Missing data",V2302="Missing data"),AND('School Search'!$G$5="Marked served",J2302="Yes"))),1,0)</f>
        <v>1</v>
      </c>
      <c r="Z2302" s="1">
        <f ca="1">IF(Y2302=0,"",COUNTIFS($Y$2051:$Y$2550,1,$AO$2051:$AO$2550,"&lt;"&amp;AO2302)+COUNTIFS($Y$2051:Y2302,1,$AO$2051:AO2302,AO2302))</f>
        <v>142</v>
      </c>
      <c r="AA2302" s="1" t="str">
        <f t="shared" ca="1" si="108"/>
        <v>80% economic need; 0.47 mi fresh access; 7 nearby resources</v>
      </c>
      <c r="AB2302" s="1">
        <f t="shared" si="109"/>
        <v>252</v>
      </c>
      <c r="AC2302" s="1" t="str">
        <f t="shared" si="110"/>
        <v>Cousins Grocery Market Inc.</v>
      </c>
      <c r="AD2302" s="1" t="str">
        <f t="shared" si="111"/>
        <v>1607 Bridge St, Philadelphia, PA, 19124</v>
      </c>
      <c r="AE2302" s="1" t="str">
        <f t="shared" si="112"/>
        <v>5000 OXFORD AVE</v>
      </c>
      <c r="AF2302" s="1">
        <f t="shared" si="113"/>
        <v>40.021602000000001</v>
      </c>
      <c r="AG2302" s="1">
        <f t="shared" si="114"/>
        <v>-75.084823</v>
      </c>
      <c r="AH2302" s="1" t="str">
        <f>IF(I2302=0,"Not contacted",IF(INDEX('Staff Review'!$J$8:$J$507,I2302)="","Not contacted",INDEX('Staff Review'!$J$8:$J$507,I2302)))</f>
        <v>Not contacted</v>
      </c>
      <c r="AI2302" s="1" t="str">
        <f ca="1">IF(I2302=0,"No",IF(AND(COUNT(INDEX('Staff Review'!$D$8:$D$507,I2302))=1,INDEX('Staff Review'!$D$8:$D$507,I2302)&gt;=0,COUNT(INDEX('Staff Review'!$E$8:$E$507,I2302))=1,INDEX('Staff Review'!$E$8:$E$507,I2302)&gt;0,INDEX('Staff Review'!$E$8:$E$507,I2302)&lt;='Top 25'!$E$5,'Top 25'!$E$5-INDEX('Staff Review'!$E$8:$E$507,I2302)&lt;='Top 25'!$H$5,LEN(INDEX('Staff Review'!$H$8:$H$507,I2302))&gt;0),"Yes","No"))</f>
        <v>No</v>
      </c>
      <c r="AJ2302" s="1" t="str">
        <f>IF(I2302=0,"No",IF(COUNT(INDEX('Staff Review'!$F$8:$F$507,I2302))&lt;&gt;1,"No",IF(AND(INDEX('Staff Review'!$F$8:$F$507,I2302)&gt;=0,MOD(INDEX('Staff Review'!$F$8:$F$507,I2302),1)=0,COUNT(INDEX('Staff Review'!$G$8:$G$507,I2302))=1,INDEX('Staff Review'!$G$8:$G$507,I2302)&gt;0,INDEX('Staff Review'!$G$8:$G$507,I2302)&lt;='Top 25'!$E$5,'Top 25'!$E$5-INDEX('Staff Review'!$G$8:$G$507,I2302)&lt;='Top 25'!$H$5,LEN(INDEX('Staff Review'!$H$8:$H$507,I2302))&gt;0),"Yes","No")))</f>
        <v>No</v>
      </c>
      <c r="AK2302" s="1">
        <f t="shared" si="115"/>
        <v>1</v>
      </c>
      <c r="AL2302" s="1">
        <f t="shared" ca="1" si="116"/>
        <v>1</v>
      </c>
      <c r="AM2302" s="1">
        <f t="shared" si="117"/>
        <v>7010</v>
      </c>
      <c r="AN2302" s="1">
        <f t="shared" si="118"/>
        <v>252</v>
      </c>
      <c r="AO2302">
        <f t="shared" ca="1" si="119"/>
        <v>142</v>
      </c>
      <c r="AP2302" s="105">
        <f ca="1">IF(AND(AL2302=1,OR('Top 25'!$A$10="All",C2302='Top 25'!$A$10),OR('Top 25'!$D$10="All",D2302='Top 25'!$D$10)),1,0)</f>
        <v>0</v>
      </c>
      <c r="AQ2302" s="105" t="str">
        <f ca="1">IF(AP2302=0,"",CHOOSE(MATCH('Top 25'!$G$10,{"Priority score","Economic need","Enrollment","Fresh miles","Nearby resources"},0),T2302,G2302,F2302,K2302,L2302))</f>
        <v/>
      </c>
      <c r="AR2302" s="105" t="str">
        <f ca="1">IF(AP2302=0,"",1+COUNTIFS($AP$2051:$AP$2550,1,$AQ$2051:$AQ$2550,IF('Top 25'!$J$10="Ascending","&lt;","&gt;")&amp;AQ2302)+COUNTIFS($AP$2051:$AP$2550,1,$AQ$2051:$AQ$2550,AQ2302,$W$2051:$W$2550,"&lt;"&amp;W2302))</f>
        <v/>
      </c>
      <c r="AT2302" s="105">
        <f ca="1">IF(AND(AL2302=1,OR(Master_rankableSchools!$A$10="All",C2302=Master_rankableSchools!$A$10),OR(Master_rankableSchools!$D$10="All",D2302=Master_rankableSchools!$D$10)),1,0)</f>
        <v>1</v>
      </c>
      <c r="AU2302" s="105">
        <f ca="1">IF(AT2302=0,"",CHOOSE(MATCH(Master_rankableSchools!$G$10,{"Priority score","Economic need","Enrollment","Fresh miles","Nearby resources"},0),T2302,G2302,F2302,K2302,L2302))</f>
        <v>40</v>
      </c>
      <c r="AV2302" s="105">
        <f ca="1">IF(AT2302=0,"",1+COUNTIFS($AT$2051:$AT$2550,1,$AU$2051:$AU$2550,IF(Master_rankableSchools!$J$10="Ascending","&lt;","&gt;")&amp;AU2302)+COUNTIFS($AT$2051:$AT$2550,1,$AU$2051:$AU$2550,AU2302,$W$2051:$W$2550,"&lt;"&amp;W2302))</f>
        <v>142</v>
      </c>
    </row>
    <row r="2303" spans="1:48" ht="22" customHeight="1">
      <c r="A2303" s="1" t="str">
        <f t="shared" si="90"/>
        <v>7060</v>
      </c>
      <c r="B2303" s="1" t="str">
        <f t="shared" si="91"/>
        <v>Olney High School</v>
      </c>
      <c r="C2303" s="1" t="str">
        <f t="shared" si="92"/>
        <v>District</v>
      </c>
      <c r="D2303" s="1" t="str">
        <f t="shared" si="93"/>
        <v>High</v>
      </c>
      <c r="E2303" s="1" t="str">
        <f t="shared" si="94"/>
        <v>19120</v>
      </c>
      <c r="F2303" s="1">
        <f t="shared" si="95"/>
        <v>1036</v>
      </c>
      <c r="G2303" s="1">
        <f t="shared" si="96"/>
        <v>0.79879999999999995</v>
      </c>
      <c r="H2303" s="1" t="str">
        <f t="shared" si="97"/>
        <v>Yes</v>
      </c>
      <c r="I2303" s="1">
        <f>IF(OR(A2303="",COUNTIFS('Staff Review'!$A$8:$A$507,A2303)&lt;&gt;1),0,MATCH(A2303,'Staff Review'!$A$8:$A$507,0))</f>
        <v>211</v>
      </c>
      <c r="J2303" s="1" t="str">
        <f>IF(I2303=0,"No",IF(INDEX('Staff Review'!$C$8:$C$507,I2303)="Yes","Yes","No"))</f>
        <v>No</v>
      </c>
      <c r="K2303" s="1">
        <f ca="1">IF(AI2303="Yes",INDEX('Staff Review'!$D$8:$D$507,I2303),IF(AB2303=0,"",IF(COUNT(INDEX($C$1531:$C$2030,AB2303))=1,INDEX($C$1531:$C$2030,AB2303),"")))</f>
        <v>0.11440310296307804</v>
      </c>
      <c r="L2303" s="1">
        <f>IF(AJ2303="Yes",INDEX('Staff Review'!$F$8:$F$507,I2303),IF(AB2303=0,"",IF(COUNT(INDEX($G$1531:$G$2030,AB2303))=1,INDEX($G$1531:$G$2030,AB2303),"")))</f>
        <v>8</v>
      </c>
      <c r="M2303" s="1" t="str">
        <f t="shared" ca="1" si="98"/>
        <v>Listed</v>
      </c>
      <c r="N2303" s="1" t="str">
        <f t="shared" si="99"/>
        <v>Listed</v>
      </c>
      <c r="O2303" s="1">
        <f t="shared" si="100"/>
        <v>20</v>
      </c>
      <c r="P2303" s="1">
        <f t="shared" ca="1" si="101"/>
        <v>5</v>
      </c>
      <c r="Q2303" s="1">
        <f t="shared" si="102"/>
        <v>0</v>
      </c>
      <c r="R2303" s="1">
        <f t="shared" si="103"/>
        <v>5</v>
      </c>
      <c r="S2303" s="1">
        <f t="shared" ca="1" si="104"/>
        <v>30</v>
      </c>
      <c r="T2303" s="1">
        <f ca="1">IF(OR(COUNT(O2303:R2303)&lt;&gt;4,COUNT('Top 25'!$B$45:$E$45)&lt;&gt;4,MIN('Top 25'!$B$45:$E$45)&lt;0,SUM('Top 25'!$B$45:$E$45)&lt;=0),"",ROUND(85*(O2303/30*'Top 25'!$B$45+P2303/25*'Top 25'!$C$45+Q2303/25*'Top 25'!$D$45+R2303/5*'Top 25'!$E$45)/SUM('Top 25'!$B$45:$E$45),6))</f>
        <v>30</v>
      </c>
      <c r="U2303" s="1" t="str">
        <f t="shared" ca="1" si="105"/>
        <v>Listed</v>
      </c>
      <c r="V2303" s="1" t="str">
        <f ca="1">IF(A2303="","",IF(AK2303&lt;&gt;1,"Duplicate source ID",IF(COUNTIFS('Staff Review'!$A$8:$A$507,A2303)&gt;1,"Duplicate review ID",IF(H2303&lt;&gt;"Yes","Outside scope",IF(J2303="Yes","Already served",IF(NOT(ISNUMBER(T2303)),"Missing data","Candidate"))))))</f>
        <v>Candidate</v>
      </c>
      <c r="W2303" s="1">
        <f t="shared" ca="1" si="106"/>
        <v>253</v>
      </c>
      <c r="X2303" s="1">
        <f t="shared" ca="1" si="107"/>
        <v>253</v>
      </c>
      <c r="Y2303" s="1">
        <f ca="1">IF(AND(H2303="Yes",OR(LEN('School Search'!$B$5)=0,ISNUMBER(SEARCH('School Search'!$B$5,B2303&amp;" "&amp;E2303&amp;" "&amp;A2303))),OR('School Search'!$D$5="All",C2303='School Search'!$D$5),OR('School Search'!$G$5="All eligible",AND('School Search'!$G$5="Not marked served",J2303&lt;&gt;"Yes"),AND('School Search'!$G$5="Missing data",V2303="Missing data"),AND('School Search'!$G$5="Marked served",J2303="Yes"))),1,0)</f>
        <v>1</v>
      </c>
      <c r="Z2303" s="1">
        <f ca="1">IF(Y2303=0,"",COUNTIFS($Y$2051:$Y$2550,1,$AO$2051:$AO$2550,"&lt;"&amp;AO2303)+COUNTIFS($Y$2051:Y2303,1,$AO$2051:AO2303,AO2303))</f>
        <v>253</v>
      </c>
      <c r="AA2303" s="1" t="str">
        <f t="shared" ca="1" si="108"/>
        <v>80% economic need; 0.11 mi fresh access; 8 nearby resources</v>
      </c>
      <c r="AB2303" s="1">
        <f t="shared" si="109"/>
        <v>253</v>
      </c>
      <c r="AC2303" s="1" t="str">
        <f t="shared" si="110"/>
        <v>GFM Food Corporation</v>
      </c>
      <c r="AD2303" s="1" t="str">
        <f t="shared" si="111"/>
        <v>180 W Duncannon Ave, Philadelphia, PA, 19120</v>
      </c>
      <c r="AE2303" s="1" t="str">
        <f t="shared" si="112"/>
        <v>100 W DUNCANNON AVE</v>
      </c>
      <c r="AF2303" s="1">
        <f t="shared" si="113"/>
        <v>40.028771999999996</v>
      </c>
      <c r="AG2303" s="1">
        <f t="shared" si="114"/>
        <v>-75.123807999999997</v>
      </c>
      <c r="AH2303" s="1" t="str">
        <f>IF(I2303=0,"Not contacted",IF(INDEX('Staff Review'!$J$8:$J$507,I2303)="","Not contacted",INDEX('Staff Review'!$J$8:$J$507,I2303)))</f>
        <v>Not contacted</v>
      </c>
      <c r="AI2303" s="1" t="str">
        <f ca="1">IF(I2303=0,"No",IF(AND(COUNT(INDEX('Staff Review'!$D$8:$D$507,I2303))=1,INDEX('Staff Review'!$D$8:$D$507,I2303)&gt;=0,COUNT(INDEX('Staff Review'!$E$8:$E$507,I2303))=1,INDEX('Staff Review'!$E$8:$E$507,I2303)&gt;0,INDEX('Staff Review'!$E$8:$E$507,I2303)&lt;='Top 25'!$E$5,'Top 25'!$E$5-INDEX('Staff Review'!$E$8:$E$507,I2303)&lt;='Top 25'!$H$5,LEN(INDEX('Staff Review'!$H$8:$H$507,I2303))&gt;0),"Yes","No"))</f>
        <v>No</v>
      </c>
      <c r="AJ2303" s="1" t="str">
        <f>IF(I2303=0,"No",IF(COUNT(INDEX('Staff Review'!$F$8:$F$507,I2303))&lt;&gt;1,"No",IF(AND(INDEX('Staff Review'!$F$8:$F$507,I2303)&gt;=0,MOD(INDEX('Staff Review'!$F$8:$F$507,I2303),1)=0,COUNT(INDEX('Staff Review'!$G$8:$G$507,I2303))=1,INDEX('Staff Review'!$G$8:$G$507,I2303)&gt;0,INDEX('Staff Review'!$G$8:$G$507,I2303)&lt;='Top 25'!$E$5,'Top 25'!$E$5-INDEX('Staff Review'!$G$8:$G$507,I2303)&lt;='Top 25'!$H$5,LEN(INDEX('Staff Review'!$H$8:$H$507,I2303))&gt;0),"Yes","No")))</f>
        <v>No</v>
      </c>
      <c r="AK2303" s="1">
        <f t="shared" si="115"/>
        <v>1</v>
      </c>
      <c r="AL2303" s="1">
        <f t="shared" ca="1" si="116"/>
        <v>1</v>
      </c>
      <c r="AM2303" s="1">
        <f t="shared" si="117"/>
        <v>7060</v>
      </c>
      <c r="AN2303" s="1">
        <f t="shared" si="118"/>
        <v>253</v>
      </c>
      <c r="AO2303">
        <f t="shared" ca="1" si="119"/>
        <v>253</v>
      </c>
      <c r="AP2303" s="105">
        <f ca="1">IF(AND(AL2303=1,OR('Top 25'!$A$10="All",C2303='Top 25'!$A$10),OR('Top 25'!$D$10="All",D2303='Top 25'!$D$10)),1,0)</f>
        <v>0</v>
      </c>
      <c r="AQ2303" s="105" t="str">
        <f ca="1">IF(AP2303=0,"",CHOOSE(MATCH('Top 25'!$G$10,{"Priority score","Economic need","Enrollment","Fresh miles","Nearby resources"},0),T2303,G2303,F2303,K2303,L2303))</f>
        <v/>
      </c>
      <c r="AR2303" s="105" t="str">
        <f ca="1">IF(AP2303=0,"",1+COUNTIFS($AP$2051:$AP$2550,1,$AQ$2051:$AQ$2550,IF('Top 25'!$J$10="Ascending","&lt;","&gt;")&amp;AQ2303)+COUNTIFS($AP$2051:$AP$2550,1,$AQ$2051:$AQ$2550,AQ2303,$W$2051:$W$2550,"&lt;"&amp;W2303))</f>
        <v/>
      </c>
      <c r="AT2303" s="105">
        <f ca="1">IF(AND(AL2303=1,OR(Master_rankableSchools!$A$10="All",C2303=Master_rankableSchools!$A$10),OR(Master_rankableSchools!$D$10="All",D2303=Master_rankableSchools!$D$10)),1,0)</f>
        <v>1</v>
      </c>
      <c r="AU2303" s="105">
        <f ca="1">IF(AT2303=0,"",CHOOSE(MATCH(Master_rankableSchools!$G$10,{"Priority score","Economic need","Enrollment","Fresh miles","Nearby resources"},0),T2303,G2303,F2303,K2303,L2303))</f>
        <v>30</v>
      </c>
      <c r="AV2303" s="105">
        <f ca="1">IF(AT2303=0,"",1+COUNTIFS($AT$2051:$AT$2550,1,$AU$2051:$AU$2550,IF(Master_rankableSchools!$J$10="Ascending","&lt;","&gt;")&amp;AU2303)+COUNTIFS($AT$2051:$AT$2550,1,$AU$2051:$AU$2550,AU2303,$W$2051:$W$2550,"&lt;"&amp;W2303))</f>
        <v>253</v>
      </c>
    </row>
    <row r="2304" spans="1:48" ht="22" customHeight="1">
      <c r="A2304" s="1" t="str">
        <f t="shared" si="90"/>
        <v>7061</v>
      </c>
      <c r="B2304" s="1" t="str">
        <f t="shared" si="91"/>
        <v>Olney High School Continuation Academy</v>
      </c>
      <c r="C2304" s="1" t="str">
        <f t="shared" si="92"/>
        <v>Contracted</v>
      </c>
      <c r="D2304" s="1" t="str">
        <f t="shared" si="93"/>
        <v>Transition/Overage School</v>
      </c>
      <c r="E2304" s="1" t="str">
        <f t="shared" si="94"/>
        <v>19120</v>
      </c>
      <c r="F2304" s="1">
        <f t="shared" si="95"/>
        <v>17</v>
      </c>
      <c r="G2304" s="1">
        <f t="shared" si="96"/>
        <v>0.79879999999999995</v>
      </c>
      <c r="H2304" s="1" t="str">
        <f t="shared" si="97"/>
        <v>No</v>
      </c>
      <c r="I2304" s="1">
        <f>IF(OR(A2304="",COUNTIFS('Staff Review'!$A$8:$A$507,A2304)&lt;&gt;1),0,MATCH(A2304,'Staff Review'!$A$8:$A$507,0))</f>
        <v>212</v>
      </c>
      <c r="J2304" s="1" t="str">
        <f>IF(I2304=0,"No",IF(INDEX('Staff Review'!$C$8:$C$507,I2304)="Yes","Yes","No"))</f>
        <v>No</v>
      </c>
      <c r="K2304" s="1">
        <f ca="1">IF(AI2304="Yes",INDEX('Staff Review'!$D$8:$D$507,I2304),IF(AB2304=0,"",IF(COUNT(INDEX($C$1531:$C$2030,AB2304))=1,INDEX($C$1531:$C$2030,AB2304),"")))</f>
        <v>0.12853245737993235</v>
      </c>
      <c r="L2304" s="1">
        <f>IF(AJ2304="Yes",INDEX('Staff Review'!$F$8:$F$507,I2304),IF(AB2304=0,"",IF(COUNT(INDEX($G$1531:$G$2030,AB2304))=1,INDEX($G$1531:$G$2030,AB2304),"")))</f>
        <v>8</v>
      </c>
      <c r="M2304" s="1" t="str">
        <f t="shared" ca="1" si="98"/>
        <v>Listed</v>
      </c>
      <c r="N2304" s="1" t="str">
        <f t="shared" si="99"/>
        <v>Listed</v>
      </c>
      <c r="O2304" s="1">
        <f t="shared" si="100"/>
        <v>20</v>
      </c>
      <c r="P2304" s="1">
        <f t="shared" ca="1" si="101"/>
        <v>5</v>
      </c>
      <c r="Q2304" s="1">
        <f t="shared" si="102"/>
        <v>0</v>
      </c>
      <c r="R2304" s="1">
        <f t="shared" si="103"/>
        <v>1</v>
      </c>
      <c r="S2304" s="1">
        <f t="shared" ca="1" si="104"/>
        <v>26</v>
      </c>
      <c r="T2304" s="1">
        <f ca="1">IF(OR(COUNT(O2304:R2304)&lt;&gt;4,COUNT('Top 25'!$B$45:$E$45)&lt;&gt;4,MIN('Top 25'!$B$45:$E$45)&lt;0,SUM('Top 25'!$B$45:$E$45)&lt;=0),"",ROUND(85*(O2304/30*'Top 25'!$B$45+P2304/25*'Top 25'!$C$45+Q2304/25*'Top 25'!$D$45+R2304/5*'Top 25'!$E$45)/SUM('Top 25'!$B$45:$E$45),6))</f>
        <v>26</v>
      </c>
      <c r="U2304" s="1" t="str">
        <f t="shared" ca="1" si="105"/>
        <v>Listed</v>
      </c>
      <c r="V2304" s="1" t="str">
        <f>IF(A2304="","",IF(AK2304&lt;&gt;1,"Duplicate source ID",IF(COUNTIFS('Staff Review'!$A$8:$A$507,A2304)&gt;1,"Duplicate review ID",IF(H2304&lt;&gt;"Yes","Outside scope",IF(J2304="Yes","Already served",IF(NOT(ISNUMBER(T2304)),"Missing data","Candidate"))))))</f>
        <v>Outside scope</v>
      </c>
      <c r="W2304" s="1" t="str">
        <f t="shared" si="106"/>
        <v/>
      </c>
      <c r="X2304" s="1" t="str">
        <f t="shared" si="107"/>
        <v/>
      </c>
      <c r="Y2304" s="1">
        <f>IF(AND(H2304="Yes",OR(LEN('School Search'!$B$5)=0,ISNUMBER(SEARCH('School Search'!$B$5,B2304&amp;" "&amp;E2304&amp;" "&amp;A2304))),OR('School Search'!$D$5="All",C2304='School Search'!$D$5),OR('School Search'!$G$5="All eligible",AND('School Search'!$G$5="Not marked served",J2304&lt;&gt;"Yes"),AND('School Search'!$G$5="Missing data",V2304="Missing data"),AND('School Search'!$G$5="Marked served",J2304="Yes"))),1,0)</f>
        <v>0</v>
      </c>
      <c r="Z2304" s="1" t="str">
        <f>IF(Y2304=0,"",COUNTIFS($Y$2051:$Y$2550,1,$AO$2051:$AO$2550,"&lt;"&amp;AO2304)+COUNTIFS($Y$2051:Y2304,1,$AO$2051:AO2304,AO2304))</f>
        <v/>
      </c>
      <c r="AA2304" s="1" t="str">
        <f t="shared" ca="1" si="108"/>
        <v>80% economic need; 0.13 mi fresh access; 8 nearby resources</v>
      </c>
      <c r="AB2304" s="1">
        <f t="shared" si="109"/>
        <v>254</v>
      </c>
      <c r="AC2304" s="1" t="str">
        <f t="shared" si="110"/>
        <v>GFM Food Corporation</v>
      </c>
      <c r="AD2304" s="1" t="str">
        <f t="shared" si="111"/>
        <v>180 W Duncannon Ave, Philadelphia, PA, 19120</v>
      </c>
      <c r="AE2304" s="1" t="str">
        <f t="shared" si="112"/>
        <v>100 W DUNCANNON AVE</v>
      </c>
      <c r="AF2304" s="1">
        <f t="shared" si="113"/>
        <v>40.029119940000001</v>
      </c>
      <c r="AG2304" s="1">
        <f t="shared" si="114"/>
        <v>-75.123751709999993</v>
      </c>
      <c r="AH2304" s="1" t="str">
        <f>IF(I2304=0,"Not contacted",IF(INDEX('Staff Review'!$J$8:$J$507,I2304)="","Not contacted",INDEX('Staff Review'!$J$8:$J$507,I2304)))</f>
        <v>Not contacted</v>
      </c>
      <c r="AI2304" s="1" t="str">
        <f ca="1">IF(I2304=0,"No",IF(AND(COUNT(INDEX('Staff Review'!$D$8:$D$507,I2304))=1,INDEX('Staff Review'!$D$8:$D$507,I2304)&gt;=0,COUNT(INDEX('Staff Review'!$E$8:$E$507,I2304))=1,INDEX('Staff Review'!$E$8:$E$507,I2304)&gt;0,INDEX('Staff Review'!$E$8:$E$507,I2304)&lt;='Top 25'!$E$5,'Top 25'!$E$5-INDEX('Staff Review'!$E$8:$E$507,I2304)&lt;='Top 25'!$H$5,LEN(INDEX('Staff Review'!$H$8:$H$507,I2304))&gt;0),"Yes","No"))</f>
        <v>No</v>
      </c>
      <c r="AJ2304" s="1" t="str">
        <f>IF(I2304=0,"No",IF(COUNT(INDEX('Staff Review'!$F$8:$F$507,I2304))&lt;&gt;1,"No",IF(AND(INDEX('Staff Review'!$F$8:$F$507,I2304)&gt;=0,MOD(INDEX('Staff Review'!$F$8:$F$507,I2304),1)=0,COUNT(INDEX('Staff Review'!$G$8:$G$507,I2304))=1,INDEX('Staff Review'!$G$8:$G$507,I2304)&gt;0,INDEX('Staff Review'!$G$8:$G$507,I2304)&lt;='Top 25'!$E$5,'Top 25'!$E$5-INDEX('Staff Review'!$G$8:$G$507,I2304)&lt;='Top 25'!$H$5,LEN(INDEX('Staff Review'!$H$8:$H$507,I2304))&gt;0),"Yes","No")))</f>
        <v>No</v>
      </c>
      <c r="AK2304" s="1">
        <f t="shared" si="115"/>
        <v>1</v>
      </c>
      <c r="AL2304" s="1">
        <f t="shared" si="116"/>
        <v>0</v>
      </c>
      <c r="AM2304" s="1">
        <f t="shared" si="117"/>
        <v>7061</v>
      </c>
      <c r="AN2304" s="1">
        <f t="shared" si="118"/>
        <v>254</v>
      </c>
      <c r="AO2304">
        <f t="shared" si="119"/>
        <v>17061</v>
      </c>
      <c r="AP2304" s="105">
        <f>IF(AND(AL2304=1,OR('Top 25'!$A$10="All",C2304='Top 25'!$A$10),OR('Top 25'!$D$10="All",D2304='Top 25'!$D$10)),1,0)</f>
        <v>0</v>
      </c>
      <c r="AQ2304" s="105" t="str">
        <f>IF(AP2304=0,"",CHOOSE(MATCH('Top 25'!$G$10,{"Priority score","Economic need","Enrollment","Fresh miles","Nearby resources"},0),T2304,G2304,F2304,K2304,L2304))</f>
        <v/>
      </c>
      <c r="AR2304" s="105" t="str">
        <f>IF(AP2304=0,"",1+COUNTIFS($AP$2051:$AP$2550,1,$AQ$2051:$AQ$2550,IF('Top 25'!$J$10="Ascending","&lt;","&gt;")&amp;AQ2304)+COUNTIFS($AP$2051:$AP$2550,1,$AQ$2051:$AQ$2550,AQ2304,$W$2051:$W$2550,"&lt;"&amp;W2304))</f>
        <v/>
      </c>
      <c r="AT2304" s="105">
        <f>IF(AND(AL2304=1,OR(Master_rankableSchools!$A$10="All",C2304=Master_rankableSchools!$A$10),OR(Master_rankableSchools!$D$10="All",D2304=Master_rankableSchools!$D$10)),1,0)</f>
        <v>0</v>
      </c>
      <c r="AU2304" s="105" t="str">
        <f>IF(AT2304=0,"",CHOOSE(MATCH(Master_rankableSchools!$G$10,{"Priority score","Economic need","Enrollment","Fresh miles","Nearby resources"},0),T2304,G2304,F2304,K2304,L2304))</f>
        <v/>
      </c>
      <c r="AV2304" s="105" t="str">
        <f>IF(AT2304=0,"",1+COUNTIFS($AT$2051:$AT$2550,1,$AU$2051:$AU$2550,IF(Master_rankableSchools!$J$10="Ascending","&lt;","&gt;")&amp;AU2304)+COUNTIFS($AT$2051:$AT$2550,1,$AU$2051:$AU$2550,AU2304,$W$2051:$W$2550,"&lt;"&amp;W2304))</f>
        <v/>
      </c>
    </row>
    <row r="2305" spans="1:48" ht="22" customHeight="1">
      <c r="A2305" s="1" t="str">
        <f t="shared" si="90"/>
        <v>7069</v>
      </c>
      <c r="B2305" s="1" t="str">
        <f t="shared" si="91"/>
        <v>Philadelphia Continuation Academy</v>
      </c>
      <c r="C2305" s="1" t="str">
        <f t="shared" si="92"/>
        <v>Contracted</v>
      </c>
      <c r="D2305" s="1" t="str">
        <f t="shared" si="93"/>
        <v>Transition/Overage School</v>
      </c>
      <c r="E2305" s="1" t="str">
        <f t="shared" si="94"/>
        <v>19120</v>
      </c>
      <c r="F2305" s="1">
        <f t="shared" si="95"/>
        <v>46</v>
      </c>
      <c r="G2305" s="1" t="str">
        <f t="shared" si="96"/>
        <v/>
      </c>
      <c r="H2305" s="1" t="str">
        <f t="shared" si="97"/>
        <v>No</v>
      </c>
      <c r="I2305" s="1">
        <f>IF(OR(A2305="",COUNTIFS('Staff Review'!$A$8:$A$507,A2305)&lt;&gt;1),0,MATCH(A2305,'Staff Review'!$A$8:$A$507,0))</f>
        <v>232</v>
      </c>
      <c r="J2305" s="1" t="str">
        <f>IF(I2305=0,"No",IF(INDEX('Staff Review'!$C$8:$C$507,I2305)="Yes","Yes","No"))</f>
        <v>No</v>
      </c>
      <c r="K2305" s="1">
        <f ca="1">IF(AI2305="Yes",INDEX('Staff Review'!$D$8:$D$507,I2305),IF(AB2305=0,"",IF(COUNT(INDEX($C$1531:$C$2030,AB2305))=1,INDEX($C$1531:$C$2030,AB2305),"")))</f>
        <v>0.11440310296307804</v>
      </c>
      <c r="L2305" s="1">
        <f>IF(AJ2305="Yes",INDEX('Staff Review'!$F$8:$F$507,I2305),IF(AB2305=0,"",IF(COUNT(INDEX($G$1531:$G$2030,AB2305))=1,INDEX($G$1531:$G$2030,AB2305),"")))</f>
        <v>8</v>
      </c>
      <c r="M2305" s="1" t="str">
        <f t="shared" ca="1" si="98"/>
        <v>Listed</v>
      </c>
      <c r="N2305" s="1" t="str">
        <f t="shared" si="99"/>
        <v>Listed</v>
      </c>
      <c r="O2305" s="1" t="str">
        <f t="shared" si="100"/>
        <v/>
      </c>
      <c r="P2305" s="1">
        <f t="shared" ca="1" si="101"/>
        <v>5</v>
      </c>
      <c r="Q2305" s="1">
        <f t="shared" si="102"/>
        <v>0</v>
      </c>
      <c r="R2305" s="1">
        <f t="shared" si="103"/>
        <v>1</v>
      </c>
      <c r="S2305" s="1" t="str">
        <f t="shared" ca="1" si="104"/>
        <v/>
      </c>
      <c r="T2305" s="1" t="str">
        <f ca="1">IF(OR(COUNT(O2305:R2305)&lt;&gt;4,COUNT('Top 25'!$B$45:$E$45)&lt;&gt;4,MIN('Top 25'!$B$45:$E$45)&lt;0,SUM('Top 25'!$B$45:$E$45)&lt;=0),"",ROUND(85*(O2305/30*'Top 25'!$B$45+P2305/25*'Top 25'!$C$45+Q2305/25*'Top 25'!$D$45+R2305/5*'Top 25'!$E$45)/SUM('Top 25'!$B$45:$E$45),6))</f>
        <v/>
      </c>
      <c r="U2305" s="1" t="str">
        <f t="shared" ca="1" si="105"/>
        <v>Listed</v>
      </c>
      <c r="V2305" s="1" t="str">
        <f>IF(A2305="","",IF(AK2305&lt;&gt;1,"Duplicate source ID",IF(COUNTIFS('Staff Review'!$A$8:$A$507,A2305)&gt;1,"Duplicate review ID",IF(H2305&lt;&gt;"Yes","Outside scope",IF(J2305="Yes","Already served",IF(NOT(ISNUMBER(T2305)),"Missing data","Candidate"))))))</f>
        <v>Outside scope</v>
      </c>
      <c r="W2305" s="1" t="str">
        <f t="shared" si="106"/>
        <v/>
      </c>
      <c r="X2305" s="1" t="str">
        <f t="shared" si="107"/>
        <v/>
      </c>
      <c r="Y2305" s="1">
        <f>IF(AND(H2305="Yes",OR(LEN('School Search'!$B$5)=0,ISNUMBER(SEARCH('School Search'!$B$5,B2305&amp;" "&amp;E2305&amp;" "&amp;A2305))),OR('School Search'!$D$5="All",C2305='School Search'!$D$5),OR('School Search'!$G$5="All eligible",AND('School Search'!$G$5="Not marked served",J2305&lt;&gt;"Yes"),AND('School Search'!$G$5="Missing data",V2305="Missing data"),AND('School Search'!$G$5="Marked served",J2305="Yes"))),1,0)</f>
        <v>0</v>
      </c>
      <c r="Z2305" s="1" t="str">
        <f>IF(Y2305=0,"",COUNTIFS($Y$2051:$Y$2550,1,$AO$2051:$AO$2550,"&lt;"&amp;AO2305)+COUNTIFS($Y$2051:Y2305,1,$AO$2051:AO2305,AO2305))</f>
        <v/>
      </c>
      <c r="AA2305" s="1" t="str">
        <f t="shared" ca="1" si="108"/>
        <v>Missing demographic or access input</v>
      </c>
      <c r="AB2305" s="1">
        <f t="shared" si="109"/>
        <v>255</v>
      </c>
      <c r="AC2305" s="1" t="str">
        <f t="shared" si="110"/>
        <v>GFM Food Corporation</v>
      </c>
      <c r="AD2305" s="1" t="str">
        <f t="shared" si="111"/>
        <v>180 W Duncannon Ave, Philadelphia, PA, 19120</v>
      </c>
      <c r="AE2305" s="1" t="str">
        <f t="shared" si="112"/>
        <v>100 E DUNCANNON AVE</v>
      </c>
      <c r="AF2305" s="1">
        <f t="shared" si="113"/>
        <v>40.028771999999996</v>
      </c>
      <c r="AG2305" s="1">
        <f t="shared" si="114"/>
        <v>-75.123807999999997</v>
      </c>
      <c r="AH2305" s="1" t="str">
        <f>IF(I2305=0,"Not contacted",IF(INDEX('Staff Review'!$J$8:$J$507,I2305)="","Not contacted",INDEX('Staff Review'!$J$8:$J$507,I2305)))</f>
        <v>Not contacted</v>
      </c>
      <c r="AI2305" s="1" t="str">
        <f ca="1">IF(I2305=0,"No",IF(AND(COUNT(INDEX('Staff Review'!$D$8:$D$507,I2305))=1,INDEX('Staff Review'!$D$8:$D$507,I2305)&gt;=0,COUNT(INDEX('Staff Review'!$E$8:$E$507,I2305))=1,INDEX('Staff Review'!$E$8:$E$507,I2305)&gt;0,INDEX('Staff Review'!$E$8:$E$507,I2305)&lt;='Top 25'!$E$5,'Top 25'!$E$5-INDEX('Staff Review'!$E$8:$E$507,I2305)&lt;='Top 25'!$H$5,LEN(INDEX('Staff Review'!$H$8:$H$507,I2305))&gt;0),"Yes","No"))</f>
        <v>No</v>
      </c>
      <c r="AJ2305" s="1" t="str">
        <f>IF(I2305=0,"No",IF(COUNT(INDEX('Staff Review'!$F$8:$F$507,I2305))&lt;&gt;1,"No",IF(AND(INDEX('Staff Review'!$F$8:$F$507,I2305)&gt;=0,MOD(INDEX('Staff Review'!$F$8:$F$507,I2305),1)=0,COUNT(INDEX('Staff Review'!$G$8:$G$507,I2305))=1,INDEX('Staff Review'!$G$8:$G$507,I2305)&gt;0,INDEX('Staff Review'!$G$8:$G$507,I2305)&lt;='Top 25'!$E$5,'Top 25'!$E$5-INDEX('Staff Review'!$G$8:$G$507,I2305)&lt;='Top 25'!$H$5,LEN(INDEX('Staff Review'!$H$8:$H$507,I2305))&gt;0),"Yes","No")))</f>
        <v>No</v>
      </c>
      <c r="AK2305" s="1">
        <f t="shared" si="115"/>
        <v>1</v>
      </c>
      <c r="AL2305" s="1">
        <f t="shared" si="116"/>
        <v>0</v>
      </c>
      <c r="AM2305" s="1">
        <f t="shared" si="117"/>
        <v>7069</v>
      </c>
      <c r="AN2305" s="1">
        <f t="shared" si="118"/>
        <v>255</v>
      </c>
      <c r="AO2305">
        <f t="shared" si="119"/>
        <v>17069</v>
      </c>
      <c r="AP2305" s="105">
        <f>IF(AND(AL2305=1,OR('Top 25'!$A$10="All",C2305='Top 25'!$A$10),OR('Top 25'!$D$10="All",D2305='Top 25'!$D$10)),1,0)</f>
        <v>0</v>
      </c>
      <c r="AQ2305" s="105" t="str">
        <f>IF(AP2305=0,"",CHOOSE(MATCH('Top 25'!$G$10,{"Priority score","Economic need","Enrollment","Fresh miles","Nearby resources"},0),T2305,G2305,F2305,K2305,L2305))</f>
        <v/>
      </c>
      <c r="AR2305" s="105" t="str">
        <f>IF(AP2305=0,"",1+COUNTIFS($AP$2051:$AP$2550,1,$AQ$2051:$AQ$2550,IF('Top 25'!$J$10="Ascending","&lt;","&gt;")&amp;AQ2305)+COUNTIFS($AP$2051:$AP$2550,1,$AQ$2051:$AQ$2550,AQ2305,$W$2051:$W$2550,"&lt;"&amp;W2305))</f>
        <v/>
      </c>
      <c r="AT2305" s="105">
        <f>IF(AND(AL2305=1,OR(Master_rankableSchools!$A$10="All",C2305=Master_rankableSchools!$A$10),OR(Master_rankableSchools!$D$10="All",D2305=Master_rankableSchools!$D$10)),1,0)</f>
        <v>0</v>
      </c>
      <c r="AU2305" s="105" t="str">
        <f>IF(AT2305=0,"",CHOOSE(MATCH(Master_rankableSchools!$G$10,{"Priority score","Economic need","Enrollment","Fresh miles","Nearby resources"},0),T2305,G2305,F2305,K2305,L2305))</f>
        <v/>
      </c>
      <c r="AV2305" s="105" t="str">
        <f>IF(AT2305=0,"",1+COUNTIFS($AT$2051:$AT$2550,1,$AU$2051:$AU$2550,IF(Master_rankableSchools!$J$10="Ascending","&lt;","&gt;")&amp;AU2305)+COUNTIFS($AT$2051:$AT$2550,1,$AU$2051:$AU$2550,AU2305,$W$2051:$W$2550,"&lt;"&amp;W2305))</f>
        <v/>
      </c>
    </row>
    <row r="2306" spans="1:48" ht="22" customHeight="1">
      <c r="A2306" s="1" t="str">
        <f t="shared" si="90"/>
        <v>7100</v>
      </c>
      <c r="B2306" s="1" t="str">
        <f t="shared" si="91"/>
        <v>Jay Cooke School</v>
      </c>
      <c r="C2306" s="1" t="str">
        <f t="shared" si="92"/>
        <v>District</v>
      </c>
      <c r="D2306" s="1" t="str">
        <f t="shared" si="93"/>
        <v>Elementary-Middle</v>
      </c>
      <c r="E2306" s="1" t="str">
        <f t="shared" si="94"/>
        <v>19141</v>
      </c>
      <c r="F2306" s="1">
        <f t="shared" si="95"/>
        <v>386</v>
      </c>
      <c r="G2306" s="1">
        <f t="shared" si="96"/>
        <v>0.88600000000000001</v>
      </c>
      <c r="H2306" s="1" t="str">
        <f t="shared" si="97"/>
        <v>Yes</v>
      </c>
      <c r="I2306" s="1">
        <f>IF(OR(A2306="",COUNTIFS('Staff Review'!$A$8:$A$507,A2306)&lt;&gt;1),0,MATCH(A2306,'Staff Review'!$A$8:$A$507,0))</f>
        <v>132</v>
      </c>
      <c r="J2306" s="1" t="str">
        <f>IF(I2306=0,"No",IF(INDEX('Staff Review'!$C$8:$C$507,I2306)="Yes","Yes","No"))</f>
        <v>No</v>
      </c>
      <c r="K2306" s="1">
        <f ca="1">IF(AI2306="Yes",INDEX('Staff Review'!$D$8:$D$507,I2306),IF(AB2306=0,"",IF(COUNT(INDEX($C$1531:$C$2030,AB2306))=1,INDEX($C$1531:$C$2030,AB2306),"")))</f>
        <v>0.3345589633179345</v>
      </c>
      <c r="L2306" s="1">
        <f>IF(AJ2306="Yes",INDEX('Staff Review'!$F$8:$F$507,I2306),IF(AB2306=0,"",IF(COUNT(INDEX($G$1531:$G$2030,AB2306))=1,INDEX($G$1531:$G$2030,AB2306),"")))</f>
        <v>10</v>
      </c>
      <c r="M2306" s="1" t="str">
        <f t="shared" ca="1" si="98"/>
        <v>Listed</v>
      </c>
      <c r="N2306" s="1" t="str">
        <f t="shared" si="99"/>
        <v>Listed</v>
      </c>
      <c r="O2306" s="1">
        <f t="shared" si="100"/>
        <v>25</v>
      </c>
      <c r="P2306" s="1">
        <f t="shared" ca="1" si="101"/>
        <v>10</v>
      </c>
      <c r="Q2306" s="1">
        <f t="shared" si="102"/>
        <v>0</v>
      </c>
      <c r="R2306" s="1">
        <f t="shared" si="103"/>
        <v>3</v>
      </c>
      <c r="S2306" s="1">
        <f t="shared" ca="1" si="104"/>
        <v>38</v>
      </c>
      <c r="T2306" s="1">
        <f ca="1">IF(OR(COUNT(O2306:R2306)&lt;&gt;4,COUNT('Top 25'!$B$45:$E$45)&lt;&gt;4,MIN('Top 25'!$B$45:$E$45)&lt;0,SUM('Top 25'!$B$45:$E$45)&lt;=0),"",ROUND(85*(O2306/30*'Top 25'!$B$45+P2306/25*'Top 25'!$C$45+Q2306/25*'Top 25'!$D$45+R2306/5*'Top 25'!$E$45)/SUM('Top 25'!$B$45:$E$45),6))</f>
        <v>38</v>
      </c>
      <c r="U2306" s="1" t="str">
        <f t="shared" ca="1" si="105"/>
        <v>Listed</v>
      </c>
      <c r="V2306" s="1" t="str">
        <f ca="1">IF(A2306="","",IF(AK2306&lt;&gt;1,"Duplicate source ID",IF(COUNTIFS('Staff Review'!$A$8:$A$507,A2306)&gt;1,"Duplicate review ID",IF(H2306&lt;&gt;"Yes","Outside scope",IF(J2306="Yes","Already served",IF(NOT(ISNUMBER(T2306)),"Missing data","Candidate"))))))</f>
        <v>Candidate</v>
      </c>
      <c r="W2306" s="1">
        <f t="shared" ca="1" si="106"/>
        <v>171</v>
      </c>
      <c r="X2306" s="1">
        <f t="shared" ca="1" si="107"/>
        <v>166</v>
      </c>
      <c r="Y2306" s="1">
        <f ca="1">IF(AND(H2306="Yes",OR(LEN('School Search'!$B$5)=0,ISNUMBER(SEARCH('School Search'!$B$5,B2306&amp;" "&amp;E2306&amp;" "&amp;A2306))),OR('School Search'!$D$5="All",C2306='School Search'!$D$5),OR('School Search'!$G$5="All eligible",AND('School Search'!$G$5="Not marked served",J2306&lt;&gt;"Yes"),AND('School Search'!$G$5="Missing data",V2306="Missing data"),AND('School Search'!$G$5="Marked served",J2306="Yes"))),1,0)</f>
        <v>1</v>
      </c>
      <c r="Z2306" s="1">
        <f ca="1">IF(Y2306=0,"",COUNTIFS($Y$2051:$Y$2550,1,$AO$2051:$AO$2550,"&lt;"&amp;AO2306)+COUNTIFS($Y$2051:Y2306,1,$AO$2051:AO2306,AO2306))</f>
        <v>171</v>
      </c>
      <c r="AA2306" s="1" t="str">
        <f t="shared" ca="1" si="108"/>
        <v>89% economic need; 0.33 mi fresh access; 10 nearby resources</v>
      </c>
      <c r="AB2306" s="1">
        <f t="shared" si="109"/>
        <v>256</v>
      </c>
      <c r="AC2306" s="1" t="str">
        <f t="shared" si="110"/>
        <v>Save-A-Lot 60138</v>
      </c>
      <c r="AD2306" s="1" t="str">
        <f t="shared" si="111"/>
        <v>4424 N Broad St, Philadelphia, PA, 19140</v>
      </c>
      <c r="AE2306" s="1" t="str">
        <f t="shared" si="112"/>
        <v>1300 W LOUDON ST</v>
      </c>
      <c r="AF2306" s="1">
        <f t="shared" si="113"/>
        <v>40.025525999999999</v>
      </c>
      <c r="AG2306" s="1">
        <f t="shared" si="114"/>
        <v>-75.146073999999999</v>
      </c>
      <c r="AH2306" s="1" t="str">
        <f>IF(I2306=0,"Not contacted",IF(INDEX('Staff Review'!$J$8:$J$507,I2306)="","Not contacted",INDEX('Staff Review'!$J$8:$J$507,I2306)))</f>
        <v>Not contacted</v>
      </c>
      <c r="AI2306" s="1" t="str">
        <f ca="1">IF(I2306=0,"No",IF(AND(COUNT(INDEX('Staff Review'!$D$8:$D$507,I2306))=1,INDEX('Staff Review'!$D$8:$D$507,I2306)&gt;=0,COUNT(INDEX('Staff Review'!$E$8:$E$507,I2306))=1,INDEX('Staff Review'!$E$8:$E$507,I2306)&gt;0,INDEX('Staff Review'!$E$8:$E$507,I2306)&lt;='Top 25'!$E$5,'Top 25'!$E$5-INDEX('Staff Review'!$E$8:$E$507,I2306)&lt;='Top 25'!$H$5,LEN(INDEX('Staff Review'!$H$8:$H$507,I2306))&gt;0),"Yes","No"))</f>
        <v>No</v>
      </c>
      <c r="AJ2306" s="1" t="str">
        <f>IF(I2306=0,"No",IF(COUNT(INDEX('Staff Review'!$F$8:$F$507,I2306))&lt;&gt;1,"No",IF(AND(INDEX('Staff Review'!$F$8:$F$507,I2306)&gt;=0,MOD(INDEX('Staff Review'!$F$8:$F$507,I2306),1)=0,COUNT(INDEX('Staff Review'!$G$8:$G$507,I2306))=1,INDEX('Staff Review'!$G$8:$G$507,I2306)&gt;0,INDEX('Staff Review'!$G$8:$G$507,I2306)&lt;='Top 25'!$E$5,'Top 25'!$E$5-INDEX('Staff Review'!$G$8:$G$507,I2306)&lt;='Top 25'!$H$5,LEN(INDEX('Staff Review'!$H$8:$H$507,I2306))&gt;0),"Yes","No")))</f>
        <v>No</v>
      </c>
      <c r="AK2306" s="1">
        <f t="shared" si="115"/>
        <v>1</v>
      </c>
      <c r="AL2306" s="1">
        <f t="shared" ca="1" si="116"/>
        <v>1</v>
      </c>
      <c r="AM2306" s="1">
        <f t="shared" si="117"/>
        <v>7100</v>
      </c>
      <c r="AN2306" s="1">
        <f t="shared" si="118"/>
        <v>256</v>
      </c>
      <c r="AO2306">
        <f t="shared" ca="1" si="119"/>
        <v>171</v>
      </c>
      <c r="AP2306" s="105">
        <f ca="1">IF(AND(AL2306=1,OR('Top 25'!$A$10="All",C2306='Top 25'!$A$10),OR('Top 25'!$D$10="All",D2306='Top 25'!$D$10)),1,0)</f>
        <v>0</v>
      </c>
      <c r="AQ2306" s="105" t="str">
        <f ca="1">IF(AP2306=0,"",CHOOSE(MATCH('Top 25'!$G$10,{"Priority score","Economic need","Enrollment","Fresh miles","Nearby resources"},0),T2306,G2306,F2306,K2306,L2306))</f>
        <v/>
      </c>
      <c r="AR2306" s="105" t="str">
        <f ca="1">IF(AP2306=0,"",1+COUNTIFS($AP$2051:$AP$2550,1,$AQ$2051:$AQ$2550,IF('Top 25'!$J$10="Ascending","&lt;","&gt;")&amp;AQ2306)+COUNTIFS($AP$2051:$AP$2550,1,$AQ$2051:$AQ$2550,AQ2306,$W$2051:$W$2550,"&lt;"&amp;W2306))</f>
        <v/>
      </c>
      <c r="AT2306" s="105">
        <f ca="1">IF(AND(AL2306=1,OR(Master_rankableSchools!$A$10="All",C2306=Master_rankableSchools!$A$10),OR(Master_rankableSchools!$D$10="All",D2306=Master_rankableSchools!$D$10)),1,0)</f>
        <v>1</v>
      </c>
      <c r="AU2306" s="105">
        <f ca="1">IF(AT2306=0,"",CHOOSE(MATCH(Master_rankableSchools!$G$10,{"Priority score","Economic need","Enrollment","Fresh miles","Nearby resources"},0),T2306,G2306,F2306,K2306,L2306))</f>
        <v>38</v>
      </c>
      <c r="AV2306" s="105">
        <f ca="1">IF(AT2306=0,"",1+COUNTIFS($AT$2051:$AT$2550,1,$AU$2051:$AU$2550,IF(Master_rankableSchools!$J$10="Ascending","&lt;","&gt;")&amp;AU2306)+COUNTIFS($AT$2051:$AT$2550,1,$AU$2051:$AU$2550,AU2306,$W$2051:$W$2550,"&lt;"&amp;W2306))</f>
        <v>171</v>
      </c>
    </row>
    <row r="2307" spans="1:48" ht="22" customHeight="1">
      <c r="A2307" s="1" t="str">
        <f t="shared" ref="A2307:A2370" si="120">IF(A258="","",A258)</f>
        <v>7110</v>
      </c>
      <c r="B2307" s="1" t="str">
        <f t="shared" ref="B2307:B2370" si="121">IF(A2307="","",B258)</f>
        <v>Warren G. Harding Middle School</v>
      </c>
      <c r="C2307" s="1" t="str">
        <f t="shared" ref="C2307:C2370" si="122">IF(A2307="","",C258)</f>
        <v>District</v>
      </c>
      <c r="D2307" s="1" t="str">
        <f t="shared" ref="D2307:D2370" si="123">IF(A2307="","",E258)</f>
        <v>Middle</v>
      </c>
      <c r="E2307" s="1" t="str">
        <f t="shared" ref="E2307:E2370" si="124">IF(A2307="","",H258)</f>
        <v>19124</v>
      </c>
      <c r="F2307" s="1">
        <f t="shared" ref="F2307:F2370" si="125">IF(ISNUMBER(K258),K258,"")</f>
        <v>522</v>
      </c>
      <c r="G2307" s="1">
        <f t="shared" ref="G2307:G2370" si="126">IF(ISNUMBER(L258),L258,"")</f>
        <v>0.87709999999999999</v>
      </c>
      <c r="H2307" s="1" t="str">
        <f t="shared" ref="H2307:H2370" si="127">IF(A2307="","",IF(AND(UPPER(G258)="PHILADELPHIA",OR(C2307="District",AND(C2307="Charter",D258="Yes"))),"Yes","No"))</f>
        <v>Yes</v>
      </c>
      <c r="I2307" s="1">
        <f>IF(OR(A2307="",COUNTIFS('Staff Review'!$A$8:$A$507,A2307)&lt;&gt;1),0,MATCH(A2307,'Staff Review'!$A$8:$A$507,0))</f>
        <v>306</v>
      </c>
      <c r="J2307" s="1" t="str">
        <f>IF(I2307=0,"No",IF(INDEX('Staff Review'!$C$8:$C$507,I2307)="Yes","Yes","No"))</f>
        <v>No</v>
      </c>
      <c r="K2307" s="1">
        <f ca="1">IF(AI2307="Yes",INDEX('Staff Review'!$D$8:$D$507,I2307),IF(AB2307=0,"",IF(COUNT(INDEX($C$1531:$C$2030,AB2307))=1,INDEX($C$1531:$C$2030,AB2307),"")))</f>
        <v>0.39687573751729766</v>
      </c>
      <c r="L2307" s="1">
        <f>IF(AJ2307="Yes",INDEX('Staff Review'!$F$8:$F$507,I2307),IF(AB2307=0,"",IF(COUNT(INDEX($G$1531:$G$2030,AB2307))=1,INDEX($G$1531:$G$2030,AB2307),"")))</f>
        <v>9</v>
      </c>
      <c r="M2307" s="1" t="str">
        <f t="shared" ref="M2307:M2370" ca="1" si="128">IF(A2307="","",IF(AI2307="Yes","Verified","Listed"))</f>
        <v>Listed</v>
      </c>
      <c r="N2307" s="1" t="str">
        <f t="shared" ref="N2307:N2370" si="129">IF(A2307="","",IF(AJ2307="Yes","Verified","Listed"))</f>
        <v>Listed</v>
      </c>
      <c r="O2307" s="1">
        <f t="shared" ref="O2307:O2370" si="130">IF(AND(ISNUMBER(G2307),G2307&gt;=0,G2307&lt;=1),IF(G2307&gt;=0.9,30,IF(G2307&gt;=0.8,25,IF(G2307&gt;=0.7,20,IF(G2307&gt;=0.6,15,IF(G2307&gt;=0.5,10,IF(G2307&gt;=0.4,5,0)))))),"")</f>
        <v>25</v>
      </c>
      <c r="P2307" s="1">
        <f t="shared" ref="P2307:P2370" ca="1" si="131">IF(ISNUMBER(K2307),IF(K2307&lt;0,"",IF(K2307&gt;1,25,IF(K2307&gt;=0.75,20,IF(K2307&gt;=0.5,15,IF(K2307&gt;=0.25,10,5))))),"")</f>
        <v>10</v>
      </c>
      <c r="Q2307" s="1">
        <f t="shared" ref="Q2307:Q2370" si="132">IF(NOT(ISNUMBER(L2307)),"",IF(AND(L2307&gt;=0,MOD(L2307,1)=0),MAX(0,25-5*L2307),""))</f>
        <v>0</v>
      </c>
      <c r="R2307" s="1">
        <f t="shared" ref="R2307:R2370" si="133">IF(NOT(ISNUMBER(F2307)),"",IF(AND(F2307&gt;0,MOD(F2307,1)=0),IF(F2307&gt;=700,5,IF(F2307&gt;=500,4,IF(F2307&gt;=350,3,IF(F2307&gt;=200,2,1)))),""))</f>
        <v>4</v>
      </c>
      <c r="S2307" s="1">
        <f t="shared" ref="S2307:S2370" ca="1" si="134">IF(COUNT(O2307:R2307)=4,SUM(O2307:R2307),"")</f>
        <v>39</v>
      </c>
      <c r="T2307" s="1">
        <f ca="1">IF(OR(COUNT(O2307:R2307)&lt;&gt;4,COUNT('Top 25'!$B$45:$E$45)&lt;&gt;4,MIN('Top 25'!$B$45:$E$45)&lt;0,SUM('Top 25'!$B$45:$E$45)&lt;=0),"",ROUND(85*(O2307/30*'Top 25'!$B$45+P2307/25*'Top 25'!$C$45+Q2307/25*'Top 25'!$D$45+R2307/5*'Top 25'!$E$45)/SUM('Top 25'!$B$45:$E$45),6))</f>
        <v>39</v>
      </c>
      <c r="U2307" s="1" t="str">
        <f t="shared" ref="U2307:U2370" ca="1" si="135">IF(A2307="","",IF(AND(M2307="Verified",N2307="Verified"),"Verified",IF(AND(M2307="Listed",N2307="Listed"),"Listed","Mixed")))</f>
        <v>Listed</v>
      </c>
      <c r="V2307" s="1" t="str">
        <f ca="1">IF(A2307="","",IF(AK2307&lt;&gt;1,"Duplicate source ID",IF(COUNTIFS('Staff Review'!$A$8:$A$507,A2307)&gt;1,"Duplicate review ID",IF(H2307&lt;&gt;"Yes","Outside scope",IF(J2307="Yes","Already served",IF(NOT(ISNUMBER(T2307)),"Missing data","Candidate"))))))</f>
        <v>Candidate</v>
      </c>
      <c r="W2307" s="1">
        <f t="shared" ref="W2307:W2370" ca="1" si="136">IF(AL2307=0,"",1+COUNTIFS($AL$2051:$AL$2550,1,$T$2051:$T$2550,"&gt;"&amp;T2307)+COUNTIFS($AL$2051:$AL$2550,1,$T$2051:$T$2550,T2307,$G$2051:$G$2550,"&gt;"&amp;G2307)+COUNTIFS($AL$2051:$AL$2550,1,$T$2051:$T$2550,T2307,$G$2051:$G$2550,G2307,$F$2051:$F$2550,"&gt;"&amp;F2307)+COUNTIFS($AL$2051:$AL$2550,1,$T$2051:$T$2550,T2307,$G$2051:$G$2550,G2307,$F$2051:$F$2550,F2307,$AM$2051:$AM$2550,"&lt;"&amp;AM2307))</f>
        <v>151</v>
      </c>
      <c r="X2307" s="1">
        <f t="shared" ref="X2307:X2370" ca="1" si="137">IF(AL2307=0,"",1+COUNTIFS($AL$2051:$AL$2550,1,$T$2051:$T$2550,"&gt;"&amp;T2307))</f>
        <v>148</v>
      </c>
      <c r="Y2307" s="1">
        <f ca="1">IF(AND(H2307="Yes",OR(LEN('School Search'!$B$5)=0,ISNUMBER(SEARCH('School Search'!$B$5,B2307&amp;" "&amp;E2307&amp;" "&amp;A2307))),OR('School Search'!$D$5="All",C2307='School Search'!$D$5),OR('School Search'!$G$5="All eligible",AND('School Search'!$G$5="Not marked served",J2307&lt;&gt;"Yes"),AND('School Search'!$G$5="Missing data",V2307="Missing data"),AND('School Search'!$G$5="Marked served",J2307="Yes"))),1,0)</f>
        <v>1</v>
      </c>
      <c r="Z2307" s="1">
        <f ca="1">IF(Y2307=0,"",COUNTIFS($Y$2051:$Y$2550,1,$AO$2051:$AO$2550,"&lt;"&amp;AO2307)+COUNTIFS($Y$2051:Y2307,1,$AO$2051:AO2307,AO2307))</f>
        <v>151</v>
      </c>
      <c r="AA2307" s="1" t="str">
        <f t="shared" ref="AA2307:AA2370" ca="1" si="138">IF(NOT(ISNUMBER(S2307)),"Missing demographic or access input",TEXT(G2307,"0%")&amp;" economic need; "&amp;TEXT(K2307,"0.00")&amp;" mi fresh access; "&amp;L2307&amp;" nearby resources")</f>
        <v>88% economic need; 0.40 mi fresh access; 9 nearby resources</v>
      </c>
      <c r="AB2307" s="1">
        <f t="shared" ref="AB2307:AB2370" si="139">IF(OR(A2307="",COUNTIFS($A$1531:$A$2030,A2307)&lt;&gt;1),0,MATCH(A2307,$A$1531:$A$2030,0))</f>
        <v>257</v>
      </c>
      <c r="AC2307" s="1" t="str">
        <f t="shared" ref="AC2307:AC2370" si="140">IF(AB2307=0,"",INDEX($E$1531:$E$2030,AB2307))</f>
        <v>ShopRite of Bridge and Harbison 495</v>
      </c>
      <c r="AD2307" s="1" t="str">
        <f t="shared" ref="AD2307:AD2370" si="141">IF(AB2307=0,"",INDEX($F$1531:$F$2030,AB2307))</f>
        <v>5597 Tulip St, Philadelphia, PA, 19124</v>
      </c>
      <c r="AE2307" s="1" t="str">
        <f t="shared" ref="AE2307:AE2370" si="142">IF(A2307="","",F258)</f>
        <v>2000 WAKELING ST</v>
      </c>
      <c r="AF2307" s="1">
        <f t="shared" ref="AF2307:AF2370" si="143">IF(ISNUMBER(I258),I258,"")</f>
        <v>40.012916939999997</v>
      </c>
      <c r="AG2307" s="1">
        <f t="shared" ref="AG2307:AG2370" si="144">IF(ISNUMBER(J258),J258,"")</f>
        <v>-75.074560809999994</v>
      </c>
      <c r="AH2307" s="1" t="str">
        <f>IF(I2307=0,"Not contacted",IF(INDEX('Staff Review'!$J$8:$J$507,I2307)="","Not contacted",INDEX('Staff Review'!$J$8:$J$507,I2307)))</f>
        <v>Not contacted</v>
      </c>
      <c r="AI2307" s="1" t="str">
        <f ca="1">IF(I2307=0,"No",IF(AND(COUNT(INDEX('Staff Review'!$D$8:$D$507,I2307))=1,INDEX('Staff Review'!$D$8:$D$507,I2307)&gt;=0,COUNT(INDEX('Staff Review'!$E$8:$E$507,I2307))=1,INDEX('Staff Review'!$E$8:$E$507,I2307)&gt;0,INDEX('Staff Review'!$E$8:$E$507,I2307)&lt;='Top 25'!$E$5,'Top 25'!$E$5-INDEX('Staff Review'!$E$8:$E$507,I2307)&lt;='Top 25'!$H$5,LEN(INDEX('Staff Review'!$H$8:$H$507,I2307))&gt;0),"Yes","No"))</f>
        <v>No</v>
      </c>
      <c r="AJ2307" s="1" t="str">
        <f>IF(I2307=0,"No",IF(COUNT(INDEX('Staff Review'!$F$8:$F$507,I2307))&lt;&gt;1,"No",IF(AND(INDEX('Staff Review'!$F$8:$F$507,I2307)&gt;=0,MOD(INDEX('Staff Review'!$F$8:$F$507,I2307),1)=0,COUNT(INDEX('Staff Review'!$G$8:$G$507,I2307))=1,INDEX('Staff Review'!$G$8:$G$507,I2307)&gt;0,INDEX('Staff Review'!$G$8:$G$507,I2307)&lt;='Top 25'!$E$5,'Top 25'!$E$5-INDEX('Staff Review'!$G$8:$G$507,I2307)&lt;='Top 25'!$H$5,LEN(INDEX('Staff Review'!$H$8:$H$507,I2307))&gt;0),"Yes","No")))</f>
        <v>No</v>
      </c>
      <c r="AK2307" s="1">
        <f t="shared" ref="AK2307:AK2370" si="145">IF(A2307="",0,COUNTIFS($A$2:$A$501,A2307))</f>
        <v>1</v>
      </c>
      <c r="AL2307" s="1">
        <f t="shared" ref="AL2307:AL2370" ca="1" si="146">IF(V2307="Candidate",1,0)</f>
        <v>1</v>
      </c>
      <c r="AM2307" s="1">
        <f t="shared" ref="AM2307:AM2370" si="147">IF(A2307="",0,VALUE(A2307))</f>
        <v>7110</v>
      </c>
      <c r="AN2307" s="1">
        <f t="shared" ref="AN2307:AN2370" si="148">IF(OR(A2307="",COUNTIFS($T$41:$T$540,A2307)&lt;&gt;1),0,MATCH(A2307,$T$41:$T$540,0))</f>
        <v>257</v>
      </c>
      <c r="AO2307">
        <f t="shared" ref="AO2307:AO2370" ca="1" si="149">IF(ISNUMBER(W2307),W2307,10000+AM2307)</f>
        <v>151</v>
      </c>
      <c r="AP2307" s="105">
        <f ca="1">IF(AND(AL2307=1,OR('Top 25'!$A$10="All",C2307='Top 25'!$A$10),OR('Top 25'!$D$10="All",D2307='Top 25'!$D$10)),1,0)</f>
        <v>0</v>
      </c>
      <c r="AQ2307" s="105" t="str">
        <f ca="1">IF(AP2307=0,"",CHOOSE(MATCH('Top 25'!$G$10,{"Priority score","Economic need","Enrollment","Fresh miles","Nearby resources"},0),T2307,G2307,F2307,K2307,L2307))</f>
        <v/>
      </c>
      <c r="AR2307" s="105" t="str">
        <f ca="1">IF(AP2307=0,"",1+COUNTIFS($AP$2051:$AP$2550,1,$AQ$2051:$AQ$2550,IF('Top 25'!$J$10="Ascending","&lt;","&gt;")&amp;AQ2307)+COUNTIFS($AP$2051:$AP$2550,1,$AQ$2051:$AQ$2550,AQ2307,$W$2051:$W$2550,"&lt;"&amp;W2307))</f>
        <v/>
      </c>
      <c r="AT2307" s="105">
        <f ca="1">IF(AND(AL2307=1,OR(Master_rankableSchools!$A$10="All",C2307=Master_rankableSchools!$A$10),OR(Master_rankableSchools!$D$10="All",D2307=Master_rankableSchools!$D$10)),1,0)</f>
        <v>1</v>
      </c>
      <c r="AU2307" s="105">
        <f ca="1">IF(AT2307=0,"",CHOOSE(MATCH(Master_rankableSchools!$G$10,{"Priority score","Economic need","Enrollment","Fresh miles","Nearby resources"},0),T2307,G2307,F2307,K2307,L2307))</f>
        <v>39</v>
      </c>
      <c r="AV2307" s="105">
        <f ca="1">IF(AT2307=0,"",1+COUNTIFS($AT$2051:$AT$2550,1,$AU$2051:$AU$2550,IF(Master_rankableSchools!$J$10="Ascending","&lt;","&gt;")&amp;AU2307)+COUNTIFS($AT$2051:$AT$2550,1,$AU$2051:$AU$2550,AU2307,$W$2051:$W$2550,"&lt;"&amp;W2307))</f>
        <v>151</v>
      </c>
    </row>
    <row r="2308" spans="1:48" ht="22" customHeight="1">
      <c r="A2308" s="1" t="str">
        <f t="shared" si="120"/>
        <v>7120</v>
      </c>
      <c r="B2308" s="1" t="str">
        <f t="shared" si="121"/>
        <v>Samuel Fels High School</v>
      </c>
      <c r="C2308" s="1" t="str">
        <f t="shared" si="122"/>
        <v>District</v>
      </c>
      <c r="D2308" s="1" t="str">
        <f t="shared" si="123"/>
        <v>High</v>
      </c>
      <c r="E2308" s="1" t="str">
        <f t="shared" si="124"/>
        <v>19124</v>
      </c>
      <c r="F2308" s="1">
        <f t="shared" si="125"/>
        <v>1228</v>
      </c>
      <c r="G2308" s="1">
        <f t="shared" si="126"/>
        <v>0.77959999999999996</v>
      </c>
      <c r="H2308" s="1" t="str">
        <f t="shared" si="127"/>
        <v>Yes</v>
      </c>
      <c r="I2308" s="1">
        <f>IF(OR(A2308="",COUNTIFS('Staff Review'!$A$8:$A$507,A2308)&lt;&gt;1),0,MATCH(A2308,'Staff Review'!$A$8:$A$507,0))</f>
        <v>261</v>
      </c>
      <c r="J2308" s="1" t="str">
        <f>IF(I2308=0,"No",IF(INDEX('Staff Review'!$C$8:$C$507,I2308)="Yes","Yes","No"))</f>
        <v>No</v>
      </c>
      <c r="K2308" s="1">
        <f ca="1">IF(AI2308="Yes",INDEX('Staff Review'!$D$8:$D$507,I2308),IF(AB2308=0,"",IF(COUNT(INDEX($C$1531:$C$2030,AB2308))=1,INDEX($C$1531:$C$2030,AB2308),"")))</f>
        <v>0.4469722876802889</v>
      </c>
      <c r="L2308" s="1">
        <f>IF(AJ2308="Yes",INDEX('Staff Review'!$F$8:$F$507,I2308),IF(AB2308=0,"",IF(COUNT(INDEX($G$1531:$G$2030,AB2308))=1,INDEX($G$1531:$G$2030,AB2308),"")))</f>
        <v>6</v>
      </c>
      <c r="M2308" s="1" t="str">
        <f t="shared" ca="1" si="128"/>
        <v>Listed</v>
      </c>
      <c r="N2308" s="1" t="str">
        <f t="shared" si="129"/>
        <v>Listed</v>
      </c>
      <c r="O2308" s="1">
        <f t="shared" si="130"/>
        <v>20</v>
      </c>
      <c r="P2308" s="1">
        <f t="shared" ca="1" si="131"/>
        <v>10</v>
      </c>
      <c r="Q2308" s="1">
        <f t="shared" si="132"/>
        <v>0</v>
      </c>
      <c r="R2308" s="1">
        <f t="shared" si="133"/>
        <v>5</v>
      </c>
      <c r="S2308" s="1">
        <f t="shared" ca="1" si="134"/>
        <v>35</v>
      </c>
      <c r="T2308" s="1">
        <f ca="1">IF(OR(COUNT(O2308:R2308)&lt;&gt;4,COUNT('Top 25'!$B$45:$E$45)&lt;&gt;4,MIN('Top 25'!$B$45:$E$45)&lt;0,SUM('Top 25'!$B$45:$E$45)&lt;=0),"",ROUND(85*(O2308/30*'Top 25'!$B$45+P2308/25*'Top 25'!$C$45+Q2308/25*'Top 25'!$D$45+R2308/5*'Top 25'!$E$45)/SUM('Top 25'!$B$45:$E$45),6))</f>
        <v>35</v>
      </c>
      <c r="U2308" s="1" t="str">
        <f t="shared" ca="1" si="135"/>
        <v>Listed</v>
      </c>
      <c r="V2308" s="1" t="str">
        <f ca="1">IF(A2308="","",IF(AK2308&lt;&gt;1,"Duplicate source ID",IF(COUNTIFS('Staff Review'!$A$8:$A$507,A2308)&gt;1,"Duplicate review ID",IF(H2308&lt;&gt;"Yes","Outside scope",IF(J2308="Yes","Already served",IF(NOT(ISNUMBER(T2308)),"Missing data","Candidate"))))))</f>
        <v>Candidate</v>
      </c>
      <c r="W2308" s="1">
        <f t="shared" ca="1" si="136"/>
        <v>213</v>
      </c>
      <c r="X2308" s="1">
        <f t="shared" ca="1" si="137"/>
        <v>210</v>
      </c>
      <c r="Y2308" s="1">
        <f ca="1">IF(AND(H2308="Yes",OR(LEN('School Search'!$B$5)=0,ISNUMBER(SEARCH('School Search'!$B$5,B2308&amp;" "&amp;E2308&amp;" "&amp;A2308))),OR('School Search'!$D$5="All",C2308='School Search'!$D$5),OR('School Search'!$G$5="All eligible",AND('School Search'!$G$5="Not marked served",J2308&lt;&gt;"Yes"),AND('School Search'!$G$5="Missing data",V2308="Missing data"),AND('School Search'!$G$5="Marked served",J2308="Yes"))),1,0)</f>
        <v>1</v>
      </c>
      <c r="Z2308" s="1">
        <f ca="1">IF(Y2308=0,"",COUNTIFS($Y$2051:$Y$2550,1,$AO$2051:$AO$2550,"&lt;"&amp;AO2308)+COUNTIFS($Y$2051:Y2308,1,$AO$2051:AO2308,AO2308))</f>
        <v>213</v>
      </c>
      <c r="AA2308" s="1" t="str">
        <f t="shared" ca="1" si="138"/>
        <v>78% economic need; 0.45 mi fresh access; 6 nearby resources</v>
      </c>
      <c r="AB2308" s="1">
        <f t="shared" si="139"/>
        <v>258</v>
      </c>
      <c r="AC2308" s="1" t="str">
        <f t="shared" si="140"/>
        <v>No. 1 Ben City Supermarket Inc</v>
      </c>
      <c r="AD2308" s="1" t="str">
        <f t="shared" si="141"/>
        <v>5520 Whitaker Ave, Philadelphia, PA, 19124</v>
      </c>
      <c r="AE2308" s="1" t="str">
        <f t="shared" si="142"/>
        <v>5500 LANGDON ST</v>
      </c>
      <c r="AF2308" s="1">
        <f t="shared" si="143"/>
        <v>40.035646460000002</v>
      </c>
      <c r="AG2308" s="1">
        <f t="shared" si="144"/>
        <v>-75.091094040000002</v>
      </c>
      <c r="AH2308" s="1" t="str">
        <f>IF(I2308=0,"Not contacted",IF(INDEX('Staff Review'!$J$8:$J$507,I2308)="","Not contacted",INDEX('Staff Review'!$J$8:$J$507,I2308)))</f>
        <v>Not contacted</v>
      </c>
      <c r="AI2308" s="1" t="str">
        <f ca="1">IF(I2308=0,"No",IF(AND(COUNT(INDEX('Staff Review'!$D$8:$D$507,I2308))=1,INDEX('Staff Review'!$D$8:$D$507,I2308)&gt;=0,COUNT(INDEX('Staff Review'!$E$8:$E$507,I2308))=1,INDEX('Staff Review'!$E$8:$E$507,I2308)&gt;0,INDEX('Staff Review'!$E$8:$E$507,I2308)&lt;='Top 25'!$E$5,'Top 25'!$E$5-INDEX('Staff Review'!$E$8:$E$507,I2308)&lt;='Top 25'!$H$5,LEN(INDEX('Staff Review'!$H$8:$H$507,I2308))&gt;0),"Yes","No"))</f>
        <v>No</v>
      </c>
      <c r="AJ2308" s="1" t="str">
        <f>IF(I2308=0,"No",IF(COUNT(INDEX('Staff Review'!$F$8:$F$507,I2308))&lt;&gt;1,"No",IF(AND(INDEX('Staff Review'!$F$8:$F$507,I2308)&gt;=0,MOD(INDEX('Staff Review'!$F$8:$F$507,I2308),1)=0,COUNT(INDEX('Staff Review'!$G$8:$G$507,I2308))=1,INDEX('Staff Review'!$G$8:$G$507,I2308)&gt;0,INDEX('Staff Review'!$G$8:$G$507,I2308)&lt;='Top 25'!$E$5,'Top 25'!$E$5-INDEX('Staff Review'!$G$8:$G$507,I2308)&lt;='Top 25'!$H$5,LEN(INDEX('Staff Review'!$H$8:$H$507,I2308))&gt;0),"Yes","No")))</f>
        <v>No</v>
      </c>
      <c r="AK2308" s="1">
        <f t="shared" si="145"/>
        <v>1</v>
      </c>
      <c r="AL2308" s="1">
        <f t="shared" ca="1" si="146"/>
        <v>1</v>
      </c>
      <c r="AM2308" s="1">
        <f t="shared" si="147"/>
        <v>7120</v>
      </c>
      <c r="AN2308" s="1">
        <f t="shared" si="148"/>
        <v>258</v>
      </c>
      <c r="AO2308">
        <f t="shared" ca="1" si="149"/>
        <v>213</v>
      </c>
      <c r="AP2308" s="105">
        <f ca="1">IF(AND(AL2308=1,OR('Top 25'!$A$10="All",C2308='Top 25'!$A$10),OR('Top 25'!$D$10="All",D2308='Top 25'!$D$10)),1,0)</f>
        <v>0</v>
      </c>
      <c r="AQ2308" s="105" t="str">
        <f ca="1">IF(AP2308=0,"",CHOOSE(MATCH('Top 25'!$G$10,{"Priority score","Economic need","Enrollment","Fresh miles","Nearby resources"},0),T2308,G2308,F2308,K2308,L2308))</f>
        <v/>
      </c>
      <c r="AR2308" s="105" t="str">
        <f ca="1">IF(AP2308=0,"",1+COUNTIFS($AP$2051:$AP$2550,1,$AQ$2051:$AQ$2550,IF('Top 25'!$J$10="Ascending","&lt;","&gt;")&amp;AQ2308)+COUNTIFS($AP$2051:$AP$2550,1,$AQ$2051:$AQ$2550,AQ2308,$W$2051:$W$2550,"&lt;"&amp;W2308))</f>
        <v/>
      </c>
      <c r="AT2308" s="105">
        <f ca="1">IF(AND(AL2308=1,OR(Master_rankableSchools!$A$10="All",C2308=Master_rankableSchools!$A$10),OR(Master_rankableSchools!$D$10="All",D2308=Master_rankableSchools!$D$10)),1,0)</f>
        <v>1</v>
      </c>
      <c r="AU2308" s="105">
        <f ca="1">IF(AT2308=0,"",CHOOSE(MATCH(Master_rankableSchools!$G$10,{"Priority score","Economic need","Enrollment","Fresh miles","Nearby resources"},0),T2308,G2308,F2308,K2308,L2308))</f>
        <v>35</v>
      </c>
      <c r="AV2308" s="105">
        <f ca="1">IF(AT2308=0,"",1+COUNTIFS($AT$2051:$AT$2550,1,$AU$2051:$AU$2550,IF(Master_rankableSchools!$J$10="Ascending","&lt;","&gt;")&amp;AU2308)+COUNTIFS($AT$2051:$AT$2550,1,$AU$2051:$AU$2550,AU2308,$W$2051:$W$2550,"&lt;"&amp;W2308))</f>
        <v>213</v>
      </c>
    </row>
    <row r="2309" spans="1:48" ht="22" customHeight="1">
      <c r="A2309" s="1" t="str">
        <f t="shared" si="120"/>
        <v>7130</v>
      </c>
      <c r="B2309" s="1" t="str">
        <f t="shared" si="121"/>
        <v>General Louis Wagner School</v>
      </c>
      <c r="C2309" s="1" t="str">
        <f t="shared" si="122"/>
        <v>District</v>
      </c>
      <c r="D2309" s="1" t="str">
        <f t="shared" si="123"/>
        <v>Middle</v>
      </c>
      <c r="E2309" s="1" t="str">
        <f t="shared" si="124"/>
        <v>19126</v>
      </c>
      <c r="F2309" s="1">
        <f t="shared" si="125"/>
        <v>294</v>
      </c>
      <c r="G2309" s="1">
        <f t="shared" si="126"/>
        <v>0.87029999999999996</v>
      </c>
      <c r="H2309" s="1" t="str">
        <f t="shared" si="127"/>
        <v>Yes</v>
      </c>
      <c r="I2309" s="1">
        <f>IF(OR(A2309="",COUNTIFS('Staff Review'!$A$8:$A$507,A2309)&lt;&gt;1),0,MATCH(A2309,'Staff Review'!$A$8:$A$507,0))</f>
        <v>92</v>
      </c>
      <c r="J2309" s="1" t="str">
        <f>IF(I2309=0,"No",IF(INDEX('Staff Review'!$C$8:$C$507,I2309)="Yes","Yes","No"))</f>
        <v>No</v>
      </c>
      <c r="K2309" s="1">
        <f ca="1">IF(AI2309="Yes",INDEX('Staff Review'!$D$8:$D$507,I2309),IF(AB2309=0,"",IF(COUNT(INDEX($C$1531:$C$2030,AB2309))=1,INDEX($C$1531:$C$2030,AB2309),"")))</f>
        <v>0.41866095869762276</v>
      </c>
      <c r="L2309" s="1">
        <f>IF(AJ2309="Yes",INDEX('Staff Review'!$F$8:$F$507,I2309),IF(AB2309=0,"",IF(COUNT(INDEX($G$1531:$G$2030,AB2309))=1,INDEX($G$1531:$G$2030,AB2309),"")))</f>
        <v>11</v>
      </c>
      <c r="M2309" s="1" t="str">
        <f t="shared" ca="1" si="128"/>
        <v>Listed</v>
      </c>
      <c r="N2309" s="1" t="str">
        <f t="shared" si="129"/>
        <v>Listed</v>
      </c>
      <c r="O2309" s="1">
        <f t="shared" si="130"/>
        <v>25</v>
      </c>
      <c r="P2309" s="1">
        <f t="shared" ca="1" si="131"/>
        <v>10</v>
      </c>
      <c r="Q2309" s="1">
        <f t="shared" si="132"/>
        <v>0</v>
      </c>
      <c r="R2309" s="1">
        <f t="shared" si="133"/>
        <v>2</v>
      </c>
      <c r="S2309" s="1">
        <f t="shared" ca="1" si="134"/>
        <v>37</v>
      </c>
      <c r="T2309" s="1">
        <f ca="1">IF(OR(COUNT(O2309:R2309)&lt;&gt;4,COUNT('Top 25'!$B$45:$E$45)&lt;&gt;4,MIN('Top 25'!$B$45:$E$45)&lt;0,SUM('Top 25'!$B$45:$E$45)&lt;=0),"",ROUND(85*(O2309/30*'Top 25'!$B$45+P2309/25*'Top 25'!$C$45+Q2309/25*'Top 25'!$D$45+R2309/5*'Top 25'!$E$45)/SUM('Top 25'!$B$45:$E$45),6))</f>
        <v>37</v>
      </c>
      <c r="U2309" s="1" t="str">
        <f t="shared" ca="1" si="135"/>
        <v>Listed</v>
      </c>
      <c r="V2309" s="1" t="str">
        <f ca="1">IF(A2309="","",IF(AK2309&lt;&gt;1,"Duplicate source ID",IF(COUNTIFS('Staff Review'!$A$8:$A$507,A2309)&gt;1,"Duplicate review ID",IF(H2309&lt;&gt;"Yes","Outside scope",IF(J2309="Yes","Already served",IF(NOT(ISNUMBER(T2309)),"Missing data","Candidate"))))))</f>
        <v>Candidate</v>
      </c>
      <c r="W2309" s="1">
        <f t="shared" ca="1" si="136"/>
        <v>193</v>
      </c>
      <c r="X2309" s="1">
        <f t="shared" ca="1" si="137"/>
        <v>182</v>
      </c>
      <c r="Y2309" s="1">
        <f ca="1">IF(AND(H2309="Yes",OR(LEN('School Search'!$B$5)=0,ISNUMBER(SEARCH('School Search'!$B$5,B2309&amp;" "&amp;E2309&amp;" "&amp;A2309))),OR('School Search'!$D$5="All",C2309='School Search'!$D$5),OR('School Search'!$G$5="All eligible",AND('School Search'!$G$5="Not marked served",J2309&lt;&gt;"Yes"),AND('School Search'!$G$5="Missing data",V2309="Missing data"),AND('School Search'!$G$5="Marked served",J2309="Yes"))),1,0)</f>
        <v>1</v>
      </c>
      <c r="Z2309" s="1">
        <f ca="1">IF(Y2309=0,"",COUNTIFS($Y$2051:$Y$2550,1,$AO$2051:$AO$2550,"&lt;"&amp;AO2309)+COUNTIFS($Y$2051:Y2309,1,$AO$2051:AO2309,AO2309))</f>
        <v>193</v>
      </c>
      <c r="AA2309" s="1" t="str">
        <f t="shared" ca="1" si="138"/>
        <v>87% economic need; 0.42 mi fresh access; 11 nearby resources</v>
      </c>
      <c r="AB2309" s="1">
        <f t="shared" si="139"/>
        <v>259</v>
      </c>
      <c r="AC2309" s="1" t="str">
        <f t="shared" si="140"/>
        <v>ALDI 60011 60011</v>
      </c>
      <c r="AD2309" s="1" t="str">
        <f t="shared" si="141"/>
        <v>6119 N Broad St, Philadelphia, PA, 19141</v>
      </c>
      <c r="AE2309" s="1" t="str">
        <f t="shared" si="142"/>
        <v>1701 W CHELTEN AVE</v>
      </c>
      <c r="AF2309" s="1">
        <f t="shared" si="143"/>
        <v>40.051747480000003</v>
      </c>
      <c r="AG2309" s="1">
        <f t="shared" si="144"/>
        <v>-75.147679620000005</v>
      </c>
      <c r="AH2309" s="1" t="str">
        <f>IF(I2309=0,"Not contacted",IF(INDEX('Staff Review'!$J$8:$J$507,I2309)="","Not contacted",INDEX('Staff Review'!$J$8:$J$507,I2309)))</f>
        <v>Not contacted</v>
      </c>
      <c r="AI2309" s="1" t="str">
        <f ca="1">IF(I2309=0,"No",IF(AND(COUNT(INDEX('Staff Review'!$D$8:$D$507,I2309))=1,INDEX('Staff Review'!$D$8:$D$507,I2309)&gt;=0,COUNT(INDEX('Staff Review'!$E$8:$E$507,I2309))=1,INDEX('Staff Review'!$E$8:$E$507,I2309)&gt;0,INDEX('Staff Review'!$E$8:$E$507,I2309)&lt;='Top 25'!$E$5,'Top 25'!$E$5-INDEX('Staff Review'!$E$8:$E$507,I2309)&lt;='Top 25'!$H$5,LEN(INDEX('Staff Review'!$H$8:$H$507,I2309))&gt;0),"Yes","No"))</f>
        <v>No</v>
      </c>
      <c r="AJ2309" s="1" t="str">
        <f>IF(I2309=0,"No",IF(COUNT(INDEX('Staff Review'!$F$8:$F$507,I2309))&lt;&gt;1,"No",IF(AND(INDEX('Staff Review'!$F$8:$F$507,I2309)&gt;=0,MOD(INDEX('Staff Review'!$F$8:$F$507,I2309),1)=0,COUNT(INDEX('Staff Review'!$G$8:$G$507,I2309))=1,INDEX('Staff Review'!$G$8:$G$507,I2309)&gt;0,INDEX('Staff Review'!$G$8:$G$507,I2309)&lt;='Top 25'!$E$5,'Top 25'!$E$5-INDEX('Staff Review'!$G$8:$G$507,I2309)&lt;='Top 25'!$H$5,LEN(INDEX('Staff Review'!$H$8:$H$507,I2309))&gt;0),"Yes","No")))</f>
        <v>No</v>
      </c>
      <c r="AK2309" s="1">
        <f t="shared" si="145"/>
        <v>1</v>
      </c>
      <c r="AL2309" s="1">
        <f t="shared" ca="1" si="146"/>
        <v>1</v>
      </c>
      <c r="AM2309" s="1">
        <f t="shared" si="147"/>
        <v>7130</v>
      </c>
      <c r="AN2309" s="1">
        <f t="shared" si="148"/>
        <v>259</v>
      </c>
      <c r="AO2309">
        <f t="shared" ca="1" si="149"/>
        <v>193</v>
      </c>
      <c r="AP2309" s="105">
        <f ca="1">IF(AND(AL2309=1,OR('Top 25'!$A$10="All",C2309='Top 25'!$A$10),OR('Top 25'!$D$10="All",D2309='Top 25'!$D$10)),1,0)</f>
        <v>0</v>
      </c>
      <c r="AQ2309" s="105" t="str">
        <f ca="1">IF(AP2309=0,"",CHOOSE(MATCH('Top 25'!$G$10,{"Priority score","Economic need","Enrollment","Fresh miles","Nearby resources"},0),T2309,G2309,F2309,K2309,L2309))</f>
        <v/>
      </c>
      <c r="AR2309" s="105" t="str">
        <f ca="1">IF(AP2309=0,"",1+COUNTIFS($AP$2051:$AP$2550,1,$AQ$2051:$AQ$2550,IF('Top 25'!$J$10="Ascending","&lt;","&gt;")&amp;AQ2309)+COUNTIFS($AP$2051:$AP$2550,1,$AQ$2051:$AQ$2550,AQ2309,$W$2051:$W$2550,"&lt;"&amp;W2309))</f>
        <v/>
      </c>
      <c r="AT2309" s="105">
        <f ca="1">IF(AND(AL2309=1,OR(Master_rankableSchools!$A$10="All",C2309=Master_rankableSchools!$A$10),OR(Master_rankableSchools!$D$10="All",D2309=Master_rankableSchools!$D$10)),1,0)</f>
        <v>1</v>
      </c>
      <c r="AU2309" s="105">
        <f ca="1">IF(AT2309=0,"",CHOOSE(MATCH(Master_rankableSchools!$G$10,{"Priority score","Economic need","Enrollment","Fresh miles","Nearby resources"},0),T2309,G2309,F2309,K2309,L2309))</f>
        <v>37</v>
      </c>
      <c r="AV2309" s="105">
        <f ca="1">IF(AT2309=0,"",1+COUNTIFS($AT$2051:$AT$2550,1,$AU$2051:$AU$2550,IF(Master_rankableSchools!$J$10="Ascending","&lt;","&gt;")&amp;AU2309)+COUNTIFS($AT$2051:$AT$2550,1,$AU$2051:$AU$2550,AU2309,$W$2051:$W$2550,"&lt;"&amp;W2309))</f>
        <v>193</v>
      </c>
    </row>
    <row r="2310" spans="1:48" ht="22" customHeight="1">
      <c r="A2310" s="1" t="str">
        <f t="shared" si="120"/>
        <v>7150</v>
      </c>
      <c r="B2310" s="1" t="str">
        <f t="shared" si="121"/>
        <v>Juniata Park Academy</v>
      </c>
      <c r="C2310" s="1" t="str">
        <f t="shared" si="122"/>
        <v>District</v>
      </c>
      <c r="D2310" s="1" t="str">
        <f t="shared" si="123"/>
        <v>Elementary-Middle</v>
      </c>
      <c r="E2310" s="1" t="str">
        <f t="shared" si="124"/>
        <v>19124</v>
      </c>
      <c r="F2310" s="1">
        <f t="shared" si="125"/>
        <v>784</v>
      </c>
      <c r="G2310" s="1">
        <f t="shared" si="126"/>
        <v>0.87990000000000002</v>
      </c>
      <c r="H2310" s="1" t="str">
        <f t="shared" si="127"/>
        <v>Yes</v>
      </c>
      <c r="I2310" s="1">
        <f>IF(OR(A2310="",COUNTIFS('Staff Review'!$A$8:$A$507,A2310)&lt;&gt;1),0,MATCH(A2310,'Staff Review'!$A$8:$A$507,0))</f>
        <v>154</v>
      </c>
      <c r="J2310" s="1" t="str">
        <f>IF(I2310=0,"No",IF(INDEX('Staff Review'!$C$8:$C$507,I2310)="Yes","Yes","No"))</f>
        <v>No</v>
      </c>
      <c r="K2310" s="1">
        <f ca="1">IF(AI2310="Yes",INDEX('Staff Review'!$D$8:$D$507,I2310),IF(AB2310=0,"",IF(COUNT(INDEX($C$1531:$C$2030,AB2310))=1,INDEX($C$1531:$C$2030,AB2310),"")))</f>
        <v>0.26634925426293254</v>
      </c>
      <c r="L2310" s="1">
        <f>IF(AJ2310="Yes",INDEX('Staff Review'!$F$8:$F$507,I2310),IF(AB2310=0,"",IF(COUNT(INDEX($G$1531:$G$2030,AB2310))=1,INDEX($G$1531:$G$2030,AB2310),"")))</f>
        <v>3</v>
      </c>
      <c r="M2310" s="1" t="str">
        <f t="shared" ca="1" si="128"/>
        <v>Listed</v>
      </c>
      <c r="N2310" s="1" t="str">
        <f t="shared" si="129"/>
        <v>Listed</v>
      </c>
      <c r="O2310" s="1">
        <f t="shared" si="130"/>
        <v>25</v>
      </c>
      <c r="P2310" s="1">
        <f t="shared" ca="1" si="131"/>
        <v>10</v>
      </c>
      <c r="Q2310" s="1">
        <f t="shared" si="132"/>
        <v>10</v>
      </c>
      <c r="R2310" s="1">
        <f t="shared" si="133"/>
        <v>5</v>
      </c>
      <c r="S2310" s="1">
        <f t="shared" ca="1" si="134"/>
        <v>50</v>
      </c>
      <c r="T2310" s="1">
        <f ca="1">IF(OR(COUNT(O2310:R2310)&lt;&gt;4,COUNT('Top 25'!$B$45:$E$45)&lt;&gt;4,MIN('Top 25'!$B$45:$E$45)&lt;0,SUM('Top 25'!$B$45:$E$45)&lt;=0),"",ROUND(85*(O2310/30*'Top 25'!$B$45+P2310/25*'Top 25'!$C$45+Q2310/25*'Top 25'!$D$45+R2310/5*'Top 25'!$E$45)/SUM('Top 25'!$B$45:$E$45),6))</f>
        <v>50</v>
      </c>
      <c r="U2310" s="1" t="str">
        <f t="shared" ca="1" si="135"/>
        <v>Listed</v>
      </c>
      <c r="V2310" s="1" t="str">
        <f ca="1">IF(A2310="","",IF(AK2310&lt;&gt;1,"Duplicate source ID",IF(COUNTIFS('Staff Review'!$A$8:$A$507,A2310)&gt;1,"Duplicate review ID",IF(H2310&lt;&gt;"Yes","Outside scope",IF(J2310="Yes","Already served",IF(NOT(ISNUMBER(T2310)),"Missing data","Candidate"))))))</f>
        <v>Candidate</v>
      </c>
      <c r="W2310" s="1">
        <f t="shared" ca="1" si="136"/>
        <v>42</v>
      </c>
      <c r="X2310" s="1">
        <f t="shared" ca="1" si="137"/>
        <v>39</v>
      </c>
      <c r="Y2310" s="1">
        <f ca="1">IF(AND(H2310="Yes",OR(LEN('School Search'!$B$5)=0,ISNUMBER(SEARCH('School Search'!$B$5,B2310&amp;" "&amp;E2310&amp;" "&amp;A2310))),OR('School Search'!$D$5="All",C2310='School Search'!$D$5),OR('School Search'!$G$5="All eligible",AND('School Search'!$G$5="Not marked served",J2310&lt;&gt;"Yes"),AND('School Search'!$G$5="Missing data",V2310="Missing data"),AND('School Search'!$G$5="Marked served",J2310="Yes"))),1,0)</f>
        <v>1</v>
      </c>
      <c r="Z2310" s="1">
        <f ca="1">IF(Y2310=0,"",COUNTIFS($Y$2051:$Y$2550,1,$AO$2051:$AO$2550,"&lt;"&amp;AO2310)+COUNTIFS($Y$2051:Y2310,1,$AO$2051:AO2310,AO2310))</f>
        <v>42</v>
      </c>
      <c r="AA2310" s="1" t="str">
        <f t="shared" ca="1" si="138"/>
        <v>88% economic need; 0.27 mi fresh access; 3 nearby resources</v>
      </c>
      <c r="AB2310" s="1">
        <f t="shared" si="139"/>
        <v>260</v>
      </c>
      <c r="AC2310" s="1" t="str">
        <f t="shared" si="140"/>
        <v>Juniata Supermarket Inc. 2</v>
      </c>
      <c r="AD2310" s="1" t="str">
        <f t="shared" si="141"/>
        <v>901 E Luzerne St, Philadelphia, PA, 19124</v>
      </c>
      <c r="AE2310" s="1" t="str">
        <f t="shared" si="142"/>
        <v>801 E HUNTING PARK AVE</v>
      </c>
      <c r="AF2310" s="1">
        <f t="shared" si="143"/>
        <v>40.012841219999999</v>
      </c>
      <c r="AG2310" s="1">
        <f t="shared" si="144"/>
        <v>-75.111029209999998</v>
      </c>
      <c r="AH2310" s="1" t="str">
        <f>IF(I2310=0,"Not contacted",IF(INDEX('Staff Review'!$J$8:$J$507,I2310)="","Not contacted",INDEX('Staff Review'!$J$8:$J$507,I2310)))</f>
        <v>Not contacted</v>
      </c>
      <c r="AI2310" s="1" t="str">
        <f ca="1">IF(I2310=0,"No",IF(AND(COUNT(INDEX('Staff Review'!$D$8:$D$507,I2310))=1,INDEX('Staff Review'!$D$8:$D$507,I2310)&gt;=0,COUNT(INDEX('Staff Review'!$E$8:$E$507,I2310))=1,INDEX('Staff Review'!$E$8:$E$507,I2310)&gt;0,INDEX('Staff Review'!$E$8:$E$507,I2310)&lt;='Top 25'!$E$5,'Top 25'!$E$5-INDEX('Staff Review'!$E$8:$E$507,I2310)&lt;='Top 25'!$H$5,LEN(INDEX('Staff Review'!$H$8:$H$507,I2310))&gt;0),"Yes","No"))</f>
        <v>No</v>
      </c>
      <c r="AJ2310" s="1" t="str">
        <f>IF(I2310=0,"No",IF(COUNT(INDEX('Staff Review'!$F$8:$F$507,I2310))&lt;&gt;1,"No",IF(AND(INDEX('Staff Review'!$F$8:$F$507,I2310)&gt;=0,MOD(INDEX('Staff Review'!$F$8:$F$507,I2310),1)=0,COUNT(INDEX('Staff Review'!$G$8:$G$507,I2310))=1,INDEX('Staff Review'!$G$8:$G$507,I2310)&gt;0,INDEX('Staff Review'!$G$8:$G$507,I2310)&lt;='Top 25'!$E$5,'Top 25'!$E$5-INDEX('Staff Review'!$G$8:$G$507,I2310)&lt;='Top 25'!$H$5,LEN(INDEX('Staff Review'!$H$8:$H$507,I2310))&gt;0),"Yes","No")))</f>
        <v>No</v>
      </c>
      <c r="AK2310" s="1">
        <f t="shared" si="145"/>
        <v>1</v>
      </c>
      <c r="AL2310" s="1">
        <f t="shared" ca="1" si="146"/>
        <v>1</v>
      </c>
      <c r="AM2310" s="1">
        <f t="shared" si="147"/>
        <v>7150</v>
      </c>
      <c r="AN2310" s="1">
        <f t="shared" si="148"/>
        <v>260</v>
      </c>
      <c r="AO2310">
        <f t="shared" ca="1" si="149"/>
        <v>42</v>
      </c>
      <c r="AP2310" s="105">
        <f ca="1">IF(AND(AL2310=1,OR('Top 25'!$A$10="All",C2310='Top 25'!$A$10),OR('Top 25'!$D$10="All",D2310='Top 25'!$D$10)),1,0)</f>
        <v>0</v>
      </c>
      <c r="AQ2310" s="105" t="str">
        <f ca="1">IF(AP2310=0,"",CHOOSE(MATCH('Top 25'!$G$10,{"Priority score","Economic need","Enrollment","Fresh miles","Nearby resources"},0),T2310,G2310,F2310,K2310,L2310))</f>
        <v/>
      </c>
      <c r="AR2310" s="105" t="str">
        <f ca="1">IF(AP2310=0,"",1+COUNTIFS($AP$2051:$AP$2550,1,$AQ$2051:$AQ$2550,IF('Top 25'!$J$10="Ascending","&lt;","&gt;")&amp;AQ2310)+COUNTIFS($AP$2051:$AP$2550,1,$AQ$2051:$AQ$2550,AQ2310,$W$2051:$W$2550,"&lt;"&amp;W2310))</f>
        <v/>
      </c>
      <c r="AT2310" s="105">
        <f ca="1">IF(AND(AL2310=1,OR(Master_rankableSchools!$A$10="All",C2310=Master_rankableSchools!$A$10),OR(Master_rankableSchools!$D$10="All",D2310=Master_rankableSchools!$D$10)),1,0)</f>
        <v>1</v>
      </c>
      <c r="AU2310" s="105">
        <f ca="1">IF(AT2310=0,"",CHOOSE(MATCH(Master_rankableSchools!$G$10,{"Priority score","Economic need","Enrollment","Fresh miles","Nearby resources"},0),T2310,G2310,F2310,K2310,L2310))</f>
        <v>50</v>
      </c>
      <c r="AV2310" s="105">
        <f ca="1">IF(AT2310=0,"",1+COUNTIFS($AT$2051:$AT$2550,1,$AU$2051:$AU$2550,IF(Master_rankableSchools!$J$10="Ascending","&lt;","&gt;")&amp;AU2310)+COUNTIFS($AT$2051:$AT$2550,1,$AU$2051:$AU$2550,AU2310,$W$2051:$W$2550,"&lt;"&amp;W2310))</f>
        <v>42</v>
      </c>
    </row>
    <row r="2311" spans="1:48" ht="22" customHeight="1">
      <c r="A2311" s="1" t="str">
        <f t="shared" si="120"/>
        <v>7200</v>
      </c>
      <c r="B2311" s="1" t="str">
        <f t="shared" si="121"/>
        <v>Clara Barton School</v>
      </c>
      <c r="C2311" s="1" t="str">
        <f t="shared" si="122"/>
        <v>District</v>
      </c>
      <c r="D2311" s="1" t="str">
        <f t="shared" si="123"/>
        <v>Elementary</v>
      </c>
      <c r="E2311" s="1" t="str">
        <f t="shared" si="124"/>
        <v>19120</v>
      </c>
      <c r="F2311" s="1">
        <f t="shared" si="125"/>
        <v>423</v>
      </c>
      <c r="G2311" s="1">
        <f t="shared" si="126"/>
        <v>0.82969999999999999</v>
      </c>
      <c r="H2311" s="1" t="str">
        <f t="shared" si="127"/>
        <v>Yes</v>
      </c>
      <c r="I2311" s="1">
        <f>IF(OR(A2311="",COUNTIFS('Staff Review'!$A$8:$A$507,A2311)&lt;&gt;1),0,MATCH(A2311,'Staff Review'!$A$8:$A$507,0))</f>
        <v>43</v>
      </c>
      <c r="J2311" s="1" t="str">
        <f>IF(I2311=0,"No",IF(INDEX('Staff Review'!$C$8:$C$507,I2311)="Yes","Yes","No"))</f>
        <v>No</v>
      </c>
      <c r="K2311" s="1">
        <f ca="1">IF(AI2311="Yes",INDEX('Staff Review'!$D$8:$D$507,I2311),IF(AB2311=0,"",IF(COUNT(INDEX($C$1531:$C$2030,AB2311))=1,INDEX($C$1531:$C$2030,AB2311),"")))</f>
        <v>0.14073385908456693</v>
      </c>
      <c r="L2311" s="1">
        <f>IF(AJ2311="Yes",INDEX('Staff Review'!$F$8:$F$507,I2311),IF(AB2311=0,"",IF(COUNT(INDEX($G$1531:$G$2030,AB2311))=1,INDEX($G$1531:$G$2030,AB2311),"")))</f>
        <v>7</v>
      </c>
      <c r="M2311" s="1" t="str">
        <f t="shared" ca="1" si="128"/>
        <v>Listed</v>
      </c>
      <c r="N2311" s="1" t="str">
        <f t="shared" si="129"/>
        <v>Listed</v>
      </c>
      <c r="O2311" s="1">
        <f t="shared" si="130"/>
        <v>25</v>
      </c>
      <c r="P2311" s="1">
        <f t="shared" ca="1" si="131"/>
        <v>5</v>
      </c>
      <c r="Q2311" s="1">
        <f t="shared" si="132"/>
        <v>0</v>
      </c>
      <c r="R2311" s="1">
        <f t="shared" si="133"/>
        <v>3</v>
      </c>
      <c r="S2311" s="1">
        <f t="shared" ca="1" si="134"/>
        <v>33</v>
      </c>
      <c r="T2311" s="1">
        <f ca="1">IF(OR(COUNT(O2311:R2311)&lt;&gt;4,COUNT('Top 25'!$B$45:$E$45)&lt;&gt;4,MIN('Top 25'!$B$45:$E$45)&lt;0,SUM('Top 25'!$B$45:$E$45)&lt;=0),"",ROUND(85*(O2311/30*'Top 25'!$B$45+P2311/25*'Top 25'!$C$45+Q2311/25*'Top 25'!$D$45+R2311/5*'Top 25'!$E$45)/SUM('Top 25'!$B$45:$E$45),6))</f>
        <v>33</v>
      </c>
      <c r="U2311" s="1" t="str">
        <f t="shared" ca="1" si="135"/>
        <v>Listed</v>
      </c>
      <c r="V2311" s="1" t="str">
        <f ca="1">IF(A2311="","",IF(AK2311&lt;&gt;1,"Duplicate source ID",IF(COUNTIFS('Staff Review'!$A$8:$A$507,A2311)&gt;1,"Duplicate review ID",IF(H2311&lt;&gt;"Yes","Outside scope",IF(J2311="Yes","Already served",IF(NOT(ISNUMBER(T2311)),"Missing data","Candidate"))))))</f>
        <v>Candidate</v>
      </c>
      <c r="W2311" s="1">
        <f t="shared" ca="1" si="136"/>
        <v>237</v>
      </c>
      <c r="X2311" s="1">
        <f t="shared" ca="1" si="137"/>
        <v>233</v>
      </c>
      <c r="Y2311" s="1">
        <f ca="1">IF(AND(H2311="Yes",OR(LEN('School Search'!$B$5)=0,ISNUMBER(SEARCH('School Search'!$B$5,B2311&amp;" "&amp;E2311&amp;" "&amp;A2311))),OR('School Search'!$D$5="All",C2311='School Search'!$D$5),OR('School Search'!$G$5="All eligible",AND('School Search'!$G$5="Not marked served",J2311&lt;&gt;"Yes"),AND('School Search'!$G$5="Missing data",V2311="Missing data"),AND('School Search'!$G$5="Marked served",J2311="Yes"))),1,0)</f>
        <v>1</v>
      </c>
      <c r="Z2311" s="1">
        <f ca="1">IF(Y2311=0,"",COUNTIFS($Y$2051:$Y$2550,1,$AO$2051:$AO$2550,"&lt;"&amp;AO2311)+COUNTIFS($Y$2051:Y2311,1,$AO$2051:AO2311,AO2311))</f>
        <v>237</v>
      </c>
      <c r="AA2311" s="1" t="str">
        <f t="shared" ca="1" si="138"/>
        <v>83% economic need; 0.14 mi fresh access; 7 nearby resources</v>
      </c>
      <c r="AB2311" s="1">
        <f t="shared" si="139"/>
        <v>261</v>
      </c>
      <c r="AC2311" s="1" t="str">
        <f t="shared" si="140"/>
        <v>Compare &amp; Save Supermarket</v>
      </c>
      <c r="AD2311" s="1" t="str">
        <f t="shared" si="141"/>
        <v>405 E Wyoming Ave, Philadelphia, PA, 19120</v>
      </c>
      <c r="AE2311" s="1" t="str">
        <f t="shared" si="142"/>
        <v>4600 ROSEHILL ST</v>
      </c>
      <c r="AF2311" s="1">
        <f t="shared" si="143"/>
        <v>40.019340100000001</v>
      </c>
      <c r="AG2311" s="1">
        <f t="shared" si="144"/>
        <v>-75.119501880000001</v>
      </c>
      <c r="AH2311" s="1" t="str">
        <f>IF(I2311=0,"Not contacted",IF(INDEX('Staff Review'!$J$8:$J$507,I2311)="","Not contacted",INDEX('Staff Review'!$J$8:$J$507,I2311)))</f>
        <v>Not contacted</v>
      </c>
      <c r="AI2311" s="1" t="str">
        <f ca="1">IF(I2311=0,"No",IF(AND(COUNT(INDEX('Staff Review'!$D$8:$D$507,I2311))=1,INDEX('Staff Review'!$D$8:$D$507,I2311)&gt;=0,COUNT(INDEX('Staff Review'!$E$8:$E$507,I2311))=1,INDEX('Staff Review'!$E$8:$E$507,I2311)&gt;0,INDEX('Staff Review'!$E$8:$E$507,I2311)&lt;='Top 25'!$E$5,'Top 25'!$E$5-INDEX('Staff Review'!$E$8:$E$507,I2311)&lt;='Top 25'!$H$5,LEN(INDEX('Staff Review'!$H$8:$H$507,I2311))&gt;0),"Yes","No"))</f>
        <v>No</v>
      </c>
      <c r="AJ2311" s="1" t="str">
        <f>IF(I2311=0,"No",IF(COUNT(INDEX('Staff Review'!$F$8:$F$507,I2311))&lt;&gt;1,"No",IF(AND(INDEX('Staff Review'!$F$8:$F$507,I2311)&gt;=0,MOD(INDEX('Staff Review'!$F$8:$F$507,I2311),1)=0,COUNT(INDEX('Staff Review'!$G$8:$G$507,I2311))=1,INDEX('Staff Review'!$G$8:$G$507,I2311)&gt;0,INDEX('Staff Review'!$G$8:$G$507,I2311)&lt;='Top 25'!$E$5,'Top 25'!$E$5-INDEX('Staff Review'!$G$8:$G$507,I2311)&lt;='Top 25'!$H$5,LEN(INDEX('Staff Review'!$H$8:$H$507,I2311))&gt;0),"Yes","No")))</f>
        <v>No</v>
      </c>
      <c r="AK2311" s="1">
        <f t="shared" si="145"/>
        <v>1</v>
      </c>
      <c r="AL2311" s="1">
        <f t="shared" ca="1" si="146"/>
        <v>1</v>
      </c>
      <c r="AM2311" s="1">
        <f t="shared" si="147"/>
        <v>7200</v>
      </c>
      <c r="AN2311" s="1">
        <f t="shared" si="148"/>
        <v>261</v>
      </c>
      <c r="AO2311">
        <f t="shared" ca="1" si="149"/>
        <v>237</v>
      </c>
      <c r="AP2311" s="105">
        <f ca="1">IF(AND(AL2311=1,OR('Top 25'!$A$10="All",C2311='Top 25'!$A$10),OR('Top 25'!$D$10="All",D2311='Top 25'!$D$10)),1,0)</f>
        <v>1</v>
      </c>
      <c r="AQ2311" s="105">
        <f ca="1">IF(AP2311=0,"",CHOOSE(MATCH('Top 25'!$G$10,{"Priority score","Economic need","Enrollment","Fresh miles","Nearby resources"},0),T2311,G2311,F2311,K2311,L2311))</f>
        <v>33</v>
      </c>
      <c r="AR2311" s="105">
        <f ca="1">IF(AP2311=0,"",1+COUNTIFS($AP$2051:$AP$2550,1,$AQ$2051:$AQ$2550,IF('Top 25'!$J$10="Ascending","&lt;","&gt;")&amp;AQ2311)+COUNTIFS($AP$2051:$AP$2550,1,$AQ$2051:$AQ$2550,AQ2311,$W$2051:$W$2550,"&lt;"&amp;W2311))</f>
        <v>40</v>
      </c>
      <c r="AT2311" s="105">
        <f ca="1">IF(AND(AL2311=1,OR(Master_rankableSchools!$A$10="All",C2311=Master_rankableSchools!$A$10),OR(Master_rankableSchools!$D$10="All",D2311=Master_rankableSchools!$D$10)),1,0)</f>
        <v>1</v>
      </c>
      <c r="AU2311" s="105">
        <f ca="1">IF(AT2311=0,"",CHOOSE(MATCH(Master_rankableSchools!$G$10,{"Priority score","Economic need","Enrollment","Fresh miles","Nearby resources"},0),T2311,G2311,F2311,K2311,L2311))</f>
        <v>33</v>
      </c>
      <c r="AV2311" s="105">
        <f ca="1">IF(AT2311=0,"",1+COUNTIFS($AT$2051:$AT$2550,1,$AU$2051:$AU$2550,IF(Master_rankableSchools!$J$10="Ascending","&lt;","&gt;")&amp;AU2311)+COUNTIFS($AT$2051:$AT$2550,1,$AU$2051:$AU$2550,AU2311,$W$2051:$W$2550,"&lt;"&amp;W2311))</f>
        <v>237</v>
      </c>
    </row>
    <row r="2312" spans="1:48" ht="22" customHeight="1">
      <c r="A2312" s="1" t="str">
        <f t="shared" si="120"/>
        <v>7220</v>
      </c>
      <c r="B2312" s="1" t="str">
        <f t="shared" si="121"/>
        <v>Laura H. Carnell School</v>
      </c>
      <c r="C2312" s="1" t="str">
        <f t="shared" si="122"/>
        <v>District</v>
      </c>
      <c r="D2312" s="1" t="str">
        <f t="shared" si="123"/>
        <v>Elementary</v>
      </c>
      <c r="E2312" s="1" t="str">
        <f t="shared" si="124"/>
        <v>19111</v>
      </c>
      <c r="F2312" s="1">
        <f t="shared" si="125"/>
        <v>652</v>
      </c>
      <c r="G2312" s="1">
        <f t="shared" si="126"/>
        <v>0.76359999999999995</v>
      </c>
      <c r="H2312" s="1" t="str">
        <f t="shared" si="127"/>
        <v>Yes</v>
      </c>
      <c r="I2312" s="1">
        <f>IF(OR(A2312="",COUNTIFS('Staff Review'!$A$8:$A$507,A2312)&lt;&gt;1),0,MATCH(A2312,'Staff Review'!$A$8:$A$507,0))</f>
        <v>168</v>
      </c>
      <c r="J2312" s="1" t="str">
        <f>IF(I2312=0,"No",IF(INDEX('Staff Review'!$C$8:$C$507,I2312)="Yes","Yes","No"))</f>
        <v>No</v>
      </c>
      <c r="K2312" s="1">
        <f ca="1">IF(AI2312="Yes",INDEX('Staff Review'!$D$8:$D$507,I2312),IF(AB2312=0,"",IF(COUNT(INDEX($C$1531:$C$2030,AB2312))=1,INDEX($C$1531:$C$2030,AB2312),"")))</f>
        <v>0.38637813621413586</v>
      </c>
      <c r="L2312" s="1">
        <f>IF(AJ2312="Yes",INDEX('Staff Review'!$F$8:$F$507,I2312),IF(AB2312=0,"",IF(COUNT(INDEX($G$1531:$G$2030,AB2312))=1,INDEX($G$1531:$G$2030,AB2312),"")))</f>
        <v>4</v>
      </c>
      <c r="M2312" s="1" t="str">
        <f t="shared" ca="1" si="128"/>
        <v>Listed</v>
      </c>
      <c r="N2312" s="1" t="str">
        <f t="shared" si="129"/>
        <v>Listed</v>
      </c>
      <c r="O2312" s="1">
        <f t="shared" si="130"/>
        <v>20</v>
      </c>
      <c r="P2312" s="1">
        <f t="shared" ca="1" si="131"/>
        <v>10</v>
      </c>
      <c r="Q2312" s="1">
        <f t="shared" si="132"/>
        <v>5</v>
      </c>
      <c r="R2312" s="1">
        <f t="shared" si="133"/>
        <v>4</v>
      </c>
      <c r="S2312" s="1">
        <f t="shared" ca="1" si="134"/>
        <v>39</v>
      </c>
      <c r="T2312" s="1">
        <f ca="1">IF(OR(COUNT(O2312:R2312)&lt;&gt;4,COUNT('Top 25'!$B$45:$E$45)&lt;&gt;4,MIN('Top 25'!$B$45:$E$45)&lt;0,SUM('Top 25'!$B$45:$E$45)&lt;=0),"",ROUND(85*(O2312/30*'Top 25'!$B$45+P2312/25*'Top 25'!$C$45+Q2312/25*'Top 25'!$D$45+R2312/5*'Top 25'!$E$45)/SUM('Top 25'!$B$45:$E$45),6))</f>
        <v>39</v>
      </c>
      <c r="U2312" s="1" t="str">
        <f t="shared" ca="1" si="135"/>
        <v>Listed</v>
      </c>
      <c r="V2312" s="1" t="str">
        <f ca="1">IF(A2312="","",IF(AK2312&lt;&gt;1,"Duplicate source ID",IF(COUNTIFS('Staff Review'!$A$8:$A$507,A2312)&gt;1,"Duplicate review ID",IF(H2312&lt;&gt;"Yes","Outside scope",IF(J2312="Yes","Already served",IF(NOT(ISNUMBER(T2312)),"Missing data","Candidate"))))))</f>
        <v>Candidate</v>
      </c>
      <c r="W2312" s="1">
        <f t="shared" ca="1" si="136"/>
        <v>164</v>
      </c>
      <c r="X2312" s="1">
        <f t="shared" ca="1" si="137"/>
        <v>148</v>
      </c>
      <c r="Y2312" s="1">
        <f ca="1">IF(AND(H2312="Yes",OR(LEN('School Search'!$B$5)=0,ISNUMBER(SEARCH('School Search'!$B$5,B2312&amp;" "&amp;E2312&amp;" "&amp;A2312))),OR('School Search'!$D$5="All",C2312='School Search'!$D$5),OR('School Search'!$G$5="All eligible",AND('School Search'!$G$5="Not marked served",J2312&lt;&gt;"Yes"),AND('School Search'!$G$5="Missing data",V2312="Missing data"),AND('School Search'!$G$5="Marked served",J2312="Yes"))),1,0)</f>
        <v>1</v>
      </c>
      <c r="Z2312" s="1">
        <f ca="1">IF(Y2312=0,"",COUNTIFS($Y$2051:$Y$2550,1,$AO$2051:$AO$2550,"&lt;"&amp;AO2312)+COUNTIFS($Y$2051:Y2312,1,$AO$2051:AO2312,AO2312))</f>
        <v>164</v>
      </c>
      <c r="AA2312" s="1" t="str">
        <f t="shared" ca="1" si="138"/>
        <v>76% economic need; 0.39 mi fresh access; 4 nearby resources</v>
      </c>
      <c r="AB2312" s="1">
        <f t="shared" si="139"/>
        <v>262</v>
      </c>
      <c r="AC2312" s="1" t="str">
        <f t="shared" si="140"/>
        <v>Save A Lot 60131</v>
      </c>
      <c r="AD2312" s="1" t="str">
        <f t="shared" si="141"/>
        <v>6412 Castor Ave, Philadelphia, PA, 19149</v>
      </c>
      <c r="AE2312" s="1" t="str">
        <f t="shared" si="142"/>
        <v>1100 DEVEREAUX AVE</v>
      </c>
      <c r="AF2312" s="1">
        <f t="shared" si="143"/>
        <v>40.038957000000003</v>
      </c>
      <c r="AG2312" s="1">
        <f t="shared" si="144"/>
        <v>-75.084142</v>
      </c>
      <c r="AH2312" s="1" t="str">
        <f>IF(I2312=0,"Not contacted",IF(INDEX('Staff Review'!$J$8:$J$507,I2312)="","Not contacted",INDEX('Staff Review'!$J$8:$J$507,I2312)))</f>
        <v>Not contacted</v>
      </c>
      <c r="AI2312" s="1" t="str">
        <f ca="1">IF(I2312=0,"No",IF(AND(COUNT(INDEX('Staff Review'!$D$8:$D$507,I2312))=1,INDEX('Staff Review'!$D$8:$D$507,I2312)&gt;=0,COUNT(INDEX('Staff Review'!$E$8:$E$507,I2312))=1,INDEX('Staff Review'!$E$8:$E$507,I2312)&gt;0,INDEX('Staff Review'!$E$8:$E$507,I2312)&lt;='Top 25'!$E$5,'Top 25'!$E$5-INDEX('Staff Review'!$E$8:$E$507,I2312)&lt;='Top 25'!$H$5,LEN(INDEX('Staff Review'!$H$8:$H$507,I2312))&gt;0),"Yes","No"))</f>
        <v>No</v>
      </c>
      <c r="AJ2312" s="1" t="str">
        <f>IF(I2312=0,"No",IF(COUNT(INDEX('Staff Review'!$F$8:$F$507,I2312))&lt;&gt;1,"No",IF(AND(INDEX('Staff Review'!$F$8:$F$507,I2312)&gt;=0,MOD(INDEX('Staff Review'!$F$8:$F$507,I2312),1)=0,COUNT(INDEX('Staff Review'!$G$8:$G$507,I2312))=1,INDEX('Staff Review'!$G$8:$G$507,I2312)&gt;0,INDEX('Staff Review'!$G$8:$G$507,I2312)&lt;='Top 25'!$E$5,'Top 25'!$E$5-INDEX('Staff Review'!$G$8:$G$507,I2312)&lt;='Top 25'!$H$5,LEN(INDEX('Staff Review'!$H$8:$H$507,I2312))&gt;0),"Yes","No")))</f>
        <v>No</v>
      </c>
      <c r="AK2312" s="1">
        <f t="shared" si="145"/>
        <v>1</v>
      </c>
      <c r="AL2312" s="1">
        <f t="shared" ca="1" si="146"/>
        <v>1</v>
      </c>
      <c r="AM2312" s="1">
        <f t="shared" si="147"/>
        <v>7220</v>
      </c>
      <c r="AN2312" s="1">
        <f t="shared" si="148"/>
        <v>262</v>
      </c>
      <c r="AO2312">
        <f t="shared" ca="1" si="149"/>
        <v>164</v>
      </c>
      <c r="AP2312" s="105">
        <f ca="1">IF(AND(AL2312=1,OR('Top 25'!$A$10="All",C2312='Top 25'!$A$10),OR('Top 25'!$D$10="All",D2312='Top 25'!$D$10)),1,0)</f>
        <v>1</v>
      </c>
      <c r="AQ2312" s="105">
        <f ca="1">IF(AP2312=0,"",CHOOSE(MATCH('Top 25'!$G$10,{"Priority score","Economic need","Enrollment","Fresh miles","Nearby resources"},0),T2312,G2312,F2312,K2312,L2312))</f>
        <v>39</v>
      </c>
      <c r="AR2312" s="105">
        <f ca="1">IF(AP2312=0,"",1+COUNTIFS($AP$2051:$AP$2550,1,$AQ$2051:$AQ$2550,IF('Top 25'!$J$10="Ascending","&lt;","&gt;")&amp;AQ2312)+COUNTIFS($AP$2051:$AP$2550,1,$AQ$2051:$AQ$2550,AQ2312,$W$2051:$W$2550,"&lt;"&amp;W2312))</f>
        <v>24</v>
      </c>
      <c r="AT2312" s="105">
        <f ca="1">IF(AND(AL2312=1,OR(Master_rankableSchools!$A$10="All",C2312=Master_rankableSchools!$A$10),OR(Master_rankableSchools!$D$10="All",D2312=Master_rankableSchools!$D$10)),1,0)</f>
        <v>1</v>
      </c>
      <c r="AU2312" s="105">
        <f ca="1">IF(AT2312=0,"",CHOOSE(MATCH(Master_rankableSchools!$G$10,{"Priority score","Economic need","Enrollment","Fresh miles","Nearby resources"},0),T2312,G2312,F2312,K2312,L2312))</f>
        <v>39</v>
      </c>
      <c r="AV2312" s="105">
        <f ca="1">IF(AT2312=0,"",1+COUNTIFS($AT$2051:$AT$2550,1,$AU$2051:$AU$2550,IF(Master_rankableSchools!$J$10="Ascending","&lt;","&gt;")&amp;AU2312)+COUNTIFS($AT$2051:$AT$2550,1,$AU$2051:$AU$2550,AU2312,$W$2051:$W$2550,"&lt;"&amp;W2312))</f>
        <v>164</v>
      </c>
    </row>
    <row r="2313" spans="1:48" ht="22" customHeight="1">
      <c r="A2313" s="1" t="str">
        <f t="shared" si="120"/>
        <v>7260</v>
      </c>
      <c r="B2313" s="1" t="str">
        <f t="shared" si="121"/>
        <v>Ellwood School</v>
      </c>
      <c r="C2313" s="1" t="str">
        <f t="shared" si="122"/>
        <v>District</v>
      </c>
      <c r="D2313" s="1" t="str">
        <f t="shared" si="123"/>
        <v>Elementary</v>
      </c>
      <c r="E2313" s="1" t="str">
        <f t="shared" si="124"/>
        <v>19126</v>
      </c>
      <c r="F2313" s="1">
        <f t="shared" si="125"/>
        <v>252</v>
      </c>
      <c r="G2313" s="1">
        <f t="shared" si="126"/>
        <v>0.80069999999999997</v>
      </c>
      <c r="H2313" s="1" t="str">
        <f t="shared" si="127"/>
        <v>Yes</v>
      </c>
      <c r="I2313" s="1">
        <f>IF(OR(A2313="",COUNTIFS('Staff Review'!$A$8:$A$507,A2313)&lt;&gt;1),0,MATCH(A2313,'Staff Review'!$A$8:$A$507,0))</f>
        <v>63</v>
      </c>
      <c r="J2313" s="1" t="str">
        <f>IF(I2313=0,"No",IF(INDEX('Staff Review'!$C$8:$C$507,I2313)="Yes","Yes","No"))</f>
        <v>No</v>
      </c>
      <c r="K2313" s="1">
        <f ca="1">IF(AI2313="Yes",INDEX('Staff Review'!$D$8:$D$507,I2313),IF(AB2313=0,"",IF(COUNT(INDEX($C$1531:$C$2030,AB2313))=1,INDEX($C$1531:$C$2030,AB2313),"")))</f>
        <v>0.5681186042219577</v>
      </c>
      <c r="L2313" s="1">
        <f>IF(AJ2313="Yes",INDEX('Staff Review'!$F$8:$F$507,I2313),IF(AB2313=0,"",IF(COUNT(INDEX($G$1531:$G$2030,AB2313))=1,INDEX($G$1531:$G$2030,AB2313),"")))</f>
        <v>7</v>
      </c>
      <c r="M2313" s="1" t="str">
        <f t="shared" ca="1" si="128"/>
        <v>Listed</v>
      </c>
      <c r="N2313" s="1" t="str">
        <f t="shared" si="129"/>
        <v>Listed</v>
      </c>
      <c r="O2313" s="1">
        <f t="shared" si="130"/>
        <v>25</v>
      </c>
      <c r="P2313" s="1">
        <f t="shared" ca="1" si="131"/>
        <v>15</v>
      </c>
      <c r="Q2313" s="1">
        <f t="shared" si="132"/>
        <v>0</v>
      </c>
      <c r="R2313" s="1">
        <f t="shared" si="133"/>
        <v>2</v>
      </c>
      <c r="S2313" s="1">
        <f t="shared" ca="1" si="134"/>
        <v>42</v>
      </c>
      <c r="T2313" s="1">
        <f ca="1">IF(OR(COUNT(O2313:R2313)&lt;&gt;4,COUNT('Top 25'!$B$45:$E$45)&lt;&gt;4,MIN('Top 25'!$B$45:$E$45)&lt;0,SUM('Top 25'!$B$45:$E$45)&lt;=0),"",ROUND(85*(O2313/30*'Top 25'!$B$45+P2313/25*'Top 25'!$C$45+Q2313/25*'Top 25'!$D$45+R2313/5*'Top 25'!$E$45)/SUM('Top 25'!$B$45:$E$45),6))</f>
        <v>42</v>
      </c>
      <c r="U2313" s="1" t="str">
        <f t="shared" ca="1" si="135"/>
        <v>Listed</v>
      </c>
      <c r="V2313" s="1" t="str">
        <f ca="1">IF(A2313="","",IF(AK2313&lt;&gt;1,"Duplicate source ID",IF(COUNTIFS('Staff Review'!$A$8:$A$507,A2313)&gt;1,"Duplicate review ID",IF(H2313&lt;&gt;"Yes","Outside scope",IF(J2313="Yes","Already served",IF(NOT(ISNUMBER(T2313)),"Missing data","Candidate"))))))</f>
        <v>Candidate</v>
      </c>
      <c r="W2313" s="1">
        <f t="shared" ca="1" si="136"/>
        <v>126</v>
      </c>
      <c r="X2313" s="1">
        <f t="shared" ca="1" si="137"/>
        <v>101</v>
      </c>
      <c r="Y2313" s="1">
        <f ca="1">IF(AND(H2313="Yes",OR(LEN('School Search'!$B$5)=0,ISNUMBER(SEARCH('School Search'!$B$5,B2313&amp;" "&amp;E2313&amp;" "&amp;A2313))),OR('School Search'!$D$5="All",C2313='School Search'!$D$5),OR('School Search'!$G$5="All eligible",AND('School Search'!$G$5="Not marked served",J2313&lt;&gt;"Yes"),AND('School Search'!$G$5="Missing data",V2313="Missing data"),AND('School Search'!$G$5="Marked served",J2313="Yes"))),1,0)</f>
        <v>1</v>
      </c>
      <c r="Z2313" s="1">
        <f ca="1">IF(Y2313=0,"",COUNTIFS($Y$2051:$Y$2550,1,$AO$2051:$AO$2550,"&lt;"&amp;AO2313)+COUNTIFS($Y$2051:Y2313,1,$AO$2051:AO2313,AO2313))</f>
        <v>126</v>
      </c>
      <c r="AA2313" s="1" t="str">
        <f t="shared" ca="1" si="138"/>
        <v>80% economic need; 0.57 mi fresh access; 7 nearby resources</v>
      </c>
      <c r="AB2313" s="1">
        <f t="shared" si="139"/>
        <v>263</v>
      </c>
      <c r="AC2313" s="1" t="str">
        <f t="shared" si="140"/>
        <v>MELROSE PARK HAR INC DBA HAN AH R</v>
      </c>
      <c r="AD2313" s="1" t="str">
        <f t="shared" si="141"/>
        <v>7320 Old York Rd, Elkins Park, PA, 19027</v>
      </c>
      <c r="AE2313" s="1" t="str">
        <f t="shared" si="142"/>
        <v>6701 N 13TH ST</v>
      </c>
      <c r="AF2313" s="1">
        <f t="shared" si="143"/>
        <v>40.054726090000003</v>
      </c>
      <c r="AG2313" s="1">
        <f t="shared" si="144"/>
        <v>-75.138941070000001</v>
      </c>
      <c r="AH2313" s="1" t="str">
        <f>IF(I2313=0,"Not contacted",IF(INDEX('Staff Review'!$J$8:$J$507,I2313)="","Not contacted",INDEX('Staff Review'!$J$8:$J$507,I2313)))</f>
        <v>Not contacted</v>
      </c>
      <c r="AI2313" s="1" t="str">
        <f ca="1">IF(I2313=0,"No",IF(AND(COUNT(INDEX('Staff Review'!$D$8:$D$507,I2313))=1,INDEX('Staff Review'!$D$8:$D$507,I2313)&gt;=0,COUNT(INDEX('Staff Review'!$E$8:$E$507,I2313))=1,INDEX('Staff Review'!$E$8:$E$507,I2313)&gt;0,INDEX('Staff Review'!$E$8:$E$507,I2313)&lt;='Top 25'!$E$5,'Top 25'!$E$5-INDEX('Staff Review'!$E$8:$E$507,I2313)&lt;='Top 25'!$H$5,LEN(INDEX('Staff Review'!$H$8:$H$507,I2313))&gt;0),"Yes","No"))</f>
        <v>No</v>
      </c>
      <c r="AJ2313" s="1" t="str">
        <f>IF(I2313=0,"No",IF(COUNT(INDEX('Staff Review'!$F$8:$F$507,I2313))&lt;&gt;1,"No",IF(AND(INDEX('Staff Review'!$F$8:$F$507,I2313)&gt;=0,MOD(INDEX('Staff Review'!$F$8:$F$507,I2313),1)=0,COUNT(INDEX('Staff Review'!$G$8:$G$507,I2313))=1,INDEX('Staff Review'!$G$8:$G$507,I2313)&gt;0,INDEX('Staff Review'!$G$8:$G$507,I2313)&lt;='Top 25'!$E$5,'Top 25'!$E$5-INDEX('Staff Review'!$G$8:$G$507,I2313)&lt;='Top 25'!$H$5,LEN(INDEX('Staff Review'!$H$8:$H$507,I2313))&gt;0),"Yes","No")))</f>
        <v>No</v>
      </c>
      <c r="AK2313" s="1">
        <f t="shared" si="145"/>
        <v>1</v>
      </c>
      <c r="AL2313" s="1">
        <f t="shared" ca="1" si="146"/>
        <v>1</v>
      </c>
      <c r="AM2313" s="1">
        <f t="shared" si="147"/>
        <v>7260</v>
      </c>
      <c r="AN2313" s="1">
        <f t="shared" si="148"/>
        <v>263</v>
      </c>
      <c r="AO2313">
        <f t="shared" ca="1" si="149"/>
        <v>126</v>
      </c>
      <c r="AP2313" s="105">
        <f ca="1">IF(AND(AL2313=1,OR('Top 25'!$A$10="All",C2313='Top 25'!$A$10),OR('Top 25'!$D$10="All",D2313='Top 25'!$D$10)),1,0)</f>
        <v>1</v>
      </c>
      <c r="AQ2313" s="105">
        <f ca="1">IF(AP2313=0,"",CHOOSE(MATCH('Top 25'!$G$10,{"Priority score","Economic need","Enrollment","Fresh miles","Nearby resources"},0),T2313,G2313,F2313,K2313,L2313))</f>
        <v>42</v>
      </c>
      <c r="AR2313" s="105">
        <f ca="1">IF(AP2313=0,"",1+COUNTIFS($AP$2051:$AP$2550,1,$AQ$2051:$AQ$2550,IF('Top 25'!$J$10="Ascending","&lt;","&gt;")&amp;AQ2313)+COUNTIFS($AP$2051:$AP$2550,1,$AQ$2051:$AQ$2550,AQ2313,$W$2051:$W$2550,"&lt;"&amp;W2313))</f>
        <v>22</v>
      </c>
      <c r="AT2313" s="105">
        <f ca="1">IF(AND(AL2313=1,OR(Master_rankableSchools!$A$10="All",C2313=Master_rankableSchools!$A$10),OR(Master_rankableSchools!$D$10="All",D2313=Master_rankableSchools!$D$10)),1,0)</f>
        <v>1</v>
      </c>
      <c r="AU2313" s="105">
        <f ca="1">IF(AT2313=0,"",CHOOSE(MATCH(Master_rankableSchools!$G$10,{"Priority score","Economic need","Enrollment","Fresh miles","Nearby resources"},0),T2313,G2313,F2313,K2313,L2313))</f>
        <v>42</v>
      </c>
      <c r="AV2313" s="105">
        <f ca="1">IF(AT2313=0,"",1+COUNTIFS($AT$2051:$AT$2550,1,$AU$2051:$AU$2550,IF(Master_rankableSchools!$J$10="Ascending","&lt;","&gt;")&amp;AU2313)+COUNTIFS($AT$2051:$AT$2550,1,$AU$2051:$AU$2550,AU2313,$W$2051:$W$2550,"&lt;"&amp;W2313))</f>
        <v>126</v>
      </c>
    </row>
    <row r="2314" spans="1:48" ht="22" customHeight="1">
      <c r="A2314" s="1" t="str">
        <f t="shared" si="120"/>
        <v>7270</v>
      </c>
      <c r="B2314" s="1" t="str">
        <f t="shared" si="121"/>
        <v>Thomas K. Finletter School</v>
      </c>
      <c r="C2314" s="1" t="str">
        <f t="shared" si="122"/>
        <v>District</v>
      </c>
      <c r="D2314" s="1" t="str">
        <f t="shared" si="123"/>
        <v>Elementary-Middle</v>
      </c>
      <c r="E2314" s="1" t="str">
        <f t="shared" si="124"/>
        <v>19120</v>
      </c>
      <c r="F2314" s="1">
        <f t="shared" si="125"/>
        <v>577</v>
      </c>
      <c r="G2314" s="1">
        <f t="shared" si="126"/>
        <v>0.82809999999999995</v>
      </c>
      <c r="H2314" s="1" t="str">
        <f t="shared" si="127"/>
        <v>Yes</v>
      </c>
      <c r="I2314" s="1">
        <f>IF(OR(A2314="",COUNTIFS('Staff Review'!$A$8:$A$507,A2314)&lt;&gt;1),0,MATCH(A2314,'Staff Review'!$A$8:$A$507,0))</f>
        <v>295</v>
      </c>
      <c r="J2314" s="1" t="str">
        <f>IF(I2314=0,"No",IF(INDEX('Staff Review'!$C$8:$C$507,I2314)="Yes","Yes","No"))</f>
        <v>No</v>
      </c>
      <c r="K2314" s="1">
        <f ca="1">IF(AI2314="Yes",INDEX('Staff Review'!$D$8:$D$507,I2314),IF(AB2314=0,"",IF(COUNT(INDEX($C$1531:$C$2030,AB2314))=1,INDEX($C$1531:$C$2030,AB2314),"")))</f>
        <v>0.12118412732571376</v>
      </c>
      <c r="L2314" s="1">
        <f>IF(AJ2314="Yes",INDEX('Staff Review'!$F$8:$F$507,I2314),IF(AB2314=0,"",IF(COUNT(INDEX($G$1531:$G$2030,AB2314))=1,INDEX($G$1531:$G$2030,AB2314),"")))</f>
        <v>5</v>
      </c>
      <c r="M2314" s="1" t="str">
        <f t="shared" ca="1" si="128"/>
        <v>Listed</v>
      </c>
      <c r="N2314" s="1" t="str">
        <f t="shared" si="129"/>
        <v>Listed</v>
      </c>
      <c r="O2314" s="1">
        <f t="shared" si="130"/>
        <v>25</v>
      </c>
      <c r="P2314" s="1">
        <f t="shared" ca="1" si="131"/>
        <v>5</v>
      </c>
      <c r="Q2314" s="1">
        <f t="shared" si="132"/>
        <v>0</v>
      </c>
      <c r="R2314" s="1">
        <f t="shared" si="133"/>
        <v>4</v>
      </c>
      <c r="S2314" s="1">
        <f t="shared" ca="1" si="134"/>
        <v>34</v>
      </c>
      <c r="T2314" s="1">
        <f ca="1">IF(OR(COUNT(O2314:R2314)&lt;&gt;4,COUNT('Top 25'!$B$45:$E$45)&lt;&gt;4,MIN('Top 25'!$B$45:$E$45)&lt;0,SUM('Top 25'!$B$45:$E$45)&lt;=0),"",ROUND(85*(O2314/30*'Top 25'!$B$45+P2314/25*'Top 25'!$C$45+Q2314/25*'Top 25'!$D$45+R2314/5*'Top 25'!$E$45)/SUM('Top 25'!$B$45:$E$45),6))</f>
        <v>34</v>
      </c>
      <c r="U2314" s="1" t="str">
        <f t="shared" ca="1" si="135"/>
        <v>Listed</v>
      </c>
      <c r="V2314" s="1" t="str">
        <f ca="1">IF(A2314="","",IF(AK2314&lt;&gt;1,"Duplicate source ID",IF(COUNTIFS('Staff Review'!$A$8:$A$507,A2314)&gt;1,"Duplicate review ID",IF(H2314&lt;&gt;"Yes","Outside scope",IF(J2314="Yes","Already served",IF(NOT(ISNUMBER(T2314)),"Missing data","Candidate"))))))</f>
        <v>Candidate</v>
      </c>
      <c r="W2314" s="1">
        <f t="shared" ca="1" si="136"/>
        <v>225</v>
      </c>
      <c r="X2314" s="1">
        <f t="shared" ca="1" si="137"/>
        <v>221</v>
      </c>
      <c r="Y2314" s="1">
        <f ca="1">IF(AND(H2314="Yes",OR(LEN('School Search'!$B$5)=0,ISNUMBER(SEARCH('School Search'!$B$5,B2314&amp;" "&amp;E2314&amp;" "&amp;A2314))),OR('School Search'!$D$5="All",C2314='School Search'!$D$5),OR('School Search'!$G$5="All eligible",AND('School Search'!$G$5="Not marked served",J2314&lt;&gt;"Yes"),AND('School Search'!$G$5="Missing data",V2314="Missing data"),AND('School Search'!$G$5="Marked served",J2314="Yes"))),1,0)</f>
        <v>1</v>
      </c>
      <c r="Z2314" s="1">
        <f ca="1">IF(Y2314=0,"",COUNTIFS($Y$2051:$Y$2550,1,$AO$2051:$AO$2550,"&lt;"&amp;AO2314)+COUNTIFS($Y$2051:Y2314,1,$AO$2051:AO2314,AO2314))</f>
        <v>225</v>
      </c>
      <c r="AA2314" s="1" t="str">
        <f t="shared" ca="1" si="138"/>
        <v>83% economic need; 0.12 mi fresh access; 5 nearby resources</v>
      </c>
      <c r="AB2314" s="1">
        <f t="shared" si="139"/>
        <v>264</v>
      </c>
      <c r="AC2314" s="1" t="str">
        <f t="shared" si="140"/>
        <v>H MART PHILADELPHIA LLC.</v>
      </c>
      <c r="AD2314" s="1" t="str">
        <f t="shared" si="141"/>
        <v>6201 N Front St, Philadelphia, PA, 19120</v>
      </c>
      <c r="AE2314" s="1" t="str">
        <f t="shared" si="142"/>
        <v>6101 N FRONT ST</v>
      </c>
      <c r="AF2314" s="1">
        <f t="shared" si="143"/>
        <v>40.043607999999999</v>
      </c>
      <c r="AG2314" s="1">
        <f t="shared" si="144"/>
        <v>-75.119175999999996</v>
      </c>
      <c r="AH2314" s="1" t="str">
        <f>IF(I2314=0,"Not contacted",IF(INDEX('Staff Review'!$J$8:$J$507,I2314)="","Not contacted",INDEX('Staff Review'!$J$8:$J$507,I2314)))</f>
        <v>Not contacted</v>
      </c>
      <c r="AI2314" s="1" t="str">
        <f ca="1">IF(I2314=0,"No",IF(AND(COUNT(INDEX('Staff Review'!$D$8:$D$507,I2314))=1,INDEX('Staff Review'!$D$8:$D$507,I2314)&gt;=0,COUNT(INDEX('Staff Review'!$E$8:$E$507,I2314))=1,INDEX('Staff Review'!$E$8:$E$507,I2314)&gt;0,INDEX('Staff Review'!$E$8:$E$507,I2314)&lt;='Top 25'!$E$5,'Top 25'!$E$5-INDEX('Staff Review'!$E$8:$E$507,I2314)&lt;='Top 25'!$H$5,LEN(INDEX('Staff Review'!$H$8:$H$507,I2314))&gt;0),"Yes","No"))</f>
        <v>No</v>
      </c>
      <c r="AJ2314" s="1" t="str">
        <f>IF(I2314=0,"No",IF(COUNT(INDEX('Staff Review'!$F$8:$F$507,I2314))&lt;&gt;1,"No",IF(AND(INDEX('Staff Review'!$F$8:$F$507,I2314)&gt;=0,MOD(INDEX('Staff Review'!$F$8:$F$507,I2314),1)=0,COUNT(INDEX('Staff Review'!$G$8:$G$507,I2314))=1,INDEX('Staff Review'!$G$8:$G$507,I2314)&gt;0,INDEX('Staff Review'!$G$8:$G$507,I2314)&lt;='Top 25'!$E$5,'Top 25'!$E$5-INDEX('Staff Review'!$G$8:$G$507,I2314)&lt;='Top 25'!$H$5,LEN(INDEX('Staff Review'!$H$8:$H$507,I2314))&gt;0),"Yes","No")))</f>
        <v>No</v>
      </c>
      <c r="AK2314" s="1">
        <f t="shared" si="145"/>
        <v>1</v>
      </c>
      <c r="AL2314" s="1">
        <f t="shared" ca="1" si="146"/>
        <v>1</v>
      </c>
      <c r="AM2314" s="1">
        <f t="shared" si="147"/>
        <v>7270</v>
      </c>
      <c r="AN2314" s="1">
        <f t="shared" si="148"/>
        <v>264</v>
      </c>
      <c r="AO2314">
        <f t="shared" ca="1" si="149"/>
        <v>225</v>
      </c>
      <c r="AP2314" s="105">
        <f ca="1">IF(AND(AL2314=1,OR('Top 25'!$A$10="All",C2314='Top 25'!$A$10),OR('Top 25'!$D$10="All",D2314='Top 25'!$D$10)),1,0)</f>
        <v>0</v>
      </c>
      <c r="AQ2314" s="105" t="str">
        <f ca="1">IF(AP2314=0,"",CHOOSE(MATCH('Top 25'!$G$10,{"Priority score","Economic need","Enrollment","Fresh miles","Nearby resources"},0),T2314,G2314,F2314,K2314,L2314))</f>
        <v/>
      </c>
      <c r="AR2314" s="105" t="str">
        <f ca="1">IF(AP2314=0,"",1+COUNTIFS($AP$2051:$AP$2550,1,$AQ$2051:$AQ$2550,IF('Top 25'!$J$10="Ascending","&lt;","&gt;")&amp;AQ2314)+COUNTIFS($AP$2051:$AP$2550,1,$AQ$2051:$AQ$2550,AQ2314,$W$2051:$W$2550,"&lt;"&amp;W2314))</f>
        <v/>
      </c>
      <c r="AT2314" s="105">
        <f ca="1">IF(AND(AL2314=1,OR(Master_rankableSchools!$A$10="All",C2314=Master_rankableSchools!$A$10),OR(Master_rankableSchools!$D$10="All",D2314=Master_rankableSchools!$D$10)),1,0)</f>
        <v>1</v>
      </c>
      <c r="AU2314" s="105">
        <f ca="1">IF(AT2314=0,"",CHOOSE(MATCH(Master_rankableSchools!$G$10,{"Priority score","Economic need","Enrollment","Fresh miles","Nearby resources"},0),T2314,G2314,F2314,K2314,L2314))</f>
        <v>34</v>
      </c>
      <c r="AV2314" s="105">
        <f ca="1">IF(AT2314=0,"",1+COUNTIFS($AT$2051:$AT$2550,1,$AU$2051:$AU$2550,IF(Master_rankableSchools!$J$10="Ascending","&lt;","&gt;")&amp;AU2314)+COUNTIFS($AT$2051:$AT$2550,1,$AU$2051:$AU$2550,AU2314,$W$2051:$W$2550,"&lt;"&amp;W2314))</f>
        <v>225</v>
      </c>
    </row>
    <row r="2315" spans="1:48" ht="22" customHeight="1">
      <c r="A2315" s="1" t="str">
        <f t="shared" si="120"/>
        <v>7280</v>
      </c>
      <c r="B2315" s="1" t="str">
        <f t="shared" si="121"/>
        <v>Benjamin Franklin Elementary School</v>
      </c>
      <c r="C2315" s="1" t="str">
        <f t="shared" si="122"/>
        <v>District</v>
      </c>
      <c r="D2315" s="1" t="str">
        <f t="shared" si="123"/>
        <v>Elementary-Middle</v>
      </c>
      <c r="E2315" s="1" t="str">
        <f t="shared" si="124"/>
        <v>19120</v>
      </c>
      <c r="F2315" s="1">
        <f t="shared" si="125"/>
        <v>567</v>
      </c>
      <c r="G2315" s="1">
        <f t="shared" si="126"/>
        <v>0.83889999999999998</v>
      </c>
      <c r="H2315" s="1" t="str">
        <f t="shared" si="127"/>
        <v>Yes</v>
      </c>
      <c r="I2315" s="1">
        <f>IF(OR(A2315="",COUNTIFS('Staff Review'!$A$8:$A$507,A2315)&lt;&gt;1),0,MATCH(A2315,'Staff Review'!$A$8:$A$507,0))</f>
        <v>31</v>
      </c>
      <c r="J2315" s="1" t="str">
        <f>IF(I2315=0,"No",IF(INDEX('Staff Review'!$C$8:$C$507,I2315)="Yes","Yes","No"))</f>
        <v>No</v>
      </c>
      <c r="K2315" s="1">
        <f ca="1">IF(AI2315="Yes",INDEX('Staff Review'!$D$8:$D$507,I2315),IF(AB2315=0,"",IF(COUNT(INDEX($C$1531:$C$2030,AB2315))=1,INDEX($C$1531:$C$2030,AB2315),"")))</f>
        <v>0.25198509666340335</v>
      </c>
      <c r="L2315" s="1">
        <f>IF(AJ2315="Yes",INDEX('Staff Review'!$F$8:$F$507,I2315),IF(AB2315=0,"",IF(COUNT(INDEX($G$1531:$G$2030,AB2315))=1,INDEX($G$1531:$G$2030,AB2315),"")))</f>
        <v>5</v>
      </c>
      <c r="M2315" s="1" t="str">
        <f t="shared" ca="1" si="128"/>
        <v>Listed</v>
      </c>
      <c r="N2315" s="1" t="str">
        <f t="shared" si="129"/>
        <v>Listed</v>
      </c>
      <c r="O2315" s="1">
        <f t="shared" si="130"/>
        <v>25</v>
      </c>
      <c r="P2315" s="1">
        <f t="shared" ca="1" si="131"/>
        <v>10</v>
      </c>
      <c r="Q2315" s="1">
        <f t="shared" si="132"/>
        <v>0</v>
      </c>
      <c r="R2315" s="1">
        <f t="shared" si="133"/>
        <v>4</v>
      </c>
      <c r="S2315" s="1">
        <f t="shared" ca="1" si="134"/>
        <v>39</v>
      </c>
      <c r="T2315" s="1">
        <f ca="1">IF(OR(COUNT(O2315:R2315)&lt;&gt;4,COUNT('Top 25'!$B$45:$E$45)&lt;&gt;4,MIN('Top 25'!$B$45:$E$45)&lt;0,SUM('Top 25'!$B$45:$E$45)&lt;=0),"",ROUND(85*(O2315/30*'Top 25'!$B$45+P2315/25*'Top 25'!$C$45+Q2315/25*'Top 25'!$D$45+R2315/5*'Top 25'!$E$45)/SUM('Top 25'!$B$45:$E$45),6))</f>
        <v>39</v>
      </c>
      <c r="U2315" s="1" t="str">
        <f t="shared" ca="1" si="135"/>
        <v>Listed</v>
      </c>
      <c r="V2315" s="1" t="str">
        <f ca="1">IF(A2315="","",IF(AK2315&lt;&gt;1,"Duplicate source ID",IF(COUNTIFS('Staff Review'!$A$8:$A$507,A2315)&gt;1,"Duplicate review ID",IF(H2315&lt;&gt;"Yes","Outside scope",IF(J2315="Yes","Already served",IF(NOT(ISNUMBER(T2315)),"Missing data","Candidate"))))))</f>
        <v>Candidate</v>
      </c>
      <c r="W2315" s="1">
        <f t="shared" ca="1" si="136"/>
        <v>155</v>
      </c>
      <c r="X2315" s="1">
        <f t="shared" ca="1" si="137"/>
        <v>148</v>
      </c>
      <c r="Y2315" s="1">
        <f ca="1">IF(AND(H2315="Yes",OR(LEN('School Search'!$B$5)=0,ISNUMBER(SEARCH('School Search'!$B$5,B2315&amp;" "&amp;E2315&amp;" "&amp;A2315))),OR('School Search'!$D$5="All",C2315='School Search'!$D$5),OR('School Search'!$G$5="All eligible",AND('School Search'!$G$5="Not marked served",J2315&lt;&gt;"Yes"),AND('School Search'!$G$5="Missing data",V2315="Missing data"),AND('School Search'!$G$5="Marked served",J2315="Yes"))),1,0)</f>
        <v>1</v>
      </c>
      <c r="Z2315" s="1">
        <f ca="1">IF(Y2315=0,"",COUNTIFS($Y$2051:$Y$2550,1,$AO$2051:$AO$2550,"&lt;"&amp;AO2315)+COUNTIFS($Y$2051:Y2315,1,$AO$2051:AO2315,AO2315))</f>
        <v>155</v>
      </c>
      <c r="AA2315" s="1" t="str">
        <f t="shared" ca="1" si="138"/>
        <v>84% economic need; 0.25 mi fresh access; 5 nearby resources</v>
      </c>
      <c r="AB2315" s="1">
        <f t="shared" si="139"/>
        <v>265</v>
      </c>
      <c r="AC2315" s="1" t="str">
        <f t="shared" si="140"/>
        <v>PJP Marketplace</v>
      </c>
      <c r="AD2315" s="1" t="str">
        <f t="shared" si="141"/>
        <v>537 Adams Ave, Philadelphia, PA, 19120</v>
      </c>
      <c r="AE2315" s="1" t="str">
        <f t="shared" si="142"/>
        <v>5737 RISING SUN AVE</v>
      </c>
      <c r="AF2315" s="1">
        <f t="shared" si="143"/>
        <v>40.042152129999998</v>
      </c>
      <c r="AG2315" s="1">
        <f t="shared" si="144"/>
        <v>-75.104988590000005</v>
      </c>
      <c r="AH2315" s="1" t="str">
        <f>IF(I2315=0,"Not contacted",IF(INDEX('Staff Review'!$J$8:$J$507,I2315)="","Not contacted",INDEX('Staff Review'!$J$8:$J$507,I2315)))</f>
        <v>Not contacted</v>
      </c>
      <c r="AI2315" s="1" t="str">
        <f ca="1">IF(I2315=0,"No",IF(AND(COUNT(INDEX('Staff Review'!$D$8:$D$507,I2315))=1,INDEX('Staff Review'!$D$8:$D$507,I2315)&gt;=0,COUNT(INDEX('Staff Review'!$E$8:$E$507,I2315))=1,INDEX('Staff Review'!$E$8:$E$507,I2315)&gt;0,INDEX('Staff Review'!$E$8:$E$507,I2315)&lt;='Top 25'!$E$5,'Top 25'!$E$5-INDEX('Staff Review'!$E$8:$E$507,I2315)&lt;='Top 25'!$H$5,LEN(INDEX('Staff Review'!$H$8:$H$507,I2315))&gt;0),"Yes","No"))</f>
        <v>No</v>
      </c>
      <c r="AJ2315" s="1" t="str">
        <f>IF(I2315=0,"No",IF(COUNT(INDEX('Staff Review'!$F$8:$F$507,I2315))&lt;&gt;1,"No",IF(AND(INDEX('Staff Review'!$F$8:$F$507,I2315)&gt;=0,MOD(INDEX('Staff Review'!$F$8:$F$507,I2315),1)=0,COUNT(INDEX('Staff Review'!$G$8:$G$507,I2315))=1,INDEX('Staff Review'!$G$8:$G$507,I2315)&gt;0,INDEX('Staff Review'!$G$8:$G$507,I2315)&lt;='Top 25'!$E$5,'Top 25'!$E$5-INDEX('Staff Review'!$G$8:$G$507,I2315)&lt;='Top 25'!$H$5,LEN(INDEX('Staff Review'!$H$8:$H$507,I2315))&gt;0),"Yes","No")))</f>
        <v>No</v>
      </c>
      <c r="AK2315" s="1">
        <f t="shared" si="145"/>
        <v>1</v>
      </c>
      <c r="AL2315" s="1">
        <f t="shared" ca="1" si="146"/>
        <v>1</v>
      </c>
      <c r="AM2315" s="1">
        <f t="shared" si="147"/>
        <v>7280</v>
      </c>
      <c r="AN2315" s="1">
        <f t="shared" si="148"/>
        <v>265</v>
      </c>
      <c r="AO2315">
        <f t="shared" ca="1" si="149"/>
        <v>155</v>
      </c>
      <c r="AP2315" s="105">
        <f ca="1">IF(AND(AL2315=1,OR('Top 25'!$A$10="All",C2315='Top 25'!$A$10),OR('Top 25'!$D$10="All",D2315='Top 25'!$D$10)),1,0)</f>
        <v>0</v>
      </c>
      <c r="AQ2315" s="105" t="str">
        <f ca="1">IF(AP2315=0,"",CHOOSE(MATCH('Top 25'!$G$10,{"Priority score","Economic need","Enrollment","Fresh miles","Nearby resources"},0),T2315,G2315,F2315,K2315,L2315))</f>
        <v/>
      </c>
      <c r="AR2315" s="105" t="str">
        <f ca="1">IF(AP2315=0,"",1+COUNTIFS($AP$2051:$AP$2550,1,$AQ$2051:$AQ$2550,IF('Top 25'!$J$10="Ascending","&lt;","&gt;")&amp;AQ2315)+COUNTIFS($AP$2051:$AP$2550,1,$AQ$2051:$AQ$2550,AQ2315,$W$2051:$W$2550,"&lt;"&amp;W2315))</f>
        <v/>
      </c>
      <c r="AT2315" s="105">
        <f ca="1">IF(AND(AL2315=1,OR(Master_rankableSchools!$A$10="All",C2315=Master_rankableSchools!$A$10),OR(Master_rankableSchools!$D$10="All",D2315=Master_rankableSchools!$D$10)),1,0)</f>
        <v>1</v>
      </c>
      <c r="AU2315" s="105">
        <f ca="1">IF(AT2315=0,"",CHOOSE(MATCH(Master_rankableSchools!$G$10,{"Priority score","Economic need","Enrollment","Fresh miles","Nearby resources"},0),T2315,G2315,F2315,K2315,L2315))</f>
        <v>39</v>
      </c>
      <c r="AV2315" s="105">
        <f ca="1">IF(AT2315=0,"",1+COUNTIFS($AT$2051:$AT$2550,1,$AU$2051:$AU$2550,IF(Master_rankableSchools!$J$10="Ascending","&lt;","&gt;")&amp;AU2315)+COUNTIFS($AT$2051:$AT$2550,1,$AU$2051:$AU$2550,AU2315,$W$2051:$W$2550,"&lt;"&amp;W2315))</f>
        <v>155</v>
      </c>
    </row>
    <row r="2316" spans="1:48" ht="22" customHeight="1">
      <c r="A2316" s="1" t="str">
        <f t="shared" si="120"/>
        <v>7290</v>
      </c>
      <c r="B2316" s="1" t="str">
        <f t="shared" si="121"/>
        <v>Allen M. Stearne School</v>
      </c>
      <c r="C2316" s="1" t="str">
        <f t="shared" si="122"/>
        <v>District</v>
      </c>
      <c r="D2316" s="1" t="str">
        <f t="shared" si="123"/>
        <v>Elementary-Middle</v>
      </c>
      <c r="E2316" s="1" t="str">
        <f t="shared" si="124"/>
        <v>19124</v>
      </c>
      <c r="F2316" s="1">
        <f t="shared" si="125"/>
        <v>370</v>
      </c>
      <c r="G2316" s="1">
        <f t="shared" si="126"/>
        <v>0.86639999999999995</v>
      </c>
      <c r="H2316" s="1" t="str">
        <f t="shared" si="127"/>
        <v>Yes</v>
      </c>
      <c r="I2316" s="1">
        <f>IF(OR(A2316="",COUNTIFS('Staff Review'!$A$8:$A$507,A2316)&lt;&gt;1),0,MATCH(A2316,'Staff Review'!$A$8:$A$507,0))</f>
        <v>14</v>
      </c>
      <c r="J2316" s="1" t="str">
        <f>IF(I2316=0,"No",IF(INDEX('Staff Review'!$C$8:$C$507,I2316)="Yes","Yes","No"))</f>
        <v>No</v>
      </c>
      <c r="K2316" s="1">
        <f ca="1">IF(AI2316="Yes",INDEX('Staff Review'!$D$8:$D$507,I2316),IF(AB2316=0,"",IF(COUNT(INDEX($C$1531:$C$2030,AB2316))=1,INDEX($C$1531:$C$2030,AB2316),"")))</f>
        <v>0.78220235714954256</v>
      </c>
      <c r="L2316" s="1">
        <f>IF(AJ2316="Yes",INDEX('Staff Review'!$F$8:$F$507,I2316),IF(AB2316=0,"",IF(COUNT(INDEX($G$1531:$G$2030,AB2316))=1,INDEX($G$1531:$G$2030,AB2316),"")))</f>
        <v>7</v>
      </c>
      <c r="M2316" s="1" t="str">
        <f t="shared" ca="1" si="128"/>
        <v>Listed</v>
      </c>
      <c r="N2316" s="1" t="str">
        <f t="shared" si="129"/>
        <v>Listed</v>
      </c>
      <c r="O2316" s="1">
        <f t="shared" si="130"/>
        <v>25</v>
      </c>
      <c r="P2316" s="1">
        <f t="shared" ca="1" si="131"/>
        <v>20</v>
      </c>
      <c r="Q2316" s="1">
        <f t="shared" si="132"/>
        <v>0</v>
      </c>
      <c r="R2316" s="1">
        <f t="shared" si="133"/>
        <v>3</v>
      </c>
      <c r="S2316" s="1">
        <f t="shared" ca="1" si="134"/>
        <v>48</v>
      </c>
      <c r="T2316" s="1">
        <f ca="1">IF(OR(COUNT(O2316:R2316)&lt;&gt;4,COUNT('Top 25'!$B$45:$E$45)&lt;&gt;4,MIN('Top 25'!$B$45:$E$45)&lt;0,SUM('Top 25'!$B$45:$E$45)&lt;=0),"",ROUND(85*(O2316/30*'Top 25'!$B$45+P2316/25*'Top 25'!$C$45+Q2316/25*'Top 25'!$D$45+R2316/5*'Top 25'!$E$45)/SUM('Top 25'!$B$45:$E$45),6))</f>
        <v>48</v>
      </c>
      <c r="U2316" s="1" t="str">
        <f t="shared" ca="1" si="135"/>
        <v>Listed</v>
      </c>
      <c r="V2316" s="1" t="str">
        <f ca="1">IF(A2316="","",IF(AK2316&lt;&gt;1,"Duplicate source ID",IF(COUNTIFS('Staff Review'!$A$8:$A$507,A2316)&gt;1,"Duplicate review ID",IF(H2316&lt;&gt;"Yes","Outside scope",IF(J2316="Yes","Already served",IF(NOT(ISNUMBER(T2316)),"Missing data","Candidate"))))))</f>
        <v>Candidate</v>
      </c>
      <c r="W2316" s="1">
        <f t="shared" ca="1" si="136"/>
        <v>61</v>
      </c>
      <c r="X2316" s="1">
        <f t="shared" ca="1" si="137"/>
        <v>56</v>
      </c>
      <c r="Y2316" s="1">
        <f ca="1">IF(AND(H2316="Yes",OR(LEN('School Search'!$B$5)=0,ISNUMBER(SEARCH('School Search'!$B$5,B2316&amp;" "&amp;E2316&amp;" "&amp;A2316))),OR('School Search'!$D$5="All",C2316='School Search'!$D$5),OR('School Search'!$G$5="All eligible",AND('School Search'!$G$5="Not marked served",J2316&lt;&gt;"Yes"),AND('School Search'!$G$5="Missing data",V2316="Missing data"),AND('School Search'!$G$5="Marked served",J2316="Yes"))),1,0)</f>
        <v>1</v>
      </c>
      <c r="Z2316" s="1">
        <f ca="1">IF(Y2316=0,"",COUNTIFS($Y$2051:$Y$2550,1,$AO$2051:$AO$2550,"&lt;"&amp;AO2316)+COUNTIFS($Y$2051:Y2316,1,$AO$2051:AO2316,AO2316))</f>
        <v>61</v>
      </c>
      <c r="AA2316" s="1" t="str">
        <f t="shared" ca="1" si="138"/>
        <v>87% economic need; 0.78 mi fresh access; 7 nearby resources</v>
      </c>
      <c r="AB2316" s="1">
        <f t="shared" si="139"/>
        <v>266</v>
      </c>
      <c r="AC2316" s="1" t="str">
        <f t="shared" si="140"/>
        <v>Castor Avenue Market LLC</v>
      </c>
      <c r="AD2316" s="1" t="str">
        <f t="shared" si="141"/>
        <v>900 E Orthodox St, Philadelphia, PA, 19124</v>
      </c>
      <c r="AE2316" s="1" t="str">
        <f t="shared" si="142"/>
        <v>1655 UNITY ST</v>
      </c>
      <c r="AF2316" s="1">
        <f t="shared" si="143"/>
        <v>40.011752000000001</v>
      </c>
      <c r="AG2316" s="1">
        <f t="shared" si="144"/>
        <v>-75.085111999999995</v>
      </c>
      <c r="AH2316" s="1" t="str">
        <f>IF(I2316=0,"Not contacted",IF(INDEX('Staff Review'!$J$8:$J$507,I2316)="","Not contacted",INDEX('Staff Review'!$J$8:$J$507,I2316)))</f>
        <v>Not contacted</v>
      </c>
      <c r="AI2316" s="1" t="str">
        <f ca="1">IF(I2316=0,"No",IF(AND(COUNT(INDEX('Staff Review'!$D$8:$D$507,I2316))=1,INDEX('Staff Review'!$D$8:$D$507,I2316)&gt;=0,COUNT(INDEX('Staff Review'!$E$8:$E$507,I2316))=1,INDEX('Staff Review'!$E$8:$E$507,I2316)&gt;0,INDEX('Staff Review'!$E$8:$E$507,I2316)&lt;='Top 25'!$E$5,'Top 25'!$E$5-INDEX('Staff Review'!$E$8:$E$507,I2316)&lt;='Top 25'!$H$5,LEN(INDEX('Staff Review'!$H$8:$H$507,I2316))&gt;0),"Yes","No"))</f>
        <v>No</v>
      </c>
      <c r="AJ2316" s="1" t="str">
        <f>IF(I2316=0,"No",IF(COUNT(INDEX('Staff Review'!$F$8:$F$507,I2316))&lt;&gt;1,"No",IF(AND(INDEX('Staff Review'!$F$8:$F$507,I2316)&gt;=0,MOD(INDEX('Staff Review'!$F$8:$F$507,I2316),1)=0,COUNT(INDEX('Staff Review'!$G$8:$G$507,I2316))=1,INDEX('Staff Review'!$G$8:$G$507,I2316)&gt;0,INDEX('Staff Review'!$G$8:$G$507,I2316)&lt;='Top 25'!$E$5,'Top 25'!$E$5-INDEX('Staff Review'!$G$8:$G$507,I2316)&lt;='Top 25'!$H$5,LEN(INDEX('Staff Review'!$H$8:$H$507,I2316))&gt;0),"Yes","No")))</f>
        <v>No</v>
      </c>
      <c r="AK2316" s="1">
        <f t="shared" si="145"/>
        <v>1</v>
      </c>
      <c r="AL2316" s="1">
        <f t="shared" ca="1" si="146"/>
        <v>1</v>
      </c>
      <c r="AM2316" s="1">
        <f t="shared" si="147"/>
        <v>7290</v>
      </c>
      <c r="AN2316" s="1">
        <f t="shared" si="148"/>
        <v>266</v>
      </c>
      <c r="AO2316">
        <f t="shared" ca="1" si="149"/>
        <v>61</v>
      </c>
      <c r="AP2316" s="105">
        <f ca="1">IF(AND(AL2316=1,OR('Top 25'!$A$10="All",C2316='Top 25'!$A$10),OR('Top 25'!$D$10="All",D2316='Top 25'!$D$10)),1,0)</f>
        <v>0</v>
      </c>
      <c r="AQ2316" s="105" t="str">
        <f ca="1">IF(AP2316=0,"",CHOOSE(MATCH('Top 25'!$G$10,{"Priority score","Economic need","Enrollment","Fresh miles","Nearby resources"},0),T2316,G2316,F2316,K2316,L2316))</f>
        <v/>
      </c>
      <c r="AR2316" s="105" t="str">
        <f ca="1">IF(AP2316=0,"",1+COUNTIFS($AP$2051:$AP$2550,1,$AQ$2051:$AQ$2550,IF('Top 25'!$J$10="Ascending","&lt;","&gt;")&amp;AQ2316)+COUNTIFS($AP$2051:$AP$2550,1,$AQ$2051:$AQ$2550,AQ2316,$W$2051:$W$2550,"&lt;"&amp;W2316))</f>
        <v/>
      </c>
      <c r="AT2316" s="105">
        <f ca="1">IF(AND(AL2316=1,OR(Master_rankableSchools!$A$10="All",C2316=Master_rankableSchools!$A$10),OR(Master_rankableSchools!$D$10="All",D2316=Master_rankableSchools!$D$10)),1,0)</f>
        <v>1</v>
      </c>
      <c r="AU2316" s="105">
        <f ca="1">IF(AT2316=0,"",CHOOSE(MATCH(Master_rankableSchools!$G$10,{"Priority score","Economic need","Enrollment","Fresh miles","Nearby resources"},0),T2316,G2316,F2316,K2316,L2316))</f>
        <v>48</v>
      </c>
      <c r="AV2316" s="105">
        <f ca="1">IF(AT2316=0,"",1+COUNTIFS($AT$2051:$AT$2550,1,$AU$2051:$AU$2550,IF(Master_rankableSchools!$J$10="Ascending","&lt;","&gt;")&amp;AU2316)+COUNTIFS($AT$2051:$AT$2550,1,$AU$2051:$AU$2550,AU2316,$W$2051:$W$2550,"&lt;"&amp;W2316))</f>
        <v>61</v>
      </c>
    </row>
    <row r="2317" spans="1:48" ht="22" customHeight="1">
      <c r="A2317" s="1" t="str">
        <f t="shared" si="120"/>
        <v>7300</v>
      </c>
      <c r="B2317" s="1" t="str">
        <f t="shared" si="121"/>
        <v>Francis Hopkinson School</v>
      </c>
      <c r="C2317" s="1" t="str">
        <f t="shared" si="122"/>
        <v>District</v>
      </c>
      <c r="D2317" s="1" t="str">
        <f t="shared" si="123"/>
        <v>Elementary-Middle</v>
      </c>
      <c r="E2317" s="1" t="str">
        <f t="shared" si="124"/>
        <v>19124</v>
      </c>
      <c r="F2317" s="1">
        <f t="shared" si="125"/>
        <v>547</v>
      </c>
      <c r="G2317" s="1">
        <f t="shared" si="126"/>
        <v>0.86580000000000001</v>
      </c>
      <c r="H2317" s="1" t="str">
        <f t="shared" si="127"/>
        <v>Yes</v>
      </c>
      <c r="I2317" s="1">
        <f>IF(OR(A2317="",COUNTIFS('Staff Review'!$A$8:$A$507,A2317)&lt;&gt;1),0,MATCH(A2317,'Staff Review'!$A$8:$A$507,0))</f>
        <v>80</v>
      </c>
      <c r="J2317" s="1" t="str">
        <f>IF(I2317=0,"No",IF(INDEX('Staff Review'!$C$8:$C$507,I2317)="Yes","Yes","No"))</f>
        <v>No</v>
      </c>
      <c r="K2317" s="1">
        <f ca="1">IF(AI2317="Yes",INDEX('Staff Review'!$D$8:$D$507,I2317),IF(AB2317=0,"",IF(COUNT(INDEX($C$1531:$C$2030,AB2317))=1,INDEX($C$1531:$C$2030,AB2317),"")))</f>
        <v>0.1496540986840621</v>
      </c>
      <c r="L2317" s="1">
        <f>IF(AJ2317="Yes",INDEX('Staff Review'!$F$8:$F$507,I2317),IF(AB2317=0,"",IF(COUNT(INDEX($G$1531:$G$2030,AB2317))=1,INDEX($G$1531:$G$2030,AB2317),"")))</f>
        <v>8</v>
      </c>
      <c r="M2317" s="1" t="str">
        <f t="shared" ca="1" si="128"/>
        <v>Listed</v>
      </c>
      <c r="N2317" s="1" t="str">
        <f t="shared" si="129"/>
        <v>Listed</v>
      </c>
      <c r="O2317" s="1">
        <f t="shared" si="130"/>
        <v>25</v>
      </c>
      <c r="P2317" s="1">
        <f t="shared" ca="1" si="131"/>
        <v>5</v>
      </c>
      <c r="Q2317" s="1">
        <f t="shared" si="132"/>
        <v>0</v>
      </c>
      <c r="R2317" s="1">
        <f t="shared" si="133"/>
        <v>4</v>
      </c>
      <c r="S2317" s="1">
        <f t="shared" ca="1" si="134"/>
        <v>34</v>
      </c>
      <c r="T2317" s="1">
        <f ca="1">IF(OR(COUNT(O2317:R2317)&lt;&gt;4,COUNT('Top 25'!$B$45:$E$45)&lt;&gt;4,MIN('Top 25'!$B$45:$E$45)&lt;0,SUM('Top 25'!$B$45:$E$45)&lt;=0),"",ROUND(85*(O2317/30*'Top 25'!$B$45+P2317/25*'Top 25'!$C$45+Q2317/25*'Top 25'!$D$45+R2317/5*'Top 25'!$E$45)/SUM('Top 25'!$B$45:$E$45),6))</f>
        <v>34</v>
      </c>
      <c r="U2317" s="1" t="str">
        <f t="shared" ca="1" si="135"/>
        <v>Listed</v>
      </c>
      <c r="V2317" s="1" t="str">
        <f ca="1">IF(A2317="","",IF(AK2317&lt;&gt;1,"Duplicate source ID",IF(COUNTIFS('Staff Review'!$A$8:$A$507,A2317)&gt;1,"Duplicate review ID",IF(H2317&lt;&gt;"Yes","Outside scope",IF(J2317="Yes","Already served",IF(NOT(ISNUMBER(T2317)),"Missing data","Candidate"))))))</f>
        <v>Candidate</v>
      </c>
      <c r="W2317" s="1">
        <f t="shared" ca="1" si="136"/>
        <v>222</v>
      </c>
      <c r="X2317" s="1">
        <f t="shared" ca="1" si="137"/>
        <v>221</v>
      </c>
      <c r="Y2317" s="1">
        <f ca="1">IF(AND(H2317="Yes",OR(LEN('School Search'!$B$5)=0,ISNUMBER(SEARCH('School Search'!$B$5,B2317&amp;" "&amp;E2317&amp;" "&amp;A2317))),OR('School Search'!$D$5="All",C2317='School Search'!$D$5),OR('School Search'!$G$5="All eligible",AND('School Search'!$G$5="Not marked served",J2317&lt;&gt;"Yes"),AND('School Search'!$G$5="Missing data",V2317="Missing data"),AND('School Search'!$G$5="Marked served",J2317="Yes"))),1,0)</f>
        <v>1</v>
      </c>
      <c r="Z2317" s="1">
        <f ca="1">IF(Y2317=0,"",COUNTIFS($Y$2051:$Y$2550,1,$AO$2051:$AO$2550,"&lt;"&amp;AO2317)+COUNTIFS($Y$2051:Y2317,1,$AO$2051:AO2317,AO2317))</f>
        <v>222</v>
      </c>
      <c r="AA2317" s="1" t="str">
        <f t="shared" ca="1" si="138"/>
        <v>87% economic need; 0.15 mi fresh access; 8 nearby resources</v>
      </c>
      <c r="AB2317" s="1">
        <f t="shared" si="139"/>
        <v>267</v>
      </c>
      <c r="AC2317" s="1" t="str">
        <f t="shared" si="140"/>
        <v>SAVE-A-LOT 60133</v>
      </c>
      <c r="AD2317" s="1" t="str">
        <f t="shared" si="141"/>
        <v>3901-29 M St, Philadelphia, PA, 19124</v>
      </c>
      <c r="AE2317" s="1" t="str">
        <f t="shared" si="142"/>
        <v>4001 L ST</v>
      </c>
      <c r="AF2317" s="1">
        <f t="shared" si="143"/>
        <v>40.007710590000002</v>
      </c>
      <c r="AG2317" s="1">
        <f t="shared" si="144"/>
        <v>-75.102745110000001</v>
      </c>
      <c r="AH2317" s="1" t="str">
        <f>IF(I2317=0,"Not contacted",IF(INDEX('Staff Review'!$J$8:$J$507,I2317)="","Not contacted",INDEX('Staff Review'!$J$8:$J$507,I2317)))</f>
        <v>Not contacted</v>
      </c>
      <c r="AI2317" s="1" t="str">
        <f ca="1">IF(I2317=0,"No",IF(AND(COUNT(INDEX('Staff Review'!$D$8:$D$507,I2317))=1,INDEX('Staff Review'!$D$8:$D$507,I2317)&gt;=0,COUNT(INDEX('Staff Review'!$E$8:$E$507,I2317))=1,INDEX('Staff Review'!$E$8:$E$507,I2317)&gt;0,INDEX('Staff Review'!$E$8:$E$507,I2317)&lt;='Top 25'!$E$5,'Top 25'!$E$5-INDEX('Staff Review'!$E$8:$E$507,I2317)&lt;='Top 25'!$H$5,LEN(INDEX('Staff Review'!$H$8:$H$507,I2317))&gt;0),"Yes","No"))</f>
        <v>No</v>
      </c>
      <c r="AJ2317" s="1" t="str">
        <f>IF(I2317=0,"No",IF(COUNT(INDEX('Staff Review'!$F$8:$F$507,I2317))&lt;&gt;1,"No",IF(AND(INDEX('Staff Review'!$F$8:$F$507,I2317)&gt;=0,MOD(INDEX('Staff Review'!$F$8:$F$507,I2317),1)=0,COUNT(INDEX('Staff Review'!$G$8:$G$507,I2317))=1,INDEX('Staff Review'!$G$8:$G$507,I2317)&gt;0,INDEX('Staff Review'!$G$8:$G$507,I2317)&lt;='Top 25'!$E$5,'Top 25'!$E$5-INDEX('Staff Review'!$G$8:$G$507,I2317)&lt;='Top 25'!$H$5,LEN(INDEX('Staff Review'!$H$8:$H$507,I2317))&gt;0),"Yes","No")))</f>
        <v>No</v>
      </c>
      <c r="AK2317" s="1">
        <f t="shared" si="145"/>
        <v>1</v>
      </c>
      <c r="AL2317" s="1">
        <f t="shared" ca="1" si="146"/>
        <v>1</v>
      </c>
      <c r="AM2317" s="1">
        <f t="shared" si="147"/>
        <v>7300</v>
      </c>
      <c r="AN2317" s="1">
        <f t="shared" si="148"/>
        <v>267</v>
      </c>
      <c r="AO2317">
        <f t="shared" ca="1" si="149"/>
        <v>222</v>
      </c>
      <c r="AP2317" s="105">
        <f ca="1">IF(AND(AL2317=1,OR('Top 25'!$A$10="All",C2317='Top 25'!$A$10),OR('Top 25'!$D$10="All",D2317='Top 25'!$D$10)),1,0)</f>
        <v>0</v>
      </c>
      <c r="AQ2317" s="105" t="str">
        <f ca="1">IF(AP2317=0,"",CHOOSE(MATCH('Top 25'!$G$10,{"Priority score","Economic need","Enrollment","Fresh miles","Nearby resources"},0),T2317,G2317,F2317,K2317,L2317))</f>
        <v/>
      </c>
      <c r="AR2317" s="105" t="str">
        <f ca="1">IF(AP2317=0,"",1+COUNTIFS($AP$2051:$AP$2550,1,$AQ$2051:$AQ$2550,IF('Top 25'!$J$10="Ascending","&lt;","&gt;")&amp;AQ2317)+COUNTIFS($AP$2051:$AP$2550,1,$AQ$2051:$AQ$2550,AQ2317,$W$2051:$W$2550,"&lt;"&amp;W2317))</f>
        <v/>
      </c>
      <c r="AT2317" s="105">
        <f ca="1">IF(AND(AL2317=1,OR(Master_rankableSchools!$A$10="All",C2317=Master_rankableSchools!$A$10),OR(Master_rankableSchools!$D$10="All",D2317=Master_rankableSchools!$D$10)),1,0)</f>
        <v>1</v>
      </c>
      <c r="AU2317" s="105">
        <f ca="1">IF(AT2317=0,"",CHOOSE(MATCH(Master_rankableSchools!$G$10,{"Priority score","Economic need","Enrollment","Fresh miles","Nearby resources"},0),T2317,G2317,F2317,K2317,L2317))</f>
        <v>34</v>
      </c>
      <c r="AV2317" s="105">
        <f ca="1">IF(AT2317=0,"",1+COUNTIFS($AT$2051:$AT$2550,1,$AU$2051:$AU$2550,IF(Master_rankableSchools!$J$10="Ascending","&lt;","&gt;")&amp;AU2317)+COUNTIFS($AT$2051:$AT$2550,1,$AU$2051:$AU$2550,AU2317,$W$2051:$W$2550,"&lt;"&amp;W2317))</f>
        <v>222</v>
      </c>
    </row>
    <row r="2318" spans="1:48" ht="22" customHeight="1">
      <c r="A2318" s="1" t="str">
        <f t="shared" si="120"/>
        <v>7310</v>
      </c>
      <c r="B2318" s="1" t="str">
        <f t="shared" si="121"/>
        <v>Feltonville Intermediate School</v>
      </c>
      <c r="C2318" s="1" t="str">
        <f t="shared" si="122"/>
        <v>District</v>
      </c>
      <c r="D2318" s="1" t="str">
        <f t="shared" si="123"/>
        <v>Elementary</v>
      </c>
      <c r="E2318" s="1" t="str">
        <f t="shared" si="124"/>
        <v>19120</v>
      </c>
      <c r="F2318" s="1">
        <f t="shared" si="125"/>
        <v>483</v>
      </c>
      <c r="G2318" s="1">
        <f t="shared" si="126"/>
        <v>0.85</v>
      </c>
      <c r="H2318" s="1" t="str">
        <f t="shared" si="127"/>
        <v>Yes</v>
      </c>
      <c r="I2318" s="1">
        <f>IF(OR(A2318="",COUNTIFS('Staff Review'!$A$8:$A$507,A2318)&lt;&gt;1),0,MATCH(A2318,'Staff Review'!$A$8:$A$507,0))</f>
        <v>73</v>
      </c>
      <c r="J2318" s="1" t="str">
        <f>IF(I2318=0,"No",IF(INDEX('Staff Review'!$C$8:$C$507,I2318)="Yes","Yes","No"))</f>
        <v>No</v>
      </c>
      <c r="K2318" s="1">
        <f ca="1">IF(AI2318="Yes",INDEX('Staff Review'!$D$8:$D$507,I2318),IF(AB2318=0,"",IF(COUNT(INDEX($C$1531:$C$2030,AB2318))=1,INDEX($C$1531:$C$2030,AB2318),"")))</f>
        <v>0.1704569315956346</v>
      </c>
      <c r="L2318" s="1">
        <f>IF(AJ2318="Yes",INDEX('Staff Review'!$F$8:$F$507,I2318),IF(AB2318=0,"",IF(COUNT(INDEX($G$1531:$G$2030,AB2318))=1,INDEX($G$1531:$G$2030,AB2318),"")))</f>
        <v>7</v>
      </c>
      <c r="M2318" s="1" t="str">
        <f t="shared" ca="1" si="128"/>
        <v>Listed</v>
      </c>
      <c r="N2318" s="1" t="str">
        <f t="shared" si="129"/>
        <v>Listed</v>
      </c>
      <c r="O2318" s="1">
        <f t="shared" si="130"/>
        <v>25</v>
      </c>
      <c r="P2318" s="1">
        <f t="shared" ca="1" si="131"/>
        <v>5</v>
      </c>
      <c r="Q2318" s="1">
        <f t="shared" si="132"/>
        <v>0</v>
      </c>
      <c r="R2318" s="1">
        <f t="shared" si="133"/>
        <v>3</v>
      </c>
      <c r="S2318" s="1">
        <f t="shared" ca="1" si="134"/>
        <v>33</v>
      </c>
      <c r="T2318" s="1">
        <f ca="1">IF(OR(COUNT(O2318:R2318)&lt;&gt;4,COUNT('Top 25'!$B$45:$E$45)&lt;&gt;4,MIN('Top 25'!$B$45:$E$45)&lt;0,SUM('Top 25'!$B$45:$E$45)&lt;=0),"",ROUND(85*(O2318/30*'Top 25'!$B$45+P2318/25*'Top 25'!$C$45+Q2318/25*'Top 25'!$D$45+R2318/5*'Top 25'!$E$45)/SUM('Top 25'!$B$45:$E$45),6))</f>
        <v>33</v>
      </c>
      <c r="U2318" s="1" t="str">
        <f t="shared" ca="1" si="135"/>
        <v>Listed</v>
      </c>
      <c r="V2318" s="1" t="str">
        <f ca="1">IF(A2318="","",IF(AK2318&lt;&gt;1,"Duplicate source ID",IF(COUNTIFS('Staff Review'!$A$8:$A$507,A2318)&gt;1,"Duplicate review ID",IF(H2318&lt;&gt;"Yes","Outside scope",IF(J2318="Yes","Already served",IF(NOT(ISNUMBER(T2318)),"Missing data","Candidate"))))))</f>
        <v>Candidate</v>
      </c>
      <c r="W2318" s="1">
        <f t="shared" ca="1" si="136"/>
        <v>235</v>
      </c>
      <c r="X2318" s="1">
        <f t="shared" ca="1" si="137"/>
        <v>233</v>
      </c>
      <c r="Y2318" s="1">
        <f ca="1">IF(AND(H2318="Yes",OR(LEN('School Search'!$B$5)=0,ISNUMBER(SEARCH('School Search'!$B$5,B2318&amp;" "&amp;E2318&amp;" "&amp;A2318))),OR('School Search'!$D$5="All",C2318='School Search'!$D$5),OR('School Search'!$G$5="All eligible",AND('School Search'!$G$5="Not marked served",J2318&lt;&gt;"Yes"),AND('School Search'!$G$5="Missing data",V2318="Missing data"),AND('School Search'!$G$5="Marked served",J2318="Yes"))),1,0)</f>
        <v>1</v>
      </c>
      <c r="Z2318" s="1">
        <f ca="1">IF(Y2318=0,"",COUNTIFS($Y$2051:$Y$2550,1,$AO$2051:$AO$2550,"&lt;"&amp;AO2318)+COUNTIFS($Y$2051:Y2318,1,$AO$2051:AO2318,AO2318))</f>
        <v>235</v>
      </c>
      <c r="AA2318" s="1" t="str">
        <f t="shared" ca="1" si="138"/>
        <v>85% economic need; 0.17 mi fresh access; 7 nearby resources</v>
      </c>
      <c r="AB2318" s="1">
        <f t="shared" si="139"/>
        <v>268</v>
      </c>
      <c r="AC2318" s="1" t="str">
        <f t="shared" si="140"/>
        <v>Compare &amp; Save Supermarket</v>
      </c>
      <c r="AD2318" s="1" t="str">
        <f t="shared" si="141"/>
        <v>405 E Wyoming Ave, Philadelphia, PA, 19120</v>
      </c>
      <c r="AE2318" s="1" t="str">
        <f t="shared" si="142"/>
        <v>238 E WYOMING AVE</v>
      </c>
      <c r="AF2318" s="1">
        <f t="shared" si="143"/>
        <v>40.020340019999999</v>
      </c>
      <c r="AG2318" s="1">
        <f t="shared" si="144"/>
        <v>-75.121025639999999</v>
      </c>
      <c r="AH2318" s="1" t="str">
        <f>IF(I2318=0,"Not contacted",IF(INDEX('Staff Review'!$J$8:$J$507,I2318)="","Not contacted",INDEX('Staff Review'!$J$8:$J$507,I2318)))</f>
        <v>Not contacted</v>
      </c>
      <c r="AI2318" s="1" t="str">
        <f ca="1">IF(I2318=0,"No",IF(AND(COUNT(INDEX('Staff Review'!$D$8:$D$507,I2318))=1,INDEX('Staff Review'!$D$8:$D$507,I2318)&gt;=0,COUNT(INDEX('Staff Review'!$E$8:$E$507,I2318))=1,INDEX('Staff Review'!$E$8:$E$507,I2318)&gt;0,INDEX('Staff Review'!$E$8:$E$507,I2318)&lt;='Top 25'!$E$5,'Top 25'!$E$5-INDEX('Staff Review'!$E$8:$E$507,I2318)&lt;='Top 25'!$H$5,LEN(INDEX('Staff Review'!$H$8:$H$507,I2318))&gt;0),"Yes","No"))</f>
        <v>No</v>
      </c>
      <c r="AJ2318" s="1" t="str">
        <f>IF(I2318=0,"No",IF(COUNT(INDEX('Staff Review'!$F$8:$F$507,I2318))&lt;&gt;1,"No",IF(AND(INDEX('Staff Review'!$F$8:$F$507,I2318)&gt;=0,MOD(INDEX('Staff Review'!$F$8:$F$507,I2318),1)=0,COUNT(INDEX('Staff Review'!$G$8:$G$507,I2318))=1,INDEX('Staff Review'!$G$8:$G$507,I2318)&gt;0,INDEX('Staff Review'!$G$8:$G$507,I2318)&lt;='Top 25'!$E$5,'Top 25'!$E$5-INDEX('Staff Review'!$G$8:$G$507,I2318)&lt;='Top 25'!$H$5,LEN(INDEX('Staff Review'!$H$8:$H$507,I2318))&gt;0),"Yes","No")))</f>
        <v>No</v>
      </c>
      <c r="AK2318" s="1">
        <f t="shared" si="145"/>
        <v>1</v>
      </c>
      <c r="AL2318" s="1">
        <f t="shared" ca="1" si="146"/>
        <v>1</v>
      </c>
      <c r="AM2318" s="1">
        <f t="shared" si="147"/>
        <v>7310</v>
      </c>
      <c r="AN2318" s="1">
        <f t="shared" si="148"/>
        <v>268</v>
      </c>
      <c r="AO2318">
        <f t="shared" ca="1" si="149"/>
        <v>235</v>
      </c>
      <c r="AP2318" s="105">
        <f ca="1">IF(AND(AL2318=1,OR('Top 25'!$A$10="All",C2318='Top 25'!$A$10),OR('Top 25'!$D$10="All",D2318='Top 25'!$D$10)),1,0)</f>
        <v>1</v>
      </c>
      <c r="AQ2318" s="105">
        <f ca="1">IF(AP2318=0,"",CHOOSE(MATCH('Top 25'!$G$10,{"Priority score","Economic need","Enrollment","Fresh miles","Nearby resources"},0),T2318,G2318,F2318,K2318,L2318))</f>
        <v>33</v>
      </c>
      <c r="AR2318" s="105">
        <f ca="1">IF(AP2318=0,"",1+COUNTIFS($AP$2051:$AP$2550,1,$AQ$2051:$AQ$2550,IF('Top 25'!$J$10="Ascending","&lt;","&gt;")&amp;AQ2318)+COUNTIFS($AP$2051:$AP$2550,1,$AQ$2051:$AQ$2550,AQ2318,$W$2051:$W$2550,"&lt;"&amp;W2318))</f>
        <v>39</v>
      </c>
      <c r="AT2318" s="105">
        <f ca="1">IF(AND(AL2318=1,OR(Master_rankableSchools!$A$10="All",C2318=Master_rankableSchools!$A$10),OR(Master_rankableSchools!$D$10="All",D2318=Master_rankableSchools!$D$10)),1,0)</f>
        <v>1</v>
      </c>
      <c r="AU2318" s="105">
        <f ca="1">IF(AT2318=0,"",CHOOSE(MATCH(Master_rankableSchools!$G$10,{"Priority score","Economic need","Enrollment","Fresh miles","Nearby resources"},0),T2318,G2318,F2318,K2318,L2318))</f>
        <v>33</v>
      </c>
      <c r="AV2318" s="105">
        <f ca="1">IF(AT2318=0,"",1+COUNTIFS($AT$2051:$AT$2550,1,$AU$2051:$AU$2550,IF(Master_rankableSchools!$J$10="Ascending","&lt;","&gt;")&amp;AU2318)+COUNTIFS($AT$2051:$AT$2550,1,$AU$2051:$AU$2550,AU2318,$W$2051:$W$2550,"&lt;"&amp;W2318))</f>
        <v>235</v>
      </c>
    </row>
    <row r="2319" spans="1:48" ht="22" customHeight="1">
      <c r="A2319" s="1" t="str">
        <f t="shared" si="120"/>
        <v>7320</v>
      </c>
      <c r="B2319" s="1" t="str">
        <f t="shared" si="121"/>
        <v>Julia W. Howe School</v>
      </c>
      <c r="C2319" s="1" t="str">
        <f t="shared" si="122"/>
        <v>District</v>
      </c>
      <c r="D2319" s="1" t="str">
        <f t="shared" si="123"/>
        <v>Elementary</v>
      </c>
      <c r="E2319" s="1" t="str">
        <f t="shared" si="124"/>
        <v>19141</v>
      </c>
      <c r="F2319" s="1">
        <f t="shared" si="125"/>
        <v>225</v>
      </c>
      <c r="G2319" s="1">
        <f t="shared" si="126"/>
        <v>0.81979999999999997</v>
      </c>
      <c r="H2319" s="1" t="str">
        <f t="shared" si="127"/>
        <v>Yes</v>
      </c>
      <c r="I2319" s="1">
        <f>IF(OR(A2319="",COUNTIFS('Staff Review'!$A$8:$A$507,A2319)&lt;&gt;1),0,MATCH(A2319,'Staff Review'!$A$8:$A$507,0))</f>
        <v>153</v>
      </c>
      <c r="J2319" s="1" t="str">
        <f>IF(I2319=0,"No",IF(INDEX('Staff Review'!$C$8:$C$507,I2319)="Yes","Yes","No"))</f>
        <v>No</v>
      </c>
      <c r="K2319" s="1">
        <f ca="1">IF(AI2319="Yes",INDEX('Staff Review'!$D$8:$D$507,I2319),IF(AB2319=0,"",IF(COUNT(INDEX($C$1531:$C$2030,AB2319))=1,INDEX($C$1531:$C$2030,AB2319),"")))</f>
        <v>0.39989290414268719</v>
      </c>
      <c r="L2319" s="1">
        <f>IF(AJ2319="Yes",INDEX('Staff Review'!$F$8:$F$507,I2319),IF(AB2319=0,"",IF(COUNT(INDEX($G$1531:$G$2030,AB2319))=1,INDEX($G$1531:$G$2030,AB2319),"")))</f>
        <v>8</v>
      </c>
      <c r="M2319" s="1" t="str">
        <f t="shared" ca="1" si="128"/>
        <v>Listed</v>
      </c>
      <c r="N2319" s="1" t="str">
        <f t="shared" si="129"/>
        <v>Listed</v>
      </c>
      <c r="O2319" s="1">
        <f t="shared" si="130"/>
        <v>25</v>
      </c>
      <c r="P2319" s="1">
        <f t="shared" ca="1" si="131"/>
        <v>10</v>
      </c>
      <c r="Q2319" s="1">
        <f t="shared" si="132"/>
        <v>0</v>
      </c>
      <c r="R2319" s="1">
        <f t="shared" si="133"/>
        <v>2</v>
      </c>
      <c r="S2319" s="1">
        <f t="shared" ca="1" si="134"/>
        <v>37</v>
      </c>
      <c r="T2319" s="1">
        <f ca="1">IF(OR(COUNT(O2319:R2319)&lt;&gt;4,COUNT('Top 25'!$B$45:$E$45)&lt;&gt;4,MIN('Top 25'!$B$45:$E$45)&lt;0,SUM('Top 25'!$B$45:$E$45)&lt;=0),"",ROUND(85*(O2319/30*'Top 25'!$B$45+P2319/25*'Top 25'!$C$45+Q2319/25*'Top 25'!$D$45+R2319/5*'Top 25'!$E$45)/SUM('Top 25'!$B$45:$E$45),6))</f>
        <v>37</v>
      </c>
      <c r="U2319" s="1" t="str">
        <f t="shared" ca="1" si="135"/>
        <v>Listed</v>
      </c>
      <c r="V2319" s="1" t="str">
        <f ca="1">IF(A2319="","",IF(AK2319&lt;&gt;1,"Duplicate source ID",IF(COUNTIFS('Staff Review'!$A$8:$A$507,A2319)&gt;1,"Duplicate review ID",IF(H2319&lt;&gt;"Yes","Outside scope",IF(J2319="Yes","Already served",IF(NOT(ISNUMBER(T2319)),"Missing data","Candidate"))))))</f>
        <v>Candidate</v>
      </c>
      <c r="W2319" s="1">
        <f t="shared" ca="1" si="136"/>
        <v>201</v>
      </c>
      <c r="X2319" s="1">
        <f t="shared" ca="1" si="137"/>
        <v>182</v>
      </c>
      <c r="Y2319" s="1">
        <f ca="1">IF(AND(H2319="Yes",OR(LEN('School Search'!$B$5)=0,ISNUMBER(SEARCH('School Search'!$B$5,B2319&amp;" "&amp;E2319&amp;" "&amp;A2319))),OR('School Search'!$D$5="All",C2319='School Search'!$D$5),OR('School Search'!$G$5="All eligible",AND('School Search'!$G$5="Not marked served",J2319&lt;&gt;"Yes"),AND('School Search'!$G$5="Missing data",V2319="Missing data"),AND('School Search'!$G$5="Marked served",J2319="Yes"))),1,0)</f>
        <v>1</v>
      </c>
      <c r="Z2319" s="1">
        <f ca="1">IF(Y2319=0,"",COUNTIFS($Y$2051:$Y$2550,1,$AO$2051:$AO$2550,"&lt;"&amp;AO2319)+COUNTIFS($Y$2051:Y2319,1,$AO$2051:AO2319,AO2319))</f>
        <v>201</v>
      </c>
      <c r="AA2319" s="1" t="str">
        <f t="shared" ca="1" si="138"/>
        <v>82% economic need; 0.40 mi fresh access; 8 nearby resources</v>
      </c>
      <c r="AB2319" s="1">
        <f t="shared" si="139"/>
        <v>269</v>
      </c>
      <c r="AC2319" s="1" t="str">
        <f t="shared" si="140"/>
        <v>ALDI 60011 60011</v>
      </c>
      <c r="AD2319" s="1" t="str">
        <f t="shared" si="141"/>
        <v>6119 N Broad St, Philadelphia, PA, 19141</v>
      </c>
      <c r="AE2319" s="1" t="str">
        <f t="shared" si="142"/>
        <v>5800 N 13TH ST</v>
      </c>
      <c r="AF2319" s="1">
        <f t="shared" si="143"/>
        <v>40.041131870000001</v>
      </c>
      <c r="AG2319" s="1">
        <f t="shared" si="144"/>
        <v>-75.142111310000004</v>
      </c>
      <c r="AH2319" s="1" t="str">
        <f>IF(I2319=0,"Not contacted",IF(INDEX('Staff Review'!$J$8:$J$507,I2319)="","Not contacted",INDEX('Staff Review'!$J$8:$J$507,I2319)))</f>
        <v>Not contacted</v>
      </c>
      <c r="AI2319" s="1" t="str">
        <f ca="1">IF(I2319=0,"No",IF(AND(COUNT(INDEX('Staff Review'!$D$8:$D$507,I2319))=1,INDEX('Staff Review'!$D$8:$D$507,I2319)&gt;=0,COUNT(INDEX('Staff Review'!$E$8:$E$507,I2319))=1,INDEX('Staff Review'!$E$8:$E$507,I2319)&gt;0,INDEX('Staff Review'!$E$8:$E$507,I2319)&lt;='Top 25'!$E$5,'Top 25'!$E$5-INDEX('Staff Review'!$E$8:$E$507,I2319)&lt;='Top 25'!$H$5,LEN(INDEX('Staff Review'!$H$8:$H$507,I2319))&gt;0),"Yes","No"))</f>
        <v>No</v>
      </c>
      <c r="AJ2319" s="1" t="str">
        <f>IF(I2319=0,"No",IF(COUNT(INDEX('Staff Review'!$F$8:$F$507,I2319))&lt;&gt;1,"No",IF(AND(INDEX('Staff Review'!$F$8:$F$507,I2319)&gt;=0,MOD(INDEX('Staff Review'!$F$8:$F$507,I2319),1)=0,COUNT(INDEX('Staff Review'!$G$8:$G$507,I2319))=1,INDEX('Staff Review'!$G$8:$G$507,I2319)&gt;0,INDEX('Staff Review'!$G$8:$G$507,I2319)&lt;='Top 25'!$E$5,'Top 25'!$E$5-INDEX('Staff Review'!$G$8:$G$507,I2319)&lt;='Top 25'!$H$5,LEN(INDEX('Staff Review'!$H$8:$H$507,I2319))&gt;0),"Yes","No")))</f>
        <v>No</v>
      </c>
      <c r="AK2319" s="1">
        <f t="shared" si="145"/>
        <v>1</v>
      </c>
      <c r="AL2319" s="1">
        <f t="shared" ca="1" si="146"/>
        <v>1</v>
      </c>
      <c r="AM2319" s="1">
        <f t="shared" si="147"/>
        <v>7320</v>
      </c>
      <c r="AN2319" s="1">
        <f t="shared" si="148"/>
        <v>269</v>
      </c>
      <c r="AO2319">
        <f t="shared" ca="1" si="149"/>
        <v>201</v>
      </c>
      <c r="AP2319" s="105">
        <f ca="1">IF(AND(AL2319=1,OR('Top 25'!$A$10="All",C2319='Top 25'!$A$10),OR('Top 25'!$D$10="All",D2319='Top 25'!$D$10)),1,0)</f>
        <v>1</v>
      </c>
      <c r="AQ2319" s="105">
        <f ca="1">IF(AP2319=0,"",CHOOSE(MATCH('Top 25'!$G$10,{"Priority score","Economic need","Enrollment","Fresh miles","Nearby resources"},0),T2319,G2319,F2319,K2319,L2319))</f>
        <v>37</v>
      </c>
      <c r="AR2319" s="105">
        <f ca="1">IF(AP2319=0,"",1+COUNTIFS($AP$2051:$AP$2550,1,$AQ$2051:$AQ$2550,IF('Top 25'!$J$10="Ascending","&lt;","&gt;")&amp;AQ2319)+COUNTIFS($AP$2051:$AP$2550,1,$AQ$2051:$AQ$2550,AQ2319,$W$2051:$W$2550,"&lt;"&amp;W2319))</f>
        <v>34</v>
      </c>
      <c r="AT2319" s="105">
        <f ca="1">IF(AND(AL2319=1,OR(Master_rankableSchools!$A$10="All",C2319=Master_rankableSchools!$A$10),OR(Master_rankableSchools!$D$10="All",D2319=Master_rankableSchools!$D$10)),1,0)</f>
        <v>1</v>
      </c>
      <c r="AU2319" s="105">
        <f ca="1">IF(AT2319=0,"",CHOOSE(MATCH(Master_rankableSchools!$G$10,{"Priority score","Economic need","Enrollment","Fresh miles","Nearby resources"},0),T2319,G2319,F2319,K2319,L2319))</f>
        <v>37</v>
      </c>
      <c r="AV2319" s="105">
        <f ca="1">IF(AT2319=0,"",1+COUNTIFS($AT$2051:$AT$2550,1,$AU$2051:$AU$2550,IF(Master_rankableSchools!$J$10="Ascending","&lt;","&gt;")&amp;AU2319)+COUNTIFS($AT$2051:$AT$2550,1,$AU$2051:$AU$2550,AU2319,$W$2051:$W$2550,"&lt;"&amp;W2319))</f>
        <v>201</v>
      </c>
    </row>
    <row r="2320" spans="1:48" ht="22" customHeight="1">
      <c r="A2320" s="1" t="str">
        <f t="shared" si="120"/>
        <v>7330</v>
      </c>
      <c r="B2320" s="1" t="str">
        <f t="shared" si="121"/>
        <v>Henry W. Lawton School</v>
      </c>
      <c r="C2320" s="1" t="str">
        <f t="shared" si="122"/>
        <v>District</v>
      </c>
      <c r="D2320" s="1" t="str">
        <f t="shared" si="123"/>
        <v>Elementary</v>
      </c>
      <c r="E2320" s="1" t="str">
        <f t="shared" si="124"/>
        <v>19135</v>
      </c>
      <c r="F2320" s="1">
        <f t="shared" si="125"/>
        <v>513</v>
      </c>
      <c r="G2320" s="1">
        <f t="shared" si="126"/>
        <v>0.82750000000000001</v>
      </c>
      <c r="H2320" s="1" t="str">
        <f t="shared" si="127"/>
        <v>Yes</v>
      </c>
      <c r="I2320" s="1">
        <f>IF(OR(A2320="",COUNTIFS('Staff Review'!$A$8:$A$507,A2320)&lt;&gt;1),0,MATCH(A2320,'Staff Review'!$A$8:$A$507,0))</f>
        <v>112</v>
      </c>
      <c r="J2320" s="1" t="str">
        <f>IF(I2320=0,"No",IF(INDEX('Staff Review'!$C$8:$C$507,I2320)="Yes","Yes","No"))</f>
        <v>No</v>
      </c>
      <c r="K2320" s="1">
        <f ca="1">IF(AI2320="Yes",INDEX('Staff Review'!$D$8:$D$507,I2320),IF(AB2320=0,"",IF(COUNT(INDEX($C$1531:$C$2030,AB2320))=1,INDEX($C$1531:$C$2030,AB2320),"")))</f>
        <v>0.36615105059730751</v>
      </c>
      <c r="L2320" s="1">
        <f>IF(AJ2320="Yes",INDEX('Staff Review'!$F$8:$F$507,I2320),IF(AB2320=0,"",IF(COUNT(INDEX($G$1531:$G$2030,AB2320))=1,INDEX($G$1531:$G$2030,AB2320),"")))</f>
        <v>3</v>
      </c>
      <c r="M2320" s="1" t="str">
        <f t="shared" ca="1" si="128"/>
        <v>Listed</v>
      </c>
      <c r="N2320" s="1" t="str">
        <f t="shared" si="129"/>
        <v>Listed</v>
      </c>
      <c r="O2320" s="1">
        <f t="shared" si="130"/>
        <v>25</v>
      </c>
      <c r="P2320" s="1">
        <f t="shared" ca="1" si="131"/>
        <v>10</v>
      </c>
      <c r="Q2320" s="1">
        <f t="shared" si="132"/>
        <v>10</v>
      </c>
      <c r="R2320" s="1">
        <f t="shared" si="133"/>
        <v>4</v>
      </c>
      <c r="S2320" s="1">
        <f t="shared" ca="1" si="134"/>
        <v>49</v>
      </c>
      <c r="T2320" s="1">
        <f ca="1">IF(OR(COUNT(O2320:R2320)&lt;&gt;4,COUNT('Top 25'!$B$45:$E$45)&lt;&gt;4,MIN('Top 25'!$B$45:$E$45)&lt;0,SUM('Top 25'!$B$45:$E$45)&lt;=0),"",ROUND(85*(O2320/30*'Top 25'!$B$45+P2320/25*'Top 25'!$C$45+Q2320/25*'Top 25'!$D$45+R2320/5*'Top 25'!$E$45)/SUM('Top 25'!$B$45:$E$45),6))</f>
        <v>49</v>
      </c>
      <c r="U2320" s="1" t="str">
        <f t="shared" ca="1" si="135"/>
        <v>Listed</v>
      </c>
      <c r="V2320" s="1" t="str">
        <f ca="1">IF(A2320="","",IF(AK2320&lt;&gt;1,"Duplicate source ID",IF(COUNTIFS('Staff Review'!$A$8:$A$507,A2320)&gt;1,"Duplicate review ID",IF(H2320&lt;&gt;"Yes","Outside scope",IF(J2320="Yes","Already served",IF(NOT(ISNUMBER(T2320)),"Missing data","Candidate"))))))</f>
        <v>Candidate</v>
      </c>
      <c r="W2320" s="1">
        <f t="shared" ca="1" si="136"/>
        <v>51</v>
      </c>
      <c r="X2320" s="1">
        <f t="shared" ca="1" si="137"/>
        <v>46</v>
      </c>
      <c r="Y2320" s="1">
        <f ca="1">IF(AND(H2320="Yes",OR(LEN('School Search'!$B$5)=0,ISNUMBER(SEARCH('School Search'!$B$5,B2320&amp;" "&amp;E2320&amp;" "&amp;A2320))),OR('School Search'!$D$5="All",C2320='School Search'!$D$5),OR('School Search'!$G$5="All eligible",AND('School Search'!$G$5="Not marked served",J2320&lt;&gt;"Yes"),AND('School Search'!$G$5="Missing data",V2320="Missing data"),AND('School Search'!$G$5="Marked served",J2320="Yes"))),1,0)</f>
        <v>1</v>
      </c>
      <c r="Z2320" s="1">
        <f ca="1">IF(Y2320=0,"",COUNTIFS($Y$2051:$Y$2550,1,$AO$2051:$AO$2550,"&lt;"&amp;AO2320)+COUNTIFS($Y$2051:Y2320,1,$AO$2051:AO2320,AO2320))</f>
        <v>51</v>
      </c>
      <c r="AA2320" s="1" t="str">
        <f t="shared" ca="1" si="138"/>
        <v>83% economic need; 0.37 mi fresh access; 3 nearby resources</v>
      </c>
      <c r="AB2320" s="1">
        <f t="shared" si="139"/>
        <v>270</v>
      </c>
      <c r="AC2320" s="1" t="str">
        <f t="shared" si="140"/>
        <v>6327 Meat Corp DBA Food Town</v>
      </c>
      <c r="AD2320" s="1" t="str">
        <f t="shared" si="141"/>
        <v>6327 Torresdale Ave, Philadelphia, PA, 19135</v>
      </c>
      <c r="AE2320" s="1" t="str">
        <f t="shared" si="142"/>
        <v>6101 JACKSON ST</v>
      </c>
      <c r="AF2320" s="1">
        <f t="shared" si="143"/>
        <v>40.020648000000001</v>
      </c>
      <c r="AG2320" s="1">
        <f t="shared" si="144"/>
        <v>-75.058976000000001</v>
      </c>
      <c r="AH2320" s="1" t="str">
        <f>IF(I2320=0,"Not contacted",IF(INDEX('Staff Review'!$J$8:$J$507,I2320)="","Not contacted",INDEX('Staff Review'!$J$8:$J$507,I2320)))</f>
        <v>Not contacted</v>
      </c>
      <c r="AI2320" s="1" t="str">
        <f ca="1">IF(I2320=0,"No",IF(AND(COUNT(INDEX('Staff Review'!$D$8:$D$507,I2320))=1,INDEX('Staff Review'!$D$8:$D$507,I2320)&gt;=0,COUNT(INDEX('Staff Review'!$E$8:$E$507,I2320))=1,INDEX('Staff Review'!$E$8:$E$507,I2320)&gt;0,INDEX('Staff Review'!$E$8:$E$507,I2320)&lt;='Top 25'!$E$5,'Top 25'!$E$5-INDEX('Staff Review'!$E$8:$E$507,I2320)&lt;='Top 25'!$H$5,LEN(INDEX('Staff Review'!$H$8:$H$507,I2320))&gt;0),"Yes","No"))</f>
        <v>No</v>
      </c>
      <c r="AJ2320" s="1" t="str">
        <f>IF(I2320=0,"No",IF(COUNT(INDEX('Staff Review'!$F$8:$F$507,I2320))&lt;&gt;1,"No",IF(AND(INDEX('Staff Review'!$F$8:$F$507,I2320)&gt;=0,MOD(INDEX('Staff Review'!$F$8:$F$507,I2320),1)=0,COUNT(INDEX('Staff Review'!$G$8:$G$507,I2320))=1,INDEX('Staff Review'!$G$8:$G$507,I2320)&gt;0,INDEX('Staff Review'!$G$8:$G$507,I2320)&lt;='Top 25'!$E$5,'Top 25'!$E$5-INDEX('Staff Review'!$G$8:$G$507,I2320)&lt;='Top 25'!$H$5,LEN(INDEX('Staff Review'!$H$8:$H$507,I2320))&gt;0),"Yes","No")))</f>
        <v>No</v>
      </c>
      <c r="AK2320" s="1">
        <f t="shared" si="145"/>
        <v>1</v>
      </c>
      <c r="AL2320" s="1">
        <f t="shared" ca="1" si="146"/>
        <v>1</v>
      </c>
      <c r="AM2320" s="1">
        <f t="shared" si="147"/>
        <v>7330</v>
      </c>
      <c r="AN2320" s="1">
        <f t="shared" si="148"/>
        <v>270</v>
      </c>
      <c r="AO2320">
        <f t="shared" ca="1" si="149"/>
        <v>51</v>
      </c>
      <c r="AP2320" s="105">
        <f ca="1">IF(AND(AL2320=1,OR('Top 25'!$A$10="All",C2320='Top 25'!$A$10),OR('Top 25'!$D$10="All",D2320='Top 25'!$D$10)),1,0)</f>
        <v>1</v>
      </c>
      <c r="AQ2320" s="105">
        <f ca="1">IF(AP2320=0,"",CHOOSE(MATCH('Top 25'!$G$10,{"Priority score","Economic need","Enrollment","Fresh miles","Nearby resources"},0),T2320,G2320,F2320,K2320,L2320))</f>
        <v>49</v>
      </c>
      <c r="AR2320" s="105">
        <f ca="1">IF(AP2320=0,"",1+COUNTIFS($AP$2051:$AP$2550,1,$AQ$2051:$AQ$2550,IF('Top 25'!$J$10="Ascending","&lt;","&gt;")&amp;AQ2320)+COUNTIFS($AP$2051:$AP$2550,1,$AQ$2051:$AQ$2550,AQ2320,$W$2051:$W$2550,"&lt;"&amp;W2320))</f>
        <v>7</v>
      </c>
      <c r="AT2320" s="105">
        <f ca="1">IF(AND(AL2320=1,OR(Master_rankableSchools!$A$10="All",C2320=Master_rankableSchools!$A$10),OR(Master_rankableSchools!$D$10="All",D2320=Master_rankableSchools!$D$10)),1,0)</f>
        <v>1</v>
      </c>
      <c r="AU2320" s="105">
        <f ca="1">IF(AT2320=0,"",CHOOSE(MATCH(Master_rankableSchools!$G$10,{"Priority score","Economic need","Enrollment","Fresh miles","Nearby resources"},0),T2320,G2320,F2320,K2320,L2320))</f>
        <v>49</v>
      </c>
      <c r="AV2320" s="105">
        <f ca="1">IF(AT2320=0,"",1+COUNTIFS($AT$2051:$AT$2550,1,$AU$2051:$AU$2550,IF(Master_rankableSchools!$J$10="Ascending","&lt;","&gt;")&amp;AU2320)+COUNTIFS($AT$2051:$AT$2550,1,$AU$2051:$AU$2550,AU2320,$W$2051:$W$2550,"&lt;"&amp;W2320))</f>
        <v>51</v>
      </c>
    </row>
    <row r="2321" spans="1:48" ht="22" customHeight="1">
      <c r="A2321" s="1" t="str">
        <f t="shared" si="120"/>
        <v>7350</v>
      </c>
      <c r="B2321" s="1" t="str">
        <f t="shared" si="121"/>
        <v>James R. Lowell School</v>
      </c>
      <c r="C2321" s="1" t="str">
        <f t="shared" si="122"/>
        <v>District</v>
      </c>
      <c r="D2321" s="1" t="str">
        <f t="shared" si="123"/>
        <v>Elementary</v>
      </c>
      <c r="E2321" s="1" t="str">
        <f t="shared" si="124"/>
        <v>19120</v>
      </c>
      <c r="F2321" s="1">
        <f t="shared" si="125"/>
        <v>430</v>
      </c>
      <c r="G2321" s="1">
        <f t="shared" si="126"/>
        <v>0.87680000000000002</v>
      </c>
      <c r="H2321" s="1" t="str">
        <f t="shared" si="127"/>
        <v>Yes</v>
      </c>
      <c r="I2321" s="1">
        <f>IF(OR(A2321="",COUNTIFS('Staff Review'!$A$8:$A$507,A2321)&lt;&gt;1),0,MATCH(A2321,'Staff Review'!$A$8:$A$507,0))</f>
        <v>129</v>
      </c>
      <c r="J2321" s="1" t="str">
        <f>IF(I2321=0,"No",IF(INDEX('Staff Review'!$C$8:$C$507,I2321)="Yes","Yes","No"))</f>
        <v>No</v>
      </c>
      <c r="K2321" s="1">
        <f ca="1">IF(AI2321="Yes",INDEX('Staff Review'!$D$8:$D$507,I2321),IF(AB2321=0,"",IF(COUNT(INDEX($C$1531:$C$2030,AB2321))=1,INDEX($C$1531:$C$2030,AB2321),"")))</f>
        <v>0.54540436369651768</v>
      </c>
      <c r="L2321" s="1">
        <f>IF(AJ2321="Yes",INDEX('Staff Review'!$F$8:$F$507,I2321),IF(AB2321=0,"",IF(COUNT(INDEX($G$1531:$G$2030,AB2321))=1,INDEX($G$1531:$G$2030,AB2321),"")))</f>
        <v>4</v>
      </c>
      <c r="M2321" s="1" t="str">
        <f t="shared" ca="1" si="128"/>
        <v>Listed</v>
      </c>
      <c r="N2321" s="1" t="str">
        <f t="shared" si="129"/>
        <v>Listed</v>
      </c>
      <c r="O2321" s="1">
        <f t="shared" si="130"/>
        <v>25</v>
      </c>
      <c r="P2321" s="1">
        <f t="shared" ca="1" si="131"/>
        <v>15</v>
      </c>
      <c r="Q2321" s="1">
        <f t="shared" si="132"/>
        <v>5</v>
      </c>
      <c r="R2321" s="1">
        <f t="shared" si="133"/>
        <v>3</v>
      </c>
      <c r="S2321" s="1">
        <f t="shared" ca="1" si="134"/>
        <v>48</v>
      </c>
      <c r="T2321" s="1">
        <f ca="1">IF(OR(COUNT(O2321:R2321)&lt;&gt;4,COUNT('Top 25'!$B$45:$E$45)&lt;&gt;4,MIN('Top 25'!$B$45:$E$45)&lt;0,SUM('Top 25'!$B$45:$E$45)&lt;=0),"",ROUND(85*(O2321/30*'Top 25'!$B$45+P2321/25*'Top 25'!$C$45+Q2321/25*'Top 25'!$D$45+R2321/5*'Top 25'!$E$45)/SUM('Top 25'!$B$45:$E$45),6))</f>
        <v>48</v>
      </c>
      <c r="U2321" s="1" t="str">
        <f t="shared" ca="1" si="135"/>
        <v>Listed</v>
      </c>
      <c r="V2321" s="1" t="str">
        <f ca="1">IF(A2321="","",IF(AK2321&lt;&gt;1,"Duplicate source ID",IF(COUNTIFS('Staff Review'!$A$8:$A$507,A2321)&gt;1,"Duplicate review ID",IF(H2321&lt;&gt;"Yes","Outside scope",IF(J2321="Yes","Already served",IF(NOT(ISNUMBER(T2321)),"Missing data","Candidate"))))))</f>
        <v>Candidate</v>
      </c>
      <c r="W2321" s="1">
        <f t="shared" ca="1" si="136"/>
        <v>60</v>
      </c>
      <c r="X2321" s="1">
        <f t="shared" ca="1" si="137"/>
        <v>56</v>
      </c>
      <c r="Y2321" s="1">
        <f ca="1">IF(AND(H2321="Yes",OR(LEN('School Search'!$B$5)=0,ISNUMBER(SEARCH('School Search'!$B$5,B2321&amp;" "&amp;E2321&amp;" "&amp;A2321))),OR('School Search'!$D$5="All",C2321='School Search'!$D$5),OR('School Search'!$G$5="All eligible",AND('School Search'!$G$5="Not marked served",J2321&lt;&gt;"Yes"),AND('School Search'!$G$5="Missing data",V2321="Missing data"),AND('School Search'!$G$5="Marked served",J2321="Yes"))),1,0)</f>
        <v>1</v>
      </c>
      <c r="Z2321" s="1">
        <f ca="1">IF(Y2321=0,"",COUNTIFS($Y$2051:$Y$2550,1,$AO$2051:$AO$2550,"&lt;"&amp;AO2321)+COUNTIFS($Y$2051:Y2321,1,$AO$2051:AO2321,AO2321))</f>
        <v>60</v>
      </c>
      <c r="AA2321" s="1" t="str">
        <f t="shared" ca="1" si="138"/>
        <v>88% economic need; 0.55 mi fresh access; 4 nearby resources</v>
      </c>
      <c r="AB2321" s="1">
        <f t="shared" si="139"/>
        <v>271</v>
      </c>
      <c r="AC2321" s="1" t="str">
        <f t="shared" si="140"/>
        <v>SHOPRITE 537</v>
      </c>
      <c r="AD2321" s="1" t="str">
        <f t="shared" si="141"/>
        <v>101 E Olney Ave, Philadelphia, PA, 19120</v>
      </c>
      <c r="AE2321" s="1" t="str">
        <f t="shared" si="142"/>
        <v>450 W NEDRO AVE</v>
      </c>
      <c r="AF2321" s="1">
        <f t="shared" si="143"/>
        <v>40.040865779999997</v>
      </c>
      <c r="AG2321" s="1">
        <f t="shared" si="144"/>
        <v>-75.128719630000006</v>
      </c>
      <c r="AH2321" s="1" t="str">
        <f>IF(I2321=0,"Not contacted",IF(INDEX('Staff Review'!$J$8:$J$507,I2321)="","Not contacted",INDEX('Staff Review'!$J$8:$J$507,I2321)))</f>
        <v>Not contacted</v>
      </c>
      <c r="AI2321" s="1" t="str">
        <f ca="1">IF(I2321=0,"No",IF(AND(COUNT(INDEX('Staff Review'!$D$8:$D$507,I2321))=1,INDEX('Staff Review'!$D$8:$D$507,I2321)&gt;=0,COUNT(INDEX('Staff Review'!$E$8:$E$507,I2321))=1,INDEX('Staff Review'!$E$8:$E$507,I2321)&gt;0,INDEX('Staff Review'!$E$8:$E$507,I2321)&lt;='Top 25'!$E$5,'Top 25'!$E$5-INDEX('Staff Review'!$E$8:$E$507,I2321)&lt;='Top 25'!$H$5,LEN(INDEX('Staff Review'!$H$8:$H$507,I2321))&gt;0),"Yes","No"))</f>
        <v>No</v>
      </c>
      <c r="AJ2321" s="1" t="str">
        <f>IF(I2321=0,"No",IF(COUNT(INDEX('Staff Review'!$F$8:$F$507,I2321))&lt;&gt;1,"No",IF(AND(INDEX('Staff Review'!$F$8:$F$507,I2321)&gt;=0,MOD(INDEX('Staff Review'!$F$8:$F$507,I2321),1)=0,COUNT(INDEX('Staff Review'!$G$8:$G$507,I2321))=1,INDEX('Staff Review'!$G$8:$G$507,I2321)&gt;0,INDEX('Staff Review'!$G$8:$G$507,I2321)&lt;='Top 25'!$E$5,'Top 25'!$E$5-INDEX('Staff Review'!$G$8:$G$507,I2321)&lt;='Top 25'!$H$5,LEN(INDEX('Staff Review'!$H$8:$H$507,I2321))&gt;0),"Yes","No")))</f>
        <v>No</v>
      </c>
      <c r="AK2321" s="1">
        <f t="shared" si="145"/>
        <v>1</v>
      </c>
      <c r="AL2321" s="1">
        <f t="shared" ca="1" si="146"/>
        <v>1</v>
      </c>
      <c r="AM2321" s="1">
        <f t="shared" si="147"/>
        <v>7350</v>
      </c>
      <c r="AN2321" s="1">
        <f t="shared" si="148"/>
        <v>271</v>
      </c>
      <c r="AO2321">
        <f t="shared" ca="1" si="149"/>
        <v>60</v>
      </c>
      <c r="AP2321" s="105">
        <f ca="1">IF(AND(AL2321=1,OR('Top 25'!$A$10="All",C2321='Top 25'!$A$10),OR('Top 25'!$D$10="All",D2321='Top 25'!$D$10)),1,0)</f>
        <v>1</v>
      </c>
      <c r="AQ2321" s="105">
        <f ca="1">IF(AP2321=0,"",CHOOSE(MATCH('Top 25'!$G$10,{"Priority score","Economic need","Enrollment","Fresh miles","Nearby resources"},0),T2321,G2321,F2321,K2321,L2321))</f>
        <v>48</v>
      </c>
      <c r="AR2321" s="105">
        <f ca="1">IF(AP2321=0,"",1+COUNTIFS($AP$2051:$AP$2550,1,$AQ$2051:$AQ$2550,IF('Top 25'!$J$10="Ascending","&lt;","&gt;")&amp;AQ2321)+COUNTIFS($AP$2051:$AP$2550,1,$AQ$2051:$AQ$2550,AQ2321,$W$2051:$W$2550,"&lt;"&amp;W2321))</f>
        <v>10</v>
      </c>
      <c r="AT2321" s="105">
        <f ca="1">IF(AND(AL2321=1,OR(Master_rankableSchools!$A$10="All",C2321=Master_rankableSchools!$A$10),OR(Master_rankableSchools!$D$10="All",D2321=Master_rankableSchools!$D$10)),1,0)</f>
        <v>1</v>
      </c>
      <c r="AU2321" s="105">
        <f ca="1">IF(AT2321=0,"",CHOOSE(MATCH(Master_rankableSchools!$G$10,{"Priority score","Economic need","Enrollment","Fresh miles","Nearby resources"},0),T2321,G2321,F2321,K2321,L2321))</f>
        <v>48</v>
      </c>
      <c r="AV2321" s="105">
        <f ca="1">IF(AT2321=0,"",1+COUNTIFS($AT$2051:$AT$2550,1,$AU$2051:$AU$2550,IF(Master_rankableSchools!$J$10="Ascending","&lt;","&gt;")&amp;AU2321)+COUNTIFS($AT$2051:$AT$2550,1,$AU$2051:$AU$2550,AU2321,$W$2051:$W$2550,"&lt;"&amp;W2321))</f>
        <v>60</v>
      </c>
    </row>
    <row r="2322" spans="1:48" ht="22" customHeight="1">
      <c r="A2322" s="1" t="str">
        <f t="shared" si="120"/>
        <v>7360</v>
      </c>
      <c r="B2322" s="1" t="str">
        <f t="shared" si="121"/>
        <v>John Marshall School</v>
      </c>
      <c r="C2322" s="1" t="str">
        <f t="shared" si="122"/>
        <v>District</v>
      </c>
      <c r="D2322" s="1" t="str">
        <f t="shared" si="123"/>
        <v>Elementary</v>
      </c>
      <c r="E2322" s="1" t="str">
        <f t="shared" si="124"/>
        <v>19124</v>
      </c>
      <c r="F2322" s="1">
        <f t="shared" si="125"/>
        <v>243</v>
      </c>
      <c r="G2322" s="1">
        <f t="shared" si="126"/>
        <v>0.86409999999999998</v>
      </c>
      <c r="H2322" s="1" t="str">
        <f t="shared" si="127"/>
        <v>Yes</v>
      </c>
      <c r="I2322" s="1">
        <f>IF(OR(A2322="",COUNTIFS('Staff Review'!$A$8:$A$507,A2322)&lt;&gt;1),0,MATCH(A2322,'Staff Review'!$A$8:$A$507,0))</f>
        <v>142</v>
      </c>
      <c r="J2322" s="1" t="str">
        <f>IF(I2322=0,"No",IF(INDEX('Staff Review'!$C$8:$C$507,I2322)="Yes","Yes","No"))</f>
        <v>No</v>
      </c>
      <c r="K2322" s="1">
        <f ca="1">IF(AI2322="Yes",INDEX('Staff Review'!$D$8:$D$507,I2322),IF(AB2322=0,"",IF(COUNT(INDEX($C$1531:$C$2030,AB2322))=1,INDEX($C$1531:$C$2030,AB2322),"")))</f>
        <v>0.57437948377283043</v>
      </c>
      <c r="L2322" s="1">
        <f>IF(AJ2322="Yes",INDEX('Staff Review'!$F$8:$F$507,I2322),IF(AB2322=0,"",IF(COUNT(INDEX($G$1531:$G$2030,AB2322))=1,INDEX($G$1531:$G$2030,AB2322),"")))</f>
        <v>7</v>
      </c>
      <c r="M2322" s="1" t="str">
        <f t="shared" ca="1" si="128"/>
        <v>Listed</v>
      </c>
      <c r="N2322" s="1" t="str">
        <f t="shared" si="129"/>
        <v>Listed</v>
      </c>
      <c r="O2322" s="1">
        <f t="shared" si="130"/>
        <v>25</v>
      </c>
      <c r="P2322" s="1">
        <f t="shared" ca="1" si="131"/>
        <v>15</v>
      </c>
      <c r="Q2322" s="1">
        <f t="shared" si="132"/>
        <v>0</v>
      </c>
      <c r="R2322" s="1">
        <f t="shared" si="133"/>
        <v>2</v>
      </c>
      <c r="S2322" s="1">
        <f t="shared" ca="1" si="134"/>
        <v>42</v>
      </c>
      <c r="T2322" s="1">
        <f ca="1">IF(OR(COUNT(O2322:R2322)&lt;&gt;4,COUNT('Top 25'!$B$45:$E$45)&lt;&gt;4,MIN('Top 25'!$B$45:$E$45)&lt;0,SUM('Top 25'!$B$45:$E$45)&lt;=0),"",ROUND(85*(O2322/30*'Top 25'!$B$45+P2322/25*'Top 25'!$C$45+Q2322/25*'Top 25'!$D$45+R2322/5*'Top 25'!$E$45)/SUM('Top 25'!$B$45:$E$45),6))</f>
        <v>42</v>
      </c>
      <c r="U2322" s="1" t="str">
        <f t="shared" ca="1" si="135"/>
        <v>Listed</v>
      </c>
      <c r="V2322" s="1" t="str">
        <f ca="1">IF(A2322="","",IF(AK2322&lt;&gt;1,"Duplicate source ID",IF(COUNTIFS('Staff Review'!$A$8:$A$507,A2322)&gt;1,"Duplicate review ID",IF(H2322&lt;&gt;"Yes","Outside scope",IF(J2322="Yes","Already served",IF(NOT(ISNUMBER(T2322)),"Missing data","Candidate"))))))</f>
        <v>Candidate</v>
      </c>
      <c r="W2322" s="1">
        <f t="shared" ca="1" si="136"/>
        <v>118</v>
      </c>
      <c r="X2322" s="1">
        <f t="shared" ca="1" si="137"/>
        <v>101</v>
      </c>
      <c r="Y2322" s="1">
        <f ca="1">IF(AND(H2322="Yes",OR(LEN('School Search'!$B$5)=0,ISNUMBER(SEARCH('School Search'!$B$5,B2322&amp;" "&amp;E2322&amp;" "&amp;A2322))),OR('School Search'!$D$5="All",C2322='School Search'!$D$5),OR('School Search'!$G$5="All eligible",AND('School Search'!$G$5="Not marked served",J2322&lt;&gt;"Yes"),AND('School Search'!$G$5="Missing data",V2322="Missing data"),AND('School Search'!$G$5="Marked served",J2322="Yes"))),1,0)</f>
        <v>1</v>
      </c>
      <c r="Z2322" s="1">
        <f ca="1">IF(Y2322=0,"",COUNTIFS($Y$2051:$Y$2550,1,$AO$2051:$AO$2550,"&lt;"&amp;AO2322)+COUNTIFS($Y$2051:Y2322,1,$AO$2051:AO2322,AO2322))</f>
        <v>118</v>
      </c>
      <c r="AA2322" s="1" t="str">
        <f t="shared" ca="1" si="138"/>
        <v>86% economic need; 0.57 mi fresh access; 7 nearby resources</v>
      </c>
      <c r="AB2322" s="1">
        <f t="shared" si="139"/>
        <v>272</v>
      </c>
      <c r="AC2322" s="1" t="str">
        <f t="shared" si="140"/>
        <v>Castor Avenue Market LLC</v>
      </c>
      <c r="AD2322" s="1" t="str">
        <f t="shared" si="141"/>
        <v>900 E Orthodox St, Philadelphia, PA, 19124</v>
      </c>
      <c r="AE2322" s="1" t="str">
        <f t="shared" si="142"/>
        <v>4500 GRISCOM ST</v>
      </c>
      <c r="AF2322" s="1">
        <f t="shared" si="143"/>
        <v>40.014546000000003</v>
      </c>
      <c r="AG2322" s="1">
        <f t="shared" si="144"/>
        <v>-75.087158000000002</v>
      </c>
      <c r="AH2322" s="1" t="str">
        <f>IF(I2322=0,"Not contacted",IF(INDEX('Staff Review'!$J$8:$J$507,I2322)="","Not contacted",INDEX('Staff Review'!$J$8:$J$507,I2322)))</f>
        <v>Not contacted</v>
      </c>
      <c r="AI2322" s="1" t="str">
        <f ca="1">IF(I2322=0,"No",IF(AND(COUNT(INDEX('Staff Review'!$D$8:$D$507,I2322))=1,INDEX('Staff Review'!$D$8:$D$507,I2322)&gt;=0,COUNT(INDEX('Staff Review'!$E$8:$E$507,I2322))=1,INDEX('Staff Review'!$E$8:$E$507,I2322)&gt;0,INDEX('Staff Review'!$E$8:$E$507,I2322)&lt;='Top 25'!$E$5,'Top 25'!$E$5-INDEX('Staff Review'!$E$8:$E$507,I2322)&lt;='Top 25'!$H$5,LEN(INDEX('Staff Review'!$H$8:$H$507,I2322))&gt;0),"Yes","No"))</f>
        <v>No</v>
      </c>
      <c r="AJ2322" s="1" t="str">
        <f>IF(I2322=0,"No",IF(COUNT(INDEX('Staff Review'!$F$8:$F$507,I2322))&lt;&gt;1,"No",IF(AND(INDEX('Staff Review'!$F$8:$F$507,I2322)&gt;=0,MOD(INDEX('Staff Review'!$F$8:$F$507,I2322),1)=0,COUNT(INDEX('Staff Review'!$G$8:$G$507,I2322))=1,INDEX('Staff Review'!$G$8:$G$507,I2322)&gt;0,INDEX('Staff Review'!$G$8:$G$507,I2322)&lt;='Top 25'!$E$5,'Top 25'!$E$5-INDEX('Staff Review'!$G$8:$G$507,I2322)&lt;='Top 25'!$H$5,LEN(INDEX('Staff Review'!$H$8:$H$507,I2322))&gt;0),"Yes","No")))</f>
        <v>No</v>
      </c>
      <c r="AK2322" s="1">
        <f t="shared" si="145"/>
        <v>1</v>
      </c>
      <c r="AL2322" s="1">
        <f t="shared" ca="1" si="146"/>
        <v>1</v>
      </c>
      <c r="AM2322" s="1">
        <f t="shared" si="147"/>
        <v>7360</v>
      </c>
      <c r="AN2322" s="1">
        <f t="shared" si="148"/>
        <v>272</v>
      </c>
      <c r="AO2322">
        <f t="shared" ca="1" si="149"/>
        <v>118</v>
      </c>
      <c r="AP2322" s="105">
        <f ca="1">IF(AND(AL2322=1,OR('Top 25'!$A$10="All",C2322='Top 25'!$A$10),OR('Top 25'!$D$10="All",D2322='Top 25'!$D$10)),1,0)</f>
        <v>1</v>
      </c>
      <c r="AQ2322" s="105">
        <f ca="1">IF(AP2322=0,"",CHOOSE(MATCH('Top 25'!$G$10,{"Priority score","Economic need","Enrollment","Fresh miles","Nearby resources"},0),T2322,G2322,F2322,K2322,L2322))</f>
        <v>42</v>
      </c>
      <c r="AR2322" s="105">
        <f ca="1">IF(AP2322=0,"",1+COUNTIFS($AP$2051:$AP$2550,1,$AQ$2051:$AQ$2550,IF('Top 25'!$J$10="Ascending","&lt;","&gt;")&amp;AQ2322)+COUNTIFS($AP$2051:$AP$2550,1,$AQ$2051:$AQ$2550,AQ2322,$W$2051:$W$2550,"&lt;"&amp;W2322))</f>
        <v>19</v>
      </c>
      <c r="AT2322" s="105">
        <f ca="1">IF(AND(AL2322=1,OR(Master_rankableSchools!$A$10="All",C2322=Master_rankableSchools!$A$10),OR(Master_rankableSchools!$D$10="All",D2322=Master_rankableSchools!$D$10)),1,0)</f>
        <v>1</v>
      </c>
      <c r="AU2322" s="105">
        <f ca="1">IF(AT2322=0,"",CHOOSE(MATCH(Master_rankableSchools!$G$10,{"Priority score","Economic need","Enrollment","Fresh miles","Nearby resources"},0),T2322,G2322,F2322,K2322,L2322))</f>
        <v>42</v>
      </c>
      <c r="AV2322" s="105">
        <f ca="1">IF(AT2322=0,"",1+COUNTIFS($AT$2051:$AT$2550,1,$AU$2051:$AU$2550,IF(Master_rankableSchools!$J$10="Ascending","&lt;","&gt;")&amp;AU2322)+COUNTIFS($AT$2051:$AT$2550,1,$AU$2051:$AU$2550,AU2322,$W$2051:$W$2550,"&lt;"&amp;W2322))</f>
        <v>118</v>
      </c>
    </row>
    <row r="2323" spans="1:48" ht="22" customHeight="1">
      <c r="A2323" s="1" t="str">
        <f t="shared" si="120"/>
        <v>7370</v>
      </c>
      <c r="B2323" s="1" t="str">
        <f t="shared" si="121"/>
        <v>Grover Washington, Jr. Middle School</v>
      </c>
      <c r="C2323" s="1" t="str">
        <f t="shared" si="122"/>
        <v>District</v>
      </c>
      <c r="D2323" s="1" t="str">
        <f t="shared" si="123"/>
        <v>Middle</v>
      </c>
      <c r="E2323" s="1" t="str">
        <f t="shared" si="124"/>
        <v>19120</v>
      </c>
      <c r="F2323" s="1">
        <f t="shared" si="125"/>
        <v>332</v>
      </c>
      <c r="G2323" s="1">
        <f t="shared" si="126"/>
        <v>0.86760000000000004</v>
      </c>
      <c r="H2323" s="1" t="str">
        <f t="shared" si="127"/>
        <v>Yes</v>
      </c>
      <c r="I2323" s="1">
        <f>IF(OR(A2323="",COUNTIFS('Staff Review'!$A$8:$A$507,A2323)&lt;&gt;1),0,MATCH(A2323,'Staff Review'!$A$8:$A$507,0))</f>
        <v>104</v>
      </c>
      <c r="J2323" s="1" t="str">
        <f>IF(I2323=0,"No",IF(INDEX('Staff Review'!$C$8:$C$507,I2323)="Yes","Yes","No"))</f>
        <v>No</v>
      </c>
      <c r="K2323" s="1">
        <f ca="1">IF(AI2323="Yes",INDEX('Staff Review'!$D$8:$D$507,I2323),IF(AB2323=0,"",IF(COUNT(INDEX($C$1531:$C$2030,AB2323))=1,INDEX($C$1531:$C$2030,AB2323),"")))</f>
        <v>0.17926401142772272</v>
      </c>
      <c r="L2323" s="1">
        <f>IF(AJ2323="Yes",INDEX('Staff Review'!$F$8:$F$507,I2323),IF(AB2323=0,"",IF(COUNT(INDEX($G$1531:$G$2030,AB2323))=1,INDEX($G$1531:$G$2030,AB2323),"")))</f>
        <v>6</v>
      </c>
      <c r="M2323" s="1" t="str">
        <f t="shared" ca="1" si="128"/>
        <v>Listed</v>
      </c>
      <c r="N2323" s="1" t="str">
        <f t="shared" si="129"/>
        <v>Listed</v>
      </c>
      <c r="O2323" s="1">
        <f t="shared" si="130"/>
        <v>25</v>
      </c>
      <c r="P2323" s="1">
        <f t="shared" ca="1" si="131"/>
        <v>5</v>
      </c>
      <c r="Q2323" s="1">
        <f t="shared" si="132"/>
        <v>0</v>
      </c>
      <c r="R2323" s="1">
        <f t="shared" si="133"/>
        <v>2</v>
      </c>
      <c r="S2323" s="1">
        <f t="shared" ca="1" si="134"/>
        <v>32</v>
      </c>
      <c r="T2323" s="1">
        <f ca="1">IF(OR(COUNT(O2323:R2323)&lt;&gt;4,COUNT('Top 25'!$B$45:$E$45)&lt;&gt;4,MIN('Top 25'!$B$45:$E$45)&lt;0,SUM('Top 25'!$B$45:$E$45)&lt;=0),"",ROUND(85*(O2323/30*'Top 25'!$B$45+P2323/25*'Top 25'!$C$45+Q2323/25*'Top 25'!$D$45+R2323/5*'Top 25'!$E$45)/SUM('Top 25'!$B$45:$E$45),6))</f>
        <v>32</v>
      </c>
      <c r="U2323" s="1" t="str">
        <f t="shared" ca="1" si="135"/>
        <v>Listed</v>
      </c>
      <c r="V2323" s="1" t="str">
        <f ca="1">IF(A2323="","",IF(AK2323&lt;&gt;1,"Duplicate source ID",IF(COUNTIFS('Staff Review'!$A$8:$A$507,A2323)&gt;1,"Duplicate review ID",IF(H2323&lt;&gt;"Yes","Outside scope",IF(J2323="Yes","Already served",IF(NOT(ISNUMBER(T2323)),"Missing data","Candidate"))))))</f>
        <v>Candidate</v>
      </c>
      <c r="W2323" s="1">
        <f t="shared" ca="1" si="136"/>
        <v>245</v>
      </c>
      <c r="X2323" s="1">
        <f t="shared" ca="1" si="137"/>
        <v>243</v>
      </c>
      <c r="Y2323" s="1">
        <f ca="1">IF(AND(H2323="Yes",OR(LEN('School Search'!$B$5)=0,ISNUMBER(SEARCH('School Search'!$B$5,B2323&amp;" "&amp;E2323&amp;" "&amp;A2323))),OR('School Search'!$D$5="All",C2323='School Search'!$D$5),OR('School Search'!$G$5="All eligible",AND('School Search'!$G$5="Not marked served",J2323&lt;&gt;"Yes"),AND('School Search'!$G$5="Missing data",V2323="Missing data"),AND('School Search'!$G$5="Marked served",J2323="Yes"))),1,0)</f>
        <v>1</v>
      </c>
      <c r="Z2323" s="1">
        <f ca="1">IF(Y2323=0,"",COUNTIFS($Y$2051:$Y$2550,1,$AO$2051:$AO$2550,"&lt;"&amp;AO2323)+COUNTIFS($Y$2051:Y2323,1,$AO$2051:AO2323,AO2323))</f>
        <v>245</v>
      </c>
      <c r="AA2323" s="1" t="str">
        <f t="shared" ca="1" si="138"/>
        <v>87% economic need; 0.18 mi fresh access; 6 nearby resources</v>
      </c>
      <c r="AB2323" s="1">
        <f t="shared" si="139"/>
        <v>273</v>
      </c>
      <c r="AC2323" s="1" t="str">
        <f t="shared" si="140"/>
        <v>SHOPRITE 537</v>
      </c>
      <c r="AD2323" s="1" t="str">
        <f t="shared" si="141"/>
        <v>101 E Olney Ave, Philadelphia, PA, 19120</v>
      </c>
      <c r="AE2323" s="1" t="str">
        <f t="shared" si="142"/>
        <v>201 E OLNEY AVE</v>
      </c>
      <c r="AF2323" s="1">
        <f t="shared" si="143"/>
        <v>40.035479000000002</v>
      </c>
      <c r="AG2323" s="1">
        <f t="shared" si="144"/>
        <v>-75.117969000000002</v>
      </c>
      <c r="AH2323" s="1" t="str">
        <f>IF(I2323=0,"Not contacted",IF(INDEX('Staff Review'!$J$8:$J$507,I2323)="","Not contacted",INDEX('Staff Review'!$J$8:$J$507,I2323)))</f>
        <v>Not contacted</v>
      </c>
      <c r="AI2323" s="1" t="str">
        <f ca="1">IF(I2323=0,"No",IF(AND(COUNT(INDEX('Staff Review'!$D$8:$D$507,I2323))=1,INDEX('Staff Review'!$D$8:$D$507,I2323)&gt;=0,COUNT(INDEX('Staff Review'!$E$8:$E$507,I2323))=1,INDEX('Staff Review'!$E$8:$E$507,I2323)&gt;0,INDEX('Staff Review'!$E$8:$E$507,I2323)&lt;='Top 25'!$E$5,'Top 25'!$E$5-INDEX('Staff Review'!$E$8:$E$507,I2323)&lt;='Top 25'!$H$5,LEN(INDEX('Staff Review'!$H$8:$H$507,I2323))&gt;0),"Yes","No"))</f>
        <v>No</v>
      </c>
      <c r="AJ2323" s="1" t="str">
        <f>IF(I2323=0,"No",IF(COUNT(INDEX('Staff Review'!$F$8:$F$507,I2323))&lt;&gt;1,"No",IF(AND(INDEX('Staff Review'!$F$8:$F$507,I2323)&gt;=0,MOD(INDEX('Staff Review'!$F$8:$F$507,I2323),1)=0,COUNT(INDEX('Staff Review'!$G$8:$G$507,I2323))=1,INDEX('Staff Review'!$G$8:$G$507,I2323)&gt;0,INDEX('Staff Review'!$G$8:$G$507,I2323)&lt;='Top 25'!$E$5,'Top 25'!$E$5-INDEX('Staff Review'!$G$8:$G$507,I2323)&lt;='Top 25'!$H$5,LEN(INDEX('Staff Review'!$H$8:$H$507,I2323))&gt;0),"Yes","No")))</f>
        <v>No</v>
      </c>
      <c r="AK2323" s="1">
        <f t="shared" si="145"/>
        <v>1</v>
      </c>
      <c r="AL2323" s="1">
        <f t="shared" ca="1" si="146"/>
        <v>1</v>
      </c>
      <c r="AM2323" s="1">
        <f t="shared" si="147"/>
        <v>7370</v>
      </c>
      <c r="AN2323" s="1">
        <f t="shared" si="148"/>
        <v>273</v>
      </c>
      <c r="AO2323">
        <f t="shared" ca="1" si="149"/>
        <v>245</v>
      </c>
      <c r="AP2323" s="105">
        <f ca="1">IF(AND(AL2323=1,OR('Top 25'!$A$10="All",C2323='Top 25'!$A$10),OR('Top 25'!$D$10="All",D2323='Top 25'!$D$10)),1,0)</f>
        <v>0</v>
      </c>
      <c r="AQ2323" s="105" t="str">
        <f ca="1">IF(AP2323=0,"",CHOOSE(MATCH('Top 25'!$G$10,{"Priority score","Economic need","Enrollment","Fresh miles","Nearby resources"},0),T2323,G2323,F2323,K2323,L2323))</f>
        <v/>
      </c>
      <c r="AR2323" s="105" t="str">
        <f ca="1">IF(AP2323=0,"",1+COUNTIFS($AP$2051:$AP$2550,1,$AQ$2051:$AQ$2550,IF('Top 25'!$J$10="Ascending","&lt;","&gt;")&amp;AQ2323)+COUNTIFS($AP$2051:$AP$2550,1,$AQ$2051:$AQ$2550,AQ2323,$W$2051:$W$2550,"&lt;"&amp;W2323))</f>
        <v/>
      </c>
      <c r="AT2323" s="105">
        <f ca="1">IF(AND(AL2323=1,OR(Master_rankableSchools!$A$10="All",C2323=Master_rankableSchools!$A$10),OR(Master_rankableSchools!$D$10="All",D2323=Master_rankableSchools!$D$10)),1,0)</f>
        <v>1</v>
      </c>
      <c r="AU2323" s="105">
        <f ca="1">IF(AT2323=0,"",CHOOSE(MATCH(Master_rankableSchools!$G$10,{"Priority score","Economic need","Enrollment","Fresh miles","Nearby resources"},0),T2323,G2323,F2323,K2323,L2323))</f>
        <v>32</v>
      </c>
      <c r="AV2323" s="105">
        <f ca="1">IF(AT2323=0,"",1+COUNTIFS($AT$2051:$AT$2550,1,$AU$2051:$AU$2550,IF(Master_rankableSchools!$J$10="Ascending","&lt;","&gt;")&amp;AU2323)+COUNTIFS($AT$2051:$AT$2550,1,$AU$2051:$AU$2550,AU2323,$W$2051:$W$2550,"&lt;"&amp;W2323))</f>
        <v>245</v>
      </c>
    </row>
    <row r="2324" spans="1:48" ht="22" customHeight="1">
      <c r="A2324" s="1" t="str">
        <f t="shared" si="120"/>
        <v>7380</v>
      </c>
      <c r="B2324" s="1" t="str">
        <f t="shared" si="121"/>
        <v>Alexander K. McClure School</v>
      </c>
      <c r="C2324" s="1" t="str">
        <f t="shared" si="122"/>
        <v>District</v>
      </c>
      <c r="D2324" s="1" t="str">
        <f t="shared" si="123"/>
        <v>Elementary</v>
      </c>
      <c r="E2324" s="1" t="str">
        <f t="shared" si="124"/>
        <v>19140</v>
      </c>
      <c r="F2324" s="1">
        <f t="shared" si="125"/>
        <v>353</v>
      </c>
      <c r="G2324" s="1">
        <f t="shared" si="126"/>
        <v>0.8821</v>
      </c>
      <c r="H2324" s="1" t="str">
        <f t="shared" si="127"/>
        <v>Yes</v>
      </c>
      <c r="I2324" s="1">
        <f>IF(OR(A2324="",COUNTIFS('Staff Review'!$A$8:$A$507,A2324)&lt;&gt;1),0,MATCH(A2324,'Staff Review'!$A$8:$A$507,0))</f>
        <v>13</v>
      </c>
      <c r="J2324" s="1" t="str">
        <f>IF(I2324=0,"No",IF(INDEX('Staff Review'!$C$8:$C$507,I2324)="Yes","Yes","No"))</f>
        <v>No</v>
      </c>
      <c r="K2324" s="1">
        <f ca="1">IF(AI2324="Yes",INDEX('Staff Review'!$D$8:$D$507,I2324),IF(AB2324=0,"",IF(COUNT(INDEX($C$1531:$C$2030,AB2324))=1,INDEX($C$1531:$C$2030,AB2324),"")))</f>
        <v>0.1960096497110867</v>
      </c>
      <c r="L2324" s="1">
        <f>IF(AJ2324="Yes",INDEX('Staff Review'!$F$8:$F$507,I2324),IF(AB2324=0,"",IF(COUNT(INDEX($G$1531:$G$2030,AB2324))=1,INDEX($G$1531:$G$2030,AB2324),"")))</f>
        <v>12</v>
      </c>
      <c r="M2324" s="1" t="str">
        <f t="shared" ca="1" si="128"/>
        <v>Listed</v>
      </c>
      <c r="N2324" s="1" t="str">
        <f t="shared" si="129"/>
        <v>Listed</v>
      </c>
      <c r="O2324" s="1">
        <f t="shared" si="130"/>
        <v>25</v>
      </c>
      <c r="P2324" s="1">
        <f t="shared" ca="1" si="131"/>
        <v>5</v>
      </c>
      <c r="Q2324" s="1">
        <f t="shared" si="132"/>
        <v>0</v>
      </c>
      <c r="R2324" s="1">
        <f t="shared" si="133"/>
        <v>3</v>
      </c>
      <c r="S2324" s="1">
        <f t="shared" ca="1" si="134"/>
        <v>33</v>
      </c>
      <c r="T2324" s="1">
        <f ca="1">IF(OR(COUNT(O2324:R2324)&lt;&gt;4,COUNT('Top 25'!$B$45:$E$45)&lt;&gt;4,MIN('Top 25'!$B$45:$E$45)&lt;0,SUM('Top 25'!$B$45:$E$45)&lt;=0),"",ROUND(85*(O2324/30*'Top 25'!$B$45+P2324/25*'Top 25'!$C$45+Q2324/25*'Top 25'!$D$45+R2324/5*'Top 25'!$E$45)/SUM('Top 25'!$B$45:$E$45),6))</f>
        <v>33</v>
      </c>
      <c r="U2324" s="1" t="str">
        <f t="shared" ca="1" si="135"/>
        <v>Listed</v>
      </c>
      <c r="V2324" s="1" t="str">
        <f ca="1">IF(A2324="","",IF(AK2324&lt;&gt;1,"Duplicate source ID",IF(COUNTIFS('Staff Review'!$A$8:$A$507,A2324)&gt;1,"Duplicate review ID",IF(H2324&lt;&gt;"Yes","Outside scope",IF(J2324="Yes","Already served",IF(NOT(ISNUMBER(T2324)),"Missing data","Candidate"))))))</f>
        <v>Candidate</v>
      </c>
      <c r="W2324" s="1">
        <f t="shared" ca="1" si="136"/>
        <v>233</v>
      </c>
      <c r="X2324" s="1">
        <f t="shared" ca="1" si="137"/>
        <v>233</v>
      </c>
      <c r="Y2324" s="1">
        <f ca="1">IF(AND(H2324="Yes",OR(LEN('School Search'!$B$5)=0,ISNUMBER(SEARCH('School Search'!$B$5,B2324&amp;" "&amp;E2324&amp;" "&amp;A2324))),OR('School Search'!$D$5="All",C2324='School Search'!$D$5),OR('School Search'!$G$5="All eligible",AND('School Search'!$G$5="Not marked served",J2324&lt;&gt;"Yes"),AND('School Search'!$G$5="Missing data",V2324="Missing data"),AND('School Search'!$G$5="Marked served",J2324="Yes"))),1,0)</f>
        <v>1</v>
      </c>
      <c r="Z2324" s="1">
        <f ca="1">IF(Y2324=0,"",COUNTIFS($Y$2051:$Y$2550,1,$AO$2051:$AO$2550,"&lt;"&amp;AO2324)+COUNTIFS($Y$2051:Y2324,1,$AO$2051:AO2324,AO2324))</f>
        <v>233</v>
      </c>
      <c r="AA2324" s="1" t="str">
        <f t="shared" ca="1" si="138"/>
        <v>88% economic need; 0.20 mi fresh access; 12 nearby resources</v>
      </c>
      <c r="AB2324" s="1">
        <f t="shared" si="139"/>
        <v>274</v>
      </c>
      <c r="AC2324" s="1" t="str">
        <f t="shared" si="140"/>
        <v>COUSINS SUPERMARKET INC. #2</v>
      </c>
      <c r="AD2324" s="1" t="str">
        <f t="shared" si="141"/>
        <v>4037 N 5th St, Philadelphia, PA, 19140</v>
      </c>
      <c r="AE2324" s="1" t="str">
        <f t="shared" si="142"/>
        <v>600 W HUNTING PARK AVE</v>
      </c>
      <c r="AF2324" s="1">
        <f t="shared" si="143"/>
        <v>40.015177999999999</v>
      </c>
      <c r="AG2324" s="1">
        <f t="shared" si="144"/>
        <v>-75.137574000000001</v>
      </c>
      <c r="AH2324" s="1" t="str">
        <f>IF(I2324=0,"Not contacted",IF(INDEX('Staff Review'!$J$8:$J$507,I2324)="","Not contacted",INDEX('Staff Review'!$J$8:$J$507,I2324)))</f>
        <v>Not contacted</v>
      </c>
      <c r="AI2324" s="1" t="str">
        <f ca="1">IF(I2324=0,"No",IF(AND(COUNT(INDEX('Staff Review'!$D$8:$D$507,I2324))=1,INDEX('Staff Review'!$D$8:$D$507,I2324)&gt;=0,COUNT(INDEX('Staff Review'!$E$8:$E$507,I2324))=1,INDEX('Staff Review'!$E$8:$E$507,I2324)&gt;0,INDEX('Staff Review'!$E$8:$E$507,I2324)&lt;='Top 25'!$E$5,'Top 25'!$E$5-INDEX('Staff Review'!$E$8:$E$507,I2324)&lt;='Top 25'!$H$5,LEN(INDEX('Staff Review'!$H$8:$H$507,I2324))&gt;0),"Yes","No"))</f>
        <v>No</v>
      </c>
      <c r="AJ2324" s="1" t="str">
        <f>IF(I2324=0,"No",IF(COUNT(INDEX('Staff Review'!$F$8:$F$507,I2324))&lt;&gt;1,"No",IF(AND(INDEX('Staff Review'!$F$8:$F$507,I2324)&gt;=0,MOD(INDEX('Staff Review'!$F$8:$F$507,I2324),1)=0,COUNT(INDEX('Staff Review'!$G$8:$G$507,I2324))=1,INDEX('Staff Review'!$G$8:$G$507,I2324)&gt;0,INDEX('Staff Review'!$G$8:$G$507,I2324)&lt;='Top 25'!$E$5,'Top 25'!$E$5-INDEX('Staff Review'!$G$8:$G$507,I2324)&lt;='Top 25'!$H$5,LEN(INDEX('Staff Review'!$H$8:$H$507,I2324))&gt;0),"Yes","No")))</f>
        <v>No</v>
      </c>
      <c r="AK2324" s="1">
        <f t="shared" si="145"/>
        <v>1</v>
      </c>
      <c r="AL2324" s="1">
        <f t="shared" ca="1" si="146"/>
        <v>1</v>
      </c>
      <c r="AM2324" s="1">
        <f t="shared" si="147"/>
        <v>7380</v>
      </c>
      <c r="AN2324" s="1">
        <f t="shared" si="148"/>
        <v>274</v>
      </c>
      <c r="AO2324">
        <f t="shared" ca="1" si="149"/>
        <v>233</v>
      </c>
      <c r="AP2324" s="105">
        <f ca="1">IF(AND(AL2324=1,OR('Top 25'!$A$10="All",C2324='Top 25'!$A$10),OR('Top 25'!$D$10="All",D2324='Top 25'!$D$10)),1,0)</f>
        <v>1</v>
      </c>
      <c r="AQ2324" s="105">
        <f ca="1">IF(AP2324=0,"",CHOOSE(MATCH('Top 25'!$G$10,{"Priority score","Economic need","Enrollment","Fresh miles","Nearby resources"},0),T2324,G2324,F2324,K2324,L2324))</f>
        <v>33</v>
      </c>
      <c r="AR2324" s="105">
        <f ca="1">IF(AP2324=0,"",1+COUNTIFS($AP$2051:$AP$2550,1,$AQ$2051:$AQ$2550,IF('Top 25'!$J$10="Ascending","&lt;","&gt;")&amp;AQ2324)+COUNTIFS($AP$2051:$AP$2550,1,$AQ$2051:$AQ$2550,AQ2324,$W$2051:$W$2550,"&lt;"&amp;W2324))</f>
        <v>37</v>
      </c>
      <c r="AT2324" s="105">
        <f ca="1">IF(AND(AL2324=1,OR(Master_rankableSchools!$A$10="All",C2324=Master_rankableSchools!$A$10),OR(Master_rankableSchools!$D$10="All",D2324=Master_rankableSchools!$D$10)),1,0)</f>
        <v>1</v>
      </c>
      <c r="AU2324" s="105">
        <f ca="1">IF(AT2324=0,"",CHOOSE(MATCH(Master_rankableSchools!$G$10,{"Priority score","Economic need","Enrollment","Fresh miles","Nearby resources"},0),T2324,G2324,F2324,K2324,L2324))</f>
        <v>33</v>
      </c>
      <c r="AV2324" s="105">
        <f ca="1">IF(AT2324=0,"",1+COUNTIFS($AT$2051:$AT$2550,1,$AU$2051:$AU$2550,IF(Master_rankableSchools!$J$10="Ascending","&lt;","&gt;")&amp;AU2324)+COUNTIFS($AT$2051:$AT$2550,1,$AU$2051:$AU$2550,AU2324,$W$2051:$W$2550,"&lt;"&amp;W2324))</f>
        <v>233</v>
      </c>
    </row>
    <row r="2325" spans="1:48" ht="22" customHeight="1">
      <c r="A2325" s="1" t="str">
        <f t="shared" si="120"/>
        <v>7390</v>
      </c>
      <c r="B2325" s="1" t="str">
        <f t="shared" si="121"/>
        <v>Andrew J. Morrison School</v>
      </c>
      <c r="C2325" s="1" t="str">
        <f t="shared" si="122"/>
        <v>District</v>
      </c>
      <c r="D2325" s="1" t="str">
        <f t="shared" si="123"/>
        <v>Elementary-Middle</v>
      </c>
      <c r="E2325" s="1" t="str">
        <f t="shared" si="124"/>
        <v>19120</v>
      </c>
      <c r="F2325" s="1">
        <f t="shared" si="125"/>
        <v>484</v>
      </c>
      <c r="G2325" s="1">
        <f t="shared" si="126"/>
        <v>0.8357</v>
      </c>
      <c r="H2325" s="1" t="str">
        <f t="shared" si="127"/>
        <v>Yes</v>
      </c>
      <c r="I2325" s="1">
        <f>IF(OR(A2325="",COUNTIFS('Staff Review'!$A$8:$A$507,A2325)&lt;&gt;1),0,MATCH(A2325,'Staff Review'!$A$8:$A$507,0))</f>
        <v>19</v>
      </c>
      <c r="J2325" s="1" t="str">
        <f>IF(I2325=0,"No",IF(INDEX('Staff Review'!$C$8:$C$507,I2325)="Yes","Yes","No"))</f>
        <v>No</v>
      </c>
      <c r="K2325" s="1">
        <f ca="1">IF(AI2325="Yes",INDEX('Staff Review'!$D$8:$D$507,I2325),IF(AB2325=0,"",IF(COUNT(INDEX($C$1531:$C$2030,AB2325))=1,INDEX($C$1531:$C$2030,AB2325),"")))</f>
        <v>0.19318629483885716</v>
      </c>
      <c r="L2325" s="1">
        <f>IF(AJ2325="Yes",INDEX('Staff Review'!$F$8:$F$507,I2325),IF(AB2325=0,"",IF(COUNT(INDEX($G$1531:$G$2030,AB2325))=1,INDEX($G$1531:$G$2030,AB2325),"")))</f>
        <v>9</v>
      </c>
      <c r="M2325" s="1" t="str">
        <f t="shared" ca="1" si="128"/>
        <v>Listed</v>
      </c>
      <c r="N2325" s="1" t="str">
        <f t="shared" si="129"/>
        <v>Listed</v>
      </c>
      <c r="O2325" s="1">
        <f t="shared" si="130"/>
        <v>25</v>
      </c>
      <c r="P2325" s="1">
        <f t="shared" ca="1" si="131"/>
        <v>5</v>
      </c>
      <c r="Q2325" s="1">
        <f t="shared" si="132"/>
        <v>0</v>
      </c>
      <c r="R2325" s="1">
        <f t="shared" si="133"/>
        <v>3</v>
      </c>
      <c r="S2325" s="1">
        <f t="shared" ca="1" si="134"/>
        <v>33</v>
      </c>
      <c r="T2325" s="1">
        <f ca="1">IF(OR(COUNT(O2325:R2325)&lt;&gt;4,COUNT('Top 25'!$B$45:$E$45)&lt;&gt;4,MIN('Top 25'!$B$45:$E$45)&lt;0,SUM('Top 25'!$B$45:$E$45)&lt;=0),"",ROUND(85*(O2325/30*'Top 25'!$B$45+P2325/25*'Top 25'!$C$45+Q2325/25*'Top 25'!$D$45+R2325/5*'Top 25'!$E$45)/SUM('Top 25'!$B$45:$E$45),6))</f>
        <v>33</v>
      </c>
      <c r="U2325" s="1" t="str">
        <f t="shared" ca="1" si="135"/>
        <v>Listed</v>
      </c>
      <c r="V2325" s="1" t="str">
        <f ca="1">IF(A2325="","",IF(AK2325&lt;&gt;1,"Duplicate source ID",IF(COUNTIFS('Staff Review'!$A$8:$A$507,A2325)&gt;1,"Duplicate review ID",IF(H2325&lt;&gt;"Yes","Outside scope",IF(J2325="Yes","Already served",IF(NOT(ISNUMBER(T2325)),"Missing data","Candidate"))))))</f>
        <v>Candidate</v>
      </c>
      <c r="W2325" s="1">
        <f t="shared" ca="1" si="136"/>
        <v>236</v>
      </c>
      <c r="X2325" s="1">
        <f t="shared" ca="1" si="137"/>
        <v>233</v>
      </c>
      <c r="Y2325" s="1">
        <f ca="1">IF(AND(H2325="Yes",OR(LEN('School Search'!$B$5)=0,ISNUMBER(SEARCH('School Search'!$B$5,B2325&amp;" "&amp;E2325&amp;" "&amp;A2325))),OR('School Search'!$D$5="All",C2325='School Search'!$D$5),OR('School Search'!$G$5="All eligible",AND('School Search'!$G$5="Not marked served",J2325&lt;&gt;"Yes"),AND('School Search'!$G$5="Missing data",V2325="Missing data"),AND('School Search'!$G$5="Marked served",J2325="Yes"))),1,0)</f>
        <v>1</v>
      </c>
      <c r="Z2325" s="1">
        <f ca="1">IF(Y2325=0,"",COUNTIFS($Y$2051:$Y$2550,1,$AO$2051:$AO$2550,"&lt;"&amp;AO2325)+COUNTIFS($Y$2051:Y2325,1,$AO$2051:AO2325,AO2325))</f>
        <v>236</v>
      </c>
      <c r="AA2325" s="1" t="str">
        <f t="shared" ca="1" si="138"/>
        <v>84% economic need; 0.19 mi fresh access; 9 nearby resources</v>
      </c>
      <c r="AB2325" s="1">
        <f t="shared" si="139"/>
        <v>275</v>
      </c>
      <c r="AC2325" s="1" t="str">
        <f t="shared" si="140"/>
        <v>GFM Food Corporation</v>
      </c>
      <c r="AD2325" s="1" t="str">
        <f t="shared" si="141"/>
        <v>180 W Duncannon Ave, Philadelphia, PA, 19120</v>
      </c>
      <c r="AE2325" s="1" t="str">
        <f t="shared" si="142"/>
        <v>5100 N 3RD ST</v>
      </c>
      <c r="AF2325" s="1">
        <f t="shared" si="143"/>
        <v>40.028437289999999</v>
      </c>
      <c r="AG2325" s="1">
        <f t="shared" si="144"/>
        <v>-75.129411259999998</v>
      </c>
      <c r="AH2325" s="1" t="str">
        <f>IF(I2325=0,"Not contacted",IF(INDEX('Staff Review'!$J$8:$J$507,I2325)="","Not contacted",INDEX('Staff Review'!$J$8:$J$507,I2325)))</f>
        <v>Not contacted</v>
      </c>
      <c r="AI2325" s="1" t="str">
        <f ca="1">IF(I2325=0,"No",IF(AND(COUNT(INDEX('Staff Review'!$D$8:$D$507,I2325))=1,INDEX('Staff Review'!$D$8:$D$507,I2325)&gt;=0,COUNT(INDEX('Staff Review'!$E$8:$E$507,I2325))=1,INDEX('Staff Review'!$E$8:$E$507,I2325)&gt;0,INDEX('Staff Review'!$E$8:$E$507,I2325)&lt;='Top 25'!$E$5,'Top 25'!$E$5-INDEX('Staff Review'!$E$8:$E$507,I2325)&lt;='Top 25'!$H$5,LEN(INDEX('Staff Review'!$H$8:$H$507,I2325))&gt;0),"Yes","No"))</f>
        <v>No</v>
      </c>
      <c r="AJ2325" s="1" t="str">
        <f>IF(I2325=0,"No",IF(COUNT(INDEX('Staff Review'!$F$8:$F$507,I2325))&lt;&gt;1,"No",IF(AND(INDEX('Staff Review'!$F$8:$F$507,I2325)&gt;=0,MOD(INDEX('Staff Review'!$F$8:$F$507,I2325),1)=0,COUNT(INDEX('Staff Review'!$G$8:$G$507,I2325))=1,INDEX('Staff Review'!$G$8:$G$507,I2325)&gt;0,INDEX('Staff Review'!$G$8:$G$507,I2325)&lt;='Top 25'!$E$5,'Top 25'!$E$5-INDEX('Staff Review'!$G$8:$G$507,I2325)&lt;='Top 25'!$H$5,LEN(INDEX('Staff Review'!$H$8:$H$507,I2325))&gt;0),"Yes","No")))</f>
        <v>No</v>
      </c>
      <c r="AK2325" s="1">
        <f t="shared" si="145"/>
        <v>1</v>
      </c>
      <c r="AL2325" s="1">
        <f t="shared" ca="1" si="146"/>
        <v>1</v>
      </c>
      <c r="AM2325" s="1">
        <f t="shared" si="147"/>
        <v>7390</v>
      </c>
      <c r="AN2325" s="1">
        <f t="shared" si="148"/>
        <v>275</v>
      </c>
      <c r="AO2325">
        <f t="shared" ca="1" si="149"/>
        <v>236</v>
      </c>
      <c r="AP2325" s="105">
        <f ca="1">IF(AND(AL2325=1,OR('Top 25'!$A$10="All",C2325='Top 25'!$A$10),OR('Top 25'!$D$10="All",D2325='Top 25'!$D$10)),1,0)</f>
        <v>0</v>
      </c>
      <c r="AQ2325" s="105" t="str">
        <f ca="1">IF(AP2325=0,"",CHOOSE(MATCH('Top 25'!$G$10,{"Priority score","Economic need","Enrollment","Fresh miles","Nearby resources"},0),T2325,G2325,F2325,K2325,L2325))</f>
        <v/>
      </c>
      <c r="AR2325" s="105" t="str">
        <f ca="1">IF(AP2325=0,"",1+COUNTIFS($AP$2051:$AP$2550,1,$AQ$2051:$AQ$2550,IF('Top 25'!$J$10="Ascending","&lt;","&gt;")&amp;AQ2325)+COUNTIFS($AP$2051:$AP$2550,1,$AQ$2051:$AQ$2550,AQ2325,$W$2051:$W$2550,"&lt;"&amp;W2325))</f>
        <v/>
      </c>
      <c r="AT2325" s="105">
        <f ca="1">IF(AND(AL2325=1,OR(Master_rankableSchools!$A$10="All",C2325=Master_rankableSchools!$A$10),OR(Master_rankableSchools!$D$10="All",D2325=Master_rankableSchools!$D$10)),1,0)</f>
        <v>1</v>
      </c>
      <c r="AU2325" s="105">
        <f ca="1">IF(AT2325=0,"",CHOOSE(MATCH(Master_rankableSchools!$G$10,{"Priority score","Economic need","Enrollment","Fresh miles","Nearby resources"},0),T2325,G2325,F2325,K2325,L2325))</f>
        <v>33</v>
      </c>
      <c r="AV2325" s="105">
        <f ca="1">IF(AT2325=0,"",1+COUNTIFS($AT$2051:$AT$2550,1,$AU$2051:$AU$2550,IF(Master_rankableSchools!$J$10="Ascending","&lt;","&gt;")&amp;AU2325)+COUNTIFS($AT$2051:$AT$2550,1,$AU$2051:$AU$2550,AU2325,$W$2051:$W$2550,"&lt;"&amp;W2325))</f>
        <v>236</v>
      </c>
    </row>
    <row r="2326" spans="1:48" ht="22" customHeight="1">
      <c r="A2326" s="1" t="str">
        <f t="shared" si="120"/>
        <v>7400</v>
      </c>
      <c r="B2326" s="1" t="str">
        <f t="shared" si="121"/>
        <v>Olney Elementary School</v>
      </c>
      <c r="C2326" s="1" t="str">
        <f t="shared" si="122"/>
        <v>District</v>
      </c>
      <c r="D2326" s="1" t="str">
        <f t="shared" si="123"/>
        <v>Elementary-Middle</v>
      </c>
      <c r="E2326" s="1" t="str">
        <f t="shared" si="124"/>
        <v>19120</v>
      </c>
      <c r="F2326" s="1">
        <f t="shared" si="125"/>
        <v>666</v>
      </c>
      <c r="G2326" s="1">
        <f t="shared" si="126"/>
        <v>0.82469999999999999</v>
      </c>
      <c r="H2326" s="1" t="str">
        <f t="shared" si="127"/>
        <v>Yes</v>
      </c>
      <c r="I2326" s="1">
        <f>IF(OR(A2326="",COUNTIFS('Staff Review'!$A$8:$A$507,A2326)&lt;&gt;1),0,MATCH(A2326,'Staff Review'!$A$8:$A$507,0))</f>
        <v>210</v>
      </c>
      <c r="J2326" s="1" t="str">
        <f>IF(I2326=0,"No",IF(INDEX('Staff Review'!$C$8:$C$507,I2326)="Yes","Yes","No"))</f>
        <v>No</v>
      </c>
      <c r="K2326" s="1">
        <f ca="1">IF(AI2326="Yes",INDEX('Staff Review'!$D$8:$D$507,I2326),IF(AB2326=0,"",IF(COUNT(INDEX($C$1531:$C$2030,AB2326))=1,INDEX($C$1531:$C$2030,AB2326),"")))</f>
        <v>0.16456988188391411</v>
      </c>
      <c r="L2326" s="1">
        <f>IF(AJ2326="Yes",INDEX('Staff Review'!$F$8:$F$507,I2326),IF(AB2326=0,"",IF(COUNT(INDEX($G$1531:$G$2030,AB2326))=1,INDEX($G$1531:$G$2030,AB2326),"")))</f>
        <v>8</v>
      </c>
      <c r="M2326" s="1" t="str">
        <f t="shared" ca="1" si="128"/>
        <v>Listed</v>
      </c>
      <c r="N2326" s="1" t="str">
        <f t="shared" si="129"/>
        <v>Listed</v>
      </c>
      <c r="O2326" s="1">
        <f t="shared" si="130"/>
        <v>25</v>
      </c>
      <c r="P2326" s="1">
        <f t="shared" ca="1" si="131"/>
        <v>5</v>
      </c>
      <c r="Q2326" s="1">
        <f t="shared" si="132"/>
        <v>0</v>
      </c>
      <c r="R2326" s="1">
        <f t="shared" si="133"/>
        <v>4</v>
      </c>
      <c r="S2326" s="1">
        <f t="shared" ca="1" si="134"/>
        <v>34</v>
      </c>
      <c r="T2326" s="1">
        <f ca="1">IF(OR(COUNT(O2326:R2326)&lt;&gt;4,COUNT('Top 25'!$B$45:$E$45)&lt;&gt;4,MIN('Top 25'!$B$45:$E$45)&lt;0,SUM('Top 25'!$B$45:$E$45)&lt;=0),"",ROUND(85*(O2326/30*'Top 25'!$B$45+P2326/25*'Top 25'!$C$45+Q2326/25*'Top 25'!$D$45+R2326/5*'Top 25'!$E$45)/SUM('Top 25'!$B$45:$E$45),6))</f>
        <v>34</v>
      </c>
      <c r="U2326" s="1" t="str">
        <f t="shared" ca="1" si="135"/>
        <v>Listed</v>
      </c>
      <c r="V2326" s="1" t="str">
        <f ca="1">IF(A2326="","",IF(AK2326&lt;&gt;1,"Duplicate source ID",IF(COUNTIFS('Staff Review'!$A$8:$A$507,A2326)&gt;1,"Duplicate review ID",IF(H2326&lt;&gt;"Yes","Outside scope",IF(J2326="Yes","Already served",IF(NOT(ISNUMBER(T2326)),"Missing data","Candidate"))))))</f>
        <v>Candidate</v>
      </c>
      <c r="W2326" s="1">
        <f t="shared" ca="1" si="136"/>
        <v>226</v>
      </c>
      <c r="X2326" s="1">
        <f t="shared" ca="1" si="137"/>
        <v>221</v>
      </c>
      <c r="Y2326" s="1">
        <f ca="1">IF(AND(H2326="Yes",OR(LEN('School Search'!$B$5)=0,ISNUMBER(SEARCH('School Search'!$B$5,B2326&amp;" "&amp;E2326&amp;" "&amp;A2326))),OR('School Search'!$D$5="All",C2326='School Search'!$D$5),OR('School Search'!$G$5="All eligible",AND('School Search'!$G$5="Not marked served",J2326&lt;&gt;"Yes"),AND('School Search'!$G$5="Missing data",V2326="Missing data"),AND('School Search'!$G$5="Marked served",J2326="Yes"))),1,0)</f>
        <v>1</v>
      </c>
      <c r="Z2326" s="1">
        <f ca="1">IF(Y2326=0,"",COUNTIFS($Y$2051:$Y$2550,1,$AO$2051:$AO$2550,"&lt;"&amp;AO2326)+COUNTIFS($Y$2051:Y2326,1,$AO$2051:AO2326,AO2326))</f>
        <v>226</v>
      </c>
      <c r="AA2326" s="1" t="str">
        <f t="shared" ca="1" si="138"/>
        <v>82% economic need; 0.16 mi fresh access; 8 nearby resources</v>
      </c>
      <c r="AB2326" s="1">
        <f t="shared" si="139"/>
        <v>276</v>
      </c>
      <c r="AC2326" s="1" t="str">
        <f t="shared" si="140"/>
        <v>Compare &amp; Save</v>
      </c>
      <c r="AD2326" s="1" t="str">
        <f t="shared" si="141"/>
        <v>5201 Rising Sun Ave, Philadelphia, PA, 19120</v>
      </c>
      <c r="AE2326" s="1" t="str">
        <f t="shared" si="142"/>
        <v>5301 N WATER ST</v>
      </c>
      <c r="AF2326" s="1">
        <f t="shared" si="143"/>
        <v>40.030586720000002</v>
      </c>
      <c r="AG2326" s="1">
        <f t="shared" si="144"/>
        <v>-75.121343539999998</v>
      </c>
      <c r="AH2326" s="1" t="str">
        <f>IF(I2326=0,"Not contacted",IF(INDEX('Staff Review'!$J$8:$J$507,I2326)="","Not contacted",INDEX('Staff Review'!$J$8:$J$507,I2326)))</f>
        <v>Not contacted</v>
      </c>
      <c r="AI2326" s="1" t="str">
        <f ca="1">IF(I2326=0,"No",IF(AND(COUNT(INDEX('Staff Review'!$D$8:$D$507,I2326))=1,INDEX('Staff Review'!$D$8:$D$507,I2326)&gt;=0,COUNT(INDEX('Staff Review'!$E$8:$E$507,I2326))=1,INDEX('Staff Review'!$E$8:$E$507,I2326)&gt;0,INDEX('Staff Review'!$E$8:$E$507,I2326)&lt;='Top 25'!$E$5,'Top 25'!$E$5-INDEX('Staff Review'!$E$8:$E$507,I2326)&lt;='Top 25'!$H$5,LEN(INDEX('Staff Review'!$H$8:$H$507,I2326))&gt;0),"Yes","No"))</f>
        <v>No</v>
      </c>
      <c r="AJ2326" s="1" t="str">
        <f>IF(I2326=0,"No",IF(COUNT(INDEX('Staff Review'!$F$8:$F$507,I2326))&lt;&gt;1,"No",IF(AND(INDEX('Staff Review'!$F$8:$F$507,I2326)&gt;=0,MOD(INDEX('Staff Review'!$F$8:$F$507,I2326),1)=0,COUNT(INDEX('Staff Review'!$G$8:$G$507,I2326))=1,INDEX('Staff Review'!$G$8:$G$507,I2326)&gt;0,INDEX('Staff Review'!$G$8:$G$507,I2326)&lt;='Top 25'!$E$5,'Top 25'!$E$5-INDEX('Staff Review'!$G$8:$G$507,I2326)&lt;='Top 25'!$H$5,LEN(INDEX('Staff Review'!$H$8:$H$507,I2326))&gt;0),"Yes","No")))</f>
        <v>No</v>
      </c>
      <c r="AK2326" s="1">
        <f t="shared" si="145"/>
        <v>1</v>
      </c>
      <c r="AL2326" s="1">
        <f t="shared" ca="1" si="146"/>
        <v>1</v>
      </c>
      <c r="AM2326" s="1">
        <f t="shared" si="147"/>
        <v>7400</v>
      </c>
      <c r="AN2326" s="1">
        <f t="shared" si="148"/>
        <v>276</v>
      </c>
      <c r="AO2326">
        <f t="shared" ca="1" si="149"/>
        <v>226</v>
      </c>
      <c r="AP2326" s="105">
        <f ca="1">IF(AND(AL2326=1,OR('Top 25'!$A$10="All",C2326='Top 25'!$A$10),OR('Top 25'!$D$10="All",D2326='Top 25'!$D$10)),1,0)</f>
        <v>0</v>
      </c>
      <c r="AQ2326" s="105" t="str">
        <f ca="1">IF(AP2326=0,"",CHOOSE(MATCH('Top 25'!$G$10,{"Priority score","Economic need","Enrollment","Fresh miles","Nearby resources"},0),T2326,G2326,F2326,K2326,L2326))</f>
        <v/>
      </c>
      <c r="AR2326" s="105" t="str">
        <f ca="1">IF(AP2326=0,"",1+COUNTIFS($AP$2051:$AP$2550,1,$AQ$2051:$AQ$2550,IF('Top 25'!$J$10="Ascending","&lt;","&gt;")&amp;AQ2326)+COUNTIFS($AP$2051:$AP$2550,1,$AQ$2051:$AQ$2550,AQ2326,$W$2051:$W$2550,"&lt;"&amp;W2326))</f>
        <v/>
      </c>
      <c r="AT2326" s="105">
        <f ca="1">IF(AND(AL2326=1,OR(Master_rankableSchools!$A$10="All",C2326=Master_rankableSchools!$A$10),OR(Master_rankableSchools!$D$10="All",D2326=Master_rankableSchools!$D$10)),1,0)</f>
        <v>1</v>
      </c>
      <c r="AU2326" s="105">
        <f ca="1">IF(AT2326=0,"",CHOOSE(MATCH(Master_rankableSchools!$G$10,{"Priority score","Economic need","Enrollment","Fresh miles","Nearby resources"},0),T2326,G2326,F2326,K2326,L2326))</f>
        <v>34</v>
      </c>
      <c r="AV2326" s="105">
        <f ca="1">IF(AT2326=0,"",1+COUNTIFS($AT$2051:$AT$2550,1,$AU$2051:$AU$2550,IF(Master_rankableSchools!$J$10="Ascending","&lt;","&gt;")&amp;AU2326)+COUNTIFS($AT$2051:$AT$2550,1,$AU$2051:$AU$2550,AU2326,$W$2051:$W$2550,"&lt;"&amp;W2326))</f>
        <v>226</v>
      </c>
    </row>
    <row r="2327" spans="1:48" ht="22" customHeight="1">
      <c r="A2327" s="1" t="str">
        <f t="shared" si="120"/>
        <v>7430</v>
      </c>
      <c r="B2327" s="1" t="str">
        <f t="shared" si="121"/>
        <v>James J. Sullivan School</v>
      </c>
      <c r="C2327" s="1" t="str">
        <f t="shared" si="122"/>
        <v>District</v>
      </c>
      <c r="D2327" s="1" t="str">
        <f t="shared" si="123"/>
        <v>Elementary</v>
      </c>
      <c r="E2327" s="1" t="str">
        <f t="shared" si="124"/>
        <v>19124</v>
      </c>
      <c r="F2327" s="1">
        <f t="shared" si="125"/>
        <v>378</v>
      </c>
      <c r="G2327" s="1">
        <f t="shared" si="126"/>
        <v>0.86399999999999999</v>
      </c>
      <c r="H2327" s="1" t="str">
        <f t="shared" si="127"/>
        <v>Yes</v>
      </c>
      <c r="I2327" s="1">
        <f>IF(OR(A2327="",COUNTIFS('Staff Review'!$A$8:$A$507,A2327)&lt;&gt;1),0,MATCH(A2327,'Staff Review'!$A$8:$A$507,0))</f>
        <v>127</v>
      </c>
      <c r="J2327" s="1" t="str">
        <f>IF(I2327=0,"No",IF(INDEX('Staff Review'!$C$8:$C$507,I2327)="Yes","Yes","No"))</f>
        <v>No</v>
      </c>
      <c r="K2327" s="1">
        <f ca="1">IF(AI2327="Yes",INDEX('Staff Review'!$D$8:$D$507,I2327),IF(AB2327=0,"",IF(COUNT(INDEX($C$1531:$C$2030,AB2327))=1,INDEX($C$1531:$C$2030,AB2327),"")))</f>
        <v>0.24666584149936449</v>
      </c>
      <c r="L2327" s="1">
        <f>IF(AJ2327="Yes",INDEX('Staff Review'!$F$8:$F$507,I2327),IF(AB2327=0,"",IF(COUNT(INDEX($G$1531:$G$2030,AB2327))=1,INDEX($G$1531:$G$2030,AB2327),"")))</f>
        <v>8</v>
      </c>
      <c r="M2327" s="1" t="str">
        <f t="shared" ca="1" si="128"/>
        <v>Listed</v>
      </c>
      <c r="N2327" s="1" t="str">
        <f t="shared" si="129"/>
        <v>Listed</v>
      </c>
      <c r="O2327" s="1">
        <f t="shared" si="130"/>
        <v>25</v>
      </c>
      <c r="P2327" s="1">
        <f t="shared" ca="1" si="131"/>
        <v>5</v>
      </c>
      <c r="Q2327" s="1">
        <f t="shared" si="132"/>
        <v>0</v>
      </c>
      <c r="R2327" s="1">
        <f t="shared" si="133"/>
        <v>3</v>
      </c>
      <c r="S2327" s="1">
        <f t="shared" ca="1" si="134"/>
        <v>33</v>
      </c>
      <c r="T2327" s="1">
        <f ca="1">IF(OR(COUNT(O2327:R2327)&lt;&gt;4,COUNT('Top 25'!$B$45:$E$45)&lt;&gt;4,MIN('Top 25'!$B$45:$E$45)&lt;0,SUM('Top 25'!$B$45:$E$45)&lt;=0),"",ROUND(85*(O2327/30*'Top 25'!$B$45+P2327/25*'Top 25'!$C$45+Q2327/25*'Top 25'!$D$45+R2327/5*'Top 25'!$E$45)/SUM('Top 25'!$B$45:$E$45),6))</f>
        <v>33</v>
      </c>
      <c r="U2327" s="1" t="str">
        <f t="shared" ca="1" si="135"/>
        <v>Listed</v>
      </c>
      <c r="V2327" s="1" t="str">
        <f ca="1">IF(A2327="","",IF(AK2327&lt;&gt;1,"Duplicate source ID",IF(COUNTIFS('Staff Review'!$A$8:$A$507,A2327)&gt;1,"Duplicate review ID",IF(H2327&lt;&gt;"Yes","Outside scope",IF(J2327="Yes","Already served",IF(NOT(ISNUMBER(T2327)),"Missing data","Candidate"))))))</f>
        <v>Candidate</v>
      </c>
      <c r="W2327" s="1">
        <f t="shared" ca="1" si="136"/>
        <v>234</v>
      </c>
      <c r="X2327" s="1">
        <f t="shared" ca="1" si="137"/>
        <v>233</v>
      </c>
      <c r="Y2327" s="1">
        <f ca="1">IF(AND(H2327="Yes",OR(LEN('School Search'!$B$5)=0,ISNUMBER(SEARCH('School Search'!$B$5,B2327&amp;" "&amp;E2327&amp;" "&amp;A2327))),OR('School Search'!$D$5="All",C2327='School Search'!$D$5),OR('School Search'!$G$5="All eligible",AND('School Search'!$G$5="Not marked served",J2327&lt;&gt;"Yes"),AND('School Search'!$G$5="Missing data",V2327="Missing data"),AND('School Search'!$G$5="Marked served",J2327="Yes"))),1,0)</f>
        <v>1</v>
      </c>
      <c r="Z2327" s="1">
        <f ca="1">IF(Y2327=0,"",COUNTIFS($Y$2051:$Y$2550,1,$AO$2051:$AO$2550,"&lt;"&amp;AO2327)+COUNTIFS($Y$2051:Y2327,1,$AO$2051:AO2327,AO2327))</f>
        <v>234</v>
      </c>
      <c r="AA2327" s="1" t="str">
        <f t="shared" ca="1" si="138"/>
        <v>86% economic need; 0.25 mi fresh access; 8 nearby resources</v>
      </c>
      <c r="AB2327" s="1">
        <f t="shared" si="139"/>
        <v>277</v>
      </c>
      <c r="AC2327" s="1" t="str">
        <f t="shared" si="140"/>
        <v>ShopRite of Bridge and Harbison 495</v>
      </c>
      <c r="AD2327" s="1" t="str">
        <f t="shared" si="141"/>
        <v>5597 Tulip St, Philadelphia, PA, 19124</v>
      </c>
      <c r="AE2327" s="1" t="str">
        <f t="shared" si="142"/>
        <v>5300 DITMAN ST</v>
      </c>
      <c r="AF2327" s="1">
        <f t="shared" si="143"/>
        <v>40.015297859999997</v>
      </c>
      <c r="AG2327" s="1">
        <f t="shared" si="144"/>
        <v>-75.067060359999999</v>
      </c>
      <c r="AH2327" s="1" t="str">
        <f>IF(I2327=0,"Not contacted",IF(INDEX('Staff Review'!$J$8:$J$507,I2327)="","Not contacted",INDEX('Staff Review'!$J$8:$J$507,I2327)))</f>
        <v>Not contacted</v>
      </c>
      <c r="AI2327" s="1" t="str">
        <f ca="1">IF(I2327=0,"No",IF(AND(COUNT(INDEX('Staff Review'!$D$8:$D$507,I2327))=1,INDEX('Staff Review'!$D$8:$D$507,I2327)&gt;=0,COUNT(INDEX('Staff Review'!$E$8:$E$507,I2327))=1,INDEX('Staff Review'!$E$8:$E$507,I2327)&gt;0,INDEX('Staff Review'!$E$8:$E$507,I2327)&lt;='Top 25'!$E$5,'Top 25'!$E$5-INDEX('Staff Review'!$E$8:$E$507,I2327)&lt;='Top 25'!$H$5,LEN(INDEX('Staff Review'!$H$8:$H$507,I2327))&gt;0),"Yes","No"))</f>
        <v>No</v>
      </c>
      <c r="AJ2327" s="1" t="str">
        <f>IF(I2327=0,"No",IF(COUNT(INDEX('Staff Review'!$F$8:$F$507,I2327))&lt;&gt;1,"No",IF(AND(INDEX('Staff Review'!$F$8:$F$507,I2327)&gt;=0,MOD(INDEX('Staff Review'!$F$8:$F$507,I2327),1)=0,COUNT(INDEX('Staff Review'!$G$8:$G$507,I2327))=1,INDEX('Staff Review'!$G$8:$G$507,I2327)&gt;0,INDEX('Staff Review'!$G$8:$G$507,I2327)&lt;='Top 25'!$E$5,'Top 25'!$E$5-INDEX('Staff Review'!$G$8:$G$507,I2327)&lt;='Top 25'!$H$5,LEN(INDEX('Staff Review'!$H$8:$H$507,I2327))&gt;0),"Yes","No")))</f>
        <v>No</v>
      </c>
      <c r="AK2327" s="1">
        <f t="shared" si="145"/>
        <v>1</v>
      </c>
      <c r="AL2327" s="1">
        <f t="shared" ca="1" si="146"/>
        <v>1</v>
      </c>
      <c r="AM2327" s="1">
        <f t="shared" si="147"/>
        <v>7430</v>
      </c>
      <c r="AN2327" s="1">
        <f t="shared" si="148"/>
        <v>277</v>
      </c>
      <c r="AO2327">
        <f t="shared" ca="1" si="149"/>
        <v>234</v>
      </c>
      <c r="AP2327" s="105">
        <f ca="1">IF(AND(AL2327=1,OR('Top 25'!$A$10="All",C2327='Top 25'!$A$10),OR('Top 25'!$D$10="All",D2327='Top 25'!$D$10)),1,0)</f>
        <v>1</v>
      </c>
      <c r="AQ2327" s="105">
        <f ca="1">IF(AP2327=0,"",CHOOSE(MATCH('Top 25'!$G$10,{"Priority score","Economic need","Enrollment","Fresh miles","Nearby resources"},0),T2327,G2327,F2327,K2327,L2327))</f>
        <v>33</v>
      </c>
      <c r="AR2327" s="105">
        <f ca="1">IF(AP2327=0,"",1+COUNTIFS($AP$2051:$AP$2550,1,$AQ$2051:$AQ$2550,IF('Top 25'!$J$10="Ascending","&lt;","&gt;")&amp;AQ2327)+COUNTIFS($AP$2051:$AP$2550,1,$AQ$2051:$AQ$2550,AQ2327,$W$2051:$W$2550,"&lt;"&amp;W2327))</f>
        <v>38</v>
      </c>
      <c r="AT2327" s="105">
        <f ca="1">IF(AND(AL2327=1,OR(Master_rankableSchools!$A$10="All",C2327=Master_rankableSchools!$A$10),OR(Master_rankableSchools!$D$10="All",D2327=Master_rankableSchools!$D$10)),1,0)</f>
        <v>1</v>
      </c>
      <c r="AU2327" s="105">
        <f ca="1">IF(AT2327=0,"",CHOOSE(MATCH(Master_rankableSchools!$G$10,{"Priority score","Economic need","Enrollment","Fresh miles","Nearby resources"},0),T2327,G2327,F2327,K2327,L2327))</f>
        <v>33</v>
      </c>
      <c r="AV2327" s="105">
        <f ca="1">IF(AT2327=0,"",1+COUNTIFS($AT$2051:$AT$2550,1,$AU$2051:$AU$2550,IF(Master_rankableSchools!$J$10="Ascending","&lt;","&gt;")&amp;AU2327)+COUNTIFS($AT$2051:$AT$2550,1,$AU$2051:$AU$2550,AU2327,$W$2051:$W$2550,"&lt;"&amp;W2327))</f>
        <v>234</v>
      </c>
    </row>
    <row r="2328" spans="1:48" ht="22" customHeight="1">
      <c r="A2328" s="1" t="str">
        <f t="shared" si="120"/>
        <v>7440</v>
      </c>
      <c r="B2328" s="1" t="str">
        <f t="shared" si="121"/>
        <v>Bayard Taylor School</v>
      </c>
      <c r="C2328" s="1" t="str">
        <f t="shared" si="122"/>
        <v>District</v>
      </c>
      <c r="D2328" s="1" t="str">
        <f t="shared" si="123"/>
        <v>Elementary</v>
      </c>
      <c r="E2328" s="1" t="str">
        <f t="shared" si="124"/>
        <v>19140</v>
      </c>
      <c r="F2328" s="1">
        <f t="shared" si="125"/>
        <v>359</v>
      </c>
      <c r="G2328" s="1">
        <f t="shared" si="126"/>
        <v>0.86350000000000005</v>
      </c>
      <c r="H2328" s="1" t="str">
        <f t="shared" si="127"/>
        <v>Yes</v>
      </c>
      <c r="I2328" s="1">
        <f>IF(OR(A2328="",COUNTIFS('Staff Review'!$A$8:$A$507,A2328)&lt;&gt;1),0,MATCH(A2328,'Staff Review'!$A$8:$A$507,0))</f>
        <v>27</v>
      </c>
      <c r="J2328" s="1" t="str">
        <f>IF(I2328=0,"No",IF(INDEX('Staff Review'!$C$8:$C$507,I2328)="Yes","Yes","No"))</f>
        <v>No</v>
      </c>
      <c r="K2328" s="1">
        <f ca="1">IF(AI2328="Yes",INDEX('Staff Review'!$D$8:$D$507,I2328),IF(AB2328=0,"",IF(COUNT(INDEX($C$1531:$C$2030,AB2328))=1,INDEX($C$1531:$C$2030,AB2328),"")))</f>
        <v>0.3832553292704573</v>
      </c>
      <c r="L2328" s="1">
        <f>IF(AJ2328="Yes",INDEX('Staff Review'!$F$8:$F$507,I2328),IF(AB2328=0,"",IF(COUNT(INDEX($G$1531:$G$2030,AB2328))=1,INDEX($G$1531:$G$2030,AB2328),"")))</f>
        <v>12</v>
      </c>
      <c r="M2328" s="1" t="str">
        <f t="shared" ca="1" si="128"/>
        <v>Listed</v>
      </c>
      <c r="N2328" s="1" t="str">
        <f t="shared" si="129"/>
        <v>Listed</v>
      </c>
      <c r="O2328" s="1">
        <f t="shared" si="130"/>
        <v>25</v>
      </c>
      <c r="P2328" s="1">
        <f t="shared" ca="1" si="131"/>
        <v>10</v>
      </c>
      <c r="Q2328" s="1">
        <f t="shared" si="132"/>
        <v>0</v>
      </c>
      <c r="R2328" s="1">
        <f t="shared" si="133"/>
        <v>3</v>
      </c>
      <c r="S2328" s="1">
        <f t="shared" ca="1" si="134"/>
        <v>38</v>
      </c>
      <c r="T2328" s="1">
        <f ca="1">IF(OR(COUNT(O2328:R2328)&lt;&gt;4,COUNT('Top 25'!$B$45:$E$45)&lt;&gt;4,MIN('Top 25'!$B$45:$E$45)&lt;0,SUM('Top 25'!$B$45:$E$45)&lt;=0),"",ROUND(85*(O2328/30*'Top 25'!$B$45+P2328/25*'Top 25'!$C$45+Q2328/25*'Top 25'!$D$45+R2328/5*'Top 25'!$E$45)/SUM('Top 25'!$B$45:$E$45),6))</f>
        <v>38</v>
      </c>
      <c r="U2328" s="1" t="str">
        <f t="shared" ca="1" si="135"/>
        <v>Listed</v>
      </c>
      <c r="V2328" s="1" t="str">
        <f ca="1">IF(A2328="","",IF(AK2328&lt;&gt;1,"Duplicate source ID",IF(COUNTIFS('Staff Review'!$A$8:$A$507,A2328)&gt;1,"Duplicate review ID",IF(H2328&lt;&gt;"Yes","Outside scope",IF(J2328="Yes","Already served",IF(NOT(ISNUMBER(T2328)),"Missing data","Candidate"))))))</f>
        <v>Candidate</v>
      </c>
      <c r="W2328" s="1">
        <f t="shared" ca="1" si="136"/>
        <v>173</v>
      </c>
      <c r="X2328" s="1">
        <f t="shared" ca="1" si="137"/>
        <v>166</v>
      </c>
      <c r="Y2328" s="1">
        <f ca="1">IF(AND(H2328="Yes",OR(LEN('School Search'!$B$5)=0,ISNUMBER(SEARCH('School Search'!$B$5,B2328&amp;" "&amp;E2328&amp;" "&amp;A2328))),OR('School Search'!$D$5="All",C2328='School Search'!$D$5),OR('School Search'!$G$5="All eligible",AND('School Search'!$G$5="Not marked served",J2328&lt;&gt;"Yes"),AND('School Search'!$G$5="Missing data",V2328="Missing data"),AND('School Search'!$G$5="Marked served",J2328="Yes"))),1,0)</f>
        <v>1</v>
      </c>
      <c r="Z2328" s="1">
        <f ca="1">IF(Y2328=0,"",COUNTIFS($Y$2051:$Y$2550,1,$AO$2051:$AO$2550,"&lt;"&amp;AO2328)+COUNTIFS($Y$2051:Y2328,1,$AO$2051:AO2328,AO2328))</f>
        <v>173</v>
      </c>
      <c r="AA2328" s="1" t="str">
        <f t="shared" ca="1" si="138"/>
        <v>86% economic need; 0.38 mi fresh access; 12 nearby resources</v>
      </c>
      <c r="AB2328" s="1">
        <f t="shared" si="139"/>
        <v>278</v>
      </c>
      <c r="AC2328" s="1" t="str">
        <f t="shared" si="140"/>
        <v>COUSINS SUPERMARKET INC. #2</v>
      </c>
      <c r="AD2328" s="1" t="str">
        <f t="shared" si="141"/>
        <v>4037 N 5th St, Philadelphia, PA, 19140</v>
      </c>
      <c r="AE2328" s="1" t="str">
        <f t="shared" si="142"/>
        <v>3698 N RANDOLPH ST</v>
      </c>
      <c r="AF2328" s="1">
        <f t="shared" si="143"/>
        <v>40.007530330000002</v>
      </c>
      <c r="AG2328" s="1">
        <f t="shared" si="144"/>
        <v>-75.137939720000006</v>
      </c>
      <c r="AH2328" s="1" t="str">
        <f>IF(I2328=0,"Not contacted",IF(INDEX('Staff Review'!$J$8:$J$507,I2328)="","Not contacted",INDEX('Staff Review'!$J$8:$J$507,I2328)))</f>
        <v>Not contacted</v>
      </c>
      <c r="AI2328" s="1" t="str">
        <f ca="1">IF(I2328=0,"No",IF(AND(COUNT(INDEX('Staff Review'!$D$8:$D$507,I2328))=1,INDEX('Staff Review'!$D$8:$D$507,I2328)&gt;=0,COUNT(INDEX('Staff Review'!$E$8:$E$507,I2328))=1,INDEX('Staff Review'!$E$8:$E$507,I2328)&gt;0,INDEX('Staff Review'!$E$8:$E$507,I2328)&lt;='Top 25'!$E$5,'Top 25'!$E$5-INDEX('Staff Review'!$E$8:$E$507,I2328)&lt;='Top 25'!$H$5,LEN(INDEX('Staff Review'!$H$8:$H$507,I2328))&gt;0),"Yes","No"))</f>
        <v>No</v>
      </c>
      <c r="AJ2328" s="1" t="str">
        <f>IF(I2328=0,"No",IF(COUNT(INDEX('Staff Review'!$F$8:$F$507,I2328))&lt;&gt;1,"No",IF(AND(INDEX('Staff Review'!$F$8:$F$507,I2328)&gt;=0,MOD(INDEX('Staff Review'!$F$8:$F$507,I2328),1)=0,COUNT(INDEX('Staff Review'!$G$8:$G$507,I2328))=1,INDEX('Staff Review'!$G$8:$G$507,I2328)&gt;0,INDEX('Staff Review'!$G$8:$G$507,I2328)&lt;='Top 25'!$E$5,'Top 25'!$E$5-INDEX('Staff Review'!$G$8:$G$507,I2328)&lt;='Top 25'!$H$5,LEN(INDEX('Staff Review'!$H$8:$H$507,I2328))&gt;0),"Yes","No")))</f>
        <v>No</v>
      </c>
      <c r="AK2328" s="1">
        <f t="shared" si="145"/>
        <v>1</v>
      </c>
      <c r="AL2328" s="1">
        <f t="shared" ca="1" si="146"/>
        <v>1</v>
      </c>
      <c r="AM2328" s="1">
        <f t="shared" si="147"/>
        <v>7440</v>
      </c>
      <c r="AN2328" s="1">
        <f t="shared" si="148"/>
        <v>278</v>
      </c>
      <c r="AO2328">
        <f t="shared" ca="1" si="149"/>
        <v>173</v>
      </c>
      <c r="AP2328" s="105">
        <f ca="1">IF(AND(AL2328=1,OR('Top 25'!$A$10="All",C2328='Top 25'!$A$10),OR('Top 25'!$D$10="All",D2328='Top 25'!$D$10)),1,0)</f>
        <v>1</v>
      </c>
      <c r="AQ2328" s="105">
        <f ca="1">IF(AP2328=0,"",CHOOSE(MATCH('Top 25'!$G$10,{"Priority score","Economic need","Enrollment","Fresh miles","Nearby resources"},0),T2328,G2328,F2328,K2328,L2328))</f>
        <v>38</v>
      </c>
      <c r="AR2328" s="105">
        <f ca="1">IF(AP2328=0,"",1+COUNTIFS($AP$2051:$AP$2550,1,$AQ$2051:$AQ$2550,IF('Top 25'!$J$10="Ascending","&lt;","&gt;")&amp;AQ2328)+COUNTIFS($AP$2051:$AP$2550,1,$AQ$2051:$AQ$2550,AQ2328,$W$2051:$W$2550,"&lt;"&amp;W2328))</f>
        <v>27</v>
      </c>
      <c r="AT2328" s="105">
        <f ca="1">IF(AND(AL2328=1,OR(Master_rankableSchools!$A$10="All",C2328=Master_rankableSchools!$A$10),OR(Master_rankableSchools!$D$10="All",D2328=Master_rankableSchools!$D$10)),1,0)</f>
        <v>1</v>
      </c>
      <c r="AU2328" s="105">
        <f ca="1">IF(AT2328=0,"",CHOOSE(MATCH(Master_rankableSchools!$G$10,{"Priority score","Economic need","Enrollment","Fresh miles","Nearby resources"},0),T2328,G2328,F2328,K2328,L2328))</f>
        <v>38</v>
      </c>
      <c r="AV2328" s="105">
        <f ca="1">IF(AT2328=0,"",1+COUNTIFS($AT$2051:$AT$2550,1,$AU$2051:$AU$2550,IF(Master_rankableSchools!$J$10="Ascending","&lt;","&gt;")&amp;AU2328)+COUNTIFS($AT$2051:$AT$2550,1,$AU$2051:$AU$2550,AU2328,$W$2051:$W$2550,"&lt;"&amp;W2328))</f>
        <v>173</v>
      </c>
    </row>
    <row r="2329" spans="1:48" ht="22" customHeight="1">
      <c r="A2329" s="1" t="str">
        <f t="shared" si="120"/>
        <v>7460</v>
      </c>
      <c r="B2329" s="1" t="str">
        <f t="shared" si="121"/>
        <v>William H. Ziegler School</v>
      </c>
      <c r="C2329" s="1" t="str">
        <f t="shared" si="122"/>
        <v>District</v>
      </c>
      <c r="D2329" s="1" t="str">
        <f t="shared" si="123"/>
        <v>Elementary-Middle</v>
      </c>
      <c r="E2329" s="1" t="str">
        <f t="shared" si="124"/>
        <v>19149</v>
      </c>
      <c r="F2329" s="1">
        <f t="shared" si="125"/>
        <v>507</v>
      </c>
      <c r="G2329" s="1">
        <f t="shared" si="126"/>
        <v>0.81340000000000001</v>
      </c>
      <c r="H2329" s="1" t="str">
        <f t="shared" si="127"/>
        <v>Yes</v>
      </c>
      <c r="I2329" s="1">
        <f>IF(OR(A2329="",COUNTIFS('Staff Review'!$A$8:$A$507,A2329)&lt;&gt;1),0,MATCH(A2329,'Staff Review'!$A$8:$A$507,0))</f>
        <v>319</v>
      </c>
      <c r="J2329" s="1" t="str">
        <f>IF(I2329=0,"No",IF(INDEX('Staff Review'!$C$8:$C$507,I2329)="Yes","Yes","No"))</f>
        <v>No</v>
      </c>
      <c r="K2329" s="1">
        <f ca="1">IF(AI2329="Yes",INDEX('Staff Review'!$D$8:$D$507,I2329),IF(AB2329=0,"",IF(COUNT(INDEX($C$1531:$C$2030,AB2329))=1,INDEX($C$1531:$C$2030,AB2329),"")))</f>
        <v>0.4804050832420565</v>
      </c>
      <c r="L2329" s="1">
        <f>IF(AJ2329="Yes",INDEX('Staff Review'!$F$8:$F$507,I2329),IF(AB2329=0,"",IF(COUNT(INDEX($G$1531:$G$2030,AB2329))=1,INDEX($G$1531:$G$2030,AB2329),"")))</f>
        <v>5</v>
      </c>
      <c r="M2329" s="1" t="str">
        <f t="shared" ca="1" si="128"/>
        <v>Listed</v>
      </c>
      <c r="N2329" s="1" t="str">
        <f t="shared" si="129"/>
        <v>Listed</v>
      </c>
      <c r="O2329" s="1">
        <f t="shared" si="130"/>
        <v>25</v>
      </c>
      <c r="P2329" s="1">
        <f t="shared" ca="1" si="131"/>
        <v>10</v>
      </c>
      <c r="Q2329" s="1">
        <f t="shared" si="132"/>
        <v>0</v>
      </c>
      <c r="R2329" s="1">
        <f t="shared" si="133"/>
        <v>4</v>
      </c>
      <c r="S2329" s="1">
        <f t="shared" ca="1" si="134"/>
        <v>39</v>
      </c>
      <c r="T2329" s="1">
        <f ca="1">IF(OR(COUNT(O2329:R2329)&lt;&gt;4,COUNT('Top 25'!$B$45:$E$45)&lt;&gt;4,MIN('Top 25'!$B$45:$E$45)&lt;0,SUM('Top 25'!$B$45:$E$45)&lt;=0),"",ROUND(85*(O2329/30*'Top 25'!$B$45+P2329/25*'Top 25'!$C$45+Q2329/25*'Top 25'!$D$45+R2329/5*'Top 25'!$E$45)/SUM('Top 25'!$B$45:$E$45),6))</f>
        <v>39</v>
      </c>
      <c r="U2329" s="1" t="str">
        <f t="shared" ca="1" si="135"/>
        <v>Listed</v>
      </c>
      <c r="V2329" s="1" t="str">
        <f ca="1">IF(A2329="","",IF(AK2329&lt;&gt;1,"Duplicate source ID",IF(COUNTIFS('Staff Review'!$A$8:$A$507,A2329)&gt;1,"Duplicate review ID",IF(H2329&lt;&gt;"Yes","Outside scope",IF(J2329="Yes","Already served",IF(NOT(ISNUMBER(T2329)),"Missing data","Candidate"))))))</f>
        <v>Candidate</v>
      </c>
      <c r="W2329" s="1">
        <f t="shared" ca="1" si="136"/>
        <v>159</v>
      </c>
      <c r="X2329" s="1">
        <f t="shared" ca="1" si="137"/>
        <v>148</v>
      </c>
      <c r="Y2329" s="1">
        <f ca="1">IF(AND(H2329="Yes",OR(LEN('School Search'!$B$5)=0,ISNUMBER(SEARCH('School Search'!$B$5,B2329&amp;" "&amp;E2329&amp;" "&amp;A2329))),OR('School Search'!$D$5="All",C2329='School Search'!$D$5),OR('School Search'!$G$5="All eligible",AND('School Search'!$G$5="Not marked served",J2329&lt;&gt;"Yes"),AND('School Search'!$G$5="Missing data",V2329="Missing data"),AND('School Search'!$G$5="Marked served",J2329="Yes"))),1,0)</f>
        <v>1</v>
      </c>
      <c r="Z2329" s="1">
        <f ca="1">IF(Y2329=0,"",COUNTIFS($Y$2051:$Y$2550,1,$AO$2051:$AO$2550,"&lt;"&amp;AO2329)+COUNTIFS($Y$2051:Y2329,1,$AO$2051:AO2329,AO2329))</f>
        <v>159</v>
      </c>
      <c r="AA2329" s="1" t="str">
        <f t="shared" ca="1" si="138"/>
        <v>81% economic need; 0.48 mi fresh access; 5 nearby resources</v>
      </c>
      <c r="AB2329" s="1">
        <f t="shared" si="139"/>
        <v>279</v>
      </c>
      <c r="AC2329" s="1" t="str">
        <f t="shared" si="140"/>
        <v>Cousins Grocery Market Inc.</v>
      </c>
      <c r="AD2329" s="1" t="str">
        <f t="shared" si="141"/>
        <v>1607 Bridge St, Philadelphia, PA, 19124</v>
      </c>
      <c r="AE2329" s="1" t="str">
        <f t="shared" si="142"/>
        <v>5935 SAUL ST</v>
      </c>
      <c r="AF2329" s="1">
        <f t="shared" si="143"/>
        <v>40.030037249999999</v>
      </c>
      <c r="AG2329" s="1">
        <f t="shared" si="144"/>
        <v>-75.075704479999999</v>
      </c>
      <c r="AH2329" s="1" t="str">
        <f>IF(I2329=0,"Not contacted",IF(INDEX('Staff Review'!$J$8:$J$507,I2329)="","Not contacted",INDEX('Staff Review'!$J$8:$J$507,I2329)))</f>
        <v>Not contacted</v>
      </c>
      <c r="AI2329" s="1" t="str">
        <f ca="1">IF(I2329=0,"No",IF(AND(COUNT(INDEX('Staff Review'!$D$8:$D$507,I2329))=1,INDEX('Staff Review'!$D$8:$D$507,I2329)&gt;=0,COUNT(INDEX('Staff Review'!$E$8:$E$507,I2329))=1,INDEX('Staff Review'!$E$8:$E$507,I2329)&gt;0,INDEX('Staff Review'!$E$8:$E$507,I2329)&lt;='Top 25'!$E$5,'Top 25'!$E$5-INDEX('Staff Review'!$E$8:$E$507,I2329)&lt;='Top 25'!$H$5,LEN(INDEX('Staff Review'!$H$8:$H$507,I2329))&gt;0),"Yes","No"))</f>
        <v>No</v>
      </c>
      <c r="AJ2329" s="1" t="str">
        <f>IF(I2329=0,"No",IF(COUNT(INDEX('Staff Review'!$F$8:$F$507,I2329))&lt;&gt;1,"No",IF(AND(INDEX('Staff Review'!$F$8:$F$507,I2329)&gt;=0,MOD(INDEX('Staff Review'!$F$8:$F$507,I2329),1)=0,COUNT(INDEX('Staff Review'!$G$8:$G$507,I2329))=1,INDEX('Staff Review'!$G$8:$G$507,I2329)&gt;0,INDEX('Staff Review'!$G$8:$G$507,I2329)&lt;='Top 25'!$E$5,'Top 25'!$E$5-INDEX('Staff Review'!$G$8:$G$507,I2329)&lt;='Top 25'!$H$5,LEN(INDEX('Staff Review'!$H$8:$H$507,I2329))&gt;0),"Yes","No")))</f>
        <v>No</v>
      </c>
      <c r="AK2329" s="1">
        <f t="shared" si="145"/>
        <v>1</v>
      </c>
      <c r="AL2329" s="1">
        <f t="shared" ca="1" si="146"/>
        <v>1</v>
      </c>
      <c r="AM2329" s="1">
        <f t="shared" si="147"/>
        <v>7460</v>
      </c>
      <c r="AN2329" s="1">
        <f t="shared" si="148"/>
        <v>279</v>
      </c>
      <c r="AO2329">
        <f t="shared" ca="1" si="149"/>
        <v>159</v>
      </c>
      <c r="AP2329" s="105">
        <f ca="1">IF(AND(AL2329=1,OR('Top 25'!$A$10="All",C2329='Top 25'!$A$10),OR('Top 25'!$D$10="All",D2329='Top 25'!$D$10)),1,0)</f>
        <v>0</v>
      </c>
      <c r="AQ2329" s="105" t="str">
        <f ca="1">IF(AP2329=0,"",CHOOSE(MATCH('Top 25'!$G$10,{"Priority score","Economic need","Enrollment","Fresh miles","Nearby resources"},0),T2329,G2329,F2329,K2329,L2329))</f>
        <v/>
      </c>
      <c r="AR2329" s="105" t="str">
        <f ca="1">IF(AP2329=0,"",1+COUNTIFS($AP$2051:$AP$2550,1,$AQ$2051:$AQ$2550,IF('Top 25'!$J$10="Ascending","&lt;","&gt;")&amp;AQ2329)+COUNTIFS($AP$2051:$AP$2550,1,$AQ$2051:$AQ$2550,AQ2329,$W$2051:$W$2550,"&lt;"&amp;W2329))</f>
        <v/>
      </c>
      <c r="AT2329" s="105">
        <f ca="1">IF(AND(AL2329=1,OR(Master_rankableSchools!$A$10="All",C2329=Master_rankableSchools!$A$10),OR(Master_rankableSchools!$D$10="All",D2329=Master_rankableSchools!$D$10)),1,0)</f>
        <v>1</v>
      </c>
      <c r="AU2329" s="105">
        <f ca="1">IF(AT2329=0,"",CHOOSE(MATCH(Master_rankableSchools!$G$10,{"Priority score","Economic need","Enrollment","Fresh miles","Nearby resources"},0),T2329,G2329,F2329,K2329,L2329))</f>
        <v>39</v>
      </c>
      <c r="AV2329" s="105">
        <f ca="1">IF(AT2329=0,"",1+COUNTIFS($AT$2051:$AT$2550,1,$AU$2051:$AU$2550,IF(Master_rankableSchools!$J$10="Ascending","&lt;","&gt;")&amp;AU2329)+COUNTIFS($AT$2051:$AT$2550,1,$AU$2051:$AU$2550,AU2329,$W$2051:$W$2550,"&lt;"&amp;W2329))</f>
        <v>159</v>
      </c>
    </row>
    <row r="2330" spans="1:48" ht="22" customHeight="1">
      <c r="A2330" s="1" t="str">
        <f t="shared" si="120"/>
        <v>7470</v>
      </c>
      <c r="B2330" s="1" t="str">
        <f t="shared" si="121"/>
        <v>Bridesburg School</v>
      </c>
      <c r="C2330" s="1" t="str">
        <f t="shared" si="122"/>
        <v>District</v>
      </c>
      <c r="D2330" s="1" t="str">
        <f t="shared" si="123"/>
        <v>Elementary-Middle</v>
      </c>
      <c r="E2330" s="1" t="str">
        <f t="shared" si="124"/>
        <v>19137</v>
      </c>
      <c r="F2330" s="1">
        <f t="shared" si="125"/>
        <v>522</v>
      </c>
      <c r="G2330" s="1">
        <f t="shared" si="126"/>
        <v>0.69340000000000002</v>
      </c>
      <c r="H2330" s="1" t="str">
        <f t="shared" si="127"/>
        <v>Yes</v>
      </c>
      <c r="I2330" s="1">
        <f>IF(OR(A2330="",COUNTIFS('Staff Review'!$A$8:$A$507,A2330)&lt;&gt;1),0,MATCH(A2330,'Staff Review'!$A$8:$A$507,0))</f>
        <v>34</v>
      </c>
      <c r="J2330" s="1" t="str">
        <f>IF(I2330=0,"No",IF(INDEX('Staff Review'!$C$8:$C$507,I2330)="Yes","Yes","No"))</f>
        <v>No</v>
      </c>
      <c r="K2330" s="1">
        <f ca="1">IF(AI2330="Yes",INDEX('Staff Review'!$D$8:$D$507,I2330),IF(AB2330=0,"",IF(COUNT(INDEX($C$1531:$C$2030,AB2330))=1,INDEX($C$1531:$C$2030,AB2330),"")))</f>
        <v>0.79035879691660538</v>
      </c>
      <c r="L2330" s="1">
        <f>IF(AJ2330="Yes",INDEX('Staff Review'!$F$8:$F$507,I2330),IF(AB2330=0,"",IF(COUNT(INDEX($G$1531:$G$2030,AB2330))=1,INDEX($G$1531:$G$2030,AB2330),"")))</f>
        <v>1</v>
      </c>
      <c r="M2330" s="1" t="str">
        <f t="shared" ca="1" si="128"/>
        <v>Listed</v>
      </c>
      <c r="N2330" s="1" t="str">
        <f t="shared" si="129"/>
        <v>Listed</v>
      </c>
      <c r="O2330" s="1">
        <f t="shared" si="130"/>
        <v>15</v>
      </c>
      <c r="P2330" s="1">
        <f t="shared" ca="1" si="131"/>
        <v>20</v>
      </c>
      <c r="Q2330" s="1">
        <f t="shared" si="132"/>
        <v>20</v>
      </c>
      <c r="R2330" s="1">
        <f t="shared" si="133"/>
        <v>4</v>
      </c>
      <c r="S2330" s="1">
        <f t="shared" ca="1" si="134"/>
        <v>59</v>
      </c>
      <c r="T2330" s="1">
        <f ca="1">IF(OR(COUNT(O2330:R2330)&lt;&gt;4,COUNT('Top 25'!$B$45:$E$45)&lt;&gt;4,MIN('Top 25'!$B$45:$E$45)&lt;0,SUM('Top 25'!$B$45:$E$45)&lt;=0),"",ROUND(85*(O2330/30*'Top 25'!$B$45+P2330/25*'Top 25'!$C$45+Q2330/25*'Top 25'!$D$45+R2330/5*'Top 25'!$E$45)/SUM('Top 25'!$B$45:$E$45),6))</f>
        <v>59</v>
      </c>
      <c r="U2330" s="1" t="str">
        <f t="shared" ca="1" si="135"/>
        <v>Listed</v>
      </c>
      <c r="V2330" s="1" t="str">
        <f ca="1">IF(A2330="","",IF(AK2330&lt;&gt;1,"Duplicate source ID",IF(COUNTIFS('Staff Review'!$A$8:$A$507,A2330)&gt;1,"Duplicate review ID",IF(H2330&lt;&gt;"Yes","Outside scope",IF(J2330="Yes","Already served",IF(NOT(ISNUMBER(T2330)),"Missing data","Candidate"))))))</f>
        <v>Candidate</v>
      </c>
      <c r="W2330" s="1">
        <f t="shared" ca="1" si="136"/>
        <v>16</v>
      </c>
      <c r="X2330" s="1">
        <f t="shared" ca="1" si="137"/>
        <v>16</v>
      </c>
      <c r="Y2330" s="1">
        <f ca="1">IF(AND(H2330="Yes",OR(LEN('School Search'!$B$5)=0,ISNUMBER(SEARCH('School Search'!$B$5,B2330&amp;" "&amp;E2330&amp;" "&amp;A2330))),OR('School Search'!$D$5="All",C2330='School Search'!$D$5),OR('School Search'!$G$5="All eligible",AND('School Search'!$G$5="Not marked served",J2330&lt;&gt;"Yes"),AND('School Search'!$G$5="Missing data",V2330="Missing data"),AND('School Search'!$G$5="Marked served",J2330="Yes"))),1,0)</f>
        <v>1</v>
      </c>
      <c r="Z2330" s="1">
        <f ca="1">IF(Y2330=0,"",COUNTIFS($Y$2051:$Y$2550,1,$AO$2051:$AO$2550,"&lt;"&amp;AO2330)+COUNTIFS($Y$2051:Y2330,1,$AO$2051:AO2330,AO2330))</f>
        <v>16</v>
      </c>
      <c r="AA2330" s="1" t="str">
        <f t="shared" ca="1" si="138"/>
        <v>69% economic need; 0.79 mi fresh access; 1 nearby resources</v>
      </c>
      <c r="AB2330" s="1">
        <f t="shared" si="139"/>
        <v>280</v>
      </c>
      <c r="AC2330" s="1" t="str">
        <f t="shared" si="140"/>
        <v>ShopRite of Bridge and Harbison 495</v>
      </c>
      <c r="AD2330" s="1" t="str">
        <f t="shared" si="141"/>
        <v>5597 Tulip St, Philadelphia, PA, 19124</v>
      </c>
      <c r="AE2330" s="1" t="str">
        <f t="shared" si="142"/>
        <v>2824 JENKS ST</v>
      </c>
      <c r="AF2330" s="1">
        <f t="shared" si="143"/>
        <v>40.00030082</v>
      </c>
      <c r="AG2330" s="1">
        <f t="shared" si="144"/>
        <v>-75.066604709999993</v>
      </c>
      <c r="AH2330" s="1" t="str">
        <f>IF(I2330=0,"Not contacted",IF(INDEX('Staff Review'!$J$8:$J$507,I2330)="","Not contacted",INDEX('Staff Review'!$J$8:$J$507,I2330)))</f>
        <v>Not contacted</v>
      </c>
      <c r="AI2330" s="1" t="str">
        <f ca="1">IF(I2330=0,"No",IF(AND(COUNT(INDEX('Staff Review'!$D$8:$D$507,I2330))=1,INDEX('Staff Review'!$D$8:$D$507,I2330)&gt;=0,COUNT(INDEX('Staff Review'!$E$8:$E$507,I2330))=1,INDEX('Staff Review'!$E$8:$E$507,I2330)&gt;0,INDEX('Staff Review'!$E$8:$E$507,I2330)&lt;='Top 25'!$E$5,'Top 25'!$E$5-INDEX('Staff Review'!$E$8:$E$507,I2330)&lt;='Top 25'!$H$5,LEN(INDEX('Staff Review'!$H$8:$H$507,I2330))&gt;0),"Yes","No"))</f>
        <v>No</v>
      </c>
      <c r="AJ2330" s="1" t="str">
        <f>IF(I2330=0,"No",IF(COUNT(INDEX('Staff Review'!$F$8:$F$507,I2330))&lt;&gt;1,"No",IF(AND(INDEX('Staff Review'!$F$8:$F$507,I2330)&gt;=0,MOD(INDEX('Staff Review'!$F$8:$F$507,I2330),1)=0,COUNT(INDEX('Staff Review'!$G$8:$G$507,I2330))=1,INDEX('Staff Review'!$G$8:$G$507,I2330)&gt;0,INDEX('Staff Review'!$G$8:$G$507,I2330)&lt;='Top 25'!$E$5,'Top 25'!$E$5-INDEX('Staff Review'!$G$8:$G$507,I2330)&lt;='Top 25'!$H$5,LEN(INDEX('Staff Review'!$H$8:$H$507,I2330))&gt;0),"Yes","No")))</f>
        <v>No</v>
      </c>
      <c r="AK2330" s="1">
        <f t="shared" si="145"/>
        <v>1</v>
      </c>
      <c r="AL2330" s="1">
        <f t="shared" ca="1" si="146"/>
        <v>1</v>
      </c>
      <c r="AM2330" s="1">
        <f t="shared" si="147"/>
        <v>7470</v>
      </c>
      <c r="AN2330" s="1">
        <f t="shared" si="148"/>
        <v>280</v>
      </c>
      <c r="AO2330">
        <f t="shared" ca="1" si="149"/>
        <v>16</v>
      </c>
      <c r="AP2330" s="105">
        <f ca="1">IF(AND(AL2330=1,OR('Top 25'!$A$10="All",C2330='Top 25'!$A$10),OR('Top 25'!$D$10="All",D2330='Top 25'!$D$10)),1,0)</f>
        <v>0</v>
      </c>
      <c r="AQ2330" s="105" t="str">
        <f ca="1">IF(AP2330=0,"",CHOOSE(MATCH('Top 25'!$G$10,{"Priority score","Economic need","Enrollment","Fresh miles","Nearby resources"},0),T2330,G2330,F2330,K2330,L2330))</f>
        <v/>
      </c>
      <c r="AR2330" s="105" t="str">
        <f ca="1">IF(AP2330=0,"",1+COUNTIFS($AP$2051:$AP$2550,1,$AQ$2051:$AQ$2550,IF('Top 25'!$J$10="Ascending","&lt;","&gt;")&amp;AQ2330)+COUNTIFS($AP$2051:$AP$2550,1,$AQ$2051:$AQ$2550,AQ2330,$W$2051:$W$2550,"&lt;"&amp;W2330))</f>
        <v/>
      </c>
      <c r="AT2330" s="105">
        <f ca="1">IF(AND(AL2330=1,OR(Master_rankableSchools!$A$10="All",C2330=Master_rankableSchools!$A$10),OR(Master_rankableSchools!$D$10="All",D2330=Master_rankableSchools!$D$10)),1,0)</f>
        <v>1</v>
      </c>
      <c r="AU2330" s="105">
        <f ca="1">IF(AT2330=0,"",CHOOSE(MATCH(Master_rankableSchools!$G$10,{"Priority score","Economic need","Enrollment","Fresh miles","Nearby resources"},0),T2330,G2330,F2330,K2330,L2330))</f>
        <v>59</v>
      </c>
      <c r="AV2330" s="105">
        <f ca="1">IF(AT2330=0,"",1+COUNTIFS($AT$2051:$AT$2550,1,$AU$2051:$AU$2550,IF(Master_rankableSchools!$J$10="Ascending","&lt;","&gt;")&amp;AU2330)+COUNTIFS($AT$2051:$AT$2550,1,$AU$2051:$AU$2550,AU2330,$W$2051:$W$2550,"&lt;"&amp;W2330))</f>
        <v>16</v>
      </c>
    </row>
    <row r="2331" spans="1:48" ht="22" customHeight="1">
      <c r="A2331" s="1" t="str">
        <f t="shared" si="120"/>
        <v>7490</v>
      </c>
      <c r="B2331" s="1" t="str">
        <f t="shared" si="121"/>
        <v>Prince Hall School</v>
      </c>
      <c r="C2331" s="1" t="str">
        <f t="shared" si="122"/>
        <v>District</v>
      </c>
      <c r="D2331" s="1" t="str">
        <f t="shared" si="123"/>
        <v>Elementary</v>
      </c>
      <c r="E2331" s="1" t="str">
        <f t="shared" si="124"/>
        <v>19141</v>
      </c>
      <c r="F2331" s="1">
        <f t="shared" si="125"/>
        <v>317</v>
      </c>
      <c r="G2331" s="1">
        <f t="shared" si="126"/>
        <v>0.91690000000000005</v>
      </c>
      <c r="H2331" s="1" t="str">
        <f t="shared" si="127"/>
        <v>Yes</v>
      </c>
      <c r="I2331" s="1">
        <f>IF(OR(A2331="",COUNTIFS('Staff Review'!$A$8:$A$507,A2331)&lt;&gt;1),0,MATCH(A2331,'Staff Review'!$A$8:$A$507,0))</f>
        <v>245</v>
      </c>
      <c r="J2331" s="1" t="str">
        <f>IF(I2331=0,"No",IF(INDEX('Staff Review'!$C$8:$C$507,I2331)="Yes","Yes","No"))</f>
        <v>No</v>
      </c>
      <c r="K2331" s="1">
        <f ca="1">IF(AI2331="Yes",INDEX('Staff Review'!$D$8:$D$507,I2331),IF(AB2331=0,"",IF(COUNT(INDEX($C$1531:$C$2030,AB2331))=1,INDEX($C$1531:$C$2030,AB2331),"")))</f>
        <v>0.35373085831047146</v>
      </c>
      <c r="L2331" s="1">
        <f>IF(AJ2331="Yes",INDEX('Staff Review'!$F$8:$F$507,I2331),IF(AB2331=0,"",IF(COUNT(INDEX($G$1531:$G$2030,AB2331))=1,INDEX($G$1531:$G$2030,AB2331),"")))</f>
        <v>12</v>
      </c>
      <c r="M2331" s="1" t="str">
        <f t="shared" ca="1" si="128"/>
        <v>Listed</v>
      </c>
      <c r="N2331" s="1" t="str">
        <f t="shared" si="129"/>
        <v>Listed</v>
      </c>
      <c r="O2331" s="1">
        <f t="shared" si="130"/>
        <v>30</v>
      </c>
      <c r="P2331" s="1">
        <f t="shared" ca="1" si="131"/>
        <v>10</v>
      </c>
      <c r="Q2331" s="1">
        <f t="shared" si="132"/>
        <v>0</v>
      </c>
      <c r="R2331" s="1">
        <f t="shared" si="133"/>
        <v>2</v>
      </c>
      <c r="S2331" s="1">
        <f t="shared" ca="1" si="134"/>
        <v>42</v>
      </c>
      <c r="T2331" s="1">
        <f ca="1">IF(OR(COUNT(O2331:R2331)&lt;&gt;4,COUNT('Top 25'!$B$45:$E$45)&lt;&gt;4,MIN('Top 25'!$B$45:$E$45)&lt;0,SUM('Top 25'!$B$45:$E$45)&lt;=0),"",ROUND(85*(O2331/30*'Top 25'!$B$45+P2331/25*'Top 25'!$C$45+Q2331/25*'Top 25'!$D$45+R2331/5*'Top 25'!$E$45)/SUM('Top 25'!$B$45:$E$45),6))</f>
        <v>42</v>
      </c>
      <c r="U2331" s="1" t="str">
        <f t="shared" ca="1" si="135"/>
        <v>Listed</v>
      </c>
      <c r="V2331" s="1" t="str">
        <f ca="1">IF(A2331="","",IF(AK2331&lt;&gt;1,"Duplicate source ID",IF(COUNTIFS('Staff Review'!$A$8:$A$507,A2331)&gt;1,"Duplicate review ID",IF(H2331&lt;&gt;"Yes","Outside scope",IF(J2331="Yes","Already served",IF(NOT(ISNUMBER(T2331)),"Missing data","Candidate"))))))</f>
        <v>Candidate</v>
      </c>
      <c r="W2331" s="1">
        <f t="shared" ca="1" si="136"/>
        <v>106</v>
      </c>
      <c r="X2331" s="1">
        <f t="shared" ca="1" si="137"/>
        <v>101</v>
      </c>
      <c r="Y2331" s="1">
        <f ca="1">IF(AND(H2331="Yes",OR(LEN('School Search'!$B$5)=0,ISNUMBER(SEARCH('School Search'!$B$5,B2331&amp;" "&amp;E2331&amp;" "&amp;A2331))),OR('School Search'!$D$5="All",C2331='School Search'!$D$5),OR('School Search'!$G$5="All eligible",AND('School Search'!$G$5="Not marked served",J2331&lt;&gt;"Yes"),AND('School Search'!$G$5="Missing data",V2331="Missing data"),AND('School Search'!$G$5="Marked served",J2331="Yes"))),1,0)</f>
        <v>1</v>
      </c>
      <c r="Z2331" s="1">
        <f ca="1">IF(Y2331=0,"",COUNTIFS($Y$2051:$Y$2550,1,$AO$2051:$AO$2550,"&lt;"&amp;AO2331)+COUNTIFS($Y$2051:Y2331,1,$AO$2051:AO2331,AO2331))</f>
        <v>106</v>
      </c>
      <c r="AA2331" s="1" t="str">
        <f t="shared" ca="1" si="138"/>
        <v>92% economic need; 0.35 mi fresh access; 12 nearby resources</v>
      </c>
      <c r="AB2331" s="1">
        <f t="shared" si="139"/>
        <v>281</v>
      </c>
      <c r="AC2331" s="1" t="str">
        <f t="shared" si="140"/>
        <v>ALDI 60011 60011</v>
      </c>
      <c r="AD2331" s="1" t="str">
        <f t="shared" si="141"/>
        <v>6119 N Broad St, Philadelphia, PA, 19141</v>
      </c>
      <c r="AE2331" s="1" t="str">
        <f t="shared" si="142"/>
        <v>6101 N GRATZ ST</v>
      </c>
      <c r="AF2331" s="1">
        <f t="shared" si="143"/>
        <v>40.047707420000002</v>
      </c>
      <c r="AG2331" s="1">
        <f t="shared" si="144"/>
        <v>-75.149560519999994</v>
      </c>
      <c r="AH2331" s="1" t="str">
        <f>IF(I2331=0,"Not contacted",IF(INDEX('Staff Review'!$J$8:$J$507,I2331)="","Not contacted",INDEX('Staff Review'!$J$8:$J$507,I2331)))</f>
        <v>Not contacted</v>
      </c>
      <c r="AI2331" s="1" t="str">
        <f ca="1">IF(I2331=0,"No",IF(AND(COUNT(INDEX('Staff Review'!$D$8:$D$507,I2331))=1,INDEX('Staff Review'!$D$8:$D$507,I2331)&gt;=0,COUNT(INDEX('Staff Review'!$E$8:$E$507,I2331))=1,INDEX('Staff Review'!$E$8:$E$507,I2331)&gt;0,INDEX('Staff Review'!$E$8:$E$507,I2331)&lt;='Top 25'!$E$5,'Top 25'!$E$5-INDEX('Staff Review'!$E$8:$E$507,I2331)&lt;='Top 25'!$H$5,LEN(INDEX('Staff Review'!$H$8:$H$507,I2331))&gt;0),"Yes","No"))</f>
        <v>No</v>
      </c>
      <c r="AJ2331" s="1" t="str">
        <f>IF(I2331=0,"No",IF(COUNT(INDEX('Staff Review'!$F$8:$F$507,I2331))&lt;&gt;1,"No",IF(AND(INDEX('Staff Review'!$F$8:$F$507,I2331)&gt;=0,MOD(INDEX('Staff Review'!$F$8:$F$507,I2331),1)=0,COUNT(INDEX('Staff Review'!$G$8:$G$507,I2331))=1,INDEX('Staff Review'!$G$8:$G$507,I2331)&gt;0,INDEX('Staff Review'!$G$8:$G$507,I2331)&lt;='Top 25'!$E$5,'Top 25'!$E$5-INDEX('Staff Review'!$G$8:$G$507,I2331)&lt;='Top 25'!$H$5,LEN(INDEX('Staff Review'!$H$8:$H$507,I2331))&gt;0),"Yes","No")))</f>
        <v>No</v>
      </c>
      <c r="AK2331" s="1">
        <f t="shared" si="145"/>
        <v>1</v>
      </c>
      <c r="AL2331" s="1">
        <f t="shared" ca="1" si="146"/>
        <v>1</v>
      </c>
      <c r="AM2331" s="1">
        <f t="shared" si="147"/>
        <v>7490</v>
      </c>
      <c r="AN2331" s="1">
        <f t="shared" si="148"/>
        <v>281</v>
      </c>
      <c r="AO2331">
        <f t="shared" ca="1" si="149"/>
        <v>106</v>
      </c>
      <c r="AP2331" s="105">
        <f ca="1">IF(AND(AL2331=1,OR('Top 25'!$A$10="All",C2331='Top 25'!$A$10),OR('Top 25'!$D$10="All",D2331='Top 25'!$D$10)),1,0)</f>
        <v>1</v>
      </c>
      <c r="AQ2331" s="105">
        <f ca="1">IF(AP2331=0,"",CHOOSE(MATCH('Top 25'!$G$10,{"Priority score","Economic need","Enrollment","Fresh miles","Nearby resources"},0),T2331,G2331,F2331,K2331,L2331))</f>
        <v>42</v>
      </c>
      <c r="AR2331" s="105">
        <f ca="1">IF(AP2331=0,"",1+COUNTIFS($AP$2051:$AP$2550,1,$AQ$2051:$AQ$2550,IF('Top 25'!$J$10="Ascending","&lt;","&gt;")&amp;AQ2331)+COUNTIFS($AP$2051:$AP$2550,1,$AQ$2051:$AQ$2550,AQ2331,$W$2051:$W$2550,"&lt;"&amp;W2331))</f>
        <v>16</v>
      </c>
      <c r="AT2331" s="105">
        <f ca="1">IF(AND(AL2331=1,OR(Master_rankableSchools!$A$10="All",C2331=Master_rankableSchools!$A$10),OR(Master_rankableSchools!$D$10="All",D2331=Master_rankableSchools!$D$10)),1,0)</f>
        <v>1</v>
      </c>
      <c r="AU2331" s="105">
        <f ca="1">IF(AT2331=0,"",CHOOSE(MATCH(Master_rankableSchools!$G$10,{"Priority score","Economic need","Enrollment","Fresh miles","Nearby resources"},0),T2331,G2331,F2331,K2331,L2331))</f>
        <v>42</v>
      </c>
      <c r="AV2331" s="105">
        <f ca="1">IF(AT2331=0,"",1+COUNTIFS($AT$2051:$AT$2550,1,$AU$2051:$AU$2550,IF(Master_rankableSchools!$J$10="Ascending","&lt;","&gt;")&amp;AU2331)+COUNTIFS($AT$2051:$AT$2550,1,$AU$2051:$AU$2550,AU2331,$W$2051:$W$2550,"&lt;"&amp;W2331))</f>
        <v>106</v>
      </c>
    </row>
    <row r="2332" spans="1:48" ht="22" customHeight="1">
      <c r="A2332" s="1" t="str">
        <f t="shared" si="120"/>
        <v>7500</v>
      </c>
      <c r="B2332" s="1" t="str">
        <f t="shared" si="121"/>
        <v>Feltonville School of Arts and Sciences</v>
      </c>
      <c r="C2332" s="1" t="str">
        <f t="shared" si="122"/>
        <v>District</v>
      </c>
      <c r="D2332" s="1" t="str">
        <f t="shared" si="123"/>
        <v>Middle</v>
      </c>
      <c r="E2332" s="1" t="str">
        <f t="shared" si="124"/>
        <v>19120</v>
      </c>
      <c r="F2332" s="1">
        <f t="shared" si="125"/>
        <v>505</v>
      </c>
      <c r="G2332" s="1">
        <f t="shared" si="126"/>
        <v>0.84289999999999998</v>
      </c>
      <c r="H2332" s="1" t="str">
        <f t="shared" si="127"/>
        <v>Yes</v>
      </c>
      <c r="I2332" s="1">
        <f>IF(OR(A2332="",COUNTIFS('Staff Review'!$A$8:$A$507,A2332)&lt;&gt;1),0,MATCH(A2332,'Staff Review'!$A$8:$A$507,0))</f>
        <v>74</v>
      </c>
      <c r="J2332" s="1" t="str">
        <f>IF(I2332=0,"No",IF(INDEX('Staff Review'!$C$8:$C$507,I2332)="Yes","Yes","No"))</f>
        <v>No</v>
      </c>
      <c r="K2332" s="1">
        <f ca="1">IF(AI2332="Yes",INDEX('Staff Review'!$D$8:$D$507,I2332),IF(AB2332=0,"",IF(COUNT(INDEX($C$1531:$C$2030,AB2332))=1,INDEX($C$1531:$C$2030,AB2332),"")))</f>
        <v>0.22562896148912306</v>
      </c>
      <c r="L2332" s="1">
        <f>IF(AJ2332="Yes",INDEX('Staff Review'!$F$8:$F$507,I2332),IF(AB2332=0,"",IF(COUNT(INDEX($G$1531:$G$2030,AB2332))=1,INDEX($G$1531:$G$2030,AB2332),"")))</f>
        <v>7</v>
      </c>
      <c r="M2332" s="1" t="str">
        <f t="shared" ca="1" si="128"/>
        <v>Listed</v>
      </c>
      <c r="N2332" s="1" t="str">
        <f t="shared" si="129"/>
        <v>Listed</v>
      </c>
      <c r="O2332" s="1">
        <f t="shared" si="130"/>
        <v>25</v>
      </c>
      <c r="P2332" s="1">
        <f t="shared" ca="1" si="131"/>
        <v>5</v>
      </c>
      <c r="Q2332" s="1">
        <f t="shared" si="132"/>
        <v>0</v>
      </c>
      <c r="R2332" s="1">
        <f t="shared" si="133"/>
        <v>4</v>
      </c>
      <c r="S2332" s="1">
        <f t="shared" ca="1" si="134"/>
        <v>34</v>
      </c>
      <c r="T2332" s="1">
        <f ca="1">IF(OR(COUNT(O2332:R2332)&lt;&gt;4,COUNT('Top 25'!$B$45:$E$45)&lt;&gt;4,MIN('Top 25'!$B$45:$E$45)&lt;0,SUM('Top 25'!$B$45:$E$45)&lt;=0),"",ROUND(85*(O2332/30*'Top 25'!$B$45+P2332/25*'Top 25'!$C$45+Q2332/25*'Top 25'!$D$45+R2332/5*'Top 25'!$E$45)/SUM('Top 25'!$B$45:$E$45),6))</f>
        <v>34</v>
      </c>
      <c r="U2332" s="1" t="str">
        <f t="shared" ca="1" si="135"/>
        <v>Listed</v>
      </c>
      <c r="V2332" s="1" t="str">
        <f ca="1">IF(A2332="","",IF(AK2332&lt;&gt;1,"Duplicate source ID",IF(COUNTIFS('Staff Review'!$A$8:$A$507,A2332)&gt;1,"Duplicate review ID",IF(H2332&lt;&gt;"Yes","Outside scope",IF(J2332="Yes","Already served",IF(NOT(ISNUMBER(T2332)),"Missing data","Candidate"))))))</f>
        <v>Candidate</v>
      </c>
      <c r="W2332" s="1">
        <f t="shared" ca="1" si="136"/>
        <v>223</v>
      </c>
      <c r="X2332" s="1">
        <f t="shared" ca="1" si="137"/>
        <v>221</v>
      </c>
      <c r="Y2332" s="1">
        <f ca="1">IF(AND(H2332="Yes",OR(LEN('School Search'!$B$5)=0,ISNUMBER(SEARCH('School Search'!$B$5,B2332&amp;" "&amp;E2332&amp;" "&amp;A2332))),OR('School Search'!$D$5="All",C2332='School Search'!$D$5),OR('School Search'!$G$5="All eligible",AND('School Search'!$G$5="Not marked served",J2332&lt;&gt;"Yes"),AND('School Search'!$G$5="Missing data",V2332="Missing data"),AND('School Search'!$G$5="Marked served",J2332="Yes"))),1,0)</f>
        <v>1</v>
      </c>
      <c r="Z2332" s="1">
        <f ca="1">IF(Y2332=0,"",COUNTIFS($Y$2051:$Y$2550,1,$AO$2051:$AO$2550,"&lt;"&amp;AO2332)+COUNTIFS($Y$2051:Y2332,1,$AO$2051:AO2332,AO2332))</f>
        <v>223</v>
      </c>
      <c r="AA2332" s="1" t="str">
        <f t="shared" ca="1" si="138"/>
        <v>84% economic need; 0.23 mi fresh access; 7 nearby resources</v>
      </c>
      <c r="AB2332" s="1">
        <f t="shared" si="139"/>
        <v>282</v>
      </c>
      <c r="AC2332" s="1" t="str">
        <f t="shared" si="140"/>
        <v>Compare &amp; Save Supermarket</v>
      </c>
      <c r="AD2332" s="1" t="str">
        <f t="shared" si="141"/>
        <v>405 E Wyoming Ave, Philadelphia, PA, 19120</v>
      </c>
      <c r="AE2332" s="1" t="str">
        <f t="shared" si="142"/>
        <v>210 E COURTLAND ST</v>
      </c>
      <c r="AF2332" s="1">
        <f t="shared" si="143"/>
        <v>40.019437000000003</v>
      </c>
      <c r="AG2332" s="1">
        <f t="shared" si="144"/>
        <v>-75.121674999999996</v>
      </c>
      <c r="AH2332" s="1" t="str">
        <f>IF(I2332=0,"Not contacted",IF(INDEX('Staff Review'!$J$8:$J$507,I2332)="","Not contacted",INDEX('Staff Review'!$J$8:$J$507,I2332)))</f>
        <v>Not contacted</v>
      </c>
      <c r="AI2332" s="1" t="str">
        <f ca="1">IF(I2332=0,"No",IF(AND(COUNT(INDEX('Staff Review'!$D$8:$D$507,I2332))=1,INDEX('Staff Review'!$D$8:$D$507,I2332)&gt;=0,COUNT(INDEX('Staff Review'!$E$8:$E$507,I2332))=1,INDEX('Staff Review'!$E$8:$E$507,I2332)&gt;0,INDEX('Staff Review'!$E$8:$E$507,I2332)&lt;='Top 25'!$E$5,'Top 25'!$E$5-INDEX('Staff Review'!$E$8:$E$507,I2332)&lt;='Top 25'!$H$5,LEN(INDEX('Staff Review'!$H$8:$H$507,I2332))&gt;0),"Yes","No"))</f>
        <v>No</v>
      </c>
      <c r="AJ2332" s="1" t="str">
        <f>IF(I2332=0,"No",IF(COUNT(INDEX('Staff Review'!$F$8:$F$507,I2332))&lt;&gt;1,"No",IF(AND(INDEX('Staff Review'!$F$8:$F$507,I2332)&gt;=0,MOD(INDEX('Staff Review'!$F$8:$F$507,I2332),1)=0,COUNT(INDEX('Staff Review'!$G$8:$G$507,I2332))=1,INDEX('Staff Review'!$G$8:$G$507,I2332)&gt;0,INDEX('Staff Review'!$G$8:$G$507,I2332)&lt;='Top 25'!$E$5,'Top 25'!$E$5-INDEX('Staff Review'!$G$8:$G$507,I2332)&lt;='Top 25'!$H$5,LEN(INDEX('Staff Review'!$H$8:$H$507,I2332))&gt;0),"Yes","No")))</f>
        <v>No</v>
      </c>
      <c r="AK2332" s="1">
        <f t="shared" si="145"/>
        <v>1</v>
      </c>
      <c r="AL2332" s="1">
        <f t="shared" ca="1" si="146"/>
        <v>1</v>
      </c>
      <c r="AM2332" s="1">
        <f t="shared" si="147"/>
        <v>7500</v>
      </c>
      <c r="AN2332" s="1">
        <f t="shared" si="148"/>
        <v>282</v>
      </c>
      <c r="AO2332">
        <f t="shared" ca="1" si="149"/>
        <v>223</v>
      </c>
      <c r="AP2332" s="105">
        <f ca="1">IF(AND(AL2332=1,OR('Top 25'!$A$10="All",C2332='Top 25'!$A$10),OR('Top 25'!$D$10="All",D2332='Top 25'!$D$10)),1,0)</f>
        <v>0</v>
      </c>
      <c r="AQ2332" s="105" t="str">
        <f ca="1">IF(AP2332=0,"",CHOOSE(MATCH('Top 25'!$G$10,{"Priority score","Economic need","Enrollment","Fresh miles","Nearby resources"},0),T2332,G2332,F2332,K2332,L2332))</f>
        <v/>
      </c>
      <c r="AR2332" s="105" t="str">
        <f ca="1">IF(AP2332=0,"",1+COUNTIFS($AP$2051:$AP$2550,1,$AQ$2051:$AQ$2550,IF('Top 25'!$J$10="Ascending","&lt;","&gt;")&amp;AQ2332)+COUNTIFS($AP$2051:$AP$2550,1,$AQ$2051:$AQ$2550,AQ2332,$W$2051:$W$2550,"&lt;"&amp;W2332))</f>
        <v/>
      </c>
      <c r="AT2332" s="105">
        <f ca="1">IF(AND(AL2332=1,OR(Master_rankableSchools!$A$10="All",C2332=Master_rankableSchools!$A$10),OR(Master_rankableSchools!$D$10="All",D2332=Master_rankableSchools!$D$10)),1,0)</f>
        <v>1</v>
      </c>
      <c r="AU2332" s="105">
        <f ca="1">IF(AT2332=0,"",CHOOSE(MATCH(Master_rankableSchools!$G$10,{"Priority score","Economic need","Enrollment","Fresh miles","Nearby resources"},0),T2332,G2332,F2332,K2332,L2332))</f>
        <v>34</v>
      </c>
      <c r="AV2332" s="105">
        <f ca="1">IF(AT2332=0,"",1+COUNTIFS($AT$2051:$AT$2550,1,$AU$2051:$AU$2550,IF(Master_rankableSchools!$J$10="Ascending","&lt;","&gt;")&amp;AU2332)+COUNTIFS($AT$2051:$AT$2550,1,$AU$2051:$AU$2550,AU2332,$W$2051:$W$2550,"&lt;"&amp;W2332))</f>
        <v>223</v>
      </c>
    </row>
    <row r="2333" spans="1:48" ht="22" customHeight="1">
      <c r="A2333" s="1" t="str">
        <f t="shared" si="120"/>
        <v>7510</v>
      </c>
      <c r="B2333" s="1" t="str">
        <f t="shared" si="121"/>
        <v>Mary M. Bethune School</v>
      </c>
      <c r="C2333" s="1" t="str">
        <f t="shared" si="122"/>
        <v>District</v>
      </c>
      <c r="D2333" s="1" t="str">
        <f t="shared" si="123"/>
        <v>Elementary-Middle</v>
      </c>
      <c r="E2333" s="1" t="str">
        <f t="shared" si="124"/>
        <v>19140</v>
      </c>
      <c r="F2333" s="1">
        <f t="shared" si="125"/>
        <v>353</v>
      </c>
      <c r="G2333" s="1">
        <f t="shared" si="126"/>
        <v>0.9214</v>
      </c>
      <c r="H2333" s="1" t="str">
        <f t="shared" si="127"/>
        <v>Yes</v>
      </c>
      <c r="I2333" s="1">
        <f>IF(OR(A2333="",COUNTIFS('Staff Review'!$A$8:$A$507,A2333)&lt;&gt;1),0,MATCH(A2333,'Staff Review'!$A$8:$A$507,0))</f>
        <v>178</v>
      </c>
      <c r="J2333" s="1" t="str">
        <f>IF(I2333=0,"No",IF(INDEX('Staff Review'!$C$8:$C$507,I2333)="Yes","Yes","No"))</f>
        <v>No</v>
      </c>
      <c r="K2333" s="1">
        <f ca="1">IF(AI2333="Yes",INDEX('Staff Review'!$D$8:$D$507,I2333),IF(AB2333=0,"",IF(COUNT(INDEX($C$1531:$C$2030,AB2333))=1,INDEX($C$1531:$C$2030,AB2333),"")))</f>
        <v>0.67579567641859406</v>
      </c>
      <c r="L2333" s="1">
        <f>IF(AJ2333="Yes",INDEX('Staff Review'!$F$8:$F$507,I2333),IF(AB2333=0,"",IF(COUNT(INDEX($G$1531:$G$2030,AB2333))=1,INDEX($G$1531:$G$2030,AB2333),"")))</f>
        <v>10</v>
      </c>
      <c r="M2333" s="1" t="str">
        <f t="shared" ca="1" si="128"/>
        <v>Listed</v>
      </c>
      <c r="N2333" s="1" t="str">
        <f t="shared" si="129"/>
        <v>Listed</v>
      </c>
      <c r="O2333" s="1">
        <f t="shared" si="130"/>
        <v>30</v>
      </c>
      <c r="P2333" s="1">
        <f t="shared" ca="1" si="131"/>
        <v>15</v>
      </c>
      <c r="Q2333" s="1">
        <f t="shared" si="132"/>
        <v>0</v>
      </c>
      <c r="R2333" s="1">
        <f t="shared" si="133"/>
        <v>3</v>
      </c>
      <c r="S2333" s="1">
        <f t="shared" ca="1" si="134"/>
        <v>48</v>
      </c>
      <c r="T2333" s="1">
        <f ca="1">IF(OR(COUNT(O2333:R2333)&lt;&gt;4,COUNT('Top 25'!$B$45:$E$45)&lt;&gt;4,MIN('Top 25'!$B$45:$E$45)&lt;0,SUM('Top 25'!$B$45:$E$45)&lt;=0),"",ROUND(85*(O2333/30*'Top 25'!$B$45+P2333/25*'Top 25'!$C$45+Q2333/25*'Top 25'!$D$45+R2333/5*'Top 25'!$E$45)/SUM('Top 25'!$B$45:$E$45),6))</f>
        <v>48</v>
      </c>
      <c r="U2333" s="1" t="str">
        <f t="shared" ca="1" si="135"/>
        <v>Listed</v>
      </c>
      <c r="V2333" s="1" t="str">
        <f ca="1">IF(A2333="","",IF(AK2333&lt;&gt;1,"Duplicate source ID",IF(COUNTIFS('Staff Review'!$A$8:$A$507,A2333)&gt;1,"Duplicate review ID",IF(H2333&lt;&gt;"Yes","Outside scope",IF(J2333="Yes","Already served",IF(NOT(ISNUMBER(T2333)),"Missing data","Candidate"))))))</f>
        <v>Candidate</v>
      </c>
      <c r="W2333" s="1">
        <f t="shared" ca="1" si="136"/>
        <v>58</v>
      </c>
      <c r="X2333" s="1">
        <f t="shared" ca="1" si="137"/>
        <v>56</v>
      </c>
      <c r="Y2333" s="1">
        <f ca="1">IF(AND(H2333="Yes",OR(LEN('School Search'!$B$5)=0,ISNUMBER(SEARCH('School Search'!$B$5,B2333&amp;" "&amp;E2333&amp;" "&amp;A2333))),OR('School Search'!$D$5="All",C2333='School Search'!$D$5),OR('School Search'!$G$5="All eligible",AND('School Search'!$G$5="Not marked served",J2333&lt;&gt;"Yes"),AND('School Search'!$G$5="Missing data",V2333="Missing data"),AND('School Search'!$G$5="Marked served",J2333="Yes"))),1,0)</f>
        <v>1</v>
      </c>
      <c r="Z2333" s="1">
        <f ca="1">IF(Y2333=0,"",COUNTIFS($Y$2051:$Y$2550,1,$AO$2051:$AO$2550,"&lt;"&amp;AO2333)+COUNTIFS($Y$2051:Y2333,1,$AO$2051:AO2333,AO2333))</f>
        <v>58</v>
      </c>
      <c r="AA2333" s="1" t="str">
        <f t="shared" ca="1" si="138"/>
        <v>92% economic need; 0.68 mi fresh access; 10 nearby resources</v>
      </c>
      <c r="AB2333" s="1">
        <f t="shared" si="139"/>
        <v>283</v>
      </c>
      <c r="AC2333" s="1" t="str">
        <f t="shared" si="140"/>
        <v>Save A Lot 60136</v>
      </c>
      <c r="AD2333" s="1" t="str">
        <f t="shared" si="141"/>
        <v>400 W Allegheny Ave, Philadelphia, PA, 19133</v>
      </c>
      <c r="AE2333" s="1" t="str">
        <f t="shared" si="142"/>
        <v>3301 OLD YORK RD</v>
      </c>
      <c r="AF2333" s="1">
        <f t="shared" si="143"/>
        <v>40.002695260000003</v>
      </c>
      <c r="AG2333" s="1">
        <f t="shared" si="144"/>
        <v>-75.14872828</v>
      </c>
      <c r="AH2333" s="1" t="str">
        <f>IF(I2333=0,"Not contacted",IF(INDEX('Staff Review'!$J$8:$J$507,I2333)="","Not contacted",INDEX('Staff Review'!$J$8:$J$507,I2333)))</f>
        <v>Not contacted</v>
      </c>
      <c r="AI2333" s="1" t="str">
        <f ca="1">IF(I2333=0,"No",IF(AND(COUNT(INDEX('Staff Review'!$D$8:$D$507,I2333))=1,INDEX('Staff Review'!$D$8:$D$507,I2333)&gt;=0,COUNT(INDEX('Staff Review'!$E$8:$E$507,I2333))=1,INDEX('Staff Review'!$E$8:$E$507,I2333)&gt;0,INDEX('Staff Review'!$E$8:$E$507,I2333)&lt;='Top 25'!$E$5,'Top 25'!$E$5-INDEX('Staff Review'!$E$8:$E$507,I2333)&lt;='Top 25'!$H$5,LEN(INDEX('Staff Review'!$H$8:$H$507,I2333))&gt;0),"Yes","No"))</f>
        <v>No</v>
      </c>
      <c r="AJ2333" s="1" t="str">
        <f>IF(I2333=0,"No",IF(COUNT(INDEX('Staff Review'!$F$8:$F$507,I2333))&lt;&gt;1,"No",IF(AND(INDEX('Staff Review'!$F$8:$F$507,I2333)&gt;=0,MOD(INDEX('Staff Review'!$F$8:$F$507,I2333),1)=0,COUNT(INDEX('Staff Review'!$G$8:$G$507,I2333))=1,INDEX('Staff Review'!$G$8:$G$507,I2333)&gt;0,INDEX('Staff Review'!$G$8:$G$507,I2333)&lt;='Top 25'!$E$5,'Top 25'!$E$5-INDEX('Staff Review'!$G$8:$G$507,I2333)&lt;='Top 25'!$H$5,LEN(INDEX('Staff Review'!$H$8:$H$507,I2333))&gt;0),"Yes","No")))</f>
        <v>No</v>
      </c>
      <c r="AK2333" s="1">
        <f t="shared" si="145"/>
        <v>1</v>
      </c>
      <c r="AL2333" s="1">
        <f t="shared" ca="1" si="146"/>
        <v>1</v>
      </c>
      <c r="AM2333" s="1">
        <f t="shared" si="147"/>
        <v>7510</v>
      </c>
      <c r="AN2333" s="1">
        <f t="shared" si="148"/>
        <v>283</v>
      </c>
      <c r="AO2333">
        <f t="shared" ca="1" si="149"/>
        <v>58</v>
      </c>
      <c r="AP2333" s="105">
        <f ca="1">IF(AND(AL2333=1,OR('Top 25'!$A$10="All",C2333='Top 25'!$A$10),OR('Top 25'!$D$10="All",D2333='Top 25'!$D$10)),1,0)</f>
        <v>0</v>
      </c>
      <c r="AQ2333" s="105" t="str">
        <f ca="1">IF(AP2333=0,"",CHOOSE(MATCH('Top 25'!$G$10,{"Priority score","Economic need","Enrollment","Fresh miles","Nearby resources"},0),T2333,G2333,F2333,K2333,L2333))</f>
        <v/>
      </c>
      <c r="AR2333" s="105" t="str">
        <f ca="1">IF(AP2333=0,"",1+COUNTIFS($AP$2051:$AP$2550,1,$AQ$2051:$AQ$2550,IF('Top 25'!$J$10="Ascending","&lt;","&gt;")&amp;AQ2333)+COUNTIFS($AP$2051:$AP$2550,1,$AQ$2051:$AQ$2550,AQ2333,$W$2051:$W$2550,"&lt;"&amp;W2333))</f>
        <v/>
      </c>
      <c r="AT2333" s="105">
        <f ca="1">IF(AND(AL2333=1,OR(Master_rankableSchools!$A$10="All",C2333=Master_rankableSchools!$A$10),OR(Master_rankableSchools!$D$10="All",D2333=Master_rankableSchools!$D$10)),1,0)</f>
        <v>1</v>
      </c>
      <c r="AU2333" s="105">
        <f ca="1">IF(AT2333=0,"",CHOOSE(MATCH(Master_rankableSchools!$G$10,{"Priority score","Economic need","Enrollment","Fresh miles","Nearby resources"},0),T2333,G2333,F2333,K2333,L2333))</f>
        <v>48</v>
      </c>
      <c r="AV2333" s="105">
        <f ca="1">IF(AT2333=0,"",1+COUNTIFS($AT$2051:$AT$2550,1,$AU$2051:$AU$2550,IF(Master_rankableSchools!$J$10="Ascending","&lt;","&gt;")&amp;AU2333)+COUNTIFS($AT$2051:$AT$2550,1,$AU$2051:$AU$2550,AU2333,$W$2051:$W$2550,"&lt;"&amp;W2333))</f>
        <v>58</v>
      </c>
    </row>
    <row r="2334" spans="1:48" ht="22" customHeight="1">
      <c r="A2334" s="1" t="str">
        <f t="shared" si="120"/>
        <v>7530</v>
      </c>
      <c r="B2334" s="1" t="str">
        <f t="shared" si="121"/>
        <v>William Rowen School</v>
      </c>
      <c r="C2334" s="1" t="str">
        <f t="shared" si="122"/>
        <v>District</v>
      </c>
      <c r="D2334" s="1" t="str">
        <f t="shared" si="123"/>
        <v>Elementary</v>
      </c>
      <c r="E2334" s="1" t="str">
        <f t="shared" si="124"/>
        <v>19126</v>
      </c>
      <c r="F2334" s="1">
        <f t="shared" si="125"/>
        <v>272</v>
      </c>
      <c r="G2334" s="1">
        <f t="shared" si="126"/>
        <v>0.8357</v>
      </c>
      <c r="H2334" s="1" t="str">
        <f t="shared" si="127"/>
        <v>Yes</v>
      </c>
      <c r="I2334" s="1">
        <f>IF(OR(A2334="",COUNTIFS('Staff Review'!$A$8:$A$507,A2334)&lt;&gt;1),0,MATCH(A2334,'Staff Review'!$A$8:$A$507,0))</f>
        <v>323</v>
      </c>
      <c r="J2334" s="1" t="str">
        <f>IF(I2334=0,"No",IF(INDEX('Staff Review'!$C$8:$C$507,I2334)="Yes","Yes","No"))</f>
        <v>No</v>
      </c>
      <c r="K2334" s="1">
        <f ca="1">IF(AI2334="Yes",INDEX('Staff Review'!$D$8:$D$507,I2334),IF(AB2334=0,"",IF(COUNT(INDEX($C$1531:$C$2030,AB2334))=1,INDEX($C$1531:$C$2030,AB2334),"")))</f>
        <v>0.6957903531749603</v>
      </c>
      <c r="L2334" s="1">
        <f>IF(AJ2334="Yes",INDEX('Staff Review'!$F$8:$F$507,I2334),IF(AB2334=0,"",IF(COUNT(INDEX($G$1531:$G$2030,AB2334))=1,INDEX($G$1531:$G$2030,AB2334),"")))</f>
        <v>9</v>
      </c>
      <c r="M2334" s="1" t="str">
        <f t="shared" ca="1" si="128"/>
        <v>Listed</v>
      </c>
      <c r="N2334" s="1" t="str">
        <f t="shared" si="129"/>
        <v>Listed</v>
      </c>
      <c r="O2334" s="1">
        <f t="shared" si="130"/>
        <v>25</v>
      </c>
      <c r="P2334" s="1">
        <f t="shared" ca="1" si="131"/>
        <v>15</v>
      </c>
      <c r="Q2334" s="1">
        <f t="shared" si="132"/>
        <v>0</v>
      </c>
      <c r="R2334" s="1">
        <f t="shared" si="133"/>
        <v>2</v>
      </c>
      <c r="S2334" s="1">
        <f t="shared" ca="1" si="134"/>
        <v>42</v>
      </c>
      <c r="T2334" s="1">
        <f ca="1">IF(OR(COUNT(O2334:R2334)&lt;&gt;4,COUNT('Top 25'!$B$45:$E$45)&lt;&gt;4,MIN('Top 25'!$B$45:$E$45)&lt;0,SUM('Top 25'!$B$45:$E$45)&lt;=0),"",ROUND(85*(O2334/30*'Top 25'!$B$45+P2334/25*'Top 25'!$C$45+Q2334/25*'Top 25'!$D$45+R2334/5*'Top 25'!$E$45)/SUM('Top 25'!$B$45:$E$45),6))</f>
        <v>42</v>
      </c>
      <c r="U2334" s="1" t="str">
        <f t="shared" ca="1" si="135"/>
        <v>Listed</v>
      </c>
      <c r="V2334" s="1" t="str">
        <f ca="1">IF(A2334="","",IF(AK2334&lt;&gt;1,"Duplicate source ID",IF(COUNTIFS('Staff Review'!$A$8:$A$507,A2334)&gt;1,"Duplicate review ID",IF(H2334&lt;&gt;"Yes","Outside scope",IF(J2334="Yes","Already served",IF(NOT(ISNUMBER(T2334)),"Missing data","Candidate"))))))</f>
        <v>Candidate</v>
      </c>
      <c r="W2334" s="1">
        <f t="shared" ca="1" si="136"/>
        <v>122</v>
      </c>
      <c r="X2334" s="1">
        <f t="shared" ca="1" si="137"/>
        <v>101</v>
      </c>
      <c r="Y2334" s="1">
        <f ca="1">IF(AND(H2334="Yes",OR(LEN('School Search'!$B$5)=0,ISNUMBER(SEARCH('School Search'!$B$5,B2334&amp;" "&amp;E2334&amp;" "&amp;A2334))),OR('School Search'!$D$5="All",C2334='School Search'!$D$5),OR('School Search'!$G$5="All eligible",AND('School Search'!$G$5="Not marked served",J2334&lt;&gt;"Yes"),AND('School Search'!$G$5="Missing data",V2334="Missing data"),AND('School Search'!$G$5="Marked served",J2334="Yes"))),1,0)</f>
        <v>1</v>
      </c>
      <c r="Z2334" s="1">
        <f ca="1">IF(Y2334=0,"",COUNTIFS($Y$2051:$Y$2550,1,$AO$2051:$AO$2550,"&lt;"&amp;AO2334)+COUNTIFS($Y$2051:Y2334,1,$AO$2051:AO2334,AO2334))</f>
        <v>122</v>
      </c>
      <c r="AA2334" s="1" t="str">
        <f t="shared" ca="1" si="138"/>
        <v>84% economic need; 0.70 mi fresh access; 9 nearby resources</v>
      </c>
      <c r="AB2334" s="1">
        <f t="shared" si="139"/>
        <v>284</v>
      </c>
      <c r="AC2334" s="1" t="str">
        <f t="shared" si="140"/>
        <v>MELROSE PARK HAR INC DBA HAN AH R</v>
      </c>
      <c r="AD2334" s="1" t="str">
        <f t="shared" si="141"/>
        <v>7320 Old York Rd, Elkins Park, PA, 19027</v>
      </c>
      <c r="AE2334" s="1" t="str">
        <f t="shared" si="142"/>
        <v>6841 N 19TH ST</v>
      </c>
      <c r="AF2334" s="1">
        <f t="shared" si="143"/>
        <v>40.059306759999998</v>
      </c>
      <c r="AG2334" s="1">
        <f t="shared" si="144"/>
        <v>-75.148647199999999</v>
      </c>
      <c r="AH2334" s="1" t="str">
        <f>IF(I2334=0,"Not contacted",IF(INDEX('Staff Review'!$J$8:$J$507,I2334)="","Not contacted",INDEX('Staff Review'!$J$8:$J$507,I2334)))</f>
        <v>Not contacted</v>
      </c>
      <c r="AI2334" s="1" t="str">
        <f ca="1">IF(I2334=0,"No",IF(AND(COUNT(INDEX('Staff Review'!$D$8:$D$507,I2334))=1,INDEX('Staff Review'!$D$8:$D$507,I2334)&gt;=0,COUNT(INDEX('Staff Review'!$E$8:$E$507,I2334))=1,INDEX('Staff Review'!$E$8:$E$507,I2334)&gt;0,INDEX('Staff Review'!$E$8:$E$507,I2334)&lt;='Top 25'!$E$5,'Top 25'!$E$5-INDEX('Staff Review'!$E$8:$E$507,I2334)&lt;='Top 25'!$H$5,LEN(INDEX('Staff Review'!$H$8:$H$507,I2334))&gt;0),"Yes","No"))</f>
        <v>No</v>
      </c>
      <c r="AJ2334" s="1" t="str">
        <f>IF(I2334=0,"No",IF(COUNT(INDEX('Staff Review'!$F$8:$F$507,I2334))&lt;&gt;1,"No",IF(AND(INDEX('Staff Review'!$F$8:$F$507,I2334)&gt;=0,MOD(INDEX('Staff Review'!$F$8:$F$507,I2334),1)=0,COUNT(INDEX('Staff Review'!$G$8:$G$507,I2334))=1,INDEX('Staff Review'!$G$8:$G$507,I2334)&gt;0,INDEX('Staff Review'!$G$8:$G$507,I2334)&lt;='Top 25'!$E$5,'Top 25'!$E$5-INDEX('Staff Review'!$G$8:$G$507,I2334)&lt;='Top 25'!$H$5,LEN(INDEX('Staff Review'!$H$8:$H$507,I2334))&gt;0),"Yes","No")))</f>
        <v>No</v>
      </c>
      <c r="AK2334" s="1">
        <f t="shared" si="145"/>
        <v>1</v>
      </c>
      <c r="AL2334" s="1">
        <f t="shared" ca="1" si="146"/>
        <v>1</v>
      </c>
      <c r="AM2334" s="1">
        <f t="shared" si="147"/>
        <v>7530</v>
      </c>
      <c r="AN2334" s="1">
        <f t="shared" si="148"/>
        <v>284</v>
      </c>
      <c r="AO2334">
        <f t="shared" ca="1" si="149"/>
        <v>122</v>
      </c>
      <c r="AP2334" s="105">
        <f ca="1">IF(AND(AL2334=1,OR('Top 25'!$A$10="All",C2334='Top 25'!$A$10),OR('Top 25'!$D$10="All",D2334='Top 25'!$D$10)),1,0)</f>
        <v>1</v>
      </c>
      <c r="AQ2334" s="105">
        <f ca="1">IF(AP2334=0,"",CHOOSE(MATCH('Top 25'!$G$10,{"Priority score","Economic need","Enrollment","Fresh miles","Nearby resources"},0),T2334,G2334,F2334,K2334,L2334))</f>
        <v>42</v>
      </c>
      <c r="AR2334" s="105">
        <f ca="1">IF(AP2334=0,"",1+COUNTIFS($AP$2051:$AP$2550,1,$AQ$2051:$AQ$2550,IF('Top 25'!$J$10="Ascending","&lt;","&gt;")&amp;AQ2334)+COUNTIFS($AP$2051:$AP$2550,1,$AQ$2051:$AQ$2550,AQ2334,$W$2051:$W$2550,"&lt;"&amp;W2334))</f>
        <v>20</v>
      </c>
      <c r="AT2334" s="105">
        <f ca="1">IF(AND(AL2334=1,OR(Master_rankableSchools!$A$10="All",C2334=Master_rankableSchools!$A$10),OR(Master_rankableSchools!$D$10="All",D2334=Master_rankableSchools!$D$10)),1,0)</f>
        <v>1</v>
      </c>
      <c r="AU2334" s="105">
        <f ca="1">IF(AT2334=0,"",CHOOSE(MATCH(Master_rankableSchools!$G$10,{"Priority score","Economic need","Enrollment","Fresh miles","Nearby resources"},0),T2334,G2334,F2334,K2334,L2334))</f>
        <v>42</v>
      </c>
      <c r="AV2334" s="105">
        <f ca="1">IF(AT2334=0,"",1+COUNTIFS($AT$2051:$AT$2550,1,$AU$2051:$AU$2550,IF(Master_rankableSchools!$J$10="Ascending","&lt;","&gt;")&amp;AU2334)+COUNTIFS($AT$2051:$AT$2550,1,$AU$2051:$AU$2550,AU2334,$W$2051:$W$2550,"&lt;"&amp;W2334))</f>
        <v>122</v>
      </c>
    </row>
    <row r="2335" spans="1:48" ht="22" customHeight="1">
      <c r="A2335" s="1" t="str">
        <f t="shared" si="120"/>
        <v>7730</v>
      </c>
      <c r="B2335" s="1" t="str">
        <f t="shared" si="121"/>
        <v>Roberto Clemente Middle School</v>
      </c>
      <c r="C2335" s="1" t="str">
        <f t="shared" si="122"/>
        <v>District</v>
      </c>
      <c r="D2335" s="1" t="str">
        <f t="shared" si="123"/>
        <v>Middle</v>
      </c>
      <c r="E2335" s="1" t="str">
        <f t="shared" si="124"/>
        <v>19140</v>
      </c>
      <c r="F2335" s="1">
        <f t="shared" si="125"/>
        <v>279</v>
      </c>
      <c r="G2335" s="1">
        <f t="shared" si="126"/>
        <v>0.87760000000000005</v>
      </c>
      <c r="H2335" s="1" t="str">
        <f t="shared" si="127"/>
        <v>Yes</v>
      </c>
      <c r="I2335" s="1">
        <f>IF(OR(A2335="",COUNTIFS('Staff Review'!$A$8:$A$507,A2335)&lt;&gt;1),0,MATCH(A2335,'Staff Review'!$A$8:$A$507,0))</f>
        <v>254</v>
      </c>
      <c r="J2335" s="1" t="str">
        <f>IF(I2335=0,"No",IF(INDEX('Staff Review'!$C$8:$C$507,I2335)="Yes","Yes","No"))</f>
        <v>No</v>
      </c>
      <c r="K2335" s="1">
        <f ca="1">IF(AI2335="Yes",INDEX('Staff Review'!$D$8:$D$507,I2335),IF(AB2335=0,"",IF(COUNT(INDEX($C$1531:$C$2030,AB2335))=1,INDEX($C$1531:$C$2030,AB2335),"")))</f>
        <v>0.51554061281690178</v>
      </c>
      <c r="L2335" s="1">
        <f>IF(AJ2335="Yes",INDEX('Staff Review'!$F$8:$F$507,I2335),IF(AB2335=0,"",IF(COUNT(INDEX($G$1531:$G$2030,AB2335))=1,INDEX($G$1531:$G$2030,AB2335),"")))</f>
        <v>9</v>
      </c>
      <c r="M2335" s="1" t="str">
        <f t="shared" ca="1" si="128"/>
        <v>Listed</v>
      </c>
      <c r="N2335" s="1" t="str">
        <f t="shared" si="129"/>
        <v>Listed</v>
      </c>
      <c r="O2335" s="1">
        <f t="shared" si="130"/>
        <v>25</v>
      </c>
      <c r="P2335" s="1">
        <f t="shared" ca="1" si="131"/>
        <v>15</v>
      </c>
      <c r="Q2335" s="1">
        <f t="shared" si="132"/>
        <v>0</v>
      </c>
      <c r="R2335" s="1">
        <f t="shared" si="133"/>
        <v>2</v>
      </c>
      <c r="S2335" s="1">
        <f t="shared" ca="1" si="134"/>
        <v>42</v>
      </c>
      <c r="T2335" s="1">
        <f ca="1">IF(OR(COUNT(O2335:R2335)&lt;&gt;4,COUNT('Top 25'!$B$45:$E$45)&lt;&gt;4,MIN('Top 25'!$B$45:$E$45)&lt;0,SUM('Top 25'!$B$45:$E$45)&lt;=0),"",ROUND(85*(O2335/30*'Top 25'!$B$45+P2335/25*'Top 25'!$C$45+Q2335/25*'Top 25'!$D$45+R2335/5*'Top 25'!$E$45)/SUM('Top 25'!$B$45:$E$45),6))</f>
        <v>42</v>
      </c>
      <c r="U2335" s="1" t="str">
        <f t="shared" ca="1" si="135"/>
        <v>Listed</v>
      </c>
      <c r="V2335" s="1" t="str">
        <f ca="1">IF(A2335="","",IF(AK2335&lt;&gt;1,"Duplicate source ID",IF(COUNTIFS('Staff Review'!$A$8:$A$507,A2335)&gt;1,"Duplicate review ID",IF(H2335&lt;&gt;"Yes","Outside scope",IF(J2335="Yes","Already served",IF(NOT(ISNUMBER(T2335)),"Missing data","Candidate"))))))</f>
        <v>Candidate</v>
      </c>
      <c r="W2335" s="1">
        <f t="shared" ca="1" si="136"/>
        <v>115</v>
      </c>
      <c r="X2335" s="1">
        <f t="shared" ca="1" si="137"/>
        <v>101</v>
      </c>
      <c r="Y2335" s="1">
        <f ca="1">IF(AND(H2335="Yes",OR(LEN('School Search'!$B$5)=0,ISNUMBER(SEARCH('School Search'!$B$5,B2335&amp;" "&amp;E2335&amp;" "&amp;A2335))),OR('School Search'!$D$5="All",C2335='School Search'!$D$5),OR('School Search'!$G$5="All eligible",AND('School Search'!$G$5="Not marked served",J2335&lt;&gt;"Yes"),AND('School Search'!$G$5="Missing data",V2335="Missing data"),AND('School Search'!$G$5="Marked served",J2335="Yes"))),1,0)</f>
        <v>1</v>
      </c>
      <c r="Z2335" s="1">
        <f ca="1">IF(Y2335=0,"",COUNTIFS($Y$2051:$Y$2550,1,$AO$2051:$AO$2550,"&lt;"&amp;AO2335)+COUNTIFS($Y$2051:Y2335,1,$AO$2051:AO2335,AO2335))</f>
        <v>115</v>
      </c>
      <c r="AA2335" s="1" t="str">
        <f t="shared" ca="1" si="138"/>
        <v>88% economic need; 0.52 mi fresh access; 9 nearby resources</v>
      </c>
      <c r="AB2335" s="1">
        <f t="shared" si="139"/>
        <v>285</v>
      </c>
      <c r="AC2335" s="1" t="str">
        <f t="shared" si="140"/>
        <v>COUSINS SUPERMARKET INC. #2</v>
      </c>
      <c r="AD2335" s="1" t="str">
        <f t="shared" si="141"/>
        <v>4037 N 5th St, Philadelphia, PA, 19140</v>
      </c>
      <c r="AE2335" s="1" t="str">
        <f t="shared" si="142"/>
        <v>122 W ERIE AVE</v>
      </c>
      <c r="AF2335" s="1">
        <f t="shared" si="143"/>
        <v>40.006819</v>
      </c>
      <c r="AG2335" s="1">
        <f t="shared" si="144"/>
        <v>-75.129735999999994</v>
      </c>
      <c r="AH2335" s="1" t="str">
        <f>IF(I2335=0,"Not contacted",IF(INDEX('Staff Review'!$J$8:$J$507,I2335)="","Not contacted",INDEX('Staff Review'!$J$8:$J$507,I2335)))</f>
        <v>Not contacted</v>
      </c>
      <c r="AI2335" s="1" t="str">
        <f ca="1">IF(I2335=0,"No",IF(AND(COUNT(INDEX('Staff Review'!$D$8:$D$507,I2335))=1,INDEX('Staff Review'!$D$8:$D$507,I2335)&gt;=0,COUNT(INDEX('Staff Review'!$E$8:$E$507,I2335))=1,INDEX('Staff Review'!$E$8:$E$507,I2335)&gt;0,INDEX('Staff Review'!$E$8:$E$507,I2335)&lt;='Top 25'!$E$5,'Top 25'!$E$5-INDEX('Staff Review'!$E$8:$E$507,I2335)&lt;='Top 25'!$H$5,LEN(INDEX('Staff Review'!$H$8:$H$507,I2335))&gt;0),"Yes","No"))</f>
        <v>No</v>
      </c>
      <c r="AJ2335" s="1" t="str">
        <f>IF(I2335=0,"No",IF(COUNT(INDEX('Staff Review'!$F$8:$F$507,I2335))&lt;&gt;1,"No",IF(AND(INDEX('Staff Review'!$F$8:$F$507,I2335)&gt;=0,MOD(INDEX('Staff Review'!$F$8:$F$507,I2335),1)=0,COUNT(INDEX('Staff Review'!$G$8:$G$507,I2335))=1,INDEX('Staff Review'!$G$8:$G$507,I2335)&gt;0,INDEX('Staff Review'!$G$8:$G$507,I2335)&lt;='Top 25'!$E$5,'Top 25'!$E$5-INDEX('Staff Review'!$G$8:$G$507,I2335)&lt;='Top 25'!$H$5,LEN(INDEX('Staff Review'!$H$8:$H$507,I2335))&gt;0),"Yes","No")))</f>
        <v>No</v>
      </c>
      <c r="AK2335" s="1">
        <f t="shared" si="145"/>
        <v>1</v>
      </c>
      <c r="AL2335" s="1">
        <f t="shared" ca="1" si="146"/>
        <v>1</v>
      </c>
      <c r="AM2335" s="1">
        <f t="shared" si="147"/>
        <v>7730</v>
      </c>
      <c r="AN2335" s="1">
        <f t="shared" si="148"/>
        <v>285</v>
      </c>
      <c r="AO2335">
        <f t="shared" ca="1" si="149"/>
        <v>115</v>
      </c>
      <c r="AP2335" s="105">
        <f ca="1">IF(AND(AL2335=1,OR('Top 25'!$A$10="All",C2335='Top 25'!$A$10),OR('Top 25'!$D$10="All",D2335='Top 25'!$D$10)),1,0)</f>
        <v>0</v>
      </c>
      <c r="AQ2335" s="105" t="str">
        <f ca="1">IF(AP2335=0,"",CHOOSE(MATCH('Top 25'!$G$10,{"Priority score","Economic need","Enrollment","Fresh miles","Nearby resources"},0),T2335,G2335,F2335,K2335,L2335))</f>
        <v/>
      </c>
      <c r="AR2335" s="105" t="str">
        <f ca="1">IF(AP2335=0,"",1+COUNTIFS($AP$2051:$AP$2550,1,$AQ$2051:$AQ$2550,IF('Top 25'!$J$10="Ascending","&lt;","&gt;")&amp;AQ2335)+COUNTIFS($AP$2051:$AP$2550,1,$AQ$2051:$AQ$2550,AQ2335,$W$2051:$W$2550,"&lt;"&amp;W2335))</f>
        <v/>
      </c>
      <c r="AT2335" s="105">
        <f ca="1">IF(AND(AL2335=1,OR(Master_rankableSchools!$A$10="All",C2335=Master_rankableSchools!$A$10),OR(Master_rankableSchools!$D$10="All",D2335=Master_rankableSchools!$D$10)),1,0)</f>
        <v>1</v>
      </c>
      <c r="AU2335" s="105">
        <f ca="1">IF(AT2335=0,"",CHOOSE(MATCH(Master_rankableSchools!$G$10,{"Priority score","Economic need","Enrollment","Fresh miles","Nearby resources"},0),T2335,G2335,F2335,K2335,L2335))</f>
        <v>42</v>
      </c>
      <c r="AV2335" s="105">
        <f ca="1">IF(AT2335=0,"",1+COUNTIFS($AT$2051:$AT$2550,1,$AU$2051:$AU$2550,IF(Master_rankableSchools!$J$10="Ascending","&lt;","&gt;")&amp;AU2335)+COUNTIFS($AT$2051:$AT$2550,1,$AU$2051:$AU$2550,AU2335,$W$2051:$W$2550,"&lt;"&amp;W2335))</f>
        <v>115</v>
      </c>
    </row>
    <row r="2336" spans="1:48" ht="22" customHeight="1">
      <c r="A2336" s="1" t="str">
        <f t="shared" si="120"/>
        <v>8010</v>
      </c>
      <c r="B2336" s="1" t="str">
        <f t="shared" si="121"/>
        <v>Abraham Lincoln High School</v>
      </c>
      <c r="C2336" s="1" t="str">
        <f t="shared" si="122"/>
        <v>District</v>
      </c>
      <c r="D2336" s="1" t="str">
        <f t="shared" si="123"/>
        <v>High</v>
      </c>
      <c r="E2336" s="1" t="str">
        <f t="shared" si="124"/>
        <v>19136</v>
      </c>
      <c r="F2336" s="1">
        <f t="shared" si="125"/>
        <v>2332</v>
      </c>
      <c r="G2336" s="1">
        <f t="shared" si="126"/>
        <v>0.73819999999999997</v>
      </c>
      <c r="H2336" s="1" t="str">
        <f t="shared" si="127"/>
        <v>Yes</v>
      </c>
      <c r="I2336" s="1">
        <f>IF(OR(A2336="",COUNTIFS('Staff Review'!$A$8:$A$507,A2336)&lt;&gt;1),0,MATCH(A2336,'Staff Review'!$A$8:$A$507,0))</f>
        <v>2</v>
      </c>
      <c r="J2336" s="1" t="str">
        <f>IF(I2336=0,"No",IF(INDEX('Staff Review'!$C$8:$C$507,I2336)="Yes","Yes","No"))</f>
        <v>No</v>
      </c>
      <c r="K2336" s="1">
        <f ca="1">IF(AI2336="Yes",INDEX('Staff Review'!$D$8:$D$507,I2336),IF(AB2336=0,"",IF(COUNT(INDEX($C$1531:$C$2030,AB2336))=1,INDEX($C$1531:$C$2030,AB2336),"")))</f>
        <v>0.53087781898475694</v>
      </c>
      <c r="L2336" s="1">
        <f>IF(AJ2336="Yes",INDEX('Staff Review'!$F$8:$F$507,I2336),IF(AB2336=0,"",IF(COUNT(INDEX($G$1531:$G$2030,AB2336))=1,INDEX($G$1531:$G$2030,AB2336),"")))</f>
        <v>2</v>
      </c>
      <c r="M2336" s="1" t="str">
        <f t="shared" ca="1" si="128"/>
        <v>Listed</v>
      </c>
      <c r="N2336" s="1" t="str">
        <f t="shared" si="129"/>
        <v>Listed</v>
      </c>
      <c r="O2336" s="1">
        <f t="shared" si="130"/>
        <v>20</v>
      </c>
      <c r="P2336" s="1">
        <f t="shared" ca="1" si="131"/>
        <v>15</v>
      </c>
      <c r="Q2336" s="1">
        <f t="shared" si="132"/>
        <v>15</v>
      </c>
      <c r="R2336" s="1">
        <f t="shared" si="133"/>
        <v>5</v>
      </c>
      <c r="S2336" s="1">
        <f t="shared" ca="1" si="134"/>
        <v>55</v>
      </c>
      <c r="T2336" s="1">
        <f ca="1">IF(OR(COUNT(O2336:R2336)&lt;&gt;4,COUNT('Top 25'!$B$45:$E$45)&lt;&gt;4,MIN('Top 25'!$B$45:$E$45)&lt;0,SUM('Top 25'!$B$45:$E$45)&lt;=0),"",ROUND(85*(O2336/30*'Top 25'!$B$45+P2336/25*'Top 25'!$C$45+Q2336/25*'Top 25'!$D$45+R2336/5*'Top 25'!$E$45)/SUM('Top 25'!$B$45:$E$45),6))</f>
        <v>55</v>
      </c>
      <c r="U2336" s="1" t="str">
        <f t="shared" ca="1" si="135"/>
        <v>Listed</v>
      </c>
      <c r="V2336" s="1" t="str">
        <f ca="1">IF(A2336="","",IF(AK2336&lt;&gt;1,"Duplicate source ID",IF(COUNTIFS('Staff Review'!$A$8:$A$507,A2336)&gt;1,"Duplicate review ID",IF(H2336&lt;&gt;"Yes","Outside scope",IF(J2336="Yes","Already served",IF(NOT(ISNUMBER(T2336)),"Missing data","Candidate"))))))</f>
        <v>Candidate</v>
      </c>
      <c r="W2336" s="1">
        <f t="shared" ca="1" si="136"/>
        <v>27</v>
      </c>
      <c r="X2336" s="1">
        <f t="shared" ca="1" si="137"/>
        <v>24</v>
      </c>
      <c r="Y2336" s="1">
        <f ca="1">IF(AND(H2336="Yes",OR(LEN('School Search'!$B$5)=0,ISNUMBER(SEARCH('School Search'!$B$5,B2336&amp;" "&amp;E2336&amp;" "&amp;A2336))),OR('School Search'!$D$5="All",C2336='School Search'!$D$5),OR('School Search'!$G$5="All eligible",AND('School Search'!$G$5="Not marked served",J2336&lt;&gt;"Yes"),AND('School Search'!$G$5="Missing data",V2336="Missing data"),AND('School Search'!$G$5="Marked served",J2336="Yes"))),1,0)</f>
        <v>1</v>
      </c>
      <c r="Z2336" s="1">
        <f ca="1">IF(Y2336=0,"",COUNTIFS($Y$2051:$Y$2550,1,$AO$2051:$AO$2550,"&lt;"&amp;AO2336)+COUNTIFS($Y$2051:Y2336,1,$AO$2051:AO2336,AO2336))</f>
        <v>27</v>
      </c>
      <c r="AA2336" s="1" t="str">
        <f t="shared" ca="1" si="138"/>
        <v>74% economic need; 0.53 mi fresh access; 2 nearby resources</v>
      </c>
      <c r="AB2336" s="1">
        <f t="shared" si="139"/>
        <v>286</v>
      </c>
      <c r="AC2336" s="1" t="str">
        <f t="shared" si="140"/>
        <v>No.1 Asian Supermarket Inc</v>
      </c>
      <c r="AD2336" s="1" t="str">
        <f t="shared" si="141"/>
        <v>2842 Saint Vincent St, Philadelphia, PA, 19149</v>
      </c>
      <c r="AE2336" s="1" t="str">
        <f t="shared" si="142"/>
        <v>3201 RYAN AVE</v>
      </c>
      <c r="AF2336" s="1">
        <f t="shared" si="143"/>
        <v>40.04310838</v>
      </c>
      <c r="AG2336" s="1">
        <f t="shared" si="144"/>
        <v>-75.044792209999997</v>
      </c>
      <c r="AH2336" s="1" t="str">
        <f>IF(I2336=0,"Not contacted",IF(INDEX('Staff Review'!$J$8:$J$507,I2336)="","Not contacted",INDEX('Staff Review'!$J$8:$J$507,I2336)))</f>
        <v>Not contacted</v>
      </c>
      <c r="AI2336" s="1" t="str">
        <f ca="1">IF(I2336=0,"No",IF(AND(COUNT(INDEX('Staff Review'!$D$8:$D$507,I2336))=1,INDEX('Staff Review'!$D$8:$D$507,I2336)&gt;=0,COUNT(INDEX('Staff Review'!$E$8:$E$507,I2336))=1,INDEX('Staff Review'!$E$8:$E$507,I2336)&gt;0,INDEX('Staff Review'!$E$8:$E$507,I2336)&lt;='Top 25'!$E$5,'Top 25'!$E$5-INDEX('Staff Review'!$E$8:$E$507,I2336)&lt;='Top 25'!$H$5,LEN(INDEX('Staff Review'!$H$8:$H$507,I2336))&gt;0),"Yes","No"))</f>
        <v>No</v>
      </c>
      <c r="AJ2336" s="1" t="str">
        <f>IF(I2336=0,"No",IF(COUNT(INDEX('Staff Review'!$F$8:$F$507,I2336))&lt;&gt;1,"No",IF(AND(INDEX('Staff Review'!$F$8:$F$507,I2336)&gt;=0,MOD(INDEX('Staff Review'!$F$8:$F$507,I2336),1)=0,COUNT(INDEX('Staff Review'!$G$8:$G$507,I2336))=1,INDEX('Staff Review'!$G$8:$G$507,I2336)&gt;0,INDEX('Staff Review'!$G$8:$G$507,I2336)&lt;='Top 25'!$E$5,'Top 25'!$E$5-INDEX('Staff Review'!$G$8:$G$507,I2336)&lt;='Top 25'!$H$5,LEN(INDEX('Staff Review'!$H$8:$H$507,I2336))&gt;0),"Yes","No")))</f>
        <v>No</v>
      </c>
      <c r="AK2336" s="1">
        <f t="shared" si="145"/>
        <v>1</v>
      </c>
      <c r="AL2336" s="1">
        <f t="shared" ca="1" si="146"/>
        <v>1</v>
      </c>
      <c r="AM2336" s="1">
        <f t="shared" si="147"/>
        <v>8010</v>
      </c>
      <c r="AN2336" s="1">
        <f t="shared" si="148"/>
        <v>286</v>
      </c>
      <c r="AO2336">
        <f t="shared" ca="1" si="149"/>
        <v>27</v>
      </c>
      <c r="AP2336" s="105">
        <f ca="1">IF(AND(AL2336=1,OR('Top 25'!$A$10="All",C2336='Top 25'!$A$10),OR('Top 25'!$D$10="All",D2336='Top 25'!$D$10)),1,0)</f>
        <v>0</v>
      </c>
      <c r="AQ2336" s="105" t="str">
        <f ca="1">IF(AP2336=0,"",CHOOSE(MATCH('Top 25'!$G$10,{"Priority score","Economic need","Enrollment","Fresh miles","Nearby resources"},0),T2336,G2336,F2336,K2336,L2336))</f>
        <v/>
      </c>
      <c r="AR2336" s="105" t="str">
        <f ca="1">IF(AP2336=0,"",1+COUNTIFS($AP$2051:$AP$2550,1,$AQ$2051:$AQ$2550,IF('Top 25'!$J$10="Ascending","&lt;","&gt;")&amp;AQ2336)+COUNTIFS($AP$2051:$AP$2550,1,$AQ$2051:$AQ$2550,AQ2336,$W$2051:$W$2550,"&lt;"&amp;W2336))</f>
        <v/>
      </c>
      <c r="AT2336" s="105">
        <f ca="1">IF(AND(AL2336=1,OR(Master_rankableSchools!$A$10="All",C2336=Master_rankableSchools!$A$10),OR(Master_rankableSchools!$D$10="All",D2336=Master_rankableSchools!$D$10)),1,0)</f>
        <v>1</v>
      </c>
      <c r="AU2336" s="105">
        <f ca="1">IF(AT2336=0,"",CHOOSE(MATCH(Master_rankableSchools!$G$10,{"Priority score","Economic need","Enrollment","Fresh miles","Nearby resources"},0),T2336,G2336,F2336,K2336,L2336))</f>
        <v>55</v>
      </c>
      <c r="AV2336" s="105">
        <f ca="1">IF(AT2336=0,"",1+COUNTIFS($AT$2051:$AT$2550,1,$AU$2051:$AU$2550,IF(Master_rankableSchools!$J$10="Ascending","&lt;","&gt;")&amp;AU2336)+COUNTIFS($AT$2051:$AT$2550,1,$AU$2051:$AU$2550,AU2336,$W$2051:$W$2550,"&lt;"&amp;W2336))</f>
        <v>27</v>
      </c>
    </row>
    <row r="2337" spans="1:48" ht="22" customHeight="1">
      <c r="A2337" s="1" t="str">
        <f t="shared" si="120"/>
        <v>8020</v>
      </c>
      <c r="B2337" s="1" t="str">
        <f t="shared" si="121"/>
        <v>Northeast High School</v>
      </c>
      <c r="C2337" s="1" t="str">
        <f t="shared" si="122"/>
        <v>District</v>
      </c>
      <c r="D2337" s="1" t="str">
        <f t="shared" si="123"/>
        <v>High</v>
      </c>
      <c r="E2337" s="1" t="str">
        <f t="shared" si="124"/>
        <v>19111</v>
      </c>
      <c r="F2337" s="1">
        <f t="shared" si="125"/>
        <v>3541</v>
      </c>
      <c r="G2337" s="1">
        <f t="shared" si="126"/>
        <v>0.71919999999999995</v>
      </c>
      <c r="H2337" s="1" t="str">
        <f t="shared" si="127"/>
        <v>Yes</v>
      </c>
      <c r="I2337" s="1">
        <f>IF(OR(A2337="",COUNTIFS('Staff Review'!$A$8:$A$507,A2337)&lt;&gt;1),0,MATCH(A2337,'Staff Review'!$A$8:$A$507,0))</f>
        <v>206</v>
      </c>
      <c r="J2337" s="1" t="str">
        <f>IF(I2337=0,"No",IF(INDEX('Staff Review'!$C$8:$C$507,I2337)="Yes","Yes","No"))</f>
        <v>No</v>
      </c>
      <c r="K2337" s="1">
        <f ca="1">IF(AI2337="Yes",INDEX('Staff Review'!$D$8:$D$507,I2337),IF(AB2337=0,"",IF(COUNT(INDEX($C$1531:$C$2030,AB2337))=1,INDEX($C$1531:$C$2030,AB2337),"")))</f>
        <v>0.37970186361207736</v>
      </c>
      <c r="L2337" s="1">
        <f>IF(AJ2337="Yes",INDEX('Staff Review'!$F$8:$F$507,I2337),IF(AB2337=0,"",IF(COUNT(INDEX($G$1531:$G$2030,AB2337))=1,INDEX($G$1531:$G$2030,AB2337),"")))</f>
        <v>0</v>
      </c>
      <c r="M2337" s="1" t="str">
        <f t="shared" ca="1" si="128"/>
        <v>Listed</v>
      </c>
      <c r="N2337" s="1" t="str">
        <f t="shared" si="129"/>
        <v>Listed</v>
      </c>
      <c r="O2337" s="1">
        <f t="shared" si="130"/>
        <v>20</v>
      </c>
      <c r="P2337" s="1">
        <f t="shared" ca="1" si="131"/>
        <v>10</v>
      </c>
      <c r="Q2337" s="1">
        <f t="shared" si="132"/>
        <v>25</v>
      </c>
      <c r="R2337" s="1">
        <f t="shared" si="133"/>
        <v>5</v>
      </c>
      <c r="S2337" s="1">
        <f t="shared" ca="1" si="134"/>
        <v>60</v>
      </c>
      <c r="T2337" s="1">
        <f ca="1">IF(OR(COUNT(O2337:R2337)&lt;&gt;4,COUNT('Top 25'!$B$45:$E$45)&lt;&gt;4,MIN('Top 25'!$B$45:$E$45)&lt;0,SUM('Top 25'!$B$45:$E$45)&lt;=0),"",ROUND(85*(O2337/30*'Top 25'!$B$45+P2337/25*'Top 25'!$C$45+Q2337/25*'Top 25'!$D$45+R2337/5*'Top 25'!$E$45)/SUM('Top 25'!$B$45:$E$45),6))</f>
        <v>60</v>
      </c>
      <c r="U2337" s="1" t="str">
        <f t="shared" ca="1" si="135"/>
        <v>Listed</v>
      </c>
      <c r="V2337" s="1" t="str">
        <f ca="1">IF(A2337="","",IF(AK2337&lt;&gt;1,"Duplicate source ID",IF(COUNTIFS('Staff Review'!$A$8:$A$507,A2337)&gt;1,"Duplicate review ID",IF(H2337&lt;&gt;"Yes","Outside scope",IF(J2337="Yes","Already served",IF(NOT(ISNUMBER(T2337)),"Missing data","Candidate"))))))</f>
        <v>Candidate</v>
      </c>
      <c r="W2337" s="1">
        <f t="shared" ca="1" si="136"/>
        <v>11</v>
      </c>
      <c r="X2337" s="1">
        <f t="shared" ca="1" si="137"/>
        <v>10</v>
      </c>
      <c r="Y2337" s="1">
        <f ca="1">IF(AND(H2337="Yes",OR(LEN('School Search'!$B$5)=0,ISNUMBER(SEARCH('School Search'!$B$5,B2337&amp;" "&amp;E2337&amp;" "&amp;A2337))),OR('School Search'!$D$5="All",C2337='School Search'!$D$5),OR('School Search'!$G$5="All eligible",AND('School Search'!$G$5="Not marked served",J2337&lt;&gt;"Yes"),AND('School Search'!$G$5="Missing data",V2337="Missing data"),AND('School Search'!$G$5="Marked served",J2337="Yes"))),1,0)</f>
        <v>1</v>
      </c>
      <c r="Z2337" s="1">
        <f ca="1">IF(Y2337=0,"",COUNTIFS($Y$2051:$Y$2550,1,$AO$2051:$AO$2550,"&lt;"&amp;AO2337)+COUNTIFS($Y$2051:Y2337,1,$AO$2051:AO2337,AO2337))</f>
        <v>11</v>
      </c>
      <c r="AA2337" s="1" t="str">
        <f t="shared" ca="1" si="138"/>
        <v>72% economic need; 0.38 mi fresh access; 0 nearby resources</v>
      </c>
      <c r="AB2337" s="1">
        <f t="shared" si="139"/>
        <v>287</v>
      </c>
      <c r="AC2337" s="1" t="str">
        <f t="shared" si="140"/>
        <v>Jumbo Meat Market</v>
      </c>
      <c r="AD2337" s="1" t="str">
        <f t="shared" si="141"/>
        <v>7322 Castor Ave, Philadelphia, PA, 19152</v>
      </c>
      <c r="AE2337" s="1" t="str">
        <f t="shared" si="142"/>
        <v>1601 COTTMAN AVE</v>
      </c>
      <c r="AF2337" s="1">
        <f t="shared" si="143"/>
        <v>40.055644090000001</v>
      </c>
      <c r="AG2337" s="1">
        <f t="shared" si="144"/>
        <v>-75.071183550000001</v>
      </c>
      <c r="AH2337" s="1" t="str">
        <f>IF(I2337=0,"Not contacted",IF(INDEX('Staff Review'!$J$8:$J$507,I2337)="","Not contacted",INDEX('Staff Review'!$J$8:$J$507,I2337)))</f>
        <v>Not contacted</v>
      </c>
      <c r="AI2337" s="1" t="str">
        <f ca="1">IF(I2337=0,"No",IF(AND(COUNT(INDEX('Staff Review'!$D$8:$D$507,I2337))=1,INDEX('Staff Review'!$D$8:$D$507,I2337)&gt;=0,COUNT(INDEX('Staff Review'!$E$8:$E$507,I2337))=1,INDEX('Staff Review'!$E$8:$E$507,I2337)&gt;0,INDEX('Staff Review'!$E$8:$E$507,I2337)&lt;='Top 25'!$E$5,'Top 25'!$E$5-INDEX('Staff Review'!$E$8:$E$507,I2337)&lt;='Top 25'!$H$5,LEN(INDEX('Staff Review'!$H$8:$H$507,I2337))&gt;0),"Yes","No"))</f>
        <v>No</v>
      </c>
      <c r="AJ2337" s="1" t="str">
        <f>IF(I2337=0,"No",IF(COUNT(INDEX('Staff Review'!$F$8:$F$507,I2337))&lt;&gt;1,"No",IF(AND(INDEX('Staff Review'!$F$8:$F$507,I2337)&gt;=0,MOD(INDEX('Staff Review'!$F$8:$F$507,I2337),1)=0,COUNT(INDEX('Staff Review'!$G$8:$G$507,I2337))=1,INDEX('Staff Review'!$G$8:$G$507,I2337)&gt;0,INDEX('Staff Review'!$G$8:$G$507,I2337)&lt;='Top 25'!$E$5,'Top 25'!$E$5-INDEX('Staff Review'!$G$8:$G$507,I2337)&lt;='Top 25'!$H$5,LEN(INDEX('Staff Review'!$H$8:$H$507,I2337))&gt;0),"Yes","No")))</f>
        <v>No</v>
      </c>
      <c r="AK2337" s="1">
        <f t="shared" si="145"/>
        <v>1</v>
      </c>
      <c r="AL2337" s="1">
        <f t="shared" ca="1" si="146"/>
        <v>1</v>
      </c>
      <c r="AM2337" s="1">
        <f t="shared" si="147"/>
        <v>8020</v>
      </c>
      <c r="AN2337" s="1">
        <f t="shared" si="148"/>
        <v>287</v>
      </c>
      <c r="AO2337">
        <f t="shared" ca="1" si="149"/>
        <v>11</v>
      </c>
      <c r="AP2337" s="105">
        <f ca="1">IF(AND(AL2337=1,OR('Top 25'!$A$10="All",C2337='Top 25'!$A$10),OR('Top 25'!$D$10="All",D2337='Top 25'!$D$10)),1,0)</f>
        <v>0</v>
      </c>
      <c r="AQ2337" s="105" t="str">
        <f ca="1">IF(AP2337=0,"",CHOOSE(MATCH('Top 25'!$G$10,{"Priority score","Economic need","Enrollment","Fresh miles","Nearby resources"},0),T2337,G2337,F2337,K2337,L2337))</f>
        <v/>
      </c>
      <c r="AR2337" s="105" t="str">
        <f ca="1">IF(AP2337=0,"",1+COUNTIFS($AP$2051:$AP$2550,1,$AQ$2051:$AQ$2550,IF('Top 25'!$J$10="Ascending","&lt;","&gt;")&amp;AQ2337)+COUNTIFS($AP$2051:$AP$2550,1,$AQ$2051:$AQ$2550,AQ2337,$W$2051:$W$2550,"&lt;"&amp;W2337))</f>
        <v/>
      </c>
      <c r="AT2337" s="105">
        <f ca="1">IF(AND(AL2337=1,OR(Master_rankableSchools!$A$10="All",C2337=Master_rankableSchools!$A$10),OR(Master_rankableSchools!$D$10="All",D2337=Master_rankableSchools!$D$10)),1,0)</f>
        <v>1</v>
      </c>
      <c r="AU2337" s="105">
        <f ca="1">IF(AT2337=0,"",CHOOSE(MATCH(Master_rankableSchools!$G$10,{"Priority score","Economic need","Enrollment","Fresh miles","Nearby resources"},0),T2337,G2337,F2337,K2337,L2337))</f>
        <v>60</v>
      </c>
      <c r="AV2337" s="105">
        <f ca="1">IF(AT2337=0,"",1+COUNTIFS($AT$2051:$AT$2550,1,$AU$2051:$AU$2550,IF(Master_rankableSchools!$J$10="Ascending","&lt;","&gt;")&amp;AU2337)+COUNTIFS($AT$2051:$AT$2550,1,$AU$2051:$AU$2550,AU2337,$W$2051:$W$2550,"&lt;"&amp;W2337))</f>
        <v>11</v>
      </c>
    </row>
    <row r="2338" spans="1:48" ht="22" customHeight="1">
      <c r="A2338" s="1" t="str">
        <f t="shared" si="120"/>
        <v>8030</v>
      </c>
      <c r="B2338" s="1" t="str">
        <f t="shared" si="121"/>
        <v>George Washington High School</v>
      </c>
      <c r="C2338" s="1" t="str">
        <f t="shared" si="122"/>
        <v>District</v>
      </c>
      <c r="D2338" s="1" t="str">
        <f t="shared" si="123"/>
        <v>High</v>
      </c>
      <c r="E2338" s="1" t="str">
        <f t="shared" si="124"/>
        <v>19116</v>
      </c>
      <c r="F2338" s="1">
        <f t="shared" si="125"/>
        <v>1795</v>
      </c>
      <c r="G2338" s="1">
        <f t="shared" si="126"/>
        <v>0.69779999999999998</v>
      </c>
      <c r="H2338" s="1" t="str">
        <f t="shared" si="127"/>
        <v>Yes</v>
      </c>
      <c r="I2338" s="1">
        <f>IF(OR(A2338="",COUNTIFS('Staff Review'!$A$8:$A$507,A2338)&lt;&gt;1),0,MATCH(A2338,'Staff Review'!$A$8:$A$507,0))</f>
        <v>97</v>
      </c>
      <c r="J2338" s="1" t="str">
        <f>IF(I2338=0,"No",IF(INDEX('Staff Review'!$C$8:$C$507,I2338)="Yes","Yes","No"))</f>
        <v>No</v>
      </c>
      <c r="K2338" s="1">
        <f ca="1">IF(AI2338="Yes",INDEX('Staff Review'!$D$8:$D$507,I2338),IF(AB2338=0,"",IF(COUNT(INDEX($C$1531:$C$2030,AB2338))=1,INDEX($C$1531:$C$2030,AB2338),"")))</f>
        <v>0.10160074514179536</v>
      </c>
      <c r="L2338" s="1">
        <f>IF(AJ2338="Yes",INDEX('Staff Review'!$F$8:$F$507,I2338),IF(AB2338=0,"",IF(COUNT(INDEX($G$1531:$G$2030,AB2338))=1,INDEX($G$1531:$G$2030,AB2338),"")))</f>
        <v>3</v>
      </c>
      <c r="M2338" s="1" t="str">
        <f t="shared" ca="1" si="128"/>
        <v>Listed</v>
      </c>
      <c r="N2338" s="1" t="str">
        <f t="shared" si="129"/>
        <v>Listed</v>
      </c>
      <c r="O2338" s="1">
        <f t="shared" si="130"/>
        <v>15</v>
      </c>
      <c r="P2338" s="1">
        <f t="shared" ca="1" si="131"/>
        <v>5</v>
      </c>
      <c r="Q2338" s="1">
        <f t="shared" si="132"/>
        <v>10</v>
      </c>
      <c r="R2338" s="1">
        <f t="shared" si="133"/>
        <v>5</v>
      </c>
      <c r="S2338" s="1">
        <f t="shared" ca="1" si="134"/>
        <v>35</v>
      </c>
      <c r="T2338" s="1">
        <f ca="1">IF(OR(COUNT(O2338:R2338)&lt;&gt;4,COUNT('Top 25'!$B$45:$E$45)&lt;&gt;4,MIN('Top 25'!$B$45:$E$45)&lt;0,SUM('Top 25'!$B$45:$E$45)&lt;=0),"",ROUND(85*(O2338/30*'Top 25'!$B$45+P2338/25*'Top 25'!$C$45+Q2338/25*'Top 25'!$D$45+R2338/5*'Top 25'!$E$45)/SUM('Top 25'!$B$45:$E$45),6))</f>
        <v>35</v>
      </c>
      <c r="U2338" s="1" t="str">
        <f t="shared" ca="1" si="135"/>
        <v>Listed</v>
      </c>
      <c r="V2338" s="1" t="str">
        <f ca="1">IF(A2338="","",IF(AK2338&lt;&gt;1,"Duplicate source ID",IF(COUNTIFS('Staff Review'!$A$8:$A$507,A2338)&gt;1,"Duplicate review ID",IF(H2338&lt;&gt;"Yes","Outside scope",IF(J2338="Yes","Already served",IF(NOT(ISNUMBER(T2338)),"Missing data","Candidate"))))))</f>
        <v>Candidate</v>
      </c>
      <c r="W2338" s="1">
        <f t="shared" ca="1" si="136"/>
        <v>217</v>
      </c>
      <c r="X2338" s="1">
        <f t="shared" ca="1" si="137"/>
        <v>210</v>
      </c>
      <c r="Y2338" s="1">
        <f ca="1">IF(AND(H2338="Yes",OR(LEN('School Search'!$B$5)=0,ISNUMBER(SEARCH('School Search'!$B$5,B2338&amp;" "&amp;E2338&amp;" "&amp;A2338))),OR('School Search'!$D$5="All",C2338='School Search'!$D$5),OR('School Search'!$G$5="All eligible",AND('School Search'!$G$5="Not marked served",J2338&lt;&gt;"Yes"),AND('School Search'!$G$5="Missing data",V2338="Missing data"),AND('School Search'!$G$5="Marked served",J2338="Yes"))),1,0)</f>
        <v>1</v>
      </c>
      <c r="Z2338" s="1">
        <f ca="1">IF(Y2338=0,"",COUNTIFS($Y$2051:$Y$2550,1,$AO$2051:$AO$2550,"&lt;"&amp;AO2338)+COUNTIFS($Y$2051:Y2338,1,$AO$2051:AO2338,AO2338))</f>
        <v>217</v>
      </c>
      <c r="AA2338" s="1" t="str">
        <f t="shared" ca="1" si="138"/>
        <v>70% economic need; 0.10 mi fresh access; 3 nearby resources</v>
      </c>
      <c r="AB2338" s="1">
        <f t="shared" si="139"/>
        <v>288</v>
      </c>
      <c r="AC2338" s="1" t="str">
        <f t="shared" si="140"/>
        <v>Ali Baba Bakery Inc</v>
      </c>
      <c r="AD2338" s="1" t="str">
        <f t="shared" si="141"/>
        <v>10184 Bustleton Ave, Philadelphia, PA, 19116</v>
      </c>
      <c r="AE2338" s="1" t="str">
        <f t="shared" si="142"/>
        <v>10175 BUSTLETON AVE</v>
      </c>
      <c r="AF2338" s="1">
        <f t="shared" si="143"/>
        <v>40.105985769999997</v>
      </c>
      <c r="AG2338" s="1">
        <f t="shared" si="144"/>
        <v>-75.027230130000007</v>
      </c>
      <c r="AH2338" s="1" t="str">
        <f>IF(I2338=0,"Not contacted",IF(INDEX('Staff Review'!$J$8:$J$507,I2338)="","Not contacted",INDEX('Staff Review'!$J$8:$J$507,I2338)))</f>
        <v>Not contacted</v>
      </c>
      <c r="AI2338" s="1" t="str">
        <f ca="1">IF(I2338=0,"No",IF(AND(COUNT(INDEX('Staff Review'!$D$8:$D$507,I2338))=1,INDEX('Staff Review'!$D$8:$D$507,I2338)&gt;=0,COUNT(INDEX('Staff Review'!$E$8:$E$507,I2338))=1,INDEX('Staff Review'!$E$8:$E$507,I2338)&gt;0,INDEX('Staff Review'!$E$8:$E$507,I2338)&lt;='Top 25'!$E$5,'Top 25'!$E$5-INDEX('Staff Review'!$E$8:$E$507,I2338)&lt;='Top 25'!$H$5,LEN(INDEX('Staff Review'!$H$8:$H$507,I2338))&gt;0),"Yes","No"))</f>
        <v>No</v>
      </c>
      <c r="AJ2338" s="1" t="str">
        <f>IF(I2338=0,"No",IF(COUNT(INDEX('Staff Review'!$F$8:$F$507,I2338))&lt;&gt;1,"No",IF(AND(INDEX('Staff Review'!$F$8:$F$507,I2338)&gt;=0,MOD(INDEX('Staff Review'!$F$8:$F$507,I2338),1)=0,COUNT(INDEX('Staff Review'!$G$8:$G$507,I2338))=1,INDEX('Staff Review'!$G$8:$G$507,I2338)&gt;0,INDEX('Staff Review'!$G$8:$G$507,I2338)&lt;='Top 25'!$E$5,'Top 25'!$E$5-INDEX('Staff Review'!$G$8:$G$507,I2338)&lt;='Top 25'!$H$5,LEN(INDEX('Staff Review'!$H$8:$H$507,I2338))&gt;0),"Yes","No")))</f>
        <v>No</v>
      </c>
      <c r="AK2338" s="1">
        <f t="shared" si="145"/>
        <v>1</v>
      </c>
      <c r="AL2338" s="1">
        <f t="shared" ca="1" si="146"/>
        <v>1</v>
      </c>
      <c r="AM2338" s="1">
        <f t="shared" si="147"/>
        <v>8030</v>
      </c>
      <c r="AN2338" s="1">
        <f t="shared" si="148"/>
        <v>288</v>
      </c>
      <c r="AO2338">
        <f t="shared" ca="1" si="149"/>
        <v>217</v>
      </c>
      <c r="AP2338" s="105">
        <f ca="1">IF(AND(AL2338=1,OR('Top 25'!$A$10="All",C2338='Top 25'!$A$10),OR('Top 25'!$D$10="All",D2338='Top 25'!$D$10)),1,0)</f>
        <v>0</v>
      </c>
      <c r="AQ2338" s="105" t="str">
        <f ca="1">IF(AP2338=0,"",CHOOSE(MATCH('Top 25'!$G$10,{"Priority score","Economic need","Enrollment","Fresh miles","Nearby resources"},0),T2338,G2338,F2338,K2338,L2338))</f>
        <v/>
      </c>
      <c r="AR2338" s="105" t="str">
        <f ca="1">IF(AP2338=0,"",1+COUNTIFS($AP$2051:$AP$2550,1,$AQ$2051:$AQ$2550,IF('Top 25'!$J$10="Ascending","&lt;","&gt;")&amp;AQ2338)+COUNTIFS($AP$2051:$AP$2550,1,$AQ$2051:$AQ$2550,AQ2338,$W$2051:$W$2550,"&lt;"&amp;W2338))</f>
        <v/>
      </c>
      <c r="AT2338" s="105">
        <f ca="1">IF(AND(AL2338=1,OR(Master_rankableSchools!$A$10="All",C2338=Master_rankableSchools!$A$10),OR(Master_rankableSchools!$D$10="All",D2338=Master_rankableSchools!$D$10)),1,0)</f>
        <v>1</v>
      </c>
      <c r="AU2338" s="105">
        <f ca="1">IF(AT2338=0,"",CHOOSE(MATCH(Master_rankableSchools!$G$10,{"Priority score","Economic need","Enrollment","Fresh miles","Nearby resources"},0),T2338,G2338,F2338,K2338,L2338))</f>
        <v>35</v>
      </c>
      <c r="AV2338" s="105">
        <f ca="1">IF(AT2338=0,"",1+COUNTIFS($AT$2051:$AT$2550,1,$AU$2051:$AU$2550,IF(Master_rankableSchools!$J$10="Ascending","&lt;","&gt;")&amp;AU2338)+COUNTIFS($AT$2051:$AT$2550,1,$AU$2051:$AU$2550,AU2338,$W$2051:$W$2550,"&lt;"&amp;W2338))</f>
        <v>217</v>
      </c>
    </row>
    <row r="2339" spans="1:48" ht="22" customHeight="1">
      <c r="A2339" s="1" t="str">
        <f t="shared" si="120"/>
        <v>8040</v>
      </c>
      <c r="B2339" s="1" t="str">
        <f t="shared" si="121"/>
        <v>Arts Academy at Benjamin Rush</v>
      </c>
      <c r="C2339" s="1" t="str">
        <f t="shared" si="122"/>
        <v>District</v>
      </c>
      <c r="D2339" s="1" t="str">
        <f t="shared" si="123"/>
        <v>High</v>
      </c>
      <c r="E2339" s="1" t="str">
        <f t="shared" si="124"/>
        <v>19154</v>
      </c>
      <c r="F2339" s="1">
        <f t="shared" si="125"/>
        <v>602</v>
      </c>
      <c r="G2339" s="1">
        <f t="shared" si="126"/>
        <v>0.55810000000000004</v>
      </c>
      <c r="H2339" s="1" t="str">
        <f t="shared" si="127"/>
        <v>Yes</v>
      </c>
      <c r="I2339" s="1">
        <f>IF(OR(A2339="",COUNTIFS('Staff Review'!$A$8:$A$507,A2339)&lt;&gt;1),0,MATCH(A2339,'Staff Review'!$A$8:$A$507,0))</f>
        <v>24</v>
      </c>
      <c r="J2339" s="1" t="str">
        <f>IF(I2339=0,"No",IF(INDEX('Staff Review'!$C$8:$C$507,I2339)="Yes","Yes","No"))</f>
        <v>No</v>
      </c>
      <c r="K2339" s="1">
        <f ca="1">IF(AI2339="Yes",INDEX('Staff Review'!$D$8:$D$507,I2339),IF(AB2339=0,"",IF(COUNT(INDEX($C$1531:$C$2030,AB2339))=1,INDEX($C$1531:$C$2030,AB2339),"")))</f>
        <v>0.3281166835630559</v>
      </c>
      <c r="L2339" s="1">
        <f>IF(AJ2339="Yes",INDEX('Staff Review'!$F$8:$F$507,I2339),IF(AB2339=0,"",IF(COUNT(INDEX($G$1531:$G$2030,AB2339))=1,INDEX($G$1531:$G$2030,AB2339),"")))</f>
        <v>0</v>
      </c>
      <c r="M2339" s="1" t="str">
        <f t="shared" ca="1" si="128"/>
        <v>Listed</v>
      </c>
      <c r="N2339" s="1" t="str">
        <f t="shared" si="129"/>
        <v>Listed</v>
      </c>
      <c r="O2339" s="1">
        <f t="shared" si="130"/>
        <v>10</v>
      </c>
      <c r="P2339" s="1">
        <f t="shared" ca="1" si="131"/>
        <v>10</v>
      </c>
      <c r="Q2339" s="1">
        <f t="shared" si="132"/>
        <v>25</v>
      </c>
      <c r="R2339" s="1">
        <f t="shared" si="133"/>
        <v>4</v>
      </c>
      <c r="S2339" s="1">
        <f t="shared" ca="1" si="134"/>
        <v>49</v>
      </c>
      <c r="T2339" s="1">
        <f ca="1">IF(OR(COUNT(O2339:R2339)&lt;&gt;4,COUNT('Top 25'!$B$45:$E$45)&lt;&gt;4,MIN('Top 25'!$B$45:$E$45)&lt;0,SUM('Top 25'!$B$45:$E$45)&lt;=0),"",ROUND(85*(O2339/30*'Top 25'!$B$45+P2339/25*'Top 25'!$C$45+Q2339/25*'Top 25'!$D$45+R2339/5*'Top 25'!$E$45)/SUM('Top 25'!$B$45:$E$45),6))</f>
        <v>49</v>
      </c>
      <c r="U2339" s="1" t="str">
        <f t="shared" ca="1" si="135"/>
        <v>Listed</v>
      </c>
      <c r="V2339" s="1" t="str">
        <f ca="1">IF(A2339="","",IF(AK2339&lt;&gt;1,"Duplicate source ID",IF(COUNTIFS('Staff Review'!$A$8:$A$507,A2339)&gt;1,"Duplicate review ID",IF(H2339&lt;&gt;"Yes","Outside scope",IF(J2339="Yes","Already served",IF(NOT(ISNUMBER(T2339)),"Missing data","Candidate"))))))</f>
        <v>Candidate</v>
      </c>
      <c r="W2339" s="1">
        <f t="shared" ca="1" si="136"/>
        <v>55</v>
      </c>
      <c r="X2339" s="1">
        <f t="shared" ca="1" si="137"/>
        <v>46</v>
      </c>
      <c r="Y2339" s="1">
        <f ca="1">IF(AND(H2339="Yes",OR(LEN('School Search'!$B$5)=0,ISNUMBER(SEARCH('School Search'!$B$5,B2339&amp;" "&amp;E2339&amp;" "&amp;A2339))),OR('School Search'!$D$5="All",C2339='School Search'!$D$5),OR('School Search'!$G$5="All eligible",AND('School Search'!$G$5="Not marked served",J2339&lt;&gt;"Yes"),AND('School Search'!$G$5="Missing data",V2339="Missing data"),AND('School Search'!$G$5="Marked served",J2339="Yes"))),1,0)</f>
        <v>1</v>
      </c>
      <c r="Z2339" s="1">
        <f ca="1">IF(Y2339=0,"",COUNTIFS($Y$2051:$Y$2550,1,$AO$2051:$AO$2550,"&lt;"&amp;AO2339)+COUNTIFS($Y$2051:Y2339,1,$AO$2051:AO2339,AO2339))</f>
        <v>55</v>
      </c>
      <c r="AA2339" s="1" t="str">
        <f t="shared" ca="1" si="138"/>
        <v>56% economic need; 0.33 mi fresh access; 0 nearby resources</v>
      </c>
      <c r="AB2339" s="1">
        <f t="shared" si="139"/>
        <v>289</v>
      </c>
      <c r="AC2339" s="1" t="str">
        <f t="shared" si="140"/>
        <v>Grocery Outlet Of Woodhaven 750</v>
      </c>
      <c r="AD2339" s="1" t="str">
        <f t="shared" si="141"/>
        <v>4016 Woodhaven Rd, Philadelphia, PA, 19154</v>
      </c>
      <c r="AE2339" s="1" t="str">
        <f t="shared" si="142"/>
        <v>11081 KNIGHTS RD</v>
      </c>
      <c r="AF2339" s="1">
        <f t="shared" si="143"/>
        <v>40.082532749999999</v>
      </c>
      <c r="AG2339" s="1">
        <f t="shared" si="144"/>
        <v>-74.975206099999994</v>
      </c>
      <c r="AH2339" s="1" t="str">
        <f>IF(I2339=0,"Not contacted",IF(INDEX('Staff Review'!$J$8:$J$507,I2339)="","Not contacted",INDEX('Staff Review'!$J$8:$J$507,I2339)))</f>
        <v>Not contacted</v>
      </c>
      <c r="AI2339" s="1" t="str">
        <f ca="1">IF(I2339=0,"No",IF(AND(COUNT(INDEX('Staff Review'!$D$8:$D$507,I2339))=1,INDEX('Staff Review'!$D$8:$D$507,I2339)&gt;=0,COUNT(INDEX('Staff Review'!$E$8:$E$507,I2339))=1,INDEX('Staff Review'!$E$8:$E$507,I2339)&gt;0,INDEX('Staff Review'!$E$8:$E$507,I2339)&lt;='Top 25'!$E$5,'Top 25'!$E$5-INDEX('Staff Review'!$E$8:$E$507,I2339)&lt;='Top 25'!$H$5,LEN(INDEX('Staff Review'!$H$8:$H$507,I2339))&gt;0),"Yes","No"))</f>
        <v>No</v>
      </c>
      <c r="AJ2339" s="1" t="str">
        <f>IF(I2339=0,"No",IF(COUNT(INDEX('Staff Review'!$F$8:$F$507,I2339))&lt;&gt;1,"No",IF(AND(INDEX('Staff Review'!$F$8:$F$507,I2339)&gt;=0,MOD(INDEX('Staff Review'!$F$8:$F$507,I2339),1)=0,COUNT(INDEX('Staff Review'!$G$8:$G$507,I2339))=1,INDEX('Staff Review'!$G$8:$G$507,I2339)&gt;0,INDEX('Staff Review'!$G$8:$G$507,I2339)&lt;='Top 25'!$E$5,'Top 25'!$E$5-INDEX('Staff Review'!$G$8:$G$507,I2339)&lt;='Top 25'!$H$5,LEN(INDEX('Staff Review'!$H$8:$H$507,I2339))&gt;0),"Yes","No")))</f>
        <v>No</v>
      </c>
      <c r="AK2339" s="1">
        <f t="shared" si="145"/>
        <v>1</v>
      </c>
      <c r="AL2339" s="1">
        <f t="shared" ca="1" si="146"/>
        <v>1</v>
      </c>
      <c r="AM2339" s="1">
        <f t="shared" si="147"/>
        <v>8040</v>
      </c>
      <c r="AN2339" s="1">
        <f t="shared" si="148"/>
        <v>289</v>
      </c>
      <c r="AO2339">
        <f t="shared" ca="1" si="149"/>
        <v>55</v>
      </c>
      <c r="AP2339" s="105">
        <f ca="1">IF(AND(AL2339=1,OR('Top 25'!$A$10="All",C2339='Top 25'!$A$10),OR('Top 25'!$D$10="All",D2339='Top 25'!$D$10)),1,0)</f>
        <v>0</v>
      </c>
      <c r="AQ2339" s="105" t="str">
        <f ca="1">IF(AP2339=0,"",CHOOSE(MATCH('Top 25'!$G$10,{"Priority score","Economic need","Enrollment","Fresh miles","Nearby resources"},0),T2339,G2339,F2339,K2339,L2339))</f>
        <v/>
      </c>
      <c r="AR2339" s="105" t="str">
        <f ca="1">IF(AP2339=0,"",1+COUNTIFS($AP$2051:$AP$2550,1,$AQ$2051:$AQ$2550,IF('Top 25'!$J$10="Ascending","&lt;","&gt;")&amp;AQ2339)+COUNTIFS($AP$2051:$AP$2550,1,$AQ$2051:$AQ$2550,AQ2339,$W$2051:$W$2550,"&lt;"&amp;W2339))</f>
        <v/>
      </c>
      <c r="AT2339" s="105">
        <f ca="1">IF(AND(AL2339=1,OR(Master_rankableSchools!$A$10="All",C2339=Master_rankableSchools!$A$10),OR(Master_rankableSchools!$D$10="All",D2339=Master_rankableSchools!$D$10)),1,0)</f>
        <v>1</v>
      </c>
      <c r="AU2339" s="105">
        <f ca="1">IF(AT2339=0,"",CHOOSE(MATCH(Master_rankableSchools!$G$10,{"Priority score","Economic need","Enrollment","Fresh miles","Nearby resources"},0),T2339,G2339,F2339,K2339,L2339))</f>
        <v>49</v>
      </c>
      <c r="AV2339" s="105">
        <f ca="1">IF(AT2339=0,"",1+COUNTIFS($AT$2051:$AT$2550,1,$AU$2051:$AU$2550,IF(Master_rankableSchools!$J$10="Ascending","&lt;","&gt;")&amp;AU2339)+COUNTIFS($AT$2051:$AT$2550,1,$AU$2051:$AU$2550,AU2339,$W$2051:$W$2550,"&lt;"&amp;W2339))</f>
        <v>55</v>
      </c>
    </row>
    <row r="2340" spans="1:48" ht="22" customHeight="1">
      <c r="A2340" s="1" t="str">
        <f t="shared" si="120"/>
        <v>8070</v>
      </c>
      <c r="B2340" s="1" t="str">
        <f t="shared" si="121"/>
        <v>OIC Career and Academic Development Institute</v>
      </c>
      <c r="C2340" s="1" t="str">
        <f t="shared" si="122"/>
        <v>Contracted</v>
      </c>
      <c r="D2340" s="1" t="str">
        <f t="shared" si="123"/>
        <v>Transition/Overage School</v>
      </c>
      <c r="E2340" s="1" t="str">
        <f t="shared" si="124"/>
        <v>19123</v>
      </c>
      <c r="F2340" s="1">
        <f t="shared" si="125"/>
        <v>163</v>
      </c>
      <c r="G2340" s="1" t="str">
        <f t="shared" si="126"/>
        <v/>
      </c>
      <c r="H2340" s="1" t="str">
        <f t="shared" si="127"/>
        <v>No</v>
      </c>
      <c r="I2340" s="1">
        <f>IF(OR(A2340="",COUNTIFS('Staff Review'!$A$8:$A$507,A2340)&lt;&gt;1),0,MATCH(A2340,'Staff Review'!$A$8:$A$507,0))</f>
        <v>209</v>
      </c>
      <c r="J2340" s="1" t="str">
        <f>IF(I2340=0,"No",IF(INDEX('Staff Review'!$C$8:$C$507,I2340)="Yes","Yes","No"))</f>
        <v>No</v>
      </c>
      <c r="K2340" s="1">
        <f ca="1">IF(AI2340="Yes",INDEX('Staff Review'!$D$8:$D$507,I2340),IF(AB2340=0,"",IF(COUNT(INDEX($C$1531:$C$2030,AB2340))=1,INDEX($C$1531:$C$2030,AB2340),"")))</f>
        <v>0.15291218927303687</v>
      </c>
      <c r="L2340" s="1">
        <f>IF(AJ2340="Yes",INDEX('Staff Review'!$F$8:$F$507,I2340),IF(AB2340=0,"",IF(COUNT(INDEX($G$1531:$G$2030,AB2340))=1,INDEX($G$1531:$G$2030,AB2340),"")))</f>
        <v>8</v>
      </c>
      <c r="M2340" s="1" t="str">
        <f t="shared" ca="1" si="128"/>
        <v>Listed</v>
      </c>
      <c r="N2340" s="1" t="str">
        <f t="shared" si="129"/>
        <v>Listed</v>
      </c>
      <c r="O2340" s="1" t="str">
        <f t="shared" si="130"/>
        <v/>
      </c>
      <c r="P2340" s="1">
        <f t="shared" ca="1" si="131"/>
        <v>5</v>
      </c>
      <c r="Q2340" s="1">
        <f t="shared" si="132"/>
        <v>0</v>
      </c>
      <c r="R2340" s="1">
        <f t="shared" si="133"/>
        <v>1</v>
      </c>
      <c r="S2340" s="1" t="str">
        <f t="shared" ca="1" si="134"/>
        <v/>
      </c>
      <c r="T2340" s="1" t="str">
        <f ca="1">IF(OR(COUNT(O2340:R2340)&lt;&gt;4,COUNT('Top 25'!$B$45:$E$45)&lt;&gt;4,MIN('Top 25'!$B$45:$E$45)&lt;0,SUM('Top 25'!$B$45:$E$45)&lt;=0),"",ROUND(85*(O2340/30*'Top 25'!$B$45+P2340/25*'Top 25'!$C$45+Q2340/25*'Top 25'!$D$45+R2340/5*'Top 25'!$E$45)/SUM('Top 25'!$B$45:$E$45),6))</f>
        <v/>
      </c>
      <c r="U2340" s="1" t="str">
        <f t="shared" ca="1" si="135"/>
        <v>Listed</v>
      </c>
      <c r="V2340" s="1" t="str">
        <f>IF(A2340="","",IF(AK2340&lt;&gt;1,"Duplicate source ID",IF(COUNTIFS('Staff Review'!$A$8:$A$507,A2340)&gt;1,"Duplicate review ID",IF(H2340&lt;&gt;"Yes","Outside scope",IF(J2340="Yes","Already served",IF(NOT(ISNUMBER(T2340)),"Missing data","Candidate"))))))</f>
        <v>Outside scope</v>
      </c>
      <c r="W2340" s="1" t="str">
        <f t="shared" si="136"/>
        <v/>
      </c>
      <c r="X2340" s="1" t="str">
        <f t="shared" si="137"/>
        <v/>
      </c>
      <c r="Y2340" s="1">
        <f>IF(AND(H2340="Yes",OR(LEN('School Search'!$B$5)=0,ISNUMBER(SEARCH('School Search'!$B$5,B2340&amp;" "&amp;E2340&amp;" "&amp;A2340))),OR('School Search'!$D$5="All",C2340='School Search'!$D$5),OR('School Search'!$G$5="All eligible",AND('School Search'!$G$5="Not marked served",J2340&lt;&gt;"Yes"),AND('School Search'!$G$5="Missing data",V2340="Missing data"),AND('School Search'!$G$5="Marked served",J2340="Yes"))),1,0)</f>
        <v>0</v>
      </c>
      <c r="Z2340" s="1" t="str">
        <f>IF(Y2340=0,"",COUNTIFS($Y$2051:$Y$2550,1,$AO$2051:$AO$2550,"&lt;"&amp;AO2340)+COUNTIFS($Y$2051:Y2340,1,$AO$2051:AO2340,AO2340))</f>
        <v/>
      </c>
      <c r="AA2340" s="1" t="str">
        <f t="shared" ca="1" si="138"/>
        <v>Missing demographic or access input</v>
      </c>
      <c r="AB2340" s="1">
        <f t="shared" si="139"/>
        <v>290</v>
      </c>
      <c r="AC2340" s="1" t="str">
        <f t="shared" si="140"/>
        <v>Target T3285</v>
      </c>
      <c r="AD2340" s="1" t="str">
        <f t="shared" si="141"/>
        <v>456 N 5th St, Philadelphia, PA, 19123</v>
      </c>
      <c r="AE2340" s="1" t="str">
        <f t="shared" si="142"/>
        <v>444 N 3RD ST</v>
      </c>
      <c r="AF2340" s="1">
        <f t="shared" si="143"/>
        <v>39.958322000000003</v>
      </c>
      <c r="AG2340" s="1">
        <f t="shared" si="144"/>
        <v>-75.144801000000001</v>
      </c>
      <c r="AH2340" s="1" t="str">
        <f>IF(I2340=0,"Not contacted",IF(INDEX('Staff Review'!$J$8:$J$507,I2340)="","Not contacted",INDEX('Staff Review'!$J$8:$J$507,I2340)))</f>
        <v>Not contacted</v>
      </c>
      <c r="AI2340" s="1" t="str">
        <f ca="1">IF(I2340=0,"No",IF(AND(COUNT(INDEX('Staff Review'!$D$8:$D$507,I2340))=1,INDEX('Staff Review'!$D$8:$D$507,I2340)&gt;=0,COUNT(INDEX('Staff Review'!$E$8:$E$507,I2340))=1,INDEX('Staff Review'!$E$8:$E$507,I2340)&gt;0,INDEX('Staff Review'!$E$8:$E$507,I2340)&lt;='Top 25'!$E$5,'Top 25'!$E$5-INDEX('Staff Review'!$E$8:$E$507,I2340)&lt;='Top 25'!$H$5,LEN(INDEX('Staff Review'!$H$8:$H$507,I2340))&gt;0),"Yes","No"))</f>
        <v>No</v>
      </c>
      <c r="AJ2340" s="1" t="str">
        <f>IF(I2340=0,"No",IF(COUNT(INDEX('Staff Review'!$F$8:$F$507,I2340))&lt;&gt;1,"No",IF(AND(INDEX('Staff Review'!$F$8:$F$507,I2340)&gt;=0,MOD(INDEX('Staff Review'!$F$8:$F$507,I2340),1)=0,COUNT(INDEX('Staff Review'!$G$8:$G$507,I2340))=1,INDEX('Staff Review'!$G$8:$G$507,I2340)&gt;0,INDEX('Staff Review'!$G$8:$G$507,I2340)&lt;='Top 25'!$E$5,'Top 25'!$E$5-INDEX('Staff Review'!$G$8:$G$507,I2340)&lt;='Top 25'!$H$5,LEN(INDEX('Staff Review'!$H$8:$H$507,I2340))&gt;0),"Yes","No")))</f>
        <v>No</v>
      </c>
      <c r="AK2340" s="1">
        <f t="shared" si="145"/>
        <v>1</v>
      </c>
      <c r="AL2340" s="1">
        <f t="shared" si="146"/>
        <v>0</v>
      </c>
      <c r="AM2340" s="1">
        <f t="shared" si="147"/>
        <v>8070</v>
      </c>
      <c r="AN2340" s="1">
        <f t="shared" si="148"/>
        <v>290</v>
      </c>
      <c r="AO2340">
        <f t="shared" si="149"/>
        <v>18070</v>
      </c>
      <c r="AP2340" s="105">
        <f>IF(AND(AL2340=1,OR('Top 25'!$A$10="All",C2340='Top 25'!$A$10),OR('Top 25'!$D$10="All",D2340='Top 25'!$D$10)),1,0)</f>
        <v>0</v>
      </c>
      <c r="AQ2340" s="105" t="str">
        <f>IF(AP2340=0,"",CHOOSE(MATCH('Top 25'!$G$10,{"Priority score","Economic need","Enrollment","Fresh miles","Nearby resources"},0),T2340,G2340,F2340,K2340,L2340))</f>
        <v/>
      </c>
      <c r="AR2340" s="105" t="str">
        <f>IF(AP2340=0,"",1+COUNTIFS($AP$2051:$AP$2550,1,$AQ$2051:$AQ$2550,IF('Top 25'!$J$10="Ascending","&lt;","&gt;")&amp;AQ2340)+COUNTIFS($AP$2051:$AP$2550,1,$AQ$2051:$AQ$2550,AQ2340,$W$2051:$W$2550,"&lt;"&amp;W2340))</f>
        <v/>
      </c>
      <c r="AT2340" s="105">
        <f>IF(AND(AL2340=1,OR(Master_rankableSchools!$A$10="All",C2340=Master_rankableSchools!$A$10),OR(Master_rankableSchools!$D$10="All",D2340=Master_rankableSchools!$D$10)),1,0)</f>
        <v>0</v>
      </c>
      <c r="AU2340" s="105" t="str">
        <f>IF(AT2340=0,"",CHOOSE(MATCH(Master_rankableSchools!$G$10,{"Priority score","Economic need","Enrollment","Fresh miles","Nearby resources"},0),T2340,G2340,F2340,K2340,L2340))</f>
        <v/>
      </c>
      <c r="AV2340" s="105" t="str">
        <f>IF(AT2340=0,"",1+COUNTIFS($AT$2051:$AT$2550,1,$AU$2051:$AU$2550,IF(Master_rankableSchools!$J$10="Ascending","&lt;","&gt;")&amp;AU2340)+COUNTIFS($AT$2051:$AT$2550,1,$AU$2051:$AU$2550,AU2340,$W$2051:$W$2550,"&lt;"&amp;W2340))</f>
        <v/>
      </c>
    </row>
    <row r="2341" spans="1:48" ht="22" customHeight="1">
      <c r="A2341" s="1" t="str">
        <f t="shared" si="120"/>
        <v>8080</v>
      </c>
      <c r="B2341" s="1" t="str">
        <f t="shared" si="121"/>
        <v>Excel Academy North</v>
      </c>
      <c r="C2341" s="1" t="str">
        <f t="shared" si="122"/>
        <v>Contracted</v>
      </c>
      <c r="D2341" s="1" t="str">
        <f t="shared" si="123"/>
        <v>Transition/Overage School</v>
      </c>
      <c r="E2341" s="1" t="str">
        <f t="shared" si="124"/>
        <v>19121</v>
      </c>
      <c r="F2341" s="1">
        <f t="shared" si="125"/>
        <v>189</v>
      </c>
      <c r="G2341" s="1" t="str">
        <f t="shared" si="126"/>
        <v/>
      </c>
      <c r="H2341" s="1" t="str">
        <f t="shared" si="127"/>
        <v>No</v>
      </c>
      <c r="I2341" s="1">
        <f>IF(OR(A2341="",COUNTIFS('Staff Review'!$A$8:$A$507,A2341)&lt;&gt;1),0,MATCH(A2341,'Staff Review'!$A$8:$A$507,0))</f>
        <v>68</v>
      </c>
      <c r="J2341" s="1" t="str">
        <f>IF(I2341=0,"No",IF(INDEX('Staff Review'!$C$8:$C$507,I2341)="Yes","Yes","No"))</f>
        <v>No</v>
      </c>
      <c r="K2341" s="1">
        <f ca="1">IF(AI2341="Yes",INDEX('Staff Review'!$D$8:$D$507,I2341),IF(AB2341=0,"",IF(COUNT(INDEX($C$1531:$C$2030,AB2341))=1,INDEX($C$1531:$C$2030,AB2341),"")))</f>
        <v>0.42951750596672367</v>
      </c>
      <c r="L2341" s="1">
        <f>IF(AJ2341="Yes",INDEX('Staff Review'!$F$8:$F$507,I2341),IF(AB2341=0,"",IF(COUNT(INDEX($G$1531:$G$2030,AB2341))=1,INDEX($G$1531:$G$2030,AB2341),"")))</f>
        <v>12</v>
      </c>
      <c r="M2341" s="1" t="str">
        <f t="shared" ca="1" si="128"/>
        <v>Listed</v>
      </c>
      <c r="N2341" s="1" t="str">
        <f t="shared" si="129"/>
        <v>Listed</v>
      </c>
      <c r="O2341" s="1" t="str">
        <f t="shared" si="130"/>
        <v/>
      </c>
      <c r="P2341" s="1">
        <f t="shared" ca="1" si="131"/>
        <v>10</v>
      </c>
      <c r="Q2341" s="1">
        <f t="shared" si="132"/>
        <v>0</v>
      </c>
      <c r="R2341" s="1">
        <f t="shared" si="133"/>
        <v>1</v>
      </c>
      <c r="S2341" s="1" t="str">
        <f t="shared" ca="1" si="134"/>
        <v/>
      </c>
      <c r="T2341" s="1" t="str">
        <f ca="1">IF(OR(COUNT(O2341:R2341)&lt;&gt;4,COUNT('Top 25'!$B$45:$E$45)&lt;&gt;4,MIN('Top 25'!$B$45:$E$45)&lt;0,SUM('Top 25'!$B$45:$E$45)&lt;=0),"",ROUND(85*(O2341/30*'Top 25'!$B$45+P2341/25*'Top 25'!$C$45+Q2341/25*'Top 25'!$D$45+R2341/5*'Top 25'!$E$45)/SUM('Top 25'!$B$45:$E$45),6))</f>
        <v/>
      </c>
      <c r="U2341" s="1" t="str">
        <f t="shared" ca="1" si="135"/>
        <v>Listed</v>
      </c>
      <c r="V2341" s="1" t="str">
        <f>IF(A2341="","",IF(AK2341&lt;&gt;1,"Duplicate source ID",IF(COUNTIFS('Staff Review'!$A$8:$A$507,A2341)&gt;1,"Duplicate review ID",IF(H2341&lt;&gt;"Yes","Outside scope",IF(J2341="Yes","Already served",IF(NOT(ISNUMBER(T2341)),"Missing data","Candidate"))))))</f>
        <v>Outside scope</v>
      </c>
      <c r="W2341" s="1" t="str">
        <f t="shared" si="136"/>
        <v/>
      </c>
      <c r="X2341" s="1" t="str">
        <f t="shared" si="137"/>
        <v/>
      </c>
      <c r="Y2341" s="1">
        <f>IF(AND(H2341="Yes",OR(LEN('School Search'!$B$5)=0,ISNUMBER(SEARCH('School Search'!$B$5,B2341&amp;" "&amp;E2341&amp;" "&amp;A2341))),OR('School Search'!$D$5="All",C2341='School Search'!$D$5),OR('School Search'!$G$5="All eligible",AND('School Search'!$G$5="Not marked served",J2341&lt;&gt;"Yes"),AND('School Search'!$G$5="Missing data",V2341="Missing data"),AND('School Search'!$G$5="Marked served",J2341="Yes"))),1,0)</f>
        <v>0</v>
      </c>
      <c r="Z2341" s="1" t="str">
        <f>IF(Y2341=0,"",COUNTIFS($Y$2051:$Y$2550,1,$AO$2051:$AO$2550,"&lt;"&amp;AO2341)+COUNTIFS($Y$2051:Y2341,1,$AO$2051:AO2341,AO2341))</f>
        <v/>
      </c>
      <c r="AA2341" s="1" t="str">
        <f t="shared" ca="1" si="138"/>
        <v>Missing demographic or access input</v>
      </c>
      <c r="AB2341" s="1">
        <f t="shared" si="139"/>
        <v>291</v>
      </c>
      <c r="AC2341" s="1" t="str">
        <f t="shared" si="140"/>
        <v>Sharswood Grocery Outlet 731</v>
      </c>
      <c r="AD2341" s="1" t="str">
        <f t="shared" si="141"/>
        <v>2077 Ridge Ave, Philadelphia, PA, 19121</v>
      </c>
      <c r="AE2341" s="1" t="str">
        <f t="shared" si="142"/>
        <v>1435 N 26TH ST</v>
      </c>
      <c r="AF2341" s="1">
        <f t="shared" si="143"/>
        <v>39.978133999999997</v>
      </c>
      <c r="AG2341" s="1">
        <f t="shared" si="144"/>
        <v>-75.177657999999994</v>
      </c>
      <c r="AH2341" s="1" t="str">
        <f>IF(I2341=0,"Not contacted",IF(INDEX('Staff Review'!$J$8:$J$507,I2341)="","Not contacted",INDEX('Staff Review'!$J$8:$J$507,I2341)))</f>
        <v>Not contacted</v>
      </c>
      <c r="AI2341" s="1" t="str">
        <f ca="1">IF(I2341=0,"No",IF(AND(COUNT(INDEX('Staff Review'!$D$8:$D$507,I2341))=1,INDEX('Staff Review'!$D$8:$D$507,I2341)&gt;=0,COUNT(INDEX('Staff Review'!$E$8:$E$507,I2341))=1,INDEX('Staff Review'!$E$8:$E$507,I2341)&gt;0,INDEX('Staff Review'!$E$8:$E$507,I2341)&lt;='Top 25'!$E$5,'Top 25'!$E$5-INDEX('Staff Review'!$E$8:$E$507,I2341)&lt;='Top 25'!$H$5,LEN(INDEX('Staff Review'!$H$8:$H$507,I2341))&gt;0),"Yes","No"))</f>
        <v>No</v>
      </c>
      <c r="AJ2341" s="1" t="str">
        <f>IF(I2341=0,"No",IF(COUNT(INDEX('Staff Review'!$F$8:$F$507,I2341))&lt;&gt;1,"No",IF(AND(INDEX('Staff Review'!$F$8:$F$507,I2341)&gt;=0,MOD(INDEX('Staff Review'!$F$8:$F$507,I2341),1)=0,COUNT(INDEX('Staff Review'!$G$8:$G$507,I2341))=1,INDEX('Staff Review'!$G$8:$G$507,I2341)&gt;0,INDEX('Staff Review'!$G$8:$G$507,I2341)&lt;='Top 25'!$E$5,'Top 25'!$E$5-INDEX('Staff Review'!$G$8:$G$507,I2341)&lt;='Top 25'!$H$5,LEN(INDEX('Staff Review'!$H$8:$H$507,I2341))&gt;0),"Yes","No")))</f>
        <v>No</v>
      </c>
      <c r="AK2341" s="1">
        <f t="shared" si="145"/>
        <v>1</v>
      </c>
      <c r="AL2341" s="1">
        <f t="shared" si="146"/>
        <v>0</v>
      </c>
      <c r="AM2341" s="1">
        <f t="shared" si="147"/>
        <v>8080</v>
      </c>
      <c r="AN2341" s="1">
        <f t="shared" si="148"/>
        <v>291</v>
      </c>
      <c r="AO2341">
        <f t="shared" si="149"/>
        <v>18080</v>
      </c>
      <c r="AP2341" s="105">
        <f>IF(AND(AL2341=1,OR('Top 25'!$A$10="All",C2341='Top 25'!$A$10),OR('Top 25'!$D$10="All",D2341='Top 25'!$D$10)),1,0)</f>
        <v>0</v>
      </c>
      <c r="AQ2341" s="105" t="str">
        <f>IF(AP2341=0,"",CHOOSE(MATCH('Top 25'!$G$10,{"Priority score","Economic need","Enrollment","Fresh miles","Nearby resources"},0),T2341,G2341,F2341,K2341,L2341))</f>
        <v/>
      </c>
      <c r="AR2341" s="105" t="str">
        <f>IF(AP2341=0,"",1+COUNTIFS($AP$2051:$AP$2550,1,$AQ$2051:$AQ$2550,IF('Top 25'!$J$10="Ascending","&lt;","&gt;")&amp;AQ2341)+COUNTIFS($AP$2051:$AP$2550,1,$AQ$2051:$AQ$2550,AQ2341,$W$2051:$W$2550,"&lt;"&amp;W2341))</f>
        <v/>
      </c>
      <c r="AT2341" s="105">
        <f>IF(AND(AL2341=1,OR(Master_rankableSchools!$A$10="All",C2341=Master_rankableSchools!$A$10),OR(Master_rankableSchools!$D$10="All",D2341=Master_rankableSchools!$D$10)),1,0)</f>
        <v>0</v>
      </c>
      <c r="AU2341" s="105" t="str">
        <f>IF(AT2341=0,"",CHOOSE(MATCH(Master_rankableSchools!$G$10,{"Priority score","Economic need","Enrollment","Fresh miles","Nearby resources"},0),T2341,G2341,F2341,K2341,L2341))</f>
        <v/>
      </c>
      <c r="AV2341" s="105" t="str">
        <f>IF(AT2341=0,"",1+COUNTIFS($AT$2051:$AT$2550,1,$AU$2051:$AU$2550,IF(Master_rankableSchools!$J$10="Ascending","&lt;","&gt;")&amp;AU2341)+COUNTIFS($AT$2051:$AT$2550,1,$AU$2051:$AU$2550,AU2341,$W$2051:$W$2550,"&lt;"&amp;W2341))</f>
        <v/>
      </c>
    </row>
    <row r="2342" spans="1:48" ht="22" customHeight="1">
      <c r="A2342" s="1" t="str">
        <f t="shared" si="120"/>
        <v>8090</v>
      </c>
      <c r="B2342" s="1" t="str">
        <f t="shared" si="121"/>
        <v>Swenson Arts and Technology High School</v>
      </c>
      <c r="C2342" s="1" t="str">
        <f t="shared" si="122"/>
        <v>District</v>
      </c>
      <c r="D2342" s="1" t="str">
        <f t="shared" si="123"/>
        <v>High</v>
      </c>
      <c r="E2342" s="1" t="str">
        <f t="shared" si="124"/>
        <v>19114</v>
      </c>
      <c r="F2342" s="1">
        <f t="shared" si="125"/>
        <v>780</v>
      </c>
      <c r="G2342" s="1">
        <f t="shared" si="126"/>
        <v>0.73129999999999995</v>
      </c>
      <c r="H2342" s="1" t="str">
        <f t="shared" si="127"/>
        <v>Yes</v>
      </c>
      <c r="I2342" s="1">
        <f>IF(OR(A2342="",COUNTIFS('Staff Review'!$A$8:$A$507,A2342)&lt;&gt;1),0,MATCH(A2342,'Staff Review'!$A$8:$A$507,0))</f>
        <v>279</v>
      </c>
      <c r="J2342" s="1" t="str">
        <f>IF(I2342=0,"No",IF(INDEX('Staff Review'!$C$8:$C$507,I2342)="Yes","Yes","No"))</f>
        <v>No</v>
      </c>
      <c r="K2342" s="1">
        <f ca="1">IF(AI2342="Yes",INDEX('Staff Review'!$D$8:$D$507,I2342),IF(AB2342=0,"",IF(COUNT(INDEX($C$1531:$C$2030,AB2342))=1,INDEX($C$1531:$C$2030,AB2342),"")))</f>
        <v>0.74643934453215777</v>
      </c>
      <c r="L2342" s="1">
        <f>IF(AJ2342="Yes",INDEX('Staff Review'!$F$8:$F$507,I2342),IF(AB2342=0,"",IF(COUNT(INDEX($G$1531:$G$2030,AB2342))=1,INDEX($G$1531:$G$2030,AB2342),"")))</f>
        <v>2</v>
      </c>
      <c r="M2342" s="1" t="str">
        <f t="shared" ca="1" si="128"/>
        <v>Listed</v>
      </c>
      <c r="N2342" s="1" t="str">
        <f t="shared" si="129"/>
        <v>Listed</v>
      </c>
      <c r="O2342" s="1">
        <f t="shared" si="130"/>
        <v>20</v>
      </c>
      <c r="P2342" s="1">
        <f t="shared" ca="1" si="131"/>
        <v>15</v>
      </c>
      <c r="Q2342" s="1">
        <f t="shared" si="132"/>
        <v>15</v>
      </c>
      <c r="R2342" s="1">
        <f t="shared" si="133"/>
        <v>5</v>
      </c>
      <c r="S2342" s="1">
        <f t="shared" ca="1" si="134"/>
        <v>55</v>
      </c>
      <c r="T2342" s="1">
        <f ca="1">IF(OR(COUNT(O2342:R2342)&lt;&gt;4,COUNT('Top 25'!$B$45:$E$45)&lt;&gt;4,MIN('Top 25'!$B$45:$E$45)&lt;0,SUM('Top 25'!$B$45:$E$45)&lt;=0),"",ROUND(85*(O2342/30*'Top 25'!$B$45+P2342/25*'Top 25'!$C$45+Q2342/25*'Top 25'!$D$45+R2342/5*'Top 25'!$E$45)/SUM('Top 25'!$B$45:$E$45),6))</f>
        <v>55</v>
      </c>
      <c r="U2342" s="1" t="str">
        <f t="shared" ca="1" si="135"/>
        <v>Listed</v>
      </c>
      <c r="V2342" s="1" t="str">
        <f ca="1">IF(A2342="","",IF(AK2342&lt;&gt;1,"Duplicate source ID",IF(COUNTIFS('Staff Review'!$A$8:$A$507,A2342)&gt;1,"Duplicate review ID",IF(H2342&lt;&gt;"Yes","Outside scope",IF(J2342="Yes","Already served",IF(NOT(ISNUMBER(T2342)),"Missing data","Candidate"))))))</f>
        <v>Candidate</v>
      </c>
      <c r="W2342" s="1">
        <f t="shared" ca="1" si="136"/>
        <v>28</v>
      </c>
      <c r="X2342" s="1">
        <f t="shared" ca="1" si="137"/>
        <v>24</v>
      </c>
      <c r="Y2342" s="1">
        <f ca="1">IF(AND(H2342="Yes",OR(LEN('School Search'!$B$5)=0,ISNUMBER(SEARCH('School Search'!$B$5,B2342&amp;" "&amp;E2342&amp;" "&amp;A2342))),OR('School Search'!$D$5="All",C2342='School Search'!$D$5),OR('School Search'!$G$5="All eligible",AND('School Search'!$G$5="Not marked served",J2342&lt;&gt;"Yes"),AND('School Search'!$G$5="Missing data",V2342="Missing data"),AND('School Search'!$G$5="Marked served",J2342="Yes"))),1,0)</f>
        <v>1</v>
      </c>
      <c r="Z2342" s="1">
        <f ca="1">IF(Y2342=0,"",COUNTIFS($Y$2051:$Y$2550,1,$AO$2051:$AO$2550,"&lt;"&amp;AO2342)+COUNTIFS($Y$2051:Y2342,1,$AO$2051:AO2342,AO2342))</f>
        <v>28</v>
      </c>
      <c r="AA2342" s="1" t="str">
        <f t="shared" ca="1" si="138"/>
        <v>73% economic need; 0.75 mi fresh access; 2 nearby resources</v>
      </c>
      <c r="AB2342" s="1">
        <f t="shared" si="139"/>
        <v>292</v>
      </c>
      <c r="AC2342" s="1" t="str">
        <f t="shared" si="140"/>
        <v>B Js Wholesale Club 22</v>
      </c>
      <c r="AD2342" s="1" t="str">
        <f t="shared" si="141"/>
        <v>2054 Red Lion Rd, Philadelphia, PA, 19115</v>
      </c>
      <c r="AE2342" s="1" t="str">
        <f t="shared" si="142"/>
        <v>2750 RED LION RD</v>
      </c>
      <c r="AF2342" s="1">
        <f t="shared" si="143"/>
        <v>40.092109299999997</v>
      </c>
      <c r="AG2342" s="1">
        <f t="shared" si="144"/>
        <v>-75.01398863</v>
      </c>
      <c r="AH2342" s="1" t="str">
        <f>IF(I2342=0,"Not contacted",IF(INDEX('Staff Review'!$J$8:$J$507,I2342)="","Not contacted",INDEX('Staff Review'!$J$8:$J$507,I2342)))</f>
        <v>Not contacted</v>
      </c>
      <c r="AI2342" s="1" t="str">
        <f ca="1">IF(I2342=0,"No",IF(AND(COUNT(INDEX('Staff Review'!$D$8:$D$507,I2342))=1,INDEX('Staff Review'!$D$8:$D$507,I2342)&gt;=0,COUNT(INDEX('Staff Review'!$E$8:$E$507,I2342))=1,INDEX('Staff Review'!$E$8:$E$507,I2342)&gt;0,INDEX('Staff Review'!$E$8:$E$507,I2342)&lt;='Top 25'!$E$5,'Top 25'!$E$5-INDEX('Staff Review'!$E$8:$E$507,I2342)&lt;='Top 25'!$H$5,LEN(INDEX('Staff Review'!$H$8:$H$507,I2342))&gt;0),"Yes","No"))</f>
        <v>No</v>
      </c>
      <c r="AJ2342" s="1" t="str">
        <f>IF(I2342=0,"No",IF(COUNT(INDEX('Staff Review'!$F$8:$F$507,I2342))&lt;&gt;1,"No",IF(AND(INDEX('Staff Review'!$F$8:$F$507,I2342)&gt;=0,MOD(INDEX('Staff Review'!$F$8:$F$507,I2342),1)=0,COUNT(INDEX('Staff Review'!$G$8:$G$507,I2342))=1,INDEX('Staff Review'!$G$8:$G$507,I2342)&gt;0,INDEX('Staff Review'!$G$8:$G$507,I2342)&lt;='Top 25'!$E$5,'Top 25'!$E$5-INDEX('Staff Review'!$G$8:$G$507,I2342)&lt;='Top 25'!$H$5,LEN(INDEX('Staff Review'!$H$8:$H$507,I2342))&gt;0),"Yes","No")))</f>
        <v>No</v>
      </c>
      <c r="AK2342" s="1">
        <f t="shared" si="145"/>
        <v>1</v>
      </c>
      <c r="AL2342" s="1">
        <f t="shared" ca="1" si="146"/>
        <v>1</v>
      </c>
      <c r="AM2342" s="1">
        <f t="shared" si="147"/>
        <v>8090</v>
      </c>
      <c r="AN2342" s="1">
        <f t="shared" si="148"/>
        <v>292</v>
      </c>
      <c r="AO2342">
        <f t="shared" ca="1" si="149"/>
        <v>28</v>
      </c>
      <c r="AP2342" s="105">
        <f ca="1">IF(AND(AL2342=1,OR('Top 25'!$A$10="All",C2342='Top 25'!$A$10),OR('Top 25'!$D$10="All",D2342='Top 25'!$D$10)),1,0)</f>
        <v>0</v>
      </c>
      <c r="AQ2342" s="105" t="str">
        <f ca="1">IF(AP2342=0,"",CHOOSE(MATCH('Top 25'!$G$10,{"Priority score","Economic need","Enrollment","Fresh miles","Nearby resources"},0),T2342,G2342,F2342,K2342,L2342))</f>
        <v/>
      </c>
      <c r="AR2342" s="105" t="str">
        <f ca="1">IF(AP2342=0,"",1+COUNTIFS($AP$2051:$AP$2550,1,$AQ$2051:$AQ$2550,IF('Top 25'!$J$10="Ascending","&lt;","&gt;")&amp;AQ2342)+COUNTIFS($AP$2051:$AP$2550,1,$AQ$2051:$AQ$2550,AQ2342,$W$2051:$W$2550,"&lt;"&amp;W2342))</f>
        <v/>
      </c>
      <c r="AT2342" s="105">
        <f ca="1">IF(AND(AL2342=1,OR(Master_rankableSchools!$A$10="All",C2342=Master_rankableSchools!$A$10),OR(Master_rankableSchools!$D$10="All",D2342=Master_rankableSchools!$D$10)),1,0)</f>
        <v>1</v>
      </c>
      <c r="AU2342" s="105">
        <f ca="1">IF(AT2342=0,"",CHOOSE(MATCH(Master_rankableSchools!$G$10,{"Priority score","Economic need","Enrollment","Fresh miles","Nearby resources"},0),T2342,G2342,F2342,K2342,L2342))</f>
        <v>55</v>
      </c>
      <c r="AV2342" s="105">
        <f ca="1">IF(AT2342=0,"",1+COUNTIFS($AT$2051:$AT$2550,1,$AU$2051:$AU$2550,IF(Master_rankableSchools!$J$10="Ascending","&lt;","&gt;")&amp;AU2342)+COUNTIFS($AT$2051:$AT$2550,1,$AU$2051:$AU$2550,AU2342,$W$2051:$W$2550,"&lt;"&amp;W2342))</f>
        <v>28</v>
      </c>
    </row>
    <row r="2343" spans="1:48" ht="22" customHeight="1">
      <c r="A2343" s="1" t="str">
        <f t="shared" si="120"/>
        <v>8100</v>
      </c>
      <c r="B2343" s="1" t="str">
        <f t="shared" si="121"/>
        <v>Gateway to College - Community College of Philadelphia</v>
      </c>
      <c r="C2343" s="1" t="str">
        <f t="shared" si="122"/>
        <v>Contracted</v>
      </c>
      <c r="D2343" s="1" t="str">
        <f t="shared" si="123"/>
        <v>Transition/Overage School</v>
      </c>
      <c r="E2343" s="1" t="str">
        <f t="shared" si="124"/>
        <v>19130</v>
      </c>
      <c r="F2343" s="1">
        <f t="shared" si="125"/>
        <v>66</v>
      </c>
      <c r="G2343" s="1" t="str">
        <f t="shared" si="126"/>
        <v/>
      </c>
      <c r="H2343" s="1" t="str">
        <f t="shared" si="127"/>
        <v>No</v>
      </c>
      <c r="I2343" s="1">
        <f>IF(OR(A2343="",COUNTIFS('Staff Review'!$A$8:$A$507,A2343)&lt;&gt;1),0,MATCH(A2343,'Staff Review'!$A$8:$A$507,0))</f>
        <v>88</v>
      </c>
      <c r="J2343" s="1" t="str">
        <f>IF(I2343=0,"No",IF(INDEX('Staff Review'!$C$8:$C$507,I2343)="Yes","Yes","No"))</f>
        <v>No</v>
      </c>
      <c r="K2343" s="1">
        <f ca="1">IF(AI2343="Yes",INDEX('Staff Review'!$D$8:$D$507,I2343),IF(AB2343=0,"",IF(COUNT(INDEX($C$1531:$C$2030,AB2343))=1,INDEX($C$1531:$C$2030,AB2343),"")))</f>
        <v>0.21434327892512375</v>
      </c>
      <c r="L2343" s="1">
        <f>IF(AJ2343="Yes",INDEX('Staff Review'!$F$8:$F$507,I2343),IF(AB2343=0,"",IF(COUNT(INDEX($G$1531:$G$2030,AB2343))=1,INDEX($G$1531:$G$2030,AB2343),"")))</f>
        <v>8</v>
      </c>
      <c r="M2343" s="1" t="str">
        <f t="shared" ca="1" si="128"/>
        <v>Listed</v>
      </c>
      <c r="N2343" s="1" t="str">
        <f t="shared" si="129"/>
        <v>Listed</v>
      </c>
      <c r="O2343" s="1" t="str">
        <f t="shared" si="130"/>
        <v/>
      </c>
      <c r="P2343" s="1">
        <f t="shared" ca="1" si="131"/>
        <v>5</v>
      </c>
      <c r="Q2343" s="1">
        <f t="shared" si="132"/>
        <v>0</v>
      </c>
      <c r="R2343" s="1">
        <f t="shared" si="133"/>
        <v>1</v>
      </c>
      <c r="S2343" s="1" t="str">
        <f t="shared" ca="1" si="134"/>
        <v/>
      </c>
      <c r="T2343" s="1" t="str">
        <f ca="1">IF(OR(COUNT(O2343:R2343)&lt;&gt;4,COUNT('Top 25'!$B$45:$E$45)&lt;&gt;4,MIN('Top 25'!$B$45:$E$45)&lt;0,SUM('Top 25'!$B$45:$E$45)&lt;=0),"",ROUND(85*(O2343/30*'Top 25'!$B$45+P2343/25*'Top 25'!$C$45+Q2343/25*'Top 25'!$D$45+R2343/5*'Top 25'!$E$45)/SUM('Top 25'!$B$45:$E$45),6))</f>
        <v/>
      </c>
      <c r="U2343" s="1" t="str">
        <f t="shared" ca="1" si="135"/>
        <v>Listed</v>
      </c>
      <c r="V2343" s="1" t="str">
        <f>IF(A2343="","",IF(AK2343&lt;&gt;1,"Duplicate source ID",IF(COUNTIFS('Staff Review'!$A$8:$A$507,A2343)&gt;1,"Duplicate review ID",IF(H2343&lt;&gt;"Yes","Outside scope",IF(J2343="Yes","Already served",IF(NOT(ISNUMBER(T2343)),"Missing data","Candidate"))))))</f>
        <v>Outside scope</v>
      </c>
      <c r="W2343" s="1" t="str">
        <f t="shared" si="136"/>
        <v/>
      </c>
      <c r="X2343" s="1" t="str">
        <f t="shared" si="137"/>
        <v/>
      </c>
      <c r="Y2343" s="1">
        <f>IF(AND(H2343="Yes",OR(LEN('School Search'!$B$5)=0,ISNUMBER(SEARCH('School Search'!$B$5,B2343&amp;" "&amp;E2343&amp;" "&amp;A2343))),OR('School Search'!$D$5="All",C2343='School Search'!$D$5),OR('School Search'!$G$5="All eligible",AND('School Search'!$G$5="Not marked served",J2343&lt;&gt;"Yes"),AND('School Search'!$G$5="Missing data",V2343="Missing data"),AND('School Search'!$G$5="Marked served",J2343="Yes"))),1,0)</f>
        <v>0</v>
      </c>
      <c r="Z2343" s="1" t="str">
        <f>IF(Y2343=0,"",COUNTIFS($Y$2051:$Y$2550,1,$AO$2051:$AO$2550,"&lt;"&amp;AO2343)+COUNTIFS($Y$2051:Y2343,1,$AO$2051:AO2343,AO2343))</f>
        <v/>
      </c>
      <c r="AA2343" s="1" t="str">
        <f t="shared" ca="1" si="138"/>
        <v>Missing demographic or access input</v>
      </c>
      <c r="AB2343" s="1">
        <f t="shared" si="139"/>
        <v>293</v>
      </c>
      <c r="AC2343" s="1" t="str">
        <f t="shared" si="140"/>
        <v>Giant Food Store 6573</v>
      </c>
      <c r="AD2343" s="1" t="str">
        <f t="shared" si="141"/>
        <v>510 N Broad St, Philadelphia, PA, 19130</v>
      </c>
      <c r="AE2343" s="1" t="str">
        <f t="shared" si="142"/>
        <v>1700 SPRING GARDEN ST</v>
      </c>
      <c r="AF2343" s="1">
        <f t="shared" si="143"/>
        <v>39.962901700000003</v>
      </c>
      <c r="AG2343" s="1">
        <f t="shared" si="144"/>
        <v>-75.166270460000007</v>
      </c>
      <c r="AH2343" s="1" t="str">
        <f>IF(I2343=0,"Not contacted",IF(INDEX('Staff Review'!$J$8:$J$507,I2343)="","Not contacted",INDEX('Staff Review'!$J$8:$J$507,I2343)))</f>
        <v>Not contacted</v>
      </c>
      <c r="AI2343" s="1" t="str">
        <f ca="1">IF(I2343=0,"No",IF(AND(COUNT(INDEX('Staff Review'!$D$8:$D$507,I2343))=1,INDEX('Staff Review'!$D$8:$D$507,I2343)&gt;=0,COUNT(INDEX('Staff Review'!$E$8:$E$507,I2343))=1,INDEX('Staff Review'!$E$8:$E$507,I2343)&gt;0,INDEX('Staff Review'!$E$8:$E$507,I2343)&lt;='Top 25'!$E$5,'Top 25'!$E$5-INDEX('Staff Review'!$E$8:$E$507,I2343)&lt;='Top 25'!$H$5,LEN(INDEX('Staff Review'!$H$8:$H$507,I2343))&gt;0),"Yes","No"))</f>
        <v>No</v>
      </c>
      <c r="AJ2343" s="1" t="str">
        <f>IF(I2343=0,"No",IF(COUNT(INDEX('Staff Review'!$F$8:$F$507,I2343))&lt;&gt;1,"No",IF(AND(INDEX('Staff Review'!$F$8:$F$507,I2343)&gt;=0,MOD(INDEX('Staff Review'!$F$8:$F$507,I2343),1)=0,COUNT(INDEX('Staff Review'!$G$8:$G$507,I2343))=1,INDEX('Staff Review'!$G$8:$G$507,I2343)&gt;0,INDEX('Staff Review'!$G$8:$G$507,I2343)&lt;='Top 25'!$E$5,'Top 25'!$E$5-INDEX('Staff Review'!$G$8:$G$507,I2343)&lt;='Top 25'!$H$5,LEN(INDEX('Staff Review'!$H$8:$H$507,I2343))&gt;0),"Yes","No")))</f>
        <v>No</v>
      </c>
      <c r="AK2343" s="1">
        <f t="shared" si="145"/>
        <v>1</v>
      </c>
      <c r="AL2343" s="1">
        <f t="shared" si="146"/>
        <v>0</v>
      </c>
      <c r="AM2343" s="1">
        <f t="shared" si="147"/>
        <v>8100</v>
      </c>
      <c r="AN2343" s="1">
        <f t="shared" si="148"/>
        <v>293</v>
      </c>
      <c r="AO2343">
        <f t="shared" si="149"/>
        <v>18100</v>
      </c>
      <c r="AP2343" s="105">
        <f>IF(AND(AL2343=1,OR('Top 25'!$A$10="All",C2343='Top 25'!$A$10),OR('Top 25'!$D$10="All",D2343='Top 25'!$D$10)),1,0)</f>
        <v>0</v>
      </c>
      <c r="AQ2343" s="105" t="str">
        <f>IF(AP2343=0,"",CHOOSE(MATCH('Top 25'!$G$10,{"Priority score","Economic need","Enrollment","Fresh miles","Nearby resources"},0),T2343,G2343,F2343,K2343,L2343))</f>
        <v/>
      </c>
      <c r="AR2343" s="105" t="str">
        <f>IF(AP2343=0,"",1+COUNTIFS($AP$2051:$AP$2550,1,$AQ$2051:$AQ$2550,IF('Top 25'!$J$10="Ascending","&lt;","&gt;")&amp;AQ2343)+COUNTIFS($AP$2051:$AP$2550,1,$AQ$2051:$AQ$2550,AQ2343,$W$2051:$W$2550,"&lt;"&amp;W2343))</f>
        <v/>
      </c>
      <c r="AT2343" s="105">
        <f>IF(AND(AL2343=1,OR(Master_rankableSchools!$A$10="All",C2343=Master_rankableSchools!$A$10),OR(Master_rankableSchools!$D$10="All",D2343=Master_rankableSchools!$D$10)),1,0)</f>
        <v>0</v>
      </c>
      <c r="AU2343" s="105" t="str">
        <f>IF(AT2343=0,"",CHOOSE(MATCH(Master_rankableSchools!$G$10,{"Priority score","Economic need","Enrollment","Fresh miles","Nearby resources"},0),T2343,G2343,F2343,K2343,L2343))</f>
        <v/>
      </c>
      <c r="AV2343" s="105" t="str">
        <f>IF(AT2343=0,"",1+COUNTIFS($AT$2051:$AT$2550,1,$AU$2051:$AU$2550,IF(Master_rankableSchools!$J$10="Ascending","&lt;","&gt;")&amp;AU2343)+COUNTIFS($AT$2051:$AT$2550,1,$AU$2051:$AU$2550,AU2343,$W$2051:$W$2550,"&lt;"&amp;W2343))</f>
        <v/>
      </c>
    </row>
    <row r="2344" spans="1:48" ht="22" customHeight="1">
      <c r="A2344" s="1" t="str">
        <f t="shared" si="120"/>
        <v>8120</v>
      </c>
      <c r="B2344" s="1" t="str">
        <f t="shared" si="121"/>
        <v>Castor Gardens Middle School</v>
      </c>
      <c r="C2344" s="1" t="str">
        <f t="shared" si="122"/>
        <v>District</v>
      </c>
      <c r="D2344" s="1" t="str">
        <f t="shared" si="123"/>
        <v>Middle</v>
      </c>
      <c r="E2344" s="1" t="str">
        <f t="shared" si="124"/>
        <v>19111</v>
      </c>
      <c r="F2344" s="1">
        <f t="shared" si="125"/>
        <v>1340</v>
      </c>
      <c r="G2344" s="1">
        <f t="shared" si="126"/>
        <v>0.75729999999999997</v>
      </c>
      <c r="H2344" s="1" t="str">
        <f t="shared" si="127"/>
        <v>Yes</v>
      </c>
      <c r="I2344" s="1">
        <f>IF(OR(A2344="",COUNTIFS('Staff Review'!$A$8:$A$507,A2344)&lt;&gt;1),0,MATCH(A2344,'Staff Review'!$A$8:$A$507,0))</f>
        <v>37</v>
      </c>
      <c r="J2344" s="1" t="str">
        <f>IF(I2344=0,"No",IF(INDEX('Staff Review'!$C$8:$C$507,I2344)="Yes","Yes","No"))</f>
        <v>No</v>
      </c>
      <c r="K2344" s="1">
        <f ca="1">IF(AI2344="Yes",INDEX('Staff Review'!$D$8:$D$507,I2344),IF(AB2344=0,"",IF(COUNT(INDEX($C$1531:$C$2030,AB2344))=1,INDEX($C$1531:$C$2030,AB2344),"")))</f>
        <v>0.21854622660693576</v>
      </c>
      <c r="L2344" s="1">
        <f>IF(AJ2344="Yes",INDEX('Staff Review'!$F$8:$F$507,I2344),IF(AB2344=0,"",IF(COUNT(INDEX($G$1531:$G$2030,AB2344))=1,INDEX($G$1531:$G$2030,AB2344),"")))</f>
        <v>1</v>
      </c>
      <c r="M2344" s="1" t="str">
        <f t="shared" ca="1" si="128"/>
        <v>Listed</v>
      </c>
      <c r="N2344" s="1" t="str">
        <f t="shared" si="129"/>
        <v>Listed</v>
      </c>
      <c r="O2344" s="1">
        <f t="shared" si="130"/>
        <v>20</v>
      </c>
      <c r="P2344" s="1">
        <f t="shared" ca="1" si="131"/>
        <v>5</v>
      </c>
      <c r="Q2344" s="1">
        <f t="shared" si="132"/>
        <v>20</v>
      </c>
      <c r="R2344" s="1">
        <f t="shared" si="133"/>
        <v>5</v>
      </c>
      <c r="S2344" s="1">
        <f t="shared" ca="1" si="134"/>
        <v>50</v>
      </c>
      <c r="T2344" s="1">
        <f ca="1">IF(OR(COUNT(O2344:R2344)&lt;&gt;4,COUNT('Top 25'!$B$45:$E$45)&lt;&gt;4,MIN('Top 25'!$B$45:$E$45)&lt;0,SUM('Top 25'!$B$45:$E$45)&lt;=0),"",ROUND(85*(O2344/30*'Top 25'!$B$45+P2344/25*'Top 25'!$C$45+Q2344/25*'Top 25'!$D$45+R2344/5*'Top 25'!$E$45)/SUM('Top 25'!$B$45:$E$45),6))</f>
        <v>50</v>
      </c>
      <c r="U2344" s="1" t="str">
        <f t="shared" ca="1" si="135"/>
        <v>Listed</v>
      </c>
      <c r="V2344" s="1" t="str">
        <f ca="1">IF(A2344="","",IF(AK2344&lt;&gt;1,"Duplicate source ID",IF(COUNTIFS('Staff Review'!$A$8:$A$507,A2344)&gt;1,"Duplicate review ID",IF(H2344&lt;&gt;"Yes","Outside scope",IF(J2344="Yes","Already served",IF(NOT(ISNUMBER(T2344)),"Missing data","Candidate"))))))</f>
        <v>Candidate</v>
      </c>
      <c r="W2344" s="1">
        <f t="shared" ca="1" si="136"/>
        <v>45</v>
      </c>
      <c r="X2344" s="1">
        <f t="shared" ca="1" si="137"/>
        <v>39</v>
      </c>
      <c r="Y2344" s="1">
        <f ca="1">IF(AND(H2344="Yes",OR(LEN('School Search'!$B$5)=0,ISNUMBER(SEARCH('School Search'!$B$5,B2344&amp;" "&amp;E2344&amp;" "&amp;A2344))),OR('School Search'!$D$5="All",C2344='School Search'!$D$5),OR('School Search'!$G$5="All eligible",AND('School Search'!$G$5="Not marked served",J2344&lt;&gt;"Yes"),AND('School Search'!$G$5="Missing data",V2344="Missing data"),AND('School Search'!$G$5="Marked served",J2344="Yes"))),1,0)</f>
        <v>1</v>
      </c>
      <c r="Z2344" s="1">
        <f ca="1">IF(Y2344=0,"",COUNTIFS($Y$2051:$Y$2550,1,$AO$2051:$AO$2550,"&lt;"&amp;AO2344)+COUNTIFS($Y$2051:Y2344,1,$AO$2051:AO2344,AO2344))</f>
        <v>45</v>
      </c>
      <c r="AA2344" s="1" t="str">
        <f t="shared" ca="1" si="138"/>
        <v>76% economic need; 0.22 mi fresh access; 1 nearby resources</v>
      </c>
      <c r="AB2344" s="1">
        <f t="shared" si="139"/>
        <v>294</v>
      </c>
      <c r="AC2344" s="1" t="str">
        <f t="shared" si="140"/>
        <v>Jumbo Meat Market</v>
      </c>
      <c r="AD2344" s="1" t="str">
        <f t="shared" si="141"/>
        <v>7322 Castor Ave, Philadelphia, PA, 19152</v>
      </c>
      <c r="AE2344" s="1" t="str">
        <f t="shared" si="142"/>
        <v>1800 COTTMAN AVE</v>
      </c>
      <c r="AF2344" s="1">
        <f t="shared" si="143"/>
        <v>40.052366999999997</v>
      </c>
      <c r="AG2344" s="1">
        <f t="shared" si="144"/>
        <v>-75.069085999999999</v>
      </c>
      <c r="AH2344" s="1" t="str">
        <f>IF(I2344=0,"Not contacted",IF(INDEX('Staff Review'!$J$8:$J$507,I2344)="","Not contacted",INDEX('Staff Review'!$J$8:$J$507,I2344)))</f>
        <v>Not contacted</v>
      </c>
      <c r="AI2344" s="1" t="str">
        <f ca="1">IF(I2344=0,"No",IF(AND(COUNT(INDEX('Staff Review'!$D$8:$D$507,I2344))=1,INDEX('Staff Review'!$D$8:$D$507,I2344)&gt;=0,COUNT(INDEX('Staff Review'!$E$8:$E$507,I2344))=1,INDEX('Staff Review'!$E$8:$E$507,I2344)&gt;0,INDEX('Staff Review'!$E$8:$E$507,I2344)&lt;='Top 25'!$E$5,'Top 25'!$E$5-INDEX('Staff Review'!$E$8:$E$507,I2344)&lt;='Top 25'!$H$5,LEN(INDEX('Staff Review'!$H$8:$H$507,I2344))&gt;0),"Yes","No"))</f>
        <v>No</v>
      </c>
      <c r="AJ2344" s="1" t="str">
        <f>IF(I2344=0,"No",IF(COUNT(INDEX('Staff Review'!$F$8:$F$507,I2344))&lt;&gt;1,"No",IF(AND(INDEX('Staff Review'!$F$8:$F$507,I2344)&gt;=0,MOD(INDEX('Staff Review'!$F$8:$F$507,I2344),1)=0,COUNT(INDEX('Staff Review'!$G$8:$G$507,I2344))=1,INDEX('Staff Review'!$G$8:$G$507,I2344)&gt;0,INDEX('Staff Review'!$G$8:$G$507,I2344)&lt;='Top 25'!$E$5,'Top 25'!$E$5-INDEX('Staff Review'!$G$8:$G$507,I2344)&lt;='Top 25'!$H$5,LEN(INDEX('Staff Review'!$H$8:$H$507,I2344))&gt;0),"Yes","No")))</f>
        <v>No</v>
      </c>
      <c r="AK2344" s="1">
        <f t="shared" si="145"/>
        <v>1</v>
      </c>
      <c r="AL2344" s="1">
        <f t="shared" ca="1" si="146"/>
        <v>1</v>
      </c>
      <c r="AM2344" s="1">
        <f t="shared" si="147"/>
        <v>8120</v>
      </c>
      <c r="AN2344" s="1">
        <f t="shared" si="148"/>
        <v>294</v>
      </c>
      <c r="AO2344">
        <f t="shared" ca="1" si="149"/>
        <v>45</v>
      </c>
      <c r="AP2344" s="105">
        <f ca="1">IF(AND(AL2344=1,OR('Top 25'!$A$10="All",C2344='Top 25'!$A$10),OR('Top 25'!$D$10="All",D2344='Top 25'!$D$10)),1,0)</f>
        <v>0</v>
      </c>
      <c r="AQ2344" s="105" t="str">
        <f ca="1">IF(AP2344=0,"",CHOOSE(MATCH('Top 25'!$G$10,{"Priority score","Economic need","Enrollment","Fresh miles","Nearby resources"},0),T2344,G2344,F2344,K2344,L2344))</f>
        <v/>
      </c>
      <c r="AR2344" s="105" t="str">
        <f ca="1">IF(AP2344=0,"",1+COUNTIFS($AP$2051:$AP$2550,1,$AQ$2051:$AQ$2550,IF('Top 25'!$J$10="Ascending","&lt;","&gt;")&amp;AQ2344)+COUNTIFS($AP$2051:$AP$2550,1,$AQ$2051:$AQ$2550,AQ2344,$W$2051:$W$2550,"&lt;"&amp;W2344))</f>
        <v/>
      </c>
      <c r="AT2344" s="105">
        <f ca="1">IF(AND(AL2344=1,OR(Master_rankableSchools!$A$10="All",C2344=Master_rankableSchools!$A$10),OR(Master_rankableSchools!$D$10="All",D2344=Master_rankableSchools!$D$10)),1,0)</f>
        <v>1</v>
      </c>
      <c r="AU2344" s="105">
        <f ca="1">IF(AT2344=0,"",CHOOSE(MATCH(Master_rankableSchools!$G$10,{"Priority score","Economic need","Enrollment","Fresh miles","Nearby resources"},0),T2344,G2344,F2344,K2344,L2344))</f>
        <v>50</v>
      </c>
      <c r="AV2344" s="105">
        <f ca="1">IF(AT2344=0,"",1+COUNTIFS($AT$2051:$AT$2550,1,$AU$2051:$AU$2550,IF(Master_rankableSchools!$J$10="Ascending","&lt;","&gt;")&amp;AU2344)+COUNTIFS($AT$2051:$AT$2550,1,$AU$2051:$AU$2550,AU2344,$W$2051:$W$2550,"&lt;"&amp;W2344))</f>
        <v>45</v>
      </c>
    </row>
    <row r="2345" spans="1:48" ht="22" customHeight="1">
      <c r="A2345" s="1" t="str">
        <f t="shared" si="120"/>
        <v>8130</v>
      </c>
      <c r="B2345" s="1" t="str">
        <f t="shared" si="121"/>
        <v>Northeast Community Propel Academy</v>
      </c>
      <c r="C2345" s="1" t="str">
        <f t="shared" si="122"/>
        <v>District</v>
      </c>
      <c r="D2345" s="1" t="str">
        <f t="shared" si="123"/>
        <v>Elementary-Middle</v>
      </c>
      <c r="E2345" s="1" t="str">
        <f t="shared" si="124"/>
        <v>19136</v>
      </c>
      <c r="F2345" s="1">
        <f t="shared" si="125"/>
        <v>1715</v>
      </c>
      <c r="G2345" s="1">
        <f t="shared" si="126"/>
        <v>0.75070000000000003</v>
      </c>
      <c r="H2345" s="1" t="str">
        <f t="shared" si="127"/>
        <v>Yes</v>
      </c>
      <c r="I2345" s="1">
        <f>IF(OR(A2345="",COUNTIFS('Staff Review'!$A$8:$A$507,A2345)&lt;&gt;1),0,MATCH(A2345,'Staff Review'!$A$8:$A$507,0))</f>
        <v>205</v>
      </c>
      <c r="J2345" s="1" t="str">
        <f>IF(I2345=0,"No",IF(INDEX('Staff Review'!$C$8:$C$507,I2345)="Yes","Yes","No"))</f>
        <v>No</v>
      </c>
      <c r="K2345" s="1">
        <f ca="1">IF(AI2345="Yes",INDEX('Staff Review'!$D$8:$D$507,I2345),IF(AB2345=0,"",IF(COUNT(INDEX($C$1531:$C$2030,AB2345))=1,INDEX($C$1531:$C$2030,AB2345),"")))</f>
        <v>0.61933032419567058</v>
      </c>
      <c r="L2345" s="1">
        <f>IF(AJ2345="Yes",INDEX('Staff Review'!$F$8:$F$507,I2345),IF(AB2345=0,"",IF(COUNT(INDEX($G$1531:$G$2030,AB2345))=1,INDEX($G$1531:$G$2030,AB2345),"")))</f>
        <v>2</v>
      </c>
      <c r="M2345" s="1" t="str">
        <f t="shared" ca="1" si="128"/>
        <v>Listed</v>
      </c>
      <c r="N2345" s="1" t="str">
        <f t="shared" si="129"/>
        <v>Listed</v>
      </c>
      <c r="O2345" s="1">
        <f t="shared" si="130"/>
        <v>20</v>
      </c>
      <c r="P2345" s="1">
        <f t="shared" ca="1" si="131"/>
        <v>15</v>
      </c>
      <c r="Q2345" s="1">
        <f t="shared" si="132"/>
        <v>15</v>
      </c>
      <c r="R2345" s="1">
        <f t="shared" si="133"/>
        <v>5</v>
      </c>
      <c r="S2345" s="1">
        <f t="shared" ca="1" si="134"/>
        <v>55</v>
      </c>
      <c r="T2345" s="1">
        <f ca="1">IF(OR(COUNT(O2345:R2345)&lt;&gt;4,COUNT('Top 25'!$B$45:$E$45)&lt;&gt;4,MIN('Top 25'!$B$45:$E$45)&lt;0,SUM('Top 25'!$B$45:$E$45)&lt;=0),"",ROUND(85*(O2345/30*'Top 25'!$B$45+P2345/25*'Top 25'!$C$45+Q2345/25*'Top 25'!$D$45+R2345/5*'Top 25'!$E$45)/SUM('Top 25'!$B$45:$E$45),6))</f>
        <v>55</v>
      </c>
      <c r="U2345" s="1" t="str">
        <f t="shared" ca="1" si="135"/>
        <v>Listed</v>
      </c>
      <c r="V2345" s="1" t="str">
        <f ca="1">IF(A2345="","",IF(AK2345&lt;&gt;1,"Duplicate source ID",IF(COUNTIFS('Staff Review'!$A$8:$A$507,A2345)&gt;1,"Duplicate review ID",IF(H2345&lt;&gt;"Yes","Outside scope",IF(J2345="Yes","Already served",IF(NOT(ISNUMBER(T2345)),"Missing data","Candidate"))))))</f>
        <v>Candidate</v>
      </c>
      <c r="W2345" s="1">
        <f t="shared" ca="1" si="136"/>
        <v>26</v>
      </c>
      <c r="X2345" s="1">
        <f t="shared" ca="1" si="137"/>
        <v>24</v>
      </c>
      <c r="Y2345" s="1">
        <f ca="1">IF(AND(H2345="Yes",OR(LEN('School Search'!$B$5)=0,ISNUMBER(SEARCH('School Search'!$B$5,B2345&amp;" "&amp;E2345&amp;" "&amp;A2345))),OR('School Search'!$D$5="All",C2345='School Search'!$D$5),OR('School Search'!$G$5="All eligible",AND('School Search'!$G$5="Not marked served",J2345&lt;&gt;"Yes"),AND('School Search'!$G$5="Missing data",V2345="Missing data"),AND('School Search'!$G$5="Marked served",J2345="Yes"))),1,0)</f>
        <v>1</v>
      </c>
      <c r="Z2345" s="1">
        <f ca="1">IF(Y2345=0,"",COUNTIFS($Y$2051:$Y$2550,1,$AO$2051:$AO$2550,"&lt;"&amp;AO2345)+COUNTIFS($Y$2051:Y2345,1,$AO$2051:AO2345,AO2345))</f>
        <v>26</v>
      </c>
      <c r="AA2345" s="1" t="str">
        <f t="shared" ca="1" si="138"/>
        <v>75% economic need; 0.62 mi fresh access; 2 nearby resources</v>
      </c>
      <c r="AB2345" s="1">
        <f t="shared" si="139"/>
        <v>295</v>
      </c>
      <c r="AC2345" s="1" t="str">
        <f t="shared" si="140"/>
        <v>No.1 Asian Supermarket Inc</v>
      </c>
      <c r="AD2345" s="1" t="str">
        <f t="shared" si="141"/>
        <v>2842 Saint Vincent St, Philadelphia, PA, 19149</v>
      </c>
      <c r="AE2345" s="1" t="str">
        <f t="shared" si="142"/>
        <v>7500 ROWLAND AVE</v>
      </c>
      <c r="AF2345" s="1">
        <f t="shared" si="143"/>
        <v>40.045775290000002</v>
      </c>
      <c r="AG2345" s="1">
        <f t="shared" si="144"/>
        <v>-75.044132730000001</v>
      </c>
      <c r="AH2345" s="1" t="str">
        <f>IF(I2345=0,"Not contacted",IF(INDEX('Staff Review'!$J$8:$J$507,I2345)="","Not contacted",INDEX('Staff Review'!$J$8:$J$507,I2345)))</f>
        <v>Not contacted</v>
      </c>
      <c r="AI2345" s="1" t="str">
        <f ca="1">IF(I2345=0,"No",IF(AND(COUNT(INDEX('Staff Review'!$D$8:$D$507,I2345))=1,INDEX('Staff Review'!$D$8:$D$507,I2345)&gt;=0,COUNT(INDEX('Staff Review'!$E$8:$E$507,I2345))=1,INDEX('Staff Review'!$E$8:$E$507,I2345)&gt;0,INDEX('Staff Review'!$E$8:$E$507,I2345)&lt;='Top 25'!$E$5,'Top 25'!$E$5-INDEX('Staff Review'!$E$8:$E$507,I2345)&lt;='Top 25'!$H$5,LEN(INDEX('Staff Review'!$H$8:$H$507,I2345))&gt;0),"Yes","No"))</f>
        <v>No</v>
      </c>
      <c r="AJ2345" s="1" t="str">
        <f>IF(I2345=0,"No",IF(COUNT(INDEX('Staff Review'!$F$8:$F$507,I2345))&lt;&gt;1,"No",IF(AND(INDEX('Staff Review'!$F$8:$F$507,I2345)&gt;=0,MOD(INDEX('Staff Review'!$F$8:$F$507,I2345),1)=0,COUNT(INDEX('Staff Review'!$G$8:$G$507,I2345))=1,INDEX('Staff Review'!$G$8:$G$507,I2345)&gt;0,INDEX('Staff Review'!$G$8:$G$507,I2345)&lt;='Top 25'!$E$5,'Top 25'!$E$5-INDEX('Staff Review'!$G$8:$G$507,I2345)&lt;='Top 25'!$H$5,LEN(INDEX('Staff Review'!$H$8:$H$507,I2345))&gt;0),"Yes","No")))</f>
        <v>No</v>
      </c>
      <c r="AK2345" s="1">
        <f t="shared" si="145"/>
        <v>1</v>
      </c>
      <c r="AL2345" s="1">
        <f t="shared" ca="1" si="146"/>
        <v>1</v>
      </c>
      <c r="AM2345" s="1">
        <f t="shared" si="147"/>
        <v>8130</v>
      </c>
      <c r="AN2345" s="1">
        <f t="shared" si="148"/>
        <v>295</v>
      </c>
      <c r="AO2345">
        <f t="shared" ca="1" si="149"/>
        <v>26</v>
      </c>
      <c r="AP2345" s="105">
        <f ca="1">IF(AND(AL2345=1,OR('Top 25'!$A$10="All",C2345='Top 25'!$A$10),OR('Top 25'!$D$10="All",D2345='Top 25'!$D$10)),1,0)</f>
        <v>0</v>
      </c>
      <c r="AQ2345" s="105" t="str">
        <f ca="1">IF(AP2345=0,"",CHOOSE(MATCH('Top 25'!$G$10,{"Priority score","Economic need","Enrollment","Fresh miles","Nearby resources"},0),T2345,G2345,F2345,K2345,L2345))</f>
        <v/>
      </c>
      <c r="AR2345" s="105" t="str">
        <f ca="1">IF(AP2345=0,"",1+COUNTIFS($AP$2051:$AP$2550,1,$AQ$2051:$AQ$2550,IF('Top 25'!$J$10="Ascending","&lt;","&gt;")&amp;AQ2345)+COUNTIFS($AP$2051:$AP$2550,1,$AQ$2051:$AQ$2550,AQ2345,$W$2051:$W$2550,"&lt;"&amp;W2345))</f>
        <v/>
      </c>
      <c r="AT2345" s="105">
        <f ca="1">IF(AND(AL2345=1,OR(Master_rankableSchools!$A$10="All",C2345=Master_rankableSchools!$A$10),OR(Master_rankableSchools!$D$10="All",D2345=Master_rankableSchools!$D$10)),1,0)</f>
        <v>1</v>
      </c>
      <c r="AU2345" s="105">
        <f ca="1">IF(AT2345=0,"",CHOOSE(MATCH(Master_rankableSchools!$G$10,{"Priority score","Economic need","Enrollment","Fresh miles","Nearby resources"},0),T2345,G2345,F2345,K2345,L2345))</f>
        <v>55</v>
      </c>
      <c r="AV2345" s="105">
        <f ca="1">IF(AT2345=0,"",1+COUNTIFS($AT$2051:$AT$2550,1,$AU$2051:$AU$2550,IF(Master_rankableSchools!$J$10="Ascending","&lt;","&gt;")&amp;AU2345)+COUNTIFS($AT$2051:$AT$2550,1,$AU$2051:$AU$2550,AU2345,$W$2051:$W$2550,"&lt;"&amp;W2345))</f>
        <v>26</v>
      </c>
    </row>
    <row r="2346" spans="1:48" ht="22" customHeight="1">
      <c r="A2346" s="1" t="str">
        <f t="shared" si="120"/>
        <v>8160</v>
      </c>
      <c r="B2346" s="1" t="str">
        <f t="shared" si="121"/>
        <v>Charles C.A. Baldi Middle School</v>
      </c>
      <c r="C2346" s="1" t="str">
        <f t="shared" si="122"/>
        <v>District</v>
      </c>
      <c r="D2346" s="1" t="str">
        <f t="shared" si="123"/>
        <v>Middle</v>
      </c>
      <c r="E2346" s="1" t="str">
        <f t="shared" si="124"/>
        <v>19115</v>
      </c>
      <c r="F2346" s="1">
        <f t="shared" si="125"/>
        <v>1424</v>
      </c>
      <c r="G2346" s="1">
        <f t="shared" si="126"/>
        <v>0.66830000000000001</v>
      </c>
      <c r="H2346" s="1" t="str">
        <f t="shared" si="127"/>
        <v>Yes</v>
      </c>
      <c r="I2346" s="1">
        <f>IF(OR(A2346="",COUNTIFS('Staff Review'!$A$8:$A$507,A2346)&lt;&gt;1),0,MATCH(A2346,'Staff Review'!$A$8:$A$507,0))</f>
        <v>40</v>
      </c>
      <c r="J2346" s="1" t="str">
        <f>IF(I2346=0,"No",IF(INDEX('Staff Review'!$C$8:$C$507,I2346)="Yes","Yes","No"))</f>
        <v>No</v>
      </c>
      <c r="K2346" s="1">
        <f ca="1">IF(AI2346="Yes",INDEX('Staff Review'!$D$8:$D$507,I2346),IF(AB2346=0,"",IF(COUNT(INDEX($C$1531:$C$2030,AB2346))=1,INDEX($C$1531:$C$2030,AB2346),"")))</f>
        <v>0.56351640587517471</v>
      </c>
      <c r="L2346" s="1">
        <f>IF(AJ2346="Yes",INDEX('Staff Review'!$F$8:$F$507,I2346),IF(AB2346=0,"",IF(COUNT(INDEX($G$1531:$G$2030,AB2346))=1,INDEX($G$1531:$G$2030,AB2346),"")))</f>
        <v>0</v>
      </c>
      <c r="M2346" s="1" t="str">
        <f t="shared" ca="1" si="128"/>
        <v>Listed</v>
      </c>
      <c r="N2346" s="1" t="str">
        <f t="shared" si="129"/>
        <v>Listed</v>
      </c>
      <c r="O2346" s="1">
        <f t="shared" si="130"/>
        <v>15</v>
      </c>
      <c r="P2346" s="1">
        <f t="shared" ca="1" si="131"/>
        <v>15</v>
      </c>
      <c r="Q2346" s="1">
        <f t="shared" si="132"/>
        <v>25</v>
      </c>
      <c r="R2346" s="1">
        <f t="shared" si="133"/>
        <v>5</v>
      </c>
      <c r="S2346" s="1">
        <f t="shared" ca="1" si="134"/>
        <v>60</v>
      </c>
      <c r="T2346" s="1">
        <f ca="1">IF(OR(COUNT(O2346:R2346)&lt;&gt;4,COUNT('Top 25'!$B$45:$E$45)&lt;&gt;4,MIN('Top 25'!$B$45:$E$45)&lt;0,SUM('Top 25'!$B$45:$E$45)&lt;=0),"",ROUND(85*(O2346/30*'Top 25'!$B$45+P2346/25*'Top 25'!$C$45+Q2346/25*'Top 25'!$D$45+R2346/5*'Top 25'!$E$45)/SUM('Top 25'!$B$45:$E$45),6))</f>
        <v>60</v>
      </c>
      <c r="U2346" s="1" t="str">
        <f t="shared" ca="1" si="135"/>
        <v>Listed</v>
      </c>
      <c r="V2346" s="1" t="str">
        <f ca="1">IF(A2346="","",IF(AK2346&lt;&gt;1,"Duplicate source ID",IF(COUNTIFS('Staff Review'!$A$8:$A$507,A2346)&gt;1,"Duplicate review ID",IF(H2346&lt;&gt;"Yes","Outside scope",IF(J2346="Yes","Already served",IF(NOT(ISNUMBER(T2346)),"Missing data","Candidate"))))))</f>
        <v>Candidate</v>
      </c>
      <c r="W2346" s="1">
        <f t="shared" ca="1" si="136"/>
        <v>14</v>
      </c>
      <c r="X2346" s="1">
        <f t="shared" ca="1" si="137"/>
        <v>10</v>
      </c>
      <c r="Y2346" s="1">
        <f ca="1">IF(AND(H2346="Yes",OR(LEN('School Search'!$B$5)=0,ISNUMBER(SEARCH('School Search'!$B$5,B2346&amp;" "&amp;E2346&amp;" "&amp;A2346))),OR('School Search'!$D$5="All",C2346='School Search'!$D$5),OR('School Search'!$G$5="All eligible",AND('School Search'!$G$5="Not marked served",J2346&lt;&gt;"Yes"),AND('School Search'!$G$5="Missing data",V2346="Missing data"),AND('School Search'!$G$5="Marked served",J2346="Yes"))),1,0)</f>
        <v>1</v>
      </c>
      <c r="Z2346" s="1">
        <f ca="1">IF(Y2346=0,"",COUNTIFS($Y$2051:$Y$2550,1,$AO$2051:$AO$2550,"&lt;"&amp;AO2346)+COUNTIFS($Y$2051:Y2346,1,$AO$2051:AO2346,AO2346))</f>
        <v>14</v>
      </c>
      <c r="AA2346" s="1" t="str">
        <f t="shared" ca="1" si="138"/>
        <v>67% economic need; 0.56 mi fresh access; 0 nearby resources</v>
      </c>
      <c r="AB2346" s="1">
        <f t="shared" si="139"/>
        <v>296</v>
      </c>
      <c r="AC2346" s="1" t="str">
        <f t="shared" si="140"/>
        <v>Kashmir Garden Super Market Inc</v>
      </c>
      <c r="AD2346" s="1" t="str">
        <f t="shared" si="141"/>
        <v>9325 Krewstown Rd, Philadelphia, PA, 19115</v>
      </c>
      <c r="AE2346" s="1" t="str">
        <f t="shared" si="142"/>
        <v>8801 VERREE RD</v>
      </c>
      <c r="AF2346" s="1">
        <f t="shared" si="143"/>
        <v>40.093316090000002</v>
      </c>
      <c r="AG2346" s="1">
        <f t="shared" si="144"/>
        <v>-75.052172339999998</v>
      </c>
      <c r="AH2346" s="1" t="str">
        <f>IF(I2346=0,"Not contacted",IF(INDEX('Staff Review'!$J$8:$J$507,I2346)="","Not contacted",INDEX('Staff Review'!$J$8:$J$507,I2346)))</f>
        <v>Not contacted</v>
      </c>
      <c r="AI2346" s="1" t="str">
        <f ca="1">IF(I2346=0,"No",IF(AND(COUNT(INDEX('Staff Review'!$D$8:$D$507,I2346))=1,INDEX('Staff Review'!$D$8:$D$507,I2346)&gt;=0,COUNT(INDEX('Staff Review'!$E$8:$E$507,I2346))=1,INDEX('Staff Review'!$E$8:$E$507,I2346)&gt;0,INDEX('Staff Review'!$E$8:$E$507,I2346)&lt;='Top 25'!$E$5,'Top 25'!$E$5-INDEX('Staff Review'!$E$8:$E$507,I2346)&lt;='Top 25'!$H$5,LEN(INDEX('Staff Review'!$H$8:$H$507,I2346))&gt;0),"Yes","No"))</f>
        <v>No</v>
      </c>
      <c r="AJ2346" s="1" t="str">
        <f>IF(I2346=0,"No",IF(COUNT(INDEX('Staff Review'!$F$8:$F$507,I2346))&lt;&gt;1,"No",IF(AND(INDEX('Staff Review'!$F$8:$F$507,I2346)&gt;=0,MOD(INDEX('Staff Review'!$F$8:$F$507,I2346),1)=0,COUNT(INDEX('Staff Review'!$G$8:$G$507,I2346))=1,INDEX('Staff Review'!$G$8:$G$507,I2346)&gt;0,INDEX('Staff Review'!$G$8:$G$507,I2346)&lt;='Top 25'!$E$5,'Top 25'!$E$5-INDEX('Staff Review'!$G$8:$G$507,I2346)&lt;='Top 25'!$H$5,LEN(INDEX('Staff Review'!$H$8:$H$507,I2346))&gt;0),"Yes","No")))</f>
        <v>No</v>
      </c>
      <c r="AK2346" s="1">
        <f t="shared" si="145"/>
        <v>1</v>
      </c>
      <c r="AL2346" s="1">
        <f t="shared" ca="1" si="146"/>
        <v>1</v>
      </c>
      <c r="AM2346" s="1">
        <f t="shared" si="147"/>
        <v>8160</v>
      </c>
      <c r="AN2346" s="1">
        <f t="shared" si="148"/>
        <v>296</v>
      </c>
      <c r="AO2346">
        <f t="shared" ca="1" si="149"/>
        <v>14</v>
      </c>
      <c r="AP2346" s="105">
        <f ca="1">IF(AND(AL2346=1,OR('Top 25'!$A$10="All",C2346='Top 25'!$A$10),OR('Top 25'!$D$10="All",D2346='Top 25'!$D$10)),1,0)</f>
        <v>0</v>
      </c>
      <c r="AQ2346" s="105" t="str">
        <f ca="1">IF(AP2346=0,"",CHOOSE(MATCH('Top 25'!$G$10,{"Priority score","Economic need","Enrollment","Fresh miles","Nearby resources"},0),T2346,G2346,F2346,K2346,L2346))</f>
        <v/>
      </c>
      <c r="AR2346" s="105" t="str">
        <f ca="1">IF(AP2346=0,"",1+COUNTIFS($AP$2051:$AP$2550,1,$AQ$2051:$AQ$2550,IF('Top 25'!$J$10="Ascending","&lt;","&gt;")&amp;AQ2346)+COUNTIFS($AP$2051:$AP$2550,1,$AQ$2051:$AQ$2550,AQ2346,$W$2051:$W$2550,"&lt;"&amp;W2346))</f>
        <v/>
      </c>
      <c r="AT2346" s="105">
        <f ca="1">IF(AND(AL2346=1,OR(Master_rankableSchools!$A$10="All",C2346=Master_rankableSchools!$A$10),OR(Master_rankableSchools!$D$10="All",D2346=Master_rankableSchools!$D$10)),1,0)</f>
        <v>1</v>
      </c>
      <c r="AU2346" s="105">
        <f ca="1">IF(AT2346=0,"",CHOOSE(MATCH(Master_rankableSchools!$G$10,{"Priority score","Economic need","Enrollment","Fresh miles","Nearby resources"},0),T2346,G2346,F2346,K2346,L2346))</f>
        <v>60</v>
      </c>
      <c r="AV2346" s="105">
        <f ca="1">IF(AT2346=0,"",1+COUNTIFS($AT$2051:$AT$2550,1,$AU$2051:$AU$2550,IF(Master_rankableSchools!$J$10="Ascending","&lt;","&gt;")&amp;AU2346)+COUNTIFS($AT$2051:$AT$2550,1,$AU$2051:$AU$2550,AU2346,$W$2051:$W$2550,"&lt;"&amp;W2346))</f>
        <v>14</v>
      </c>
    </row>
    <row r="2347" spans="1:48" ht="22" customHeight="1">
      <c r="A2347" s="1" t="str">
        <f t="shared" si="120"/>
        <v>8190</v>
      </c>
      <c r="B2347" s="1" t="str">
        <f t="shared" si="121"/>
        <v>One Bright Ray - Fairhill</v>
      </c>
      <c r="C2347" s="1" t="str">
        <f t="shared" si="122"/>
        <v>Contracted</v>
      </c>
      <c r="D2347" s="1" t="str">
        <f t="shared" si="123"/>
        <v>Transition/Overage School</v>
      </c>
      <c r="E2347" s="1" t="str">
        <f t="shared" si="124"/>
        <v>19133</v>
      </c>
      <c r="F2347" s="1">
        <f t="shared" si="125"/>
        <v>200</v>
      </c>
      <c r="G2347" s="1" t="str">
        <f t="shared" si="126"/>
        <v/>
      </c>
      <c r="H2347" s="1" t="str">
        <f t="shared" si="127"/>
        <v>No</v>
      </c>
      <c r="I2347" s="1">
        <f>IF(OR(A2347="",COUNTIFS('Staff Review'!$A$8:$A$507,A2347)&lt;&gt;1),0,MATCH(A2347,'Staff Review'!$A$8:$A$507,0))</f>
        <v>214</v>
      </c>
      <c r="J2347" s="1" t="str">
        <f>IF(I2347=0,"No",IF(INDEX('Staff Review'!$C$8:$C$507,I2347)="Yes","Yes","No"))</f>
        <v>No</v>
      </c>
      <c r="K2347" s="1">
        <f ca="1">IF(AI2347="Yes",INDEX('Staff Review'!$D$8:$D$507,I2347),IF(AB2347=0,"",IF(COUNT(INDEX($C$1531:$C$2030,AB2347))=1,INDEX($C$1531:$C$2030,AB2347),"")))</f>
        <v>0.3150754745130222</v>
      </c>
      <c r="L2347" s="1">
        <f>IF(AJ2347="Yes",INDEX('Staff Review'!$F$8:$F$507,I2347),IF(AB2347=0,"",IF(COUNT(INDEX($G$1531:$G$2030,AB2347))=1,INDEX($G$1531:$G$2030,AB2347),"")))</f>
        <v>13</v>
      </c>
      <c r="M2347" s="1" t="str">
        <f t="shared" ca="1" si="128"/>
        <v>Listed</v>
      </c>
      <c r="N2347" s="1" t="str">
        <f t="shared" si="129"/>
        <v>Listed</v>
      </c>
      <c r="O2347" s="1" t="str">
        <f t="shared" si="130"/>
        <v/>
      </c>
      <c r="P2347" s="1">
        <f t="shared" ca="1" si="131"/>
        <v>10</v>
      </c>
      <c r="Q2347" s="1">
        <f t="shared" si="132"/>
        <v>0</v>
      </c>
      <c r="R2347" s="1">
        <f t="shared" si="133"/>
        <v>2</v>
      </c>
      <c r="S2347" s="1" t="str">
        <f t="shared" ca="1" si="134"/>
        <v/>
      </c>
      <c r="T2347" s="1" t="str">
        <f ca="1">IF(OR(COUNT(O2347:R2347)&lt;&gt;4,COUNT('Top 25'!$B$45:$E$45)&lt;&gt;4,MIN('Top 25'!$B$45:$E$45)&lt;0,SUM('Top 25'!$B$45:$E$45)&lt;=0),"",ROUND(85*(O2347/30*'Top 25'!$B$45+P2347/25*'Top 25'!$C$45+Q2347/25*'Top 25'!$D$45+R2347/5*'Top 25'!$E$45)/SUM('Top 25'!$B$45:$E$45),6))</f>
        <v/>
      </c>
      <c r="U2347" s="1" t="str">
        <f t="shared" ca="1" si="135"/>
        <v>Listed</v>
      </c>
      <c r="V2347" s="1" t="str">
        <f>IF(A2347="","",IF(AK2347&lt;&gt;1,"Duplicate source ID",IF(COUNTIFS('Staff Review'!$A$8:$A$507,A2347)&gt;1,"Duplicate review ID",IF(H2347&lt;&gt;"Yes","Outside scope",IF(J2347="Yes","Already served",IF(NOT(ISNUMBER(T2347)),"Missing data","Candidate"))))))</f>
        <v>Outside scope</v>
      </c>
      <c r="W2347" s="1" t="str">
        <f t="shared" si="136"/>
        <v/>
      </c>
      <c r="X2347" s="1" t="str">
        <f t="shared" si="137"/>
        <v/>
      </c>
      <c r="Y2347" s="1">
        <f>IF(AND(H2347="Yes",OR(LEN('School Search'!$B$5)=0,ISNUMBER(SEARCH('School Search'!$B$5,B2347&amp;" "&amp;E2347&amp;" "&amp;A2347))),OR('School Search'!$D$5="All",C2347='School Search'!$D$5),OR('School Search'!$G$5="All eligible",AND('School Search'!$G$5="Not marked served",J2347&lt;&gt;"Yes"),AND('School Search'!$G$5="Missing data",V2347="Missing data"),AND('School Search'!$G$5="Marked served",J2347="Yes"))),1,0)</f>
        <v>0</v>
      </c>
      <c r="Z2347" s="1" t="str">
        <f>IF(Y2347=0,"",COUNTIFS($Y$2051:$Y$2550,1,$AO$2051:$AO$2550,"&lt;"&amp;AO2347)+COUNTIFS($Y$2051:Y2347,1,$AO$2051:AO2347,AO2347))</f>
        <v/>
      </c>
      <c r="AA2347" s="1" t="str">
        <f t="shared" ca="1" si="138"/>
        <v>Missing demographic or access input</v>
      </c>
      <c r="AB2347" s="1">
        <f t="shared" si="139"/>
        <v>297</v>
      </c>
      <c r="AC2347" s="1" t="str">
        <f t="shared" si="140"/>
        <v>Save A Lot 60139</v>
      </c>
      <c r="AD2347" s="1" t="str">
        <f t="shared" si="141"/>
        <v>701 W Lehigh Ave, Philadelphia, PA, 19133</v>
      </c>
      <c r="AE2347" s="1" t="str">
        <f t="shared" si="142"/>
        <v>2820 N 4TH ST</v>
      </c>
      <c r="AF2347" s="1">
        <f t="shared" si="143"/>
        <v>39.993764339999998</v>
      </c>
      <c r="AG2347" s="1">
        <f t="shared" si="144"/>
        <v>-75.138018819999999</v>
      </c>
      <c r="AH2347" s="1" t="str">
        <f>IF(I2347=0,"Not contacted",IF(INDEX('Staff Review'!$J$8:$J$507,I2347)="","Not contacted",INDEX('Staff Review'!$J$8:$J$507,I2347)))</f>
        <v>Not contacted</v>
      </c>
      <c r="AI2347" s="1" t="str">
        <f ca="1">IF(I2347=0,"No",IF(AND(COUNT(INDEX('Staff Review'!$D$8:$D$507,I2347))=1,INDEX('Staff Review'!$D$8:$D$507,I2347)&gt;=0,COUNT(INDEX('Staff Review'!$E$8:$E$507,I2347))=1,INDEX('Staff Review'!$E$8:$E$507,I2347)&gt;0,INDEX('Staff Review'!$E$8:$E$507,I2347)&lt;='Top 25'!$E$5,'Top 25'!$E$5-INDEX('Staff Review'!$E$8:$E$507,I2347)&lt;='Top 25'!$H$5,LEN(INDEX('Staff Review'!$H$8:$H$507,I2347))&gt;0),"Yes","No"))</f>
        <v>No</v>
      </c>
      <c r="AJ2347" s="1" t="str">
        <f>IF(I2347=0,"No",IF(COUNT(INDEX('Staff Review'!$F$8:$F$507,I2347))&lt;&gt;1,"No",IF(AND(INDEX('Staff Review'!$F$8:$F$507,I2347)&gt;=0,MOD(INDEX('Staff Review'!$F$8:$F$507,I2347),1)=0,COUNT(INDEX('Staff Review'!$G$8:$G$507,I2347))=1,INDEX('Staff Review'!$G$8:$G$507,I2347)&gt;0,INDEX('Staff Review'!$G$8:$G$507,I2347)&lt;='Top 25'!$E$5,'Top 25'!$E$5-INDEX('Staff Review'!$G$8:$G$507,I2347)&lt;='Top 25'!$H$5,LEN(INDEX('Staff Review'!$H$8:$H$507,I2347))&gt;0),"Yes","No")))</f>
        <v>No</v>
      </c>
      <c r="AK2347" s="1">
        <f t="shared" si="145"/>
        <v>1</v>
      </c>
      <c r="AL2347" s="1">
        <f t="shared" si="146"/>
        <v>0</v>
      </c>
      <c r="AM2347" s="1">
        <f t="shared" si="147"/>
        <v>8190</v>
      </c>
      <c r="AN2347" s="1">
        <f t="shared" si="148"/>
        <v>297</v>
      </c>
      <c r="AO2347">
        <f t="shared" si="149"/>
        <v>18190</v>
      </c>
      <c r="AP2347" s="105">
        <f>IF(AND(AL2347=1,OR('Top 25'!$A$10="All",C2347='Top 25'!$A$10),OR('Top 25'!$D$10="All",D2347='Top 25'!$D$10)),1,0)</f>
        <v>0</v>
      </c>
      <c r="AQ2347" s="105" t="str">
        <f>IF(AP2347=0,"",CHOOSE(MATCH('Top 25'!$G$10,{"Priority score","Economic need","Enrollment","Fresh miles","Nearby resources"},0),T2347,G2347,F2347,K2347,L2347))</f>
        <v/>
      </c>
      <c r="AR2347" s="105" t="str">
        <f>IF(AP2347=0,"",1+COUNTIFS($AP$2051:$AP$2550,1,$AQ$2051:$AQ$2550,IF('Top 25'!$J$10="Ascending","&lt;","&gt;")&amp;AQ2347)+COUNTIFS($AP$2051:$AP$2550,1,$AQ$2051:$AQ$2550,AQ2347,$W$2051:$W$2550,"&lt;"&amp;W2347))</f>
        <v/>
      </c>
      <c r="AT2347" s="105">
        <f>IF(AND(AL2347=1,OR(Master_rankableSchools!$A$10="All",C2347=Master_rankableSchools!$A$10),OR(Master_rankableSchools!$D$10="All",D2347=Master_rankableSchools!$D$10)),1,0)</f>
        <v>0</v>
      </c>
      <c r="AU2347" s="105" t="str">
        <f>IF(AT2347=0,"",CHOOSE(MATCH(Master_rankableSchools!$G$10,{"Priority score","Economic need","Enrollment","Fresh miles","Nearby resources"},0),T2347,G2347,F2347,K2347,L2347))</f>
        <v/>
      </c>
      <c r="AV2347" s="105" t="str">
        <f>IF(AT2347=0,"",1+COUNTIFS($AT$2051:$AT$2550,1,$AU$2051:$AU$2550,IF(Master_rankableSchools!$J$10="Ascending","&lt;","&gt;")&amp;AU2347)+COUNTIFS($AT$2051:$AT$2550,1,$AU$2051:$AU$2550,AU2347,$W$2051:$W$2550,"&lt;"&amp;W2347))</f>
        <v/>
      </c>
    </row>
    <row r="2348" spans="1:48" ht="22" customHeight="1">
      <c r="A2348" s="1" t="str">
        <f t="shared" si="120"/>
        <v>8200</v>
      </c>
      <c r="B2348" s="1" t="str">
        <f t="shared" si="121"/>
        <v>Ethan Allen School</v>
      </c>
      <c r="C2348" s="1" t="str">
        <f t="shared" si="122"/>
        <v>District</v>
      </c>
      <c r="D2348" s="1" t="str">
        <f t="shared" si="123"/>
        <v>Elementary-Middle</v>
      </c>
      <c r="E2348" s="1" t="str">
        <f t="shared" si="124"/>
        <v>19149</v>
      </c>
      <c r="F2348" s="1">
        <f t="shared" si="125"/>
        <v>1018</v>
      </c>
      <c r="G2348" s="1">
        <f t="shared" si="126"/>
        <v>0.75070000000000003</v>
      </c>
      <c r="H2348" s="1" t="str">
        <f t="shared" si="127"/>
        <v>Yes</v>
      </c>
      <c r="I2348" s="1">
        <f>IF(OR(A2348="",COUNTIFS('Staff Review'!$A$8:$A$507,A2348)&lt;&gt;1),0,MATCH(A2348,'Staff Review'!$A$8:$A$507,0))</f>
        <v>65</v>
      </c>
      <c r="J2348" s="1" t="str">
        <f>IF(I2348=0,"No",IF(INDEX('Staff Review'!$C$8:$C$507,I2348)="Yes","Yes","No"))</f>
        <v>No</v>
      </c>
      <c r="K2348" s="1">
        <f ca="1">IF(AI2348="Yes",INDEX('Staff Review'!$D$8:$D$507,I2348),IF(AB2348=0,"",IF(COUNT(INDEX($C$1531:$C$2030,AB2348))=1,INDEX($C$1531:$C$2030,AB2348),"")))</f>
        <v>0.28294524749778188</v>
      </c>
      <c r="L2348" s="1">
        <f>IF(AJ2348="Yes",INDEX('Staff Review'!$F$8:$F$507,I2348),IF(AB2348=0,"",IF(COUNT(INDEX($G$1531:$G$2030,AB2348))=1,INDEX($G$1531:$G$2030,AB2348),"")))</f>
        <v>4</v>
      </c>
      <c r="M2348" s="1" t="str">
        <f t="shared" ca="1" si="128"/>
        <v>Listed</v>
      </c>
      <c r="N2348" s="1" t="str">
        <f t="shared" si="129"/>
        <v>Listed</v>
      </c>
      <c r="O2348" s="1">
        <f t="shared" si="130"/>
        <v>20</v>
      </c>
      <c r="P2348" s="1">
        <f t="shared" ca="1" si="131"/>
        <v>10</v>
      </c>
      <c r="Q2348" s="1">
        <f t="shared" si="132"/>
        <v>5</v>
      </c>
      <c r="R2348" s="1">
        <f t="shared" si="133"/>
        <v>5</v>
      </c>
      <c r="S2348" s="1">
        <f t="shared" ca="1" si="134"/>
        <v>40</v>
      </c>
      <c r="T2348" s="1">
        <f ca="1">IF(OR(COUNT(O2348:R2348)&lt;&gt;4,COUNT('Top 25'!$B$45:$E$45)&lt;&gt;4,MIN('Top 25'!$B$45:$E$45)&lt;0,SUM('Top 25'!$B$45:$E$45)&lt;=0),"",ROUND(85*(O2348/30*'Top 25'!$B$45+P2348/25*'Top 25'!$C$45+Q2348/25*'Top 25'!$D$45+R2348/5*'Top 25'!$E$45)/SUM('Top 25'!$B$45:$E$45),6))</f>
        <v>40</v>
      </c>
      <c r="U2348" s="1" t="str">
        <f t="shared" ca="1" si="135"/>
        <v>Listed</v>
      </c>
      <c r="V2348" s="1" t="str">
        <f ca="1">IF(A2348="","",IF(AK2348&lt;&gt;1,"Duplicate source ID",IF(COUNTIFS('Staff Review'!$A$8:$A$507,A2348)&gt;1,"Duplicate review ID",IF(H2348&lt;&gt;"Yes","Outside scope",IF(J2348="Yes","Already served",IF(NOT(ISNUMBER(T2348)),"Missing data","Candidate"))))))</f>
        <v>Candidate</v>
      </c>
      <c r="W2348" s="1">
        <f t="shared" ca="1" si="136"/>
        <v>145</v>
      </c>
      <c r="X2348" s="1">
        <f t="shared" ca="1" si="137"/>
        <v>133</v>
      </c>
      <c r="Y2348" s="1">
        <f ca="1">IF(AND(H2348="Yes",OR(LEN('School Search'!$B$5)=0,ISNUMBER(SEARCH('School Search'!$B$5,B2348&amp;" "&amp;E2348&amp;" "&amp;A2348))),OR('School Search'!$D$5="All",C2348='School Search'!$D$5),OR('School Search'!$G$5="All eligible",AND('School Search'!$G$5="Not marked served",J2348&lt;&gt;"Yes"),AND('School Search'!$G$5="Missing data",V2348="Missing data"),AND('School Search'!$G$5="Marked served",J2348="Yes"))),1,0)</f>
        <v>1</v>
      </c>
      <c r="Z2348" s="1">
        <f ca="1">IF(Y2348=0,"",COUNTIFS($Y$2051:$Y$2550,1,$AO$2051:$AO$2550,"&lt;"&amp;AO2348)+COUNTIFS($Y$2051:Y2348,1,$AO$2051:AO2348,AO2348))</f>
        <v>145</v>
      </c>
      <c r="AA2348" s="1" t="str">
        <f t="shared" ca="1" si="138"/>
        <v>75% economic need; 0.28 mi fresh access; 4 nearby resources</v>
      </c>
      <c r="AB2348" s="1">
        <f t="shared" si="139"/>
        <v>298</v>
      </c>
      <c r="AC2348" s="1" t="str">
        <f t="shared" si="140"/>
        <v>Hung Vuong Food Market Lp</v>
      </c>
      <c r="AD2348" s="1" t="str">
        <f t="shared" si="141"/>
        <v>6410 Frankford Ave, Philadelphia, PA, 19135</v>
      </c>
      <c r="AE2348" s="1" t="str">
        <f t="shared" si="142"/>
        <v>6329 BATTERSBY ST</v>
      </c>
      <c r="AF2348" s="1">
        <f t="shared" si="143"/>
        <v>40.029425199999999</v>
      </c>
      <c r="AG2348" s="1">
        <f t="shared" si="144"/>
        <v>-75.062688410000007</v>
      </c>
      <c r="AH2348" s="1" t="str">
        <f>IF(I2348=0,"Not contacted",IF(INDEX('Staff Review'!$J$8:$J$507,I2348)="","Not contacted",INDEX('Staff Review'!$J$8:$J$507,I2348)))</f>
        <v>Not contacted</v>
      </c>
      <c r="AI2348" s="1" t="str">
        <f ca="1">IF(I2348=0,"No",IF(AND(COUNT(INDEX('Staff Review'!$D$8:$D$507,I2348))=1,INDEX('Staff Review'!$D$8:$D$507,I2348)&gt;=0,COUNT(INDEX('Staff Review'!$E$8:$E$507,I2348))=1,INDEX('Staff Review'!$E$8:$E$507,I2348)&gt;0,INDEX('Staff Review'!$E$8:$E$507,I2348)&lt;='Top 25'!$E$5,'Top 25'!$E$5-INDEX('Staff Review'!$E$8:$E$507,I2348)&lt;='Top 25'!$H$5,LEN(INDEX('Staff Review'!$H$8:$H$507,I2348))&gt;0),"Yes","No"))</f>
        <v>No</v>
      </c>
      <c r="AJ2348" s="1" t="str">
        <f>IF(I2348=0,"No",IF(COUNT(INDEX('Staff Review'!$F$8:$F$507,I2348))&lt;&gt;1,"No",IF(AND(INDEX('Staff Review'!$F$8:$F$507,I2348)&gt;=0,MOD(INDEX('Staff Review'!$F$8:$F$507,I2348),1)=0,COUNT(INDEX('Staff Review'!$G$8:$G$507,I2348))=1,INDEX('Staff Review'!$G$8:$G$507,I2348)&gt;0,INDEX('Staff Review'!$G$8:$G$507,I2348)&lt;='Top 25'!$E$5,'Top 25'!$E$5-INDEX('Staff Review'!$G$8:$G$507,I2348)&lt;='Top 25'!$H$5,LEN(INDEX('Staff Review'!$H$8:$H$507,I2348))&gt;0),"Yes","No")))</f>
        <v>No</v>
      </c>
      <c r="AK2348" s="1">
        <f t="shared" si="145"/>
        <v>1</v>
      </c>
      <c r="AL2348" s="1">
        <f t="shared" ca="1" si="146"/>
        <v>1</v>
      </c>
      <c r="AM2348" s="1">
        <f t="shared" si="147"/>
        <v>8200</v>
      </c>
      <c r="AN2348" s="1">
        <f t="shared" si="148"/>
        <v>298</v>
      </c>
      <c r="AO2348">
        <f t="shared" ca="1" si="149"/>
        <v>145</v>
      </c>
      <c r="AP2348" s="105">
        <f ca="1">IF(AND(AL2348=1,OR('Top 25'!$A$10="All",C2348='Top 25'!$A$10),OR('Top 25'!$D$10="All",D2348='Top 25'!$D$10)),1,0)</f>
        <v>0</v>
      </c>
      <c r="AQ2348" s="105" t="str">
        <f ca="1">IF(AP2348=0,"",CHOOSE(MATCH('Top 25'!$G$10,{"Priority score","Economic need","Enrollment","Fresh miles","Nearby resources"},0),T2348,G2348,F2348,K2348,L2348))</f>
        <v/>
      </c>
      <c r="AR2348" s="105" t="str">
        <f ca="1">IF(AP2348=0,"",1+COUNTIFS($AP$2051:$AP$2550,1,$AQ$2051:$AQ$2550,IF('Top 25'!$J$10="Ascending","&lt;","&gt;")&amp;AQ2348)+COUNTIFS($AP$2051:$AP$2550,1,$AQ$2051:$AQ$2550,AQ2348,$W$2051:$W$2550,"&lt;"&amp;W2348))</f>
        <v/>
      </c>
      <c r="AT2348" s="105">
        <f ca="1">IF(AND(AL2348=1,OR(Master_rankableSchools!$A$10="All",C2348=Master_rankableSchools!$A$10),OR(Master_rankableSchools!$D$10="All",D2348=Master_rankableSchools!$D$10)),1,0)</f>
        <v>1</v>
      </c>
      <c r="AU2348" s="105">
        <f ca="1">IF(AT2348=0,"",CHOOSE(MATCH(Master_rankableSchools!$G$10,{"Priority score","Economic need","Enrollment","Fresh miles","Nearby resources"},0),T2348,G2348,F2348,K2348,L2348))</f>
        <v>40</v>
      </c>
      <c r="AV2348" s="105">
        <f ca="1">IF(AT2348=0,"",1+COUNTIFS($AT$2051:$AT$2550,1,$AU$2051:$AU$2550,IF(Master_rankableSchools!$J$10="Ascending","&lt;","&gt;")&amp;AU2348)+COUNTIFS($AT$2051:$AT$2550,1,$AU$2051:$AU$2550,AU2348,$W$2051:$W$2550,"&lt;"&amp;W2348))</f>
        <v>145</v>
      </c>
    </row>
    <row r="2349" spans="1:48" ht="22" customHeight="1">
      <c r="A2349" s="1" t="str">
        <f t="shared" si="120"/>
        <v>8210</v>
      </c>
      <c r="B2349" s="1" t="str">
        <f t="shared" si="121"/>
        <v>Joseph H. Brown School</v>
      </c>
      <c r="C2349" s="1" t="str">
        <f t="shared" si="122"/>
        <v>District</v>
      </c>
      <c r="D2349" s="1" t="str">
        <f t="shared" si="123"/>
        <v>Elementary-Middle</v>
      </c>
      <c r="E2349" s="1" t="str">
        <f t="shared" si="124"/>
        <v>19136</v>
      </c>
      <c r="F2349" s="1">
        <f t="shared" si="125"/>
        <v>427</v>
      </c>
      <c r="G2349" s="1">
        <f t="shared" si="126"/>
        <v>0.80559999999999998</v>
      </c>
      <c r="H2349" s="1" t="str">
        <f t="shared" si="127"/>
        <v>Yes</v>
      </c>
      <c r="I2349" s="1">
        <f>IF(OR(A2349="",COUNTIFS('Staff Review'!$A$8:$A$507,A2349)&lt;&gt;1),0,MATCH(A2349,'Staff Review'!$A$8:$A$507,0))</f>
        <v>147</v>
      </c>
      <c r="J2349" s="1" t="str">
        <f>IF(I2349=0,"No",IF(INDEX('Staff Review'!$C$8:$C$507,I2349)="Yes","Yes","No"))</f>
        <v>No</v>
      </c>
      <c r="K2349" s="1">
        <f ca="1">IF(AI2349="Yes",INDEX('Staff Review'!$D$8:$D$507,I2349),IF(AB2349=0,"",IF(COUNT(INDEX($C$1531:$C$2030,AB2349))=1,INDEX($C$1531:$C$2030,AB2349),"")))</f>
        <v>0.99422840329417839</v>
      </c>
      <c r="L2349" s="1">
        <f>IF(AJ2349="Yes",INDEX('Staff Review'!$F$8:$F$507,I2349),IF(AB2349=0,"",IF(COUNT(INDEX($G$1531:$G$2030,AB2349))=1,INDEX($G$1531:$G$2030,AB2349),"")))</f>
        <v>1</v>
      </c>
      <c r="M2349" s="1" t="str">
        <f t="shared" ca="1" si="128"/>
        <v>Listed</v>
      </c>
      <c r="N2349" s="1" t="str">
        <f t="shared" si="129"/>
        <v>Listed</v>
      </c>
      <c r="O2349" s="1">
        <f t="shared" si="130"/>
        <v>25</v>
      </c>
      <c r="P2349" s="1">
        <f t="shared" ca="1" si="131"/>
        <v>20</v>
      </c>
      <c r="Q2349" s="1">
        <f t="shared" si="132"/>
        <v>20</v>
      </c>
      <c r="R2349" s="1">
        <f t="shared" si="133"/>
        <v>3</v>
      </c>
      <c r="S2349" s="1">
        <f t="shared" ca="1" si="134"/>
        <v>68</v>
      </c>
      <c r="T2349" s="1">
        <f ca="1">IF(OR(COUNT(O2349:R2349)&lt;&gt;4,COUNT('Top 25'!$B$45:$E$45)&lt;&gt;4,MIN('Top 25'!$B$45:$E$45)&lt;0,SUM('Top 25'!$B$45:$E$45)&lt;=0),"",ROUND(85*(O2349/30*'Top 25'!$B$45+P2349/25*'Top 25'!$C$45+Q2349/25*'Top 25'!$D$45+R2349/5*'Top 25'!$E$45)/SUM('Top 25'!$B$45:$E$45),6))</f>
        <v>68</v>
      </c>
      <c r="U2349" s="1" t="str">
        <f t="shared" ca="1" si="135"/>
        <v>Listed</v>
      </c>
      <c r="V2349" s="1" t="str">
        <f ca="1">IF(A2349="","",IF(AK2349&lt;&gt;1,"Duplicate source ID",IF(COUNTIFS('Staff Review'!$A$8:$A$507,A2349)&gt;1,"Duplicate review ID",IF(H2349&lt;&gt;"Yes","Outside scope",IF(J2349="Yes","Already served",IF(NOT(ISNUMBER(T2349)),"Missing data","Candidate"))))))</f>
        <v>Candidate</v>
      </c>
      <c r="W2349" s="1">
        <f t="shared" ca="1" si="136"/>
        <v>2</v>
      </c>
      <c r="X2349" s="1">
        <f t="shared" ca="1" si="137"/>
        <v>2</v>
      </c>
      <c r="Y2349" s="1">
        <f ca="1">IF(AND(H2349="Yes",OR(LEN('School Search'!$B$5)=0,ISNUMBER(SEARCH('School Search'!$B$5,B2349&amp;" "&amp;E2349&amp;" "&amp;A2349))),OR('School Search'!$D$5="All",C2349='School Search'!$D$5),OR('School Search'!$G$5="All eligible",AND('School Search'!$G$5="Not marked served",J2349&lt;&gt;"Yes"),AND('School Search'!$G$5="Missing data",V2349="Missing data"),AND('School Search'!$G$5="Marked served",J2349="Yes"))),1,0)</f>
        <v>1</v>
      </c>
      <c r="Z2349" s="1">
        <f ca="1">IF(Y2349=0,"",COUNTIFS($Y$2051:$Y$2550,1,$AO$2051:$AO$2550,"&lt;"&amp;AO2349)+COUNTIFS($Y$2051:Y2349,1,$AO$2051:AO2349,AO2349))</f>
        <v>2</v>
      </c>
      <c r="AA2349" s="1" t="str">
        <f t="shared" ca="1" si="138"/>
        <v>81% economic need; 0.99 mi fresh access; 1 nearby resources</v>
      </c>
      <c r="AB2349" s="1">
        <f t="shared" si="139"/>
        <v>299</v>
      </c>
      <c r="AC2349" s="1" t="str">
        <f t="shared" si="140"/>
        <v>PJP Marketplace</v>
      </c>
      <c r="AD2349" s="1" t="str">
        <f t="shared" si="141"/>
        <v>8960 Frankford Avenue, Philadelphia, PA, 19136</v>
      </c>
      <c r="AE2349" s="1" t="str">
        <f t="shared" si="142"/>
        <v>3600 STANWOOD ST</v>
      </c>
      <c r="AF2349" s="1">
        <f t="shared" si="143"/>
        <v>40.043921830000002</v>
      </c>
      <c r="AG2349" s="1">
        <f t="shared" si="144"/>
        <v>-75.024601950000005</v>
      </c>
      <c r="AH2349" s="1" t="str">
        <f>IF(I2349=0,"Not contacted",IF(INDEX('Staff Review'!$J$8:$J$507,I2349)="","Not contacted",INDEX('Staff Review'!$J$8:$J$507,I2349)))</f>
        <v>Not contacted</v>
      </c>
      <c r="AI2349" s="1" t="str">
        <f ca="1">IF(I2349=0,"No",IF(AND(COUNT(INDEX('Staff Review'!$D$8:$D$507,I2349))=1,INDEX('Staff Review'!$D$8:$D$507,I2349)&gt;=0,COUNT(INDEX('Staff Review'!$E$8:$E$507,I2349))=1,INDEX('Staff Review'!$E$8:$E$507,I2349)&gt;0,INDEX('Staff Review'!$E$8:$E$507,I2349)&lt;='Top 25'!$E$5,'Top 25'!$E$5-INDEX('Staff Review'!$E$8:$E$507,I2349)&lt;='Top 25'!$H$5,LEN(INDEX('Staff Review'!$H$8:$H$507,I2349))&gt;0),"Yes","No"))</f>
        <v>No</v>
      </c>
      <c r="AJ2349" s="1" t="str">
        <f>IF(I2349=0,"No",IF(COUNT(INDEX('Staff Review'!$F$8:$F$507,I2349))&lt;&gt;1,"No",IF(AND(INDEX('Staff Review'!$F$8:$F$507,I2349)&gt;=0,MOD(INDEX('Staff Review'!$F$8:$F$507,I2349),1)=0,COUNT(INDEX('Staff Review'!$G$8:$G$507,I2349))=1,INDEX('Staff Review'!$G$8:$G$507,I2349)&gt;0,INDEX('Staff Review'!$G$8:$G$507,I2349)&lt;='Top 25'!$E$5,'Top 25'!$E$5-INDEX('Staff Review'!$G$8:$G$507,I2349)&lt;='Top 25'!$H$5,LEN(INDEX('Staff Review'!$H$8:$H$507,I2349))&gt;0),"Yes","No")))</f>
        <v>No</v>
      </c>
      <c r="AK2349" s="1">
        <f t="shared" si="145"/>
        <v>1</v>
      </c>
      <c r="AL2349" s="1">
        <f t="shared" ca="1" si="146"/>
        <v>1</v>
      </c>
      <c r="AM2349" s="1">
        <f t="shared" si="147"/>
        <v>8210</v>
      </c>
      <c r="AN2349" s="1">
        <f t="shared" si="148"/>
        <v>299</v>
      </c>
      <c r="AO2349">
        <f t="shared" ca="1" si="149"/>
        <v>2</v>
      </c>
      <c r="AP2349" s="105">
        <f ca="1">IF(AND(AL2349=1,OR('Top 25'!$A$10="All",C2349='Top 25'!$A$10),OR('Top 25'!$D$10="All",D2349='Top 25'!$D$10)),1,0)</f>
        <v>0</v>
      </c>
      <c r="AQ2349" s="105" t="str">
        <f ca="1">IF(AP2349=0,"",CHOOSE(MATCH('Top 25'!$G$10,{"Priority score","Economic need","Enrollment","Fresh miles","Nearby resources"},0),T2349,G2349,F2349,K2349,L2349))</f>
        <v/>
      </c>
      <c r="AR2349" s="105" t="str">
        <f ca="1">IF(AP2349=0,"",1+COUNTIFS($AP$2051:$AP$2550,1,$AQ$2051:$AQ$2550,IF('Top 25'!$J$10="Ascending","&lt;","&gt;")&amp;AQ2349)+COUNTIFS($AP$2051:$AP$2550,1,$AQ$2051:$AQ$2550,AQ2349,$W$2051:$W$2550,"&lt;"&amp;W2349))</f>
        <v/>
      </c>
      <c r="AT2349" s="105">
        <f ca="1">IF(AND(AL2349=1,OR(Master_rankableSchools!$A$10="All",C2349=Master_rankableSchools!$A$10),OR(Master_rankableSchools!$D$10="All",D2349=Master_rankableSchools!$D$10)),1,0)</f>
        <v>1</v>
      </c>
      <c r="AU2349" s="105">
        <f ca="1">IF(AT2349=0,"",CHOOSE(MATCH(Master_rankableSchools!$G$10,{"Priority score","Economic need","Enrollment","Fresh miles","Nearby resources"},0),T2349,G2349,F2349,K2349,L2349))</f>
        <v>68</v>
      </c>
      <c r="AV2349" s="105">
        <f ca="1">IF(AT2349=0,"",1+COUNTIFS($AT$2051:$AT$2550,1,$AU$2051:$AU$2550,IF(Master_rankableSchools!$J$10="Ascending","&lt;","&gt;")&amp;AU2349)+COUNTIFS($AT$2051:$AT$2550,1,$AU$2051:$AU$2550,AU2349,$W$2051:$W$2550,"&lt;"&amp;W2349))</f>
        <v>2</v>
      </c>
    </row>
    <row r="2350" spans="1:48" ht="22" customHeight="1">
      <c r="A2350" s="1" t="str">
        <f t="shared" si="120"/>
        <v>8230</v>
      </c>
      <c r="B2350" s="1" t="str">
        <f t="shared" si="121"/>
        <v>Kennedy C. Crossan School</v>
      </c>
      <c r="C2350" s="1" t="str">
        <f t="shared" si="122"/>
        <v>District</v>
      </c>
      <c r="D2350" s="1" t="str">
        <f t="shared" si="123"/>
        <v>Elementary</v>
      </c>
      <c r="E2350" s="1" t="str">
        <f t="shared" si="124"/>
        <v>19111</v>
      </c>
      <c r="F2350" s="1">
        <f t="shared" si="125"/>
        <v>318</v>
      </c>
      <c r="G2350" s="1">
        <f t="shared" si="126"/>
        <v>0.73580000000000001</v>
      </c>
      <c r="H2350" s="1" t="str">
        <f t="shared" si="127"/>
        <v>Yes</v>
      </c>
      <c r="I2350" s="1">
        <f>IF(OR(A2350="",COUNTIFS('Staff Review'!$A$8:$A$507,A2350)&lt;&gt;1),0,MATCH(A2350,'Staff Review'!$A$8:$A$507,0))</f>
        <v>156</v>
      </c>
      <c r="J2350" s="1" t="str">
        <f>IF(I2350=0,"No",IF(INDEX('Staff Review'!$C$8:$C$507,I2350)="Yes","Yes","No"))</f>
        <v>No</v>
      </c>
      <c r="K2350" s="1">
        <f ca="1">IF(AI2350="Yes",INDEX('Staff Review'!$D$8:$D$507,I2350),IF(AB2350=0,"",IF(COUNT(INDEX($C$1531:$C$2030,AB2350))=1,INDEX($C$1531:$C$2030,AB2350),"")))</f>
        <v>0.82466884245046634</v>
      </c>
      <c r="L2350" s="1">
        <f>IF(AJ2350="Yes",INDEX('Staff Review'!$F$8:$F$507,I2350),IF(AB2350=0,"",IF(COUNT(INDEX($G$1531:$G$2030,AB2350))=1,INDEX($G$1531:$G$2030,AB2350),"")))</f>
        <v>2</v>
      </c>
      <c r="M2350" s="1" t="str">
        <f t="shared" ca="1" si="128"/>
        <v>Listed</v>
      </c>
      <c r="N2350" s="1" t="str">
        <f t="shared" si="129"/>
        <v>Listed</v>
      </c>
      <c r="O2350" s="1">
        <f t="shared" si="130"/>
        <v>20</v>
      </c>
      <c r="P2350" s="1">
        <f t="shared" ca="1" si="131"/>
        <v>20</v>
      </c>
      <c r="Q2350" s="1">
        <f t="shared" si="132"/>
        <v>15</v>
      </c>
      <c r="R2350" s="1">
        <f t="shared" si="133"/>
        <v>2</v>
      </c>
      <c r="S2350" s="1">
        <f t="shared" ca="1" si="134"/>
        <v>57</v>
      </c>
      <c r="T2350" s="1">
        <f ca="1">IF(OR(COUNT(O2350:R2350)&lt;&gt;4,COUNT('Top 25'!$B$45:$E$45)&lt;&gt;4,MIN('Top 25'!$B$45:$E$45)&lt;0,SUM('Top 25'!$B$45:$E$45)&lt;=0),"",ROUND(85*(O2350/30*'Top 25'!$B$45+P2350/25*'Top 25'!$C$45+Q2350/25*'Top 25'!$D$45+R2350/5*'Top 25'!$E$45)/SUM('Top 25'!$B$45:$E$45),6))</f>
        <v>57</v>
      </c>
      <c r="U2350" s="1" t="str">
        <f t="shared" ca="1" si="135"/>
        <v>Listed</v>
      </c>
      <c r="V2350" s="1" t="str">
        <f ca="1">IF(A2350="","",IF(AK2350&lt;&gt;1,"Duplicate source ID",IF(COUNTIFS('Staff Review'!$A$8:$A$507,A2350)&gt;1,"Duplicate review ID",IF(H2350&lt;&gt;"Yes","Outside scope",IF(J2350="Yes","Already served",IF(NOT(ISNUMBER(T2350)),"Missing data","Candidate"))))))</f>
        <v>Candidate</v>
      </c>
      <c r="W2350" s="1">
        <f t="shared" ca="1" si="136"/>
        <v>21</v>
      </c>
      <c r="X2350" s="1">
        <f t="shared" ca="1" si="137"/>
        <v>20</v>
      </c>
      <c r="Y2350" s="1">
        <f ca="1">IF(AND(H2350="Yes",OR(LEN('School Search'!$B$5)=0,ISNUMBER(SEARCH('School Search'!$B$5,B2350&amp;" "&amp;E2350&amp;" "&amp;A2350))),OR('School Search'!$D$5="All",C2350='School Search'!$D$5),OR('School Search'!$G$5="All eligible",AND('School Search'!$G$5="Not marked served",J2350&lt;&gt;"Yes"),AND('School Search'!$G$5="Missing data",V2350="Missing data"),AND('School Search'!$G$5="Marked served",J2350="Yes"))),1,0)</f>
        <v>1</v>
      </c>
      <c r="Z2350" s="1">
        <f ca="1">IF(Y2350=0,"",COUNTIFS($Y$2051:$Y$2550,1,$AO$2051:$AO$2550,"&lt;"&amp;AO2350)+COUNTIFS($Y$2051:Y2350,1,$AO$2051:AO2350,AO2350))</f>
        <v>21</v>
      </c>
      <c r="AA2350" s="1" t="str">
        <f t="shared" ca="1" si="138"/>
        <v>74% economic need; 0.82 mi fresh access; 2 nearby resources</v>
      </c>
      <c r="AB2350" s="1">
        <f t="shared" si="139"/>
        <v>300</v>
      </c>
      <c r="AC2350" s="1" t="str">
        <f t="shared" si="140"/>
        <v>ACME 787</v>
      </c>
      <c r="AD2350" s="1" t="str">
        <f t="shared" si="141"/>
        <v>6640 Oxford Ave, Philadelphia, PA, 19111</v>
      </c>
      <c r="AE2350" s="1" t="str">
        <f t="shared" si="142"/>
        <v>7350 BINGHAM ST</v>
      </c>
      <c r="AF2350" s="1">
        <f t="shared" si="143"/>
        <v>40.061448409999997</v>
      </c>
      <c r="AG2350" s="1">
        <f t="shared" si="144"/>
        <v>-75.081550849999999</v>
      </c>
      <c r="AH2350" s="1" t="str">
        <f>IF(I2350=0,"Not contacted",IF(INDEX('Staff Review'!$J$8:$J$507,I2350)="","Not contacted",INDEX('Staff Review'!$J$8:$J$507,I2350)))</f>
        <v>Not contacted</v>
      </c>
      <c r="AI2350" s="1" t="str">
        <f ca="1">IF(I2350=0,"No",IF(AND(COUNT(INDEX('Staff Review'!$D$8:$D$507,I2350))=1,INDEX('Staff Review'!$D$8:$D$507,I2350)&gt;=0,COUNT(INDEX('Staff Review'!$E$8:$E$507,I2350))=1,INDEX('Staff Review'!$E$8:$E$507,I2350)&gt;0,INDEX('Staff Review'!$E$8:$E$507,I2350)&lt;='Top 25'!$E$5,'Top 25'!$E$5-INDEX('Staff Review'!$E$8:$E$507,I2350)&lt;='Top 25'!$H$5,LEN(INDEX('Staff Review'!$H$8:$H$507,I2350))&gt;0),"Yes","No"))</f>
        <v>No</v>
      </c>
      <c r="AJ2350" s="1" t="str">
        <f>IF(I2350=0,"No",IF(COUNT(INDEX('Staff Review'!$F$8:$F$507,I2350))&lt;&gt;1,"No",IF(AND(INDEX('Staff Review'!$F$8:$F$507,I2350)&gt;=0,MOD(INDEX('Staff Review'!$F$8:$F$507,I2350),1)=0,COUNT(INDEX('Staff Review'!$G$8:$G$507,I2350))=1,INDEX('Staff Review'!$G$8:$G$507,I2350)&gt;0,INDEX('Staff Review'!$G$8:$G$507,I2350)&lt;='Top 25'!$E$5,'Top 25'!$E$5-INDEX('Staff Review'!$G$8:$G$507,I2350)&lt;='Top 25'!$H$5,LEN(INDEX('Staff Review'!$H$8:$H$507,I2350))&gt;0),"Yes","No")))</f>
        <v>No</v>
      </c>
      <c r="AK2350" s="1">
        <f t="shared" si="145"/>
        <v>1</v>
      </c>
      <c r="AL2350" s="1">
        <f t="shared" ca="1" si="146"/>
        <v>1</v>
      </c>
      <c r="AM2350" s="1">
        <f t="shared" si="147"/>
        <v>8230</v>
      </c>
      <c r="AN2350" s="1">
        <f t="shared" si="148"/>
        <v>300</v>
      </c>
      <c r="AO2350">
        <f t="shared" ca="1" si="149"/>
        <v>21</v>
      </c>
      <c r="AP2350" s="105">
        <f ca="1">IF(AND(AL2350=1,OR('Top 25'!$A$10="All",C2350='Top 25'!$A$10),OR('Top 25'!$D$10="All",D2350='Top 25'!$D$10)),1,0)</f>
        <v>1</v>
      </c>
      <c r="AQ2350" s="105">
        <f ca="1">IF(AP2350=0,"",CHOOSE(MATCH('Top 25'!$G$10,{"Priority score","Economic need","Enrollment","Fresh miles","Nearby resources"},0),T2350,G2350,F2350,K2350,L2350))</f>
        <v>57</v>
      </c>
      <c r="AR2350" s="105">
        <f ca="1">IF(AP2350=0,"",1+COUNTIFS($AP$2051:$AP$2550,1,$AQ$2051:$AQ$2550,IF('Top 25'!$J$10="Ascending","&lt;","&gt;")&amp;AQ2350)+COUNTIFS($AP$2051:$AP$2550,1,$AQ$2051:$AQ$2550,AQ2350,$W$2051:$W$2550,"&lt;"&amp;W2350))</f>
        <v>2</v>
      </c>
      <c r="AT2350" s="105">
        <f ca="1">IF(AND(AL2350=1,OR(Master_rankableSchools!$A$10="All",C2350=Master_rankableSchools!$A$10),OR(Master_rankableSchools!$D$10="All",D2350=Master_rankableSchools!$D$10)),1,0)</f>
        <v>1</v>
      </c>
      <c r="AU2350" s="105">
        <f ca="1">IF(AT2350=0,"",CHOOSE(MATCH(Master_rankableSchools!$G$10,{"Priority score","Economic need","Enrollment","Fresh miles","Nearby resources"},0),T2350,G2350,F2350,K2350,L2350))</f>
        <v>57</v>
      </c>
      <c r="AV2350" s="105">
        <f ca="1">IF(AT2350=0,"",1+COUNTIFS($AT$2051:$AT$2550,1,$AU$2051:$AU$2550,IF(Master_rankableSchools!$J$10="Ascending","&lt;","&gt;")&amp;AU2350)+COUNTIFS($AT$2051:$AT$2550,1,$AU$2051:$AU$2550,AU2350,$W$2051:$W$2550,"&lt;"&amp;W2350))</f>
        <v>21</v>
      </c>
    </row>
    <row r="2351" spans="1:48" ht="22" customHeight="1">
      <c r="A2351" s="1" t="str">
        <f t="shared" si="120"/>
        <v>8240</v>
      </c>
      <c r="B2351" s="1" t="str">
        <f t="shared" si="121"/>
        <v>Hamilton Disston School</v>
      </c>
      <c r="C2351" s="1" t="str">
        <f t="shared" si="122"/>
        <v>District</v>
      </c>
      <c r="D2351" s="1" t="str">
        <f t="shared" si="123"/>
        <v>Elementary-Middle</v>
      </c>
      <c r="E2351" s="1" t="str">
        <f t="shared" si="124"/>
        <v>19135</v>
      </c>
      <c r="F2351" s="1">
        <f t="shared" si="125"/>
        <v>686</v>
      </c>
      <c r="G2351" s="1">
        <f t="shared" si="126"/>
        <v>0.81479999999999997</v>
      </c>
      <c r="H2351" s="1" t="str">
        <f t="shared" si="127"/>
        <v>Yes</v>
      </c>
      <c r="I2351" s="1">
        <f>IF(OR(A2351="",COUNTIFS('Staff Review'!$A$8:$A$507,A2351)&lt;&gt;1),0,MATCH(A2351,'Staff Review'!$A$8:$A$507,0))</f>
        <v>106</v>
      </c>
      <c r="J2351" s="1" t="str">
        <f>IF(I2351=0,"No",IF(INDEX('Staff Review'!$C$8:$C$507,I2351)="Yes","Yes","No"))</f>
        <v>No</v>
      </c>
      <c r="K2351" s="1">
        <f ca="1">IF(AI2351="Yes",INDEX('Staff Review'!$D$8:$D$507,I2351),IF(AB2351=0,"",IF(COUNT(INDEX($C$1531:$C$2030,AB2351))=1,INDEX($C$1531:$C$2030,AB2351),"")))</f>
        <v>0.31446689701862951</v>
      </c>
      <c r="L2351" s="1">
        <f>IF(AJ2351="Yes",INDEX('Staff Review'!$F$8:$F$507,I2351),IF(AB2351=0,"",IF(COUNT(INDEX($G$1531:$G$2030,AB2351))=1,INDEX($G$1531:$G$2030,AB2351),"")))</f>
        <v>6</v>
      </c>
      <c r="M2351" s="1" t="str">
        <f t="shared" ca="1" si="128"/>
        <v>Listed</v>
      </c>
      <c r="N2351" s="1" t="str">
        <f t="shared" si="129"/>
        <v>Listed</v>
      </c>
      <c r="O2351" s="1">
        <f t="shared" si="130"/>
        <v>25</v>
      </c>
      <c r="P2351" s="1">
        <f t="shared" ca="1" si="131"/>
        <v>10</v>
      </c>
      <c r="Q2351" s="1">
        <f t="shared" si="132"/>
        <v>0</v>
      </c>
      <c r="R2351" s="1">
        <f t="shared" si="133"/>
        <v>4</v>
      </c>
      <c r="S2351" s="1">
        <f t="shared" ca="1" si="134"/>
        <v>39</v>
      </c>
      <c r="T2351" s="1">
        <f ca="1">IF(OR(COUNT(O2351:R2351)&lt;&gt;4,COUNT('Top 25'!$B$45:$E$45)&lt;&gt;4,MIN('Top 25'!$B$45:$E$45)&lt;0,SUM('Top 25'!$B$45:$E$45)&lt;=0),"",ROUND(85*(O2351/30*'Top 25'!$B$45+P2351/25*'Top 25'!$C$45+Q2351/25*'Top 25'!$D$45+R2351/5*'Top 25'!$E$45)/SUM('Top 25'!$B$45:$E$45),6))</f>
        <v>39</v>
      </c>
      <c r="U2351" s="1" t="str">
        <f t="shared" ca="1" si="135"/>
        <v>Listed</v>
      </c>
      <c r="V2351" s="1" t="str">
        <f ca="1">IF(A2351="","",IF(AK2351&lt;&gt;1,"Duplicate source ID",IF(COUNTIFS('Staff Review'!$A$8:$A$507,A2351)&gt;1,"Duplicate review ID",IF(H2351&lt;&gt;"Yes","Outside scope",IF(J2351="Yes","Already served",IF(NOT(ISNUMBER(T2351)),"Missing data","Candidate"))))))</f>
        <v>Candidate</v>
      </c>
      <c r="W2351" s="1">
        <f t="shared" ca="1" si="136"/>
        <v>158</v>
      </c>
      <c r="X2351" s="1">
        <f t="shared" ca="1" si="137"/>
        <v>148</v>
      </c>
      <c r="Y2351" s="1">
        <f ca="1">IF(AND(H2351="Yes",OR(LEN('School Search'!$B$5)=0,ISNUMBER(SEARCH('School Search'!$B$5,B2351&amp;" "&amp;E2351&amp;" "&amp;A2351))),OR('School Search'!$D$5="All",C2351='School Search'!$D$5),OR('School Search'!$G$5="All eligible",AND('School Search'!$G$5="Not marked served",J2351&lt;&gt;"Yes"),AND('School Search'!$G$5="Missing data",V2351="Missing data"),AND('School Search'!$G$5="Marked served",J2351="Yes"))),1,0)</f>
        <v>1</v>
      </c>
      <c r="Z2351" s="1">
        <f ca="1">IF(Y2351=0,"",COUNTIFS($Y$2051:$Y$2550,1,$AO$2051:$AO$2550,"&lt;"&amp;AO2351)+COUNTIFS($Y$2051:Y2351,1,$AO$2051:AO2351,AO2351))</f>
        <v>158</v>
      </c>
      <c r="AA2351" s="1" t="str">
        <f t="shared" ca="1" si="138"/>
        <v>81% economic need; 0.31 mi fresh access; 6 nearby resources</v>
      </c>
      <c r="AB2351" s="1">
        <f t="shared" si="139"/>
        <v>301</v>
      </c>
      <c r="AC2351" s="1" t="str">
        <f t="shared" si="140"/>
        <v>SAVE-A-LOT 60132</v>
      </c>
      <c r="AD2351" s="1" t="str">
        <f t="shared" si="141"/>
        <v>6801 Frankford Ave, Philadelphia, PA, 19135</v>
      </c>
      <c r="AE2351" s="1" t="str">
        <f t="shared" si="142"/>
        <v>6801 COTTAGE ST</v>
      </c>
      <c r="AF2351" s="1">
        <f t="shared" si="143"/>
        <v>40.02836911</v>
      </c>
      <c r="AG2351" s="1">
        <f t="shared" si="144"/>
        <v>-75.046589040000001</v>
      </c>
      <c r="AH2351" s="1" t="str">
        <f>IF(I2351=0,"Not contacted",IF(INDEX('Staff Review'!$J$8:$J$507,I2351)="","Not contacted",INDEX('Staff Review'!$J$8:$J$507,I2351)))</f>
        <v>Not contacted</v>
      </c>
      <c r="AI2351" s="1" t="str">
        <f ca="1">IF(I2351=0,"No",IF(AND(COUNT(INDEX('Staff Review'!$D$8:$D$507,I2351))=1,INDEX('Staff Review'!$D$8:$D$507,I2351)&gt;=0,COUNT(INDEX('Staff Review'!$E$8:$E$507,I2351))=1,INDEX('Staff Review'!$E$8:$E$507,I2351)&gt;0,INDEX('Staff Review'!$E$8:$E$507,I2351)&lt;='Top 25'!$E$5,'Top 25'!$E$5-INDEX('Staff Review'!$E$8:$E$507,I2351)&lt;='Top 25'!$H$5,LEN(INDEX('Staff Review'!$H$8:$H$507,I2351))&gt;0),"Yes","No"))</f>
        <v>No</v>
      </c>
      <c r="AJ2351" s="1" t="str">
        <f>IF(I2351=0,"No",IF(COUNT(INDEX('Staff Review'!$F$8:$F$507,I2351))&lt;&gt;1,"No",IF(AND(INDEX('Staff Review'!$F$8:$F$507,I2351)&gt;=0,MOD(INDEX('Staff Review'!$F$8:$F$507,I2351),1)=0,COUNT(INDEX('Staff Review'!$G$8:$G$507,I2351))=1,INDEX('Staff Review'!$G$8:$G$507,I2351)&gt;0,INDEX('Staff Review'!$G$8:$G$507,I2351)&lt;='Top 25'!$E$5,'Top 25'!$E$5-INDEX('Staff Review'!$G$8:$G$507,I2351)&lt;='Top 25'!$H$5,LEN(INDEX('Staff Review'!$H$8:$H$507,I2351))&gt;0),"Yes","No")))</f>
        <v>No</v>
      </c>
      <c r="AK2351" s="1">
        <f t="shared" si="145"/>
        <v>1</v>
      </c>
      <c r="AL2351" s="1">
        <f t="shared" ca="1" si="146"/>
        <v>1</v>
      </c>
      <c r="AM2351" s="1">
        <f t="shared" si="147"/>
        <v>8240</v>
      </c>
      <c r="AN2351" s="1">
        <f t="shared" si="148"/>
        <v>301</v>
      </c>
      <c r="AO2351">
        <f t="shared" ca="1" si="149"/>
        <v>158</v>
      </c>
      <c r="AP2351" s="105">
        <f ca="1">IF(AND(AL2351=1,OR('Top 25'!$A$10="All",C2351='Top 25'!$A$10),OR('Top 25'!$D$10="All",D2351='Top 25'!$D$10)),1,0)</f>
        <v>0</v>
      </c>
      <c r="AQ2351" s="105" t="str">
        <f ca="1">IF(AP2351=0,"",CHOOSE(MATCH('Top 25'!$G$10,{"Priority score","Economic need","Enrollment","Fresh miles","Nearby resources"},0),T2351,G2351,F2351,K2351,L2351))</f>
        <v/>
      </c>
      <c r="AR2351" s="105" t="str">
        <f ca="1">IF(AP2351=0,"",1+COUNTIFS($AP$2051:$AP$2550,1,$AQ$2051:$AQ$2550,IF('Top 25'!$J$10="Ascending","&lt;","&gt;")&amp;AQ2351)+COUNTIFS($AP$2051:$AP$2550,1,$AQ$2051:$AQ$2550,AQ2351,$W$2051:$W$2550,"&lt;"&amp;W2351))</f>
        <v/>
      </c>
      <c r="AT2351" s="105">
        <f ca="1">IF(AND(AL2351=1,OR(Master_rankableSchools!$A$10="All",C2351=Master_rankableSchools!$A$10),OR(Master_rankableSchools!$D$10="All",D2351=Master_rankableSchools!$D$10)),1,0)</f>
        <v>1</v>
      </c>
      <c r="AU2351" s="105">
        <f ca="1">IF(AT2351=0,"",CHOOSE(MATCH(Master_rankableSchools!$G$10,{"Priority score","Economic need","Enrollment","Fresh miles","Nearby resources"},0),T2351,G2351,F2351,K2351,L2351))</f>
        <v>39</v>
      </c>
      <c r="AV2351" s="105">
        <f ca="1">IF(AT2351=0,"",1+COUNTIFS($AT$2051:$AT$2550,1,$AU$2051:$AU$2550,IF(Master_rankableSchools!$J$10="Ascending","&lt;","&gt;")&amp;AU2351)+COUNTIFS($AT$2051:$AT$2550,1,$AU$2051:$AU$2550,AU2351,$W$2051:$W$2550,"&lt;"&amp;W2351))</f>
        <v>158</v>
      </c>
    </row>
    <row r="2352" spans="1:48" ht="22" customHeight="1">
      <c r="A2352" s="1" t="str">
        <f t="shared" si="120"/>
        <v>8250</v>
      </c>
      <c r="B2352" s="1" t="str">
        <f t="shared" si="121"/>
        <v>Edwin Forrest School</v>
      </c>
      <c r="C2352" s="1" t="str">
        <f t="shared" si="122"/>
        <v>District</v>
      </c>
      <c r="D2352" s="1" t="str">
        <f t="shared" si="123"/>
        <v>Elementary</v>
      </c>
      <c r="E2352" s="1" t="str">
        <f t="shared" si="124"/>
        <v>19136</v>
      </c>
      <c r="F2352" s="1">
        <f t="shared" si="125"/>
        <v>798</v>
      </c>
      <c r="G2352" s="1">
        <f t="shared" si="126"/>
        <v>0.77600000000000002</v>
      </c>
      <c r="H2352" s="1" t="str">
        <f t="shared" si="127"/>
        <v>Yes</v>
      </c>
      <c r="I2352" s="1">
        <f>IF(OR(A2352="",COUNTIFS('Staff Review'!$A$8:$A$507,A2352)&lt;&gt;1),0,MATCH(A2352,'Staff Review'!$A$8:$A$507,0))</f>
        <v>58</v>
      </c>
      <c r="J2352" s="1" t="str">
        <f>IF(I2352=0,"No",IF(INDEX('Staff Review'!$C$8:$C$507,I2352)="Yes","Yes","No"))</f>
        <v>No</v>
      </c>
      <c r="K2352" s="1">
        <f ca="1">IF(AI2352="Yes",INDEX('Staff Review'!$D$8:$D$507,I2352),IF(AB2352=0,"",IF(COUNT(INDEX($C$1531:$C$2030,AB2352))=1,INDEX($C$1531:$C$2030,AB2352),"")))</f>
        <v>0.7703459815748348</v>
      </c>
      <c r="L2352" s="1">
        <f>IF(AJ2352="Yes",INDEX('Staff Review'!$F$8:$F$507,I2352),IF(AB2352=0,"",IF(COUNT(INDEX($G$1531:$G$2030,AB2352))=1,INDEX($G$1531:$G$2030,AB2352),"")))</f>
        <v>3</v>
      </c>
      <c r="M2352" s="1" t="str">
        <f t="shared" ca="1" si="128"/>
        <v>Listed</v>
      </c>
      <c r="N2352" s="1" t="str">
        <f t="shared" si="129"/>
        <v>Listed</v>
      </c>
      <c r="O2352" s="1">
        <f t="shared" si="130"/>
        <v>20</v>
      </c>
      <c r="P2352" s="1">
        <f t="shared" ca="1" si="131"/>
        <v>20</v>
      </c>
      <c r="Q2352" s="1">
        <f t="shared" si="132"/>
        <v>10</v>
      </c>
      <c r="R2352" s="1">
        <f t="shared" si="133"/>
        <v>5</v>
      </c>
      <c r="S2352" s="1">
        <f t="shared" ca="1" si="134"/>
        <v>55</v>
      </c>
      <c r="T2352" s="1">
        <f ca="1">IF(OR(COUNT(O2352:R2352)&lt;&gt;4,COUNT('Top 25'!$B$45:$E$45)&lt;&gt;4,MIN('Top 25'!$B$45:$E$45)&lt;0,SUM('Top 25'!$B$45:$E$45)&lt;=0),"",ROUND(85*(O2352/30*'Top 25'!$B$45+P2352/25*'Top 25'!$C$45+Q2352/25*'Top 25'!$D$45+R2352/5*'Top 25'!$E$45)/SUM('Top 25'!$B$45:$E$45),6))</f>
        <v>55</v>
      </c>
      <c r="U2352" s="1" t="str">
        <f t="shared" ca="1" si="135"/>
        <v>Listed</v>
      </c>
      <c r="V2352" s="1" t="str">
        <f ca="1">IF(A2352="","",IF(AK2352&lt;&gt;1,"Duplicate source ID",IF(COUNTIFS('Staff Review'!$A$8:$A$507,A2352)&gt;1,"Duplicate review ID",IF(H2352&lt;&gt;"Yes","Outside scope",IF(J2352="Yes","Already served",IF(NOT(ISNUMBER(T2352)),"Missing data","Candidate"))))))</f>
        <v>Candidate</v>
      </c>
      <c r="W2352" s="1">
        <f t="shared" ca="1" si="136"/>
        <v>25</v>
      </c>
      <c r="X2352" s="1">
        <f t="shared" ca="1" si="137"/>
        <v>24</v>
      </c>
      <c r="Y2352" s="1">
        <f ca="1">IF(AND(H2352="Yes",OR(LEN('School Search'!$B$5)=0,ISNUMBER(SEARCH('School Search'!$B$5,B2352&amp;" "&amp;E2352&amp;" "&amp;A2352))),OR('School Search'!$D$5="All",C2352='School Search'!$D$5),OR('School Search'!$G$5="All eligible",AND('School Search'!$G$5="Not marked served",J2352&lt;&gt;"Yes"),AND('School Search'!$G$5="Missing data",V2352="Missing data"),AND('School Search'!$G$5="Marked served",J2352="Yes"))),1,0)</f>
        <v>1</v>
      </c>
      <c r="Z2352" s="1">
        <f ca="1">IF(Y2352=0,"",COUNTIFS($Y$2051:$Y$2550,1,$AO$2051:$AO$2550,"&lt;"&amp;AO2352)+COUNTIFS($Y$2051:Y2352,1,$AO$2051:AO2352,AO2352))</f>
        <v>25</v>
      </c>
      <c r="AA2352" s="1" t="str">
        <f t="shared" ca="1" si="138"/>
        <v>78% economic need; 0.77 mi fresh access; 3 nearby resources</v>
      </c>
      <c r="AB2352" s="1">
        <f t="shared" si="139"/>
        <v>302</v>
      </c>
      <c r="AC2352" s="1" t="str">
        <f t="shared" si="140"/>
        <v>SAVE-A-LOT 60132</v>
      </c>
      <c r="AD2352" s="1" t="str">
        <f t="shared" si="141"/>
        <v>6801 Frankford Ave, Philadelphia, PA, 19135</v>
      </c>
      <c r="AE2352" s="1" t="str">
        <f t="shared" si="142"/>
        <v>7300 COTTAGE ST</v>
      </c>
      <c r="AF2352" s="1">
        <f t="shared" si="143"/>
        <v>40.034439999999996</v>
      </c>
      <c r="AG2352" s="1">
        <f t="shared" si="144"/>
        <v>-75.035891000000007</v>
      </c>
      <c r="AH2352" s="1" t="str">
        <f>IF(I2352=0,"Not contacted",IF(INDEX('Staff Review'!$J$8:$J$507,I2352)="","Not contacted",INDEX('Staff Review'!$J$8:$J$507,I2352)))</f>
        <v>Not contacted</v>
      </c>
      <c r="AI2352" s="1" t="str">
        <f ca="1">IF(I2352=0,"No",IF(AND(COUNT(INDEX('Staff Review'!$D$8:$D$507,I2352))=1,INDEX('Staff Review'!$D$8:$D$507,I2352)&gt;=0,COUNT(INDEX('Staff Review'!$E$8:$E$507,I2352))=1,INDEX('Staff Review'!$E$8:$E$507,I2352)&gt;0,INDEX('Staff Review'!$E$8:$E$507,I2352)&lt;='Top 25'!$E$5,'Top 25'!$E$5-INDEX('Staff Review'!$E$8:$E$507,I2352)&lt;='Top 25'!$H$5,LEN(INDEX('Staff Review'!$H$8:$H$507,I2352))&gt;0),"Yes","No"))</f>
        <v>No</v>
      </c>
      <c r="AJ2352" s="1" t="str">
        <f>IF(I2352=0,"No",IF(COUNT(INDEX('Staff Review'!$F$8:$F$507,I2352))&lt;&gt;1,"No",IF(AND(INDEX('Staff Review'!$F$8:$F$507,I2352)&gt;=0,MOD(INDEX('Staff Review'!$F$8:$F$507,I2352),1)=0,COUNT(INDEX('Staff Review'!$G$8:$G$507,I2352))=1,INDEX('Staff Review'!$G$8:$G$507,I2352)&gt;0,INDEX('Staff Review'!$G$8:$G$507,I2352)&lt;='Top 25'!$E$5,'Top 25'!$E$5-INDEX('Staff Review'!$G$8:$G$507,I2352)&lt;='Top 25'!$H$5,LEN(INDEX('Staff Review'!$H$8:$H$507,I2352))&gt;0),"Yes","No")))</f>
        <v>No</v>
      </c>
      <c r="AK2352" s="1">
        <f t="shared" si="145"/>
        <v>1</v>
      </c>
      <c r="AL2352" s="1">
        <f t="shared" ca="1" si="146"/>
        <v>1</v>
      </c>
      <c r="AM2352" s="1">
        <f t="shared" si="147"/>
        <v>8250</v>
      </c>
      <c r="AN2352" s="1">
        <f t="shared" si="148"/>
        <v>302</v>
      </c>
      <c r="AO2352">
        <f t="shared" ca="1" si="149"/>
        <v>25</v>
      </c>
      <c r="AP2352" s="105">
        <f ca="1">IF(AND(AL2352=1,OR('Top 25'!$A$10="All",C2352='Top 25'!$A$10),OR('Top 25'!$D$10="All",D2352='Top 25'!$D$10)),1,0)</f>
        <v>1</v>
      </c>
      <c r="AQ2352" s="105">
        <f ca="1">IF(AP2352=0,"",CHOOSE(MATCH('Top 25'!$G$10,{"Priority score","Economic need","Enrollment","Fresh miles","Nearby resources"},0),T2352,G2352,F2352,K2352,L2352))</f>
        <v>55</v>
      </c>
      <c r="AR2352" s="105">
        <f ca="1">IF(AP2352=0,"",1+COUNTIFS($AP$2051:$AP$2550,1,$AQ$2051:$AQ$2550,IF('Top 25'!$J$10="Ascending","&lt;","&gt;")&amp;AQ2352)+COUNTIFS($AP$2051:$AP$2550,1,$AQ$2051:$AQ$2550,AQ2352,$W$2051:$W$2550,"&lt;"&amp;W2352))</f>
        <v>3</v>
      </c>
      <c r="AT2352" s="105">
        <f ca="1">IF(AND(AL2352=1,OR(Master_rankableSchools!$A$10="All",C2352=Master_rankableSchools!$A$10),OR(Master_rankableSchools!$D$10="All",D2352=Master_rankableSchools!$D$10)),1,0)</f>
        <v>1</v>
      </c>
      <c r="AU2352" s="105">
        <f ca="1">IF(AT2352=0,"",CHOOSE(MATCH(Master_rankableSchools!$G$10,{"Priority score","Economic need","Enrollment","Fresh miles","Nearby resources"},0),T2352,G2352,F2352,K2352,L2352))</f>
        <v>55</v>
      </c>
      <c r="AV2352" s="105">
        <f ca="1">IF(AT2352=0,"",1+COUNTIFS($AT$2051:$AT$2550,1,$AU$2051:$AU$2550,IF(Master_rankableSchools!$J$10="Ascending","&lt;","&gt;")&amp;AU2352)+COUNTIFS($AT$2051:$AT$2550,1,$AU$2051:$AU$2550,AU2352,$W$2051:$W$2550,"&lt;"&amp;W2352))</f>
        <v>25</v>
      </c>
    </row>
    <row r="2353" spans="1:48" ht="22" customHeight="1">
      <c r="A2353" s="1" t="str">
        <f t="shared" si="120"/>
        <v>8260</v>
      </c>
      <c r="B2353" s="1" t="str">
        <f t="shared" si="121"/>
        <v>Fox Chase School</v>
      </c>
      <c r="C2353" s="1" t="str">
        <f t="shared" si="122"/>
        <v>District</v>
      </c>
      <c r="D2353" s="1" t="str">
        <f t="shared" si="123"/>
        <v>Elementary</v>
      </c>
      <c r="E2353" s="1" t="str">
        <f t="shared" si="124"/>
        <v>19111</v>
      </c>
      <c r="F2353" s="1">
        <f t="shared" si="125"/>
        <v>500</v>
      </c>
      <c r="G2353" s="1">
        <f t="shared" si="126"/>
        <v>0.68469999999999998</v>
      </c>
      <c r="H2353" s="1" t="str">
        <f t="shared" si="127"/>
        <v>Yes</v>
      </c>
      <c r="I2353" s="1">
        <f>IF(OR(A2353="",COUNTIFS('Staff Review'!$A$8:$A$507,A2353)&lt;&gt;1),0,MATCH(A2353,'Staff Review'!$A$8:$A$507,0))</f>
        <v>78</v>
      </c>
      <c r="J2353" s="1" t="str">
        <f>IF(I2353=0,"No",IF(INDEX('Staff Review'!$C$8:$C$507,I2353)="Yes","Yes","No"))</f>
        <v>No</v>
      </c>
      <c r="K2353" s="1">
        <f ca="1">IF(AI2353="Yes",INDEX('Staff Review'!$D$8:$D$507,I2353),IF(AB2353=0,"",IF(COUNT(INDEX($C$1531:$C$2030,AB2353))=1,INDEX($C$1531:$C$2030,AB2353),"")))</f>
        <v>0.86765671809517808</v>
      </c>
      <c r="L2353" s="1">
        <f>IF(AJ2353="Yes",INDEX('Staff Review'!$F$8:$F$507,I2353),IF(AB2353=0,"",IF(COUNT(INDEX($G$1531:$G$2030,AB2353))=1,INDEX($G$1531:$G$2030,AB2353),"")))</f>
        <v>2</v>
      </c>
      <c r="M2353" s="1" t="str">
        <f t="shared" ca="1" si="128"/>
        <v>Listed</v>
      </c>
      <c r="N2353" s="1" t="str">
        <f t="shared" si="129"/>
        <v>Listed</v>
      </c>
      <c r="O2353" s="1">
        <f t="shared" si="130"/>
        <v>15</v>
      </c>
      <c r="P2353" s="1">
        <f t="shared" ca="1" si="131"/>
        <v>20</v>
      </c>
      <c r="Q2353" s="1">
        <f t="shared" si="132"/>
        <v>15</v>
      </c>
      <c r="R2353" s="1">
        <f t="shared" si="133"/>
        <v>4</v>
      </c>
      <c r="S2353" s="1">
        <f t="shared" ca="1" si="134"/>
        <v>54</v>
      </c>
      <c r="T2353" s="1">
        <f ca="1">IF(OR(COUNT(O2353:R2353)&lt;&gt;4,COUNT('Top 25'!$B$45:$E$45)&lt;&gt;4,MIN('Top 25'!$B$45:$E$45)&lt;0,SUM('Top 25'!$B$45:$E$45)&lt;=0),"",ROUND(85*(O2353/30*'Top 25'!$B$45+P2353/25*'Top 25'!$C$45+Q2353/25*'Top 25'!$D$45+R2353/5*'Top 25'!$E$45)/SUM('Top 25'!$B$45:$E$45),6))</f>
        <v>54</v>
      </c>
      <c r="U2353" s="1" t="str">
        <f t="shared" ca="1" si="135"/>
        <v>Listed</v>
      </c>
      <c r="V2353" s="1" t="str">
        <f ca="1">IF(A2353="","",IF(AK2353&lt;&gt;1,"Duplicate source ID",IF(COUNTIFS('Staff Review'!$A$8:$A$507,A2353)&gt;1,"Duplicate review ID",IF(H2353&lt;&gt;"Yes","Outside scope",IF(J2353="Yes","Already served",IF(NOT(ISNUMBER(T2353)),"Missing data","Candidate"))))))</f>
        <v>Candidate</v>
      </c>
      <c r="W2353" s="1">
        <f t="shared" ca="1" si="136"/>
        <v>34</v>
      </c>
      <c r="X2353" s="1">
        <f t="shared" ca="1" si="137"/>
        <v>33</v>
      </c>
      <c r="Y2353" s="1">
        <f ca="1">IF(AND(H2353="Yes",OR(LEN('School Search'!$B$5)=0,ISNUMBER(SEARCH('School Search'!$B$5,B2353&amp;" "&amp;E2353&amp;" "&amp;A2353))),OR('School Search'!$D$5="All",C2353='School Search'!$D$5),OR('School Search'!$G$5="All eligible",AND('School Search'!$G$5="Not marked served",J2353&lt;&gt;"Yes"),AND('School Search'!$G$5="Missing data",V2353="Missing data"),AND('School Search'!$G$5="Marked served",J2353="Yes"))),1,0)</f>
        <v>1</v>
      </c>
      <c r="Z2353" s="1">
        <f ca="1">IF(Y2353=0,"",COUNTIFS($Y$2051:$Y$2550,1,$AO$2051:$AO$2550,"&lt;"&amp;AO2353)+COUNTIFS($Y$2051:Y2353,1,$AO$2051:AO2353,AO2353))</f>
        <v>34</v>
      </c>
      <c r="AA2353" s="1" t="str">
        <f t="shared" ca="1" si="138"/>
        <v>68% economic need; 0.87 mi fresh access; 2 nearby resources</v>
      </c>
      <c r="AB2353" s="1">
        <f t="shared" si="139"/>
        <v>303</v>
      </c>
      <c r="AC2353" s="1" t="str">
        <f t="shared" si="140"/>
        <v>Giant Food Store 6509</v>
      </c>
      <c r="AD2353" s="1" t="str">
        <f t="shared" si="141"/>
        <v>737 Huntingdon Pike, Huntingdon Valley, PA, 19006</v>
      </c>
      <c r="AE2353" s="1" t="str">
        <f t="shared" si="142"/>
        <v>500 RHAWN ST</v>
      </c>
      <c r="AF2353" s="1">
        <f t="shared" si="143"/>
        <v>40.076307</v>
      </c>
      <c r="AG2353" s="1">
        <f t="shared" si="144"/>
        <v>-75.082128999999995</v>
      </c>
      <c r="AH2353" s="1" t="str">
        <f>IF(I2353=0,"Not contacted",IF(INDEX('Staff Review'!$J$8:$J$507,I2353)="","Not contacted",INDEX('Staff Review'!$J$8:$J$507,I2353)))</f>
        <v>Not contacted</v>
      </c>
      <c r="AI2353" s="1" t="str">
        <f ca="1">IF(I2353=0,"No",IF(AND(COUNT(INDEX('Staff Review'!$D$8:$D$507,I2353))=1,INDEX('Staff Review'!$D$8:$D$507,I2353)&gt;=0,COUNT(INDEX('Staff Review'!$E$8:$E$507,I2353))=1,INDEX('Staff Review'!$E$8:$E$507,I2353)&gt;0,INDEX('Staff Review'!$E$8:$E$507,I2353)&lt;='Top 25'!$E$5,'Top 25'!$E$5-INDEX('Staff Review'!$E$8:$E$507,I2353)&lt;='Top 25'!$H$5,LEN(INDEX('Staff Review'!$H$8:$H$507,I2353))&gt;0),"Yes","No"))</f>
        <v>No</v>
      </c>
      <c r="AJ2353" s="1" t="str">
        <f>IF(I2353=0,"No",IF(COUNT(INDEX('Staff Review'!$F$8:$F$507,I2353))&lt;&gt;1,"No",IF(AND(INDEX('Staff Review'!$F$8:$F$507,I2353)&gt;=0,MOD(INDEX('Staff Review'!$F$8:$F$507,I2353),1)=0,COUNT(INDEX('Staff Review'!$G$8:$G$507,I2353))=1,INDEX('Staff Review'!$G$8:$G$507,I2353)&gt;0,INDEX('Staff Review'!$G$8:$G$507,I2353)&lt;='Top 25'!$E$5,'Top 25'!$E$5-INDEX('Staff Review'!$G$8:$G$507,I2353)&lt;='Top 25'!$H$5,LEN(INDEX('Staff Review'!$H$8:$H$507,I2353))&gt;0),"Yes","No")))</f>
        <v>No</v>
      </c>
      <c r="AK2353" s="1">
        <f t="shared" si="145"/>
        <v>1</v>
      </c>
      <c r="AL2353" s="1">
        <f t="shared" ca="1" si="146"/>
        <v>1</v>
      </c>
      <c r="AM2353" s="1">
        <f t="shared" si="147"/>
        <v>8260</v>
      </c>
      <c r="AN2353" s="1">
        <f t="shared" si="148"/>
        <v>303</v>
      </c>
      <c r="AO2353">
        <f t="shared" ca="1" si="149"/>
        <v>34</v>
      </c>
      <c r="AP2353" s="105">
        <f ca="1">IF(AND(AL2353=1,OR('Top 25'!$A$10="All",C2353='Top 25'!$A$10),OR('Top 25'!$D$10="All",D2353='Top 25'!$D$10)),1,0)</f>
        <v>1</v>
      </c>
      <c r="AQ2353" s="105">
        <f ca="1">IF(AP2353=0,"",CHOOSE(MATCH('Top 25'!$G$10,{"Priority score","Economic need","Enrollment","Fresh miles","Nearby resources"},0),T2353,G2353,F2353,K2353,L2353))</f>
        <v>54</v>
      </c>
      <c r="AR2353" s="105">
        <f ca="1">IF(AP2353=0,"",1+COUNTIFS($AP$2051:$AP$2550,1,$AQ$2051:$AQ$2550,IF('Top 25'!$J$10="Ascending","&lt;","&gt;")&amp;AQ2353)+COUNTIFS($AP$2051:$AP$2550,1,$AQ$2051:$AQ$2550,AQ2353,$W$2051:$W$2550,"&lt;"&amp;W2353))</f>
        <v>4</v>
      </c>
      <c r="AT2353" s="105">
        <f ca="1">IF(AND(AL2353=1,OR(Master_rankableSchools!$A$10="All",C2353=Master_rankableSchools!$A$10),OR(Master_rankableSchools!$D$10="All",D2353=Master_rankableSchools!$D$10)),1,0)</f>
        <v>1</v>
      </c>
      <c r="AU2353" s="105">
        <f ca="1">IF(AT2353=0,"",CHOOSE(MATCH(Master_rankableSchools!$G$10,{"Priority score","Economic need","Enrollment","Fresh miles","Nearby resources"},0),T2353,G2353,F2353,K2353,L2353))</f>
        <v>54</v>
      </c>
      <c r="AV2353" s="105">
        <f ca="1">IF(AT2353=0,"",1+COUNTIFS($AT$2051:$AT$2550,1,$AU$2051:$AU$2550,IF(Master_rankableSchools!$J$10="Ascending","&lt;","&gt;")&amp;AU2353)+COUNTIFS($AT$2051:$AT$2550,1,$AU$2051:$AU$2550,AU2353,$W$2051:$W$2550,"&lt;"&amp;W2353))</f>
        <v>34</v>
      </c>
    </row>
    <row r="2354" spans="1:48" ht="22" customHeight="1">
      <c r="A2354" s="1" t="str">
        <f t="shared" si="120"/>
        <v>8270</v>
      </c>
      <c r="B2354" s="1" t="str">
        <f t="shared" si="121"/>
        <v>Thomas Holme School</v>
      </c>
      <c r="C2354" s="1" t="str">
        <f t="shared" si="122"/>
        <v>District</v>
      </c>
      <c r="D2354" s="1" t="str">
        <f t="shared" si="123"/>
        <v>Elementary-Middle</v>
      </c>
      <c r="E2354" s="1" t="str">
        <f t="shared" si="124"/>
        <v>19114</v>
      </c>
      <c r="F2354" s="1">
        <f t="shared" si="125"/>
        <v>801</v>
      </c>
      <c r="G2354" s="1">
        <f t="shared" si="126"/>
        <v>0.77980000000000005</v>
      </c>
      <c r="H2354" s="1" t="str">
        <f t="shared" si="127"/>
        <v>Yes</v>
      </c>
      <c r="I2354" s="1">
        <f>IF(OR(A2354="",COUNTIFS('Staff Review'!$A$8:$A$507,A2354)&lt;&gt;1),0,MATCH(A2354,'Staff Review'!$A$8:$A$507,0))</f>
        <v>294</v>
      </c>
      <c r="J2354" s="1" t="str">
        <f>IF(I2354=0,"No",IF(INDEX('Staff Review'!$C$8:$C$507,I2354)="Yes","Yes","No"))</f>
        <v>No</v>
      </c>
      <c r="K2354" s="1">
        <f ca="1">IF(AI2354="Yes",INDEX('Staff Review'!$D$8:$D$507,I2354),IF(AB2354=0,"",IF(COUNT(INDEX($C$1531:$C$2030,AB2354))=1,INDEX($C$1531:$C$2030,AB2354),"")))</f>
        <v>0.21108360174862981</v>
      </c>
      <c r="L2354" s="1">
        <f>IF(AJ2354="Yes",INDEX('Staff Review'!$F$8:$F$507,I2354),IF(AB2354=0,"",IF(COUNT(INDEX($G$1531:$G$2030,AB2354))=1,INDEX($G$1531:$G$2030,AB2354),"")))</f>
        <v>1</v>
      </c>
      <c r="M2354" s="1" t="str">
        <f t="shared" ca="1" si="128"/>
        <v>Listed</v>
      </c>
      <c r="N2354" s="1" t="str">
        <f t="shared" si="129"/>
        <v>Listed</v>
      </c>
      <c r="O2354" s="1">
        <f t="shared" si="130"/>
        <v>20</v>
      </c>
      <c r="P2354" s="1">
        <f t="shared" ca="1" si="131"/>
        <v>5</v>
      </c>
      <c r="Q2354" s="1">
        <f t="shared" si="132"/>
        <v>20</v>
      </c>
      <c r="R2354" s="1">
        <f t="shared" si="133"/>
        <v>5</v>
      </c>
      <c r="S2354" s="1">
        <f t="shared" ca="1" si="134"/>
        <v>50</v>
      </c>
      <c r="T2354" s="1">
        <f ca="1">IF(OR(COUNT(O2354:R2354)&lt;&gt;4,COUNT('Top 25'!$B$45:$E$45)&lt;&gt;4,MIN('Top 25'!$B$45:$E$45)&lt;0,SUM('Top 25'!$B$45:$E$45)&lt;=0),"",ROUND(85*(O2354/30*'Top 25'!$B$45+P2354/25*'Top 25'!$C$45+Q2354/25*'Top 25'!$D$45+R2354/5*'Top 25'!$E$45)/SUM('Top 25'!$B$45:$E$45),6))</f>
        <v>50</v>
      </c>
      <c r="U2354" s="1" t="str">
        <f t="shared" ca="1" si="135"/>
        <v>Listed</v>
      </c>
      <c r="V2354" s="1" t="str">
        <f ca="1">IF(A2354="","",IF(AK2354&lt;&gt;1,"Duplicate source ID",IF(COUNTIFS('Staff Review'!$A$8:$A$507,A2354)&gt;1,"Duplicate review ID",IF(H2354&lt;&gt;"Yes","Outside scope",IF(J2354="Yes","Already served",IF(NOT(ISNUMBER(T2354)),"Missing data","Candidate"))))))</f>
        <v>Candidate</v>
      </c>
      <c r="W2354" s="1">
        <f t="shared" ca="1" si="136"/>
        <v>43</v>
      </c>
      <c r="X2354" s="1">
        <f t="shared" ca="1" si="137"/>
        <v>39</v>
      </c>
      <c r="Y2354" s="1">
        <f ca="1">IF(AND(H2354="Yes",OR(LEN('School Search'!$B$5)=0,ISNUMBER(SEARCH('School Search'!$B$5,B2354&amp;" "&amp;E2354&amp;" "&amp;A2354))),OR('School Search'!$D$5="All",C2354='School Search'!$D$5),OR('School Search'!$G$5="All eligible",AND('School Search'!$G$5="Not marked served",J2354&lt;&gt;"Yes"),AND('School Search'!$G$5="Missing data",V2354="Missing data"),AND('School Search'!$G$5="Marked served",J2354="Yes"))),1,0)</f>
        <v>1</v>
      </c>
      <c r="Z2354" s="1">
        <f ca="1">IF(Y2354=0,"",COUNTIFS($Y$2051:$Y$2550,1,$AO$2051:$AO$2550,"&lt;"&amp;AO2354)+COUNTIFS($Y$2051:Y2354,1,$AO$2051:AO2354,AO2354))</f>
        <v>43</v>
      </c>
      <c r="AA2354" s="1" t="str">
        <f t="shared" ca="1" si="138"/>
        <v>78% economic need; 0.21 mi fresh access; 1 nearby resources</v>
      </c>
      <c r="AB2354" s="1">
        <f t="shared" si="139"/>
        <v>304</v>
      </c>
      <c r="AC2354" s="1" t="str">
        <f t="shared" si="140"/>
        <v>PJP Marketplace</v>
      </c>
      <c r="AD2354" s="1" t="str">
        <f t="shared" si="141"/>
        <v>8960 Frankford Avenue, Philadelphia, PA, 19136</v>
      </c>
      <c r="AE2354" s="1" t="str">
        <f t="shared" si="142"/>
        <v>9125 ACADEMY RD</v>
      </c>
      <c r="AF2354" s="1">
        <f t="shared" si="143"/>
        <v>40.054988000000002</v>
      </c>
      <c r="AG2354" s="1">
        <f t="shared" si="144"/>
        <v>-75.008965000000003</v>
      </c>
      <c r="AH2354" s="1" t="str">
        <f>IF(I2354=0,"Not contacted",IF(INDEX('Staff Review'!$J$8:$J$507,I2354)="","Not contacted",INDEX('Staff Review'!$J$8:$J$507,I2354)))</f>
        <v>Not contacted</v>
      </c>
      <c r="AI2354" s="1" t="str">
        <f ca="1">IF(I2354=0,"No",IF(AND(COUNT(INDEX('Staff Review'!$D$8:$D$507,I2354))=1,INDEX('Staff Review'!$D$8:$D$507,I2354)&gt;=0,COUNT(INDEX('Staff Review'!$E$8:$E$507,I2354))=1,INDEX('Staff Review'!$E$8:$E$507,I2354)&gt;0,INDEX('Staff Review'!$E$8:$E$507,I2354)&lt;='Top 25'!$E$5,'Top 25'!$E$5-INDEX('Staff Review'!$E$8:$E$507,I2354)&lt;='Top 25'!$H$5,LEN(INDEX('Staff Review'!$H$8:$H$507,I2354))&gt;0),"Yes","No"))</f>
        <v>No</v>
      </c>
      <c r="AJ2354" s="1" t="str">
        <f>IF(I2354=0,"No",IF(COUNT(INDEX('Staff Review'!$F$8:$F$507,I2354))&lt;&gt;1,"No",IF(AND(INDEX('Staff Review'!$F$8:$F$507,I2354)&gt;=0,MOD(INDEX('Staff Review'!$F$8:$F$507,I2354),1)=0,COUNT(INDEX('Staff Review'!$G$8:$G$507,I2354))=1,INDEX('Staff Review'!$G$8:$G$507,I2354)&gt;0,INDEX('Staff Review'!$G$8:$G$507,I2354)&lt;='Top 25'!$E$5,'Top 25'!$E$5-INDEX('Staff Review'!$G$8:$G$507,I2354)&lt;='Top 25'!$H$5,LEN(INDEX('Staff Review'!$H$8:$H$507,I2354))&gt;0),"Yes","No")))</f>
        <v>No</v>
      </c>
      <c r="AK2354" s="1">
        <f t="shared" si="145"/>
        <v>1</v>
      </c>
      <c r="AL2354" s="1">
        <f t="shared" ca="1" si="146"/>
        <v>1</v>
      </c>
      <c r="AM2354" s="1">
        <f t="shared" si="147"/>
        <v>8270</v>
      </c>
      <c r="AN2354" s="1">
        <f t="shared" si="148"/>
        <v>304</v>
      </c>
      <c r="AO2354">
        <f t="shared" ca="1" si="149"/>
        <v>43</v>
      </c>
      <c r="AP2354" s="105">
        <f ca="1">IF(AND(AL2354=1,OR('Top 25'!$A$10="All",C2354='Top 25'!$A$10),OR('Top 25'!$D$10="All",D2354='Top 25'!$D$10)),1,0)</f>
        <v>0</v>
      </c>
      <c r="AQ2354" s="105" t="str">
        <f ca="1">IF(AP2354=0,"",CHOOSE(MATCH('Top 25'!$G$10,{"Priority score","Economic need","Enrollment","Fresh miles","Nearby resources"},0),T2354,G2354,F2354,K2354,L2354))</f>
        <v/>
      </c>
      <c r="AR2354" s="105" t="str">
        <f ca="1">IF(AP2354=0,"",1+COUNTIFS($AP$2051:$AP$2550,1,$AQ$2051:$AQ$2550,IF('Top 25'!$J$10="Ascending","&lt;","&gt;")&amp;AQ2354)+COUNTIFS($AP$2051:$AP$2550,1,$AQ$2051:$AQ$2550,AQ2354,$W$2051:$W$2550,"&lt;"&amp;W2354))</f>
        <v/>
      </c>
      <c r="AT2354" s="105">
        <f ca="1">IF(AND(AL2354=1,OR(Master_rankableSchools!$A$10="All",C2354=Master_rankableSchools!$A$10),OR(Master_rankableSchools!$D$10="All",D2354=Master_rankableSchools!$D$10)),1,0)</f>
        <v>1</v>
      </c>
      <c r="AU2354" s="105">
        <f ca="1">IF(AT2354=0,"",CHOOSE(MATCH(Master_rankableSchools!$G$10,{"Priority score","Economic need","Enrollment","Fresh miles","Nearby resources"},0),T2354,G2354,F2354,K2354,L2354))</f>
        <v>50</v>
      </c>
      <c r="AV2354" s="105">
        <f ca="1">IF(AT2354=0,"",1+COUNTIFS($AT$2051:$AT$2550,1,$AU$2051:$AU$2550,IF(Master_rankableSchools!$J$10="Ascending","&lt;","&gt;")&amp;AU2354)+COUNTIFS($AT$2051:$AT$2550,1,$AU$2051:$AU$2550,AU2354,$W$2051:$W$2550,"&lt;"&amp;W2354))</f>
        <v>43</v>
      </c>
    </row>
    <row r="2355" spans="1:48" ht="22" customHeight="1">
      <c r="A2355" s="1" t="str">
        <f t="shared" si="120"/>
        <v>8300</v>
      </c>
      <c r="B2355" s="1" t="str">
        <f t="shared" si="121"/>
        <v>Mayfair School</v>
      </c>
      <c r="C2355" s="1" t="str">
        <f t="shared" si="122"/>
        <v>District</v>
      </c>
      <c r="D2355" s="1" t="str">
        <f t="shared" si="123"/>
        <v>Elementary-Middle</v>
      </c>
      <c r="E2355" s="1" t="str">
        <f t="shared" si="124"/>
        <v>19149</v>
      </c>
      <c r="F2355" s="1">
        <f t="shared" si="125"/>
        <v>1746</v>
      </c>
      <c r="G2355" s="1">
        <f t="shared" si="126"/>
        <v>0.73850000000000005</v>
      </c>
      <c r="H2355" s="1" t="str">
        <f t="shared" si="127"/>
        <v>Yes</v>
      </c>
      <c r="I2355" s="1">
        <f>IF(OR(A2355="",COUNTIFS('Staff Review'!$A$8:$A$507,A2355)&lt;&gt;1),0,MATCH(A2355,'Staff Review'!$A$8:$A$507,0))</f>
        <v>197</v>
      </c>
      <c r="J2355" s="1" t="str">
        <f>IF(I2355=0,"No",IF(INDEX('Staff Review'!$C$8:$C$507,I2355)="Yes","Yes","No"))</f>
        <v>No</v>
      </c>
      <c r="K2355" s="1">
        <f ca="1">IF(AI2355="Yes",INDEX('Staff Review'!$D$8:$D$507,I2355),IF(AB2355=0,"",IF(COUNT(INDEX($C$1531:$C$2030,AB2355))=1,INDEX($C$1531:$C$2030,AB2355),"")))</f>
        <v>0.18475066467909304</v>
      </c>
      <c r="L2355" s="1">
        <f>IF(AJ2355="Yes",INDEX('Staff Review'!$F$8:$F$507,I2355),IF(AB2355=0,"",IF(COUNT(INDEX($G$1531:$G$2030,AB2355))=1,INDEX($G$1531:$G$2030,AB2355),"")))</f>
        <v>2</v>
      </c>
      <c r="M2355" s="1" t="str">
        <f t="shared" ca="1" si="128"/>
        <v>Listed</v>
      </c>
      <c r="N2355" s="1" t="str">
        <f t="shared" si="129"/>
        <v>Listed</v>
      </c>
      <c r="O2355" s="1">
        <f t="shared" si="130"/>
        <v>20</v>
      </c>
      <c r="P2355" s="1">
        <f t="shared" ca="1" si="131"/>
        <v>5</v>
      </c>
      <c r="Q2355" s="1">
        <f t="shared" si="132"/>
        <v>15</v>
      </c>
      <c r="R2355" s="1">
        <f t="shared" si="133"/>
        <v>5</v>
      </c>
      <c r="S2355" s="1">
        <f t="shared" ca="1" si="134"/>
        <v>45</v>
      </c>
      <c r="T2355" s="1">
        <f ca="1">IF(OR(COUNT(O2355:R2355)&lt;&gt;4,COUNT('Top 25'!$B$45:$E$45)&lt;&gt;4,MIN('Top 25'!$B$45:$E$45)&lt;0,SUM('Top 25'!$B$45:$E$45)&lt;=0),"",ROUND(85*(O2355/30*'Top 25'!$B$45+P2355/25*'Top 25'!$C$45+Q2355/25*'Top 25'!$D$45+R2355/5*'Top 25'!$E$45)/SUM('Top 25'!$B$45:$E$45),6))</f>
        <v>45</v>
      </c>
      <c r="U2355" s="1" t="str">
        <f t="shared" ca="1" si="135"/>
        <v>Listed</v>
      </c>
      <c r="V2355" s="1" t="str">
        <f ca="1">IF(A2355="","",IF(AK2355&lt;&gt;1,"Duplicate source ID",IF(COUNTIFS('Staff Review'!$A$8:$A$507,A2355)&gt;1,"Duplicate review ID",IF(H2355&lt;&gt;"Yes","Outside scope",IF(J2355="Yes","Already served",IF(NOT(ISNUMBER(T2355)),"Missing data","Candidate"))))))</f>
        <v>Candidate</v>
      </c>
      <c r="W2355" s="1">
        <f t="shared" ca="1" si="136"/>
        <v>78</v>
      </c>
      <c r="X2355" s="1">
        <f t="shared" ca="1" si="137"/>
        <v>74</v>
      </c>
      <c r="Y2355" s="1">
        <f ca="1">IF(AND(H2355="Yes",OR(LEN('School Search'!$B$5)=0,ISNUMBER(SEARCH('School Search'!$B$5,B2355&amp;" "&amp;E2355&amp;" "&amp;A2355))),OR('School Search'!$D$5="All",C2355='School Search'!$D$5),OR('School Search'!$G$5="All eligible",AND('School Search'!$G$5="Not marked served",J2355&lt;&gt;"Yes"),AND('School Search'!$G$5="Missing data",V2355="Missing data"),AND('School Search'!$G$5="Marked served",J2355="Yes"))),1,0)</f>
        <v>1</v>
      </c>
      <c r="Z2355" s="1">
        <f ca="1">IF(Y2355=0,"",COUNTIFS($Y$2051:$Y$2550,1,$AO$2051:$AO$2550,"&lt;"&amp;AO2355)+COUNTIFS($Y$2051:Y2355,1,$AO$2051:AO2355,AO2355))</f>
        <v>78</v>
      </c>
      <c r="AA2355" s="1" t="str">
        <f t="shared" ca="1" si="138"/>
        <v>74% economic need; 0.18 mi fresh access; 2 nearby resources</v>
      </c>
      <c r="AB2355" s="1">
        <f t="shared" si="139"/>
        <v>305</v>
      </c>
      <c r="AC2355" s="1" t="str">
        <f t="shared" si="140"/>
        <v>No.1 Asian Supermarket Inc</v>
      </c>
      <c r="AD2355" s="1" t="str">
        <f t="shared" si="141"/>
        <v>2842 Saint Vincent St, Philadelphia, PA, 19149</v>
      </c>
      <c r="AE2355" s="1" t="str">
        <f t="shared" si="142"/>
        <v>3001 PRINCETON AVE</v>
      </c>
      <c r="AF2355" s="1">
        <f t="shared" si="143"/>
        <v>40.039454360000001</v>
      </c>
      <c r="AG2355" s="1">
        <f t="shared" si="144"/>
        <v>-75.053393319999998</v>
      </c>
      <c r="AH2355" s="1" t="str">
        <f>IF(I2355=0,"Not contacted",IF(INDEX('Staff Review'!$J$8:$J$507,I2355)="","Not contacted",INDEX('Staff Review'!$J$8:$J$507,I2355)))</f>
        <v>Not contacted</v>
      </c>
      <c r="AI2355" s="1" t="str">
        <f ca="1">IF(I2355=0,"No",IF(AND(COUNT(INDEX('Staff Review'!$D$8:$D$507,I2355))=1,INDEX('Staff Review'!$D$8:$D$507,I2355)&gt;=0,COUNT(INDEX('Staff Review'!$E$8:$E$507,I2355))=1,INDEX('Staff Review'!$E$8:$E$507,I2355)&gt;0,INDEX('Staff Review'!$E$8:$E$507,I2355)&lt;='Top 25'!$E$5,'Top 25'!$E$5-INDEX('Staff Review'!$E$8:$E$507,I2355)&lt;='Top 25'!$H$5,LEN(INDEX('Staff Review'!$H$8:$H$507,I2355))&gt;0),"Yes","No"))</f>
        <v>No</v>
      </c>
      <c r="AJ2355" s="1" t="str">
        <f>IF(I2355=0,"No",IF(COUNT(INDEX('Staff Review'!$F$8:$F$507,I2355))&lt;&gt;1,"No",IF(AND(INDEX('Staff Review'!$F$8:$F$507,I2355)&gt;=0,MOD(INDEX('Staff Review'!$F$8:$F$507,I2355),1)=0,COUNT(INDEX('Staff Review'!$G$8:$G$507,I2355))=1,INDEX('Staff Review'!$G$8:$G$507,I2355)&gt;0,INDEX('Staff Review'!$G$8:$G$507,I2355)&lt;='Top 25'!$E$5,'Top 25'!$E$5-INDEX('Staff Review'!$G$8:$G$507,I2355)&lt;='Top 25'!$H$5,LEN(INDEX('Staff Review'!$H$8:$H$507,I2355))&gt;0),"Yes","No")))</f>
        <v>No</v>
      </c>
      <c r="AK2355" s="1">
        <f t="shared" si="145"/>
        <v>1</v>
      </c>
      <c r="AL2355" s="1">
        <f t="shared" ca="1" si="146"/>
        <v>1</v>
      </c>
      <c r="AM2355" s="1">
        <f t="shared" si="147"/>
        <v>8300</v>
      </c>
      <c r="AN2355" s="1">
        <f t="shared" si="148"/>
        <v>305</v>
      </c>
      <c r="AO2355">
        <f t="shared" ca="1" si="149"/>
        <v>78</v>
      </c>
      <c r="AP2355" s="105">
        <f ca="1">IF(AND(AL2355=1,OR('Top 25'!$A$10="All",C2355='Top 25'!$A$10),OR('Top 25'!$D$10="All",D2355='Top 25'!$D$10)),1,0)</f>
        <v>0</v>
      </c>
      <c r="AQ2355" s="105" t="str">
        <f ca="1">IF(AP2355=0,"",CHOOSE(MATCH('Top 25'!$G$10,{"Priority score","Economic need","Enrollment","Fresh miles","Nearby resources"},0),T2355,G2355,F2355,K2355,L2355))</f>
        <v/>
      </c>
      <c r="AR2355" s="105" t="str">
        <f ca="1">IF(AP2355=0,"",1+COUNTIFS($AP$2051:$AP$2550,1,$AQ$2051:$AQ$2550,IF('Top 25'!$J$10="Ascending","&lt;","&gt;")&amp;AQ2355)+COUNTIFS($AP$2051:$AP$2550,1,$AQ$2051:$AQ$2550,AQ2355,$W$2051:$W$2550,"&lt;"&amp;W2355))</f>
        <v/>
      </c>
      <c r="AT2355" s="105">
        <f ca="1">IF(AND(AL2355=1,OR(Master_rankableSchools!$A$10="All",C2355=Master_rankableSchools!$A$10),OR(Master_rankableSchools!$D$10="All",D2355=Master_rankableSchools!$D$10)),1,0)</f>
        <v>1</v>
      </c>
      <c r="AU2355" s="105">
        <f ca="1">IF(AT2355=0,"",CHOOSE(MATCH(Master_rankableSchools!$G$10,{"Priority score","Economic need","Enrollment","Fresh miles","Nearby resources"},0),T2355,G2355,F2355,K2355,L2355))</f>
        <v>45</v>
      </c>
      <c r="AV2355" s="105">
        <f ca="1">IF(AT2355=0,"",1+COUNTIFS($AT$2051:$AT$2550,1,$AU$2051:$AU$2550,IF(Master_rankableSchools!$J$10="Ascending","&lt;","&gt;")&amp;AU2355)+COUNTIFS($AT$2051:$AT$2550,1,$AU$2051:$AU$2550,AU2355,$W$2051:$W$2550,"&lt;"&amp;W2355))</f>
        <v>78</v>
      </c>
    </row>
    <row r="2356" spans="1:48" ht="22" customHeight="1">
      <c r="A2356" s="1" t="str">
        <f t="shared" si="120"/>
        <v>8310</v>
      </c>
      <c r="B2356" s="1" t="str">
        <f t="shared" si="121"/>
        <v>J. Hampton Moore School</v>
      </c>
      <c r="C2356" s="1" t="str">
        <f t="shared" si="122"/>
        <v>District</v>
      </c>
      <c r="D2356" s="1" t="str">
        <f t="shared" si="123"/>
        <v>Elementary</v>
      </c>
      <c r="E2356" s="1" t="str">
        <f t="shared" si="124"/>
        <v>19111</v>
      </c>
      <c r="F2356" s="1">
        <f t="shared" si="125"/>
        <v>1162</v>
      </c>
      <c r="G2356" s="1">
        <f t="shared" si="126"/>
        <v>0.77949999999999997</v>
      </c>
      <c r="H2356" s="1" t="str">
        <f t="shared" si="127"/>
        <v>Yes</v>
      </c>
      <c r="I2356" s="1">
        <f>IF(OR(A2356="",COUNTIFS('Staff Review'!$A$8:$A$507,A2356)&lt;&gt;1),0,MATCH(A2356,'Staff Review'!$A$8:$A$507,0))</f>
        <v>124</v>
      </c>
      <c r="J2356" s="1" t="str">
        <f>IF(I2356=0,"No",IF(INDEX('Staff Review'!$C$8:$C$507,I2356)="Yes","Yes","No"))</f>
        <v>No</v>
      </c>
      <c r="K2356" s="1">
        <f ca="1">IF(AI2356="Yes",INDEX('Staff Review'!$D$8:$D$507,I2356),IF(AB2356=0,"",IF(COUNT(INDEX($C$1531:$C$2030,AB2356))=1,INDEX($C$1531:$C$2030,AB2356),"")))</f>
        <v>0.48677921687658265</v>
      </c>
      <c r="L2356" s="1">
        <f>IF(AJ2356="Yes",INDEX('Staff Review'!$F$8:$F$507,I2356),IF(AB2356=0,"",IF(COUNT(INDEX($G$1531:$G$2030,AB2356))=1,INDEX($G$1531:$G$2030,AB2356),"")))</f>
        <v>2</v>
      </c>
      <c r="M2356" s="1" t="str">
        <f t="shared" ca="1" si="128"/>
        <v>Listed</v>
      </c>
      <c r="N2356" s="1" t="str">
        <f t="shared" si="129"/>
        <v>Listed</v>
      </c>
      <c r="O2356" s="1">
        <f t="shared" si="130"/>
        <v>20</v>
      </c>
      <c r="P2356" s="1">
        <f t="shared" ca="1" si="131"/>
        <v>10</v>
      </c>
      <c r="Q2356" s="1">
        <f t="shared" si="132"/>
        <v>15</v>
      </c>
      <c r="R2356" s="1">
        <f t="shared" si="133"/>
        <v>5</v>
      </c>
      <c r="S2356" s="1">
        <f t="shared" ca="1" si="134"/>
        <v>50</v>
      </c>
      <c r="T2356" s="1">
        <f ca="1">IF(OR(COUNT(O2356:R2356)&lt;&gt;4,COUNT('Top 25'!$B$45:$E$45)&lt;&gt;4,MIN('Top 25'!$B$45:$E$45)&lt;0,SUM('Top 25'!$B$45:$E$45)&lt;=0),"",ROUND(85*(O2356/30*'Top 25'!$B$45+P2356/25*'Top 25'!$C$45+Q2356/25*'Top 25'!$D$45+R2356/5*'Top 25'!$E$45)/SUM('Top 25'!$B$45:$E$45),6))</f>
        <v>50</v>
      </c>
      <c r="U2356" s="1" t="str">
        <f t="shared" ca="1" si="135"/>
        <v>Listed</v>
      </c>
      <c r="V2356" s="1" t="str">
        <f ca="1">IF(A2356="","",IF(AK2356&lt;&gt;1,"Duplicate source ID",IF(COUNTIFS('Staff Review'!$A$8:$A$507,A2356)&gt;1,"Duplicate review ID",IF(H2356&lt;&gt;"Yes","Outside scope",IF(J2356="Yes","Already served",IF(NOT(ISNUMBER(T2356)),"Missing data","Candidate"))))))</f>
        <v>Candidate</v>
      </c>
      <c r="W2356" s="1">
        <f t="shared" ca="1" si="136"/>
        <v>44</v>
      </c>
      <c r="X2356" s="1">
        <f t="shared" ca="1" si="137"/>
        <v>39</v>
      </c>
      <c r="Y2356" s="1">
        <f ca="1">IF(AND(H2356="Yes",OR(LEN('School Search'!$B$5)=0,ISNUMBER(SEARCH('School Search'!$B$5,B2356&amp;" "&amp;E2356&amp;" "&amp;A2356))),OR('School Search'!$D$5="All",C2356='School Search'!$D$5),OR('School Search'!$G$5="All eligible",AND('School Search'!$G$5="Not marked served",J2356&lt;&gt;"Yes"),AND('School Search'!$G$5="Missing data",V2356="Missing data"),AND('School Search'!$G$5="Marked served",J2356="Yes"))),1,0)</f>
        <v>1</v>
      </c>
      <c r="Z2356" s="1">
        <f ca="1">IF(Y2356=0,"",COUNTIFS($Y$2051:$Y$2550,1,$AO$2051:$AO$2550,"&lt;"&amp;AO2356)+COUNTIFS($Y$2051:Y2356,1,$AO$2051:AO2356,AO2356))</f>
        <v>44</v>
      </c>
      <c r="AA2356" s="1" t="str">
        <f t="shared" ca="1" si="138"/>
        <v>78% economic need; 0.49 mi fresh access; 2 nearby resources</v>
      </c>
      <c r="AB2356" s="1">
        <f t="shared" si="139"/>
        <v>306</v>
      </c>
      <c r="AC2356" s="1" t="str">
        <f t="shared" si="140"/>
        <v>Meat Shoppers Plus LLC</v>
      </c>
      <c r="AD2356" s="1" t="str">
        <f t="shared" si="141"/>
        <v>6619 Castor Ave, Philadelphia, PA, 19149</v>
      </c>
      <c r="AE2356" s="1" t="str">
        <f t="shared" si="142"/>
        <v>6900 SUMMERDALE AVE</v>
      </c>
      <c r="AF2356" s="1">
        <f t="shared" si="143"/>
        <v>40.049135</v>
      </c>
      <c r="AG2356" s="1">
        <f t="shared" si="144"/>
        <v>-75.076911999999993</v>
      </c>
      <c r="AH2356" s="1" t="str">
        <f>IF(I2356=0,"Not contacted",IF(INDEX('Staff Review'!$J$8:$J$507,I2356)="","Not contacted",INDEX('Staff Review'!$J$8:$J$507,I2356)))</f>
        <v>Not contacted</v>
      </c>
      <c r="AI2356" s="1" t="str">
        <f ca="1">IF(I2356=0,"No",IF(AND(COUNT(INDEX('Staff Review'!$D$8:$D$507,I2356))=1,INDEX('Staff Review'!$D$8:$D$507,I2356)&gt;=0,COUNT(INDEX('Staff Review'!$E$8:$E$507,I2356))=1,INDEX('Staff Review'!$E$8:$E$507,I2356)&gt;0,INDEX('Staff Review'!$E$8:$E$507,I2356)&lt;='Top 25'!$E$5,'Top 25'!$E$5-INDEX('Staff Review'!$E$8:$E$507,I2356)&lt;='Top 25'!$H$5,LEN(INDEX('Staff Review'!$H$8:$H$507,I2356))&gt;0),"Yes","No"))</f>
        <v>No</v>
      </c>
      <c r="AJ2356" s="1" t="str">
        <f>IF(I2356=0,"No",IF(COUNT(INDEX('Staff Review'!$F$8:$F$507,I2356))&lt;&gt;1,"No",IF(AND(INDEX('Staff Review'!$F$8:$F$507,I2356)&gt;=0,MOD(INDEX('Staff Review'!$F$8:$F$507,I2356),1)=0,COUNT(INDEX('Staff Review'!$G$8:$G$507,I2356))=1,INDEX('Staff Review'!$G$8:$G$507,I2356)&gt;0,INDEX('Staff Review'!$G$8:$G$507,I2356)&lt;='Top 25'!$E$5,'Top 25'!$E$5-INDEX('Staff Review'!$G$8:$G$507,I2356)&lt;='Top 25'!$H$5,LEN(INDEX('Staff Review'!$H$8:$H$507,I2356))&gt;0),"Yes","No")))</f>
        <v>No</v>
      </c>
      <c r="AK2356" s="1">
        <f t="shared" si="145"/>
        <v>1</v>
      </c>
      <c r="AL2356" s="1">
        <f t="shared" ca="1" si="146"/>
        <v>1</v>
      </c>
      <c r="AM2356" s="1">
        <f t="shared" si="147"/>
        <v>8310</v>
      </c>
      <c r="AN2356" s="1">
        <f t="shared" si="148"/>
        <v>306</v>
      </c>
      <c r="AO2356">
        <f t="shared" ca="1" si="149"/>
        <v>44</v>
      </c>
      <c r="AP2356" s="105">
        <f ca="1">IF(AND(AL2356=1,OR('Top 25'!$A$10="All",C2356='Top 25'!$A$10),OR('Top 25'!$D$10="All",D2356='Top 25'!$D$10)),1,0)</f>
        <v>1</v>
      </c>
      <c r="AQ2356" s="105">
        <f ca="1">IF(AP2356=0,"",CHOOSE(MATCH('Top 25'!$G$10,{"Priority score","Economic need","Enrollment","Fresh miles","Nearby resources"},0),T2356,G2356,F2356,K2356,L2356))</f>
        <v>50</v>
      </c>
      <c r="AR2356" s="105">
        <f ca="1">IF(AP2356=0,"",1+COUNTIFS($AP$2051:$AP$2550,1,$AQ$2051:$AQ$2550,IF('Top 25'!$J$10="Ascending","&lt;","&gt;")&amp;AQ2356)+COUNTIFS($AP$2051:$AP$2550,1,$AQ$2051:$AQ$2550,AQ2356,$W$2051:$W$2550,"&lt;"&amp;W2356))</f>
        <v>6</v>
      </c>
      <c r="AT2356" s="105">
        <f ca="1">IF(AND(AL2356=1,OR(Master_rankableSchools!$A$10="All",C2356=Master_rankableSchools!$A$10),OR(Master_rankableSchools!$D$10="All",D2356=Master_rankableSchools!$D$10)),1,0)</f>
        <v>1</v>
      </c>
      <c r="AU2356" s="105">
        <f ca="1">IF(AT2356=0,"",CHOOSE(MATCH(Master_rankableSchools!$G$10,{"Priority score","Economic need","Enrollment","Fresh miles","Nearby resources"},0),T2356,G2356,F2356,K2356,L2356))</f>
        <v>50</v>
      </c>
      <c r="AV2356" s="105">
        <f ca="1">IF(AT2356=0,"",1+COUNTIFS($AT$2051:$AT$2550,1,$AU$2051:$AU$2550,IF(Master_rankableSchools!$J$10="Ascending","&lt;","&gt;")&amp;AU2356)+COUNTIFS($AT$2051:$AT$2550,1,$AU$2051:$AU$2550,AU2356,$W$2051:$W$2550,"&lt;"&amp;W2356))</f>
        <v>44</v>
      </c>
    </row>
    <row r="2357" spans="1:48" ht="22" customHeight="1">
      <c r="A2357" s="1" t="str">
        <f t="shared" si="120"/>
        <v>8340</v>
      </c>
      <c r="B2357" s="1" t="str">
        <f t="shared" si="121"/>
        <v>Solomon Solis-Cohen School</v>
      </c>
      <c r="C2357" s="1" t="str">
        <f t="shared" si="122"/>
        <v>District</v>
      </c>
      <c r="D2357" s="1" t="str">
        <f t="shared" si="123"/>
        <v>Elementary</v>
      </c>
      <c r="E2357" s="1" t="str">
        <f t="shared" si="124"/>
        <v>19149</v>
      </c>
      <c r="F2357" s="1">
        <f t="shared" si="125"/>
        <v>1354</v>
      </c>
      <c r="G2357" s="1">
        <f t="shared" si="126"/>
        <v>0.79020000000000001</v>
      </c>
      <c r="H2357" s="1" t="str">
        <f t="shared" si="127"/>
        <v>Yes</v>
      </c>
      <c r="I2357" s="1">
        <f>IF(OR(A2357="",COUNTIFS('Staff Review'!$A$8:$A$507,A2357)&lt;&gt;1),0,MATCH(A2357,'Staff Review'!$A$8:$A$507,0))</f>
        <v>269</v>
      </c>
      <c r="J2357" s="1" t="str">
        <f>IF(I2357=0,"No",IF(INDEX('Staff Review'!$C$8:$C$507,I2357)="Yes","Yes","No"))</f>
        <v>No</v>
      </c>
      <c r="K2357" s="1">
        <f ca="1">IF(AI2357="Yes",INDEX('Staff Review'!$D$8:$D$507,I2357),IF(AB2357=0,"",IF(COUNT(INDEX($C$1531:$C$2030,AB2357))=1,INDEX($C$1531:$C$2030,AB2357),"")))</f>
        <v>0.36391859379799124</v>
      </c>
      <c r="L2357" s="1">
        <f>IF(AJ2357="Yes",INDEX('Staff Review'!$F$8:$F$507,I2357),IF(AB2357=0,"",IF(COUNT(INDEX($G$1531:$G$2030,AB2357))=1,INDEX($G$1531:$G$2030,AB2357),"")))</f>
        <v>3</v>
      </c>
      <c r="M2357" s="1" t="str">
        <f t="shared" ca="1" si="128"/>
        <v>Listed</v>
      </c>
      <c r="N2357" s="1" t="str">
        <f t="shared" si="129"/>
        <v>Listed</v>
      </c>
      <c r="O2357" s="1">
        <f t="shared" si="130"/>
        <v>20</v>
      </c>
      <c r="P2357" s="1">
        <f t="shared" ca="1" si="131"/>
        <v>10</v>
      </c>
      <c r="Q2357" s="1">
        <f t="shared" si="132"/>
        <v>10</v>
      </c>
      <c r="R2357" s="1">
        <f t="shared" si="133"/>
        <v>5</v>
      </c>
      <c r="S2357" s="1">
        <f t="shared" ca="1" si="134"/>
        <v>45</v>
      </c>
      <c r="T2357" s="1">
        <f ca="1">IF(OR(COUNT(O2357:R2357)&lt;&gt;4,COUNT('Top 25'!$B$45:$E$45)&lt;&gt;4,MIN('Top 25'!$B$45:$E$45)&lt;0,SUM('Top 25'!$B$45:$E$45)&lt;=0),"",ROUND(85*(O2357/30*'Top 25'!$B$45+P2357/25*'Top 25'!$C$45+Q2357/25*'Top 25'!$D$45+R2357/5*'Top 25'!$E$45)/SUM('Top 25'!$B$45:$E$45),6))</f>
        <v>45</v>
      </c>
      <c r="U2357" s="1" t="str">
        <f t="shared" ca="1" si="135"/>
        <v>Listed</v>
      </c>
      <c r="V2357" s="1" t="str">
        <f ca="1">IF(A2357="","",IF(AK2357&lt;&gt;1,"Duplicate source ID",IF(COUNTIFS('Staff Review'!$A$8:$A$507,A2357)&gt;1,"Duplicate review ID",IF(H2357&lt;&gt;"Yes","Outside scope",IF(J2357="Yes","Already served",IF(NOT(ISNUMBER(T2357)),"Missing data","Candidate"))))))</f>
        <v>Candidate</v>
      </c>
      <c r="W2357" s="1">
        <f t="shared" ca="1" si="136"/>
        <v>77</v>
      </c>
      <c r="X2357" s="1">
        <f t="shared" ca="1" si="137"/>
        <v>74</v>
      </c>
      <c r="Y2357" s="1">
        <f ca="1">IF(AND(H2357="Yes",OR(LEN('School Search'!$B$5)=0,ISNUMBER(SEARCH('School Search'!$B$5,B2357&amp;" "&amp;E2357&amp;" "&amp;A2357))),OR('School Search'!$D$5="All",C2357='School Search'!$D$5),OR('School Search'!$G$5="All eligible",AND('School Search'!$G$5="Not marked served",J2357&lt;&gt;"Yes"),AND('School Search'!$G$5="Missing data",V2357="Missing data"),AND('School Search'!$G$5="Marked served",J2357="Yes"))),1,0)</f>
        <v>1</v>
      </c>
      <c r="Z2357" s="1">
        <f ca="1">IF(Y2357=0,"",COUNTIFS($Y$2051:$Y$2550,1,$AO$2051:$AO$2550,"&lt;"&amp;AO2357)+COUNTIFS($Y$2051:Y2357,1,$AO$2051:AO2357,AO2357))</f>
        <v>77</v>
      </c>
      <c r="AA2357" s="1" t="str">
        <f t="shared" ca="1" si="138"/>
        <v>79% economic need; 0.36 mi fresh access; 3 nearby resources</v>
      </c>
      <c r="AB2357" s="1">
        <f t="shared" si="139"/>
        <v>307</v>
      </c>
      <c r="AC2357" s="1" t="str">
        <f t="shared" si="140"/>
        <v>Acme 0299</v>
      </c>
      <c r="AD2357" s="1" t="str">
        <f t="shared" si="141"/>
        <v>2101 Cottman Ave, Philadelphia, PA, 19149</v>
      </c>
      <c r="AE2357" s="1" t="str">
        <f t="shared" si="142"/>
        <v>7001 HORROCKS ST</v>
      </c>
      <c r="AF2357" s="1">
        <f t="shared" si="143"/>
        <v>40.044643999999998</v>
      </c>
      <c r="AG2357" s="1">
        <f t="shared" si="144"/>
        <v>-75.064724999999996</v>
      </c>
      <c r="AH2357" s="1" t="str">
        <f>IF(I2357=0,"Not contacted",IF(INDEX('Staff Review'!$J$8:$J$507,I2357)="","Not contacted",INDEX('Staff Review'!$J$8:$J$507,I2357)))</f>
        <v>Not contacted</v>
      </c>
      <c r="AI2357" s="1" t="str">
        <f ca="1">IF(I2357=0,"No",IF(AND(COUNT(INDEX('Staff Review'!$D$8:$D$507,I2357))=1,INDEX('Staff Review'!$D$8:$D$507,I2357)&gt;=0,COUNT(INDEX('Staff Review'!$E$8:$E$507,I2357))=1,INDEX('Staff Review'!$E$8:$E$507,I2357)&gt;0,INDEX('Staff Review'!$E$8:$E$507,I2357)&lt;='Top 25'!$E$5,'Top 25'!$E$5-INDEX('Staff Review'!$E$8:$E$507,I2357)&lt;='Top 25'!$H$5,LEN(INDEX('Staff Review'!$H$8:$H$507,I2357))&gt;0),"Yes","No"))</f>
        <v>No</v>
      </c>
      <c r="AJ2357" s="1" t="str">
        <f>IF(I2357=0,"No",IF(COUNT(INDEX('Staff Review'!$F$8:$F$507,I2357))&lt;&gt;1,"No",IF(AND(INDEX('Staff Review'!$F$8:$F$507,I2357)&gt;=0,MOD(INDEX('Staff Review'!$F$8:$F$507,I2357),1)=0,COUNT(INDEX('Staff Review'!$G$8:$G$507,I2357))=1,INDEX('Staff Review'!$G$8:$G$507,I2357)&gt;0,INDEX('Staff Review'!$G$8:$G$507,I2357)&lt;='Top 25'!$E$5,'Top 25'!$E$5-INDEX('Staff Review'!$G$8:$G$507,I2357)&lt;='Top 25'!$H$5,LEN(INDEX('Staff Review'!$H$8:$H$507,I2357))&gt;0),"Yes","No")))</f>
        <v>No</v>
      </c>
      <c r="AK2357" s="1">
        <f t="shared" si="145"/>
        <v>1</v>
      </c>
      <c r="AL2357" s="1">
        <f t="shared" ca="1" si="146"/>
        <v>1</v>
      </c>
      <c r="AM2357" s="1">
        <f t="shared" si="147"/>
        <v>8340</v>
      </c>
      <c r="AN2357" s="1">
        <f t="shared" si="148"/>
        <v>307</v>
      </c>
      <c r="AO2357">
        <f t="shared" ca="1" si="149"/>
        <v>77</v>
      </c>
      <c r="AP2357" s="105">
        <f ca="1">IF(AND(AL2357=1,OR('Top 25'!$A$10="All",C2357='Top 25'!$A$10),OR('Top 25'!$D$10="All",D2357='Top 25'!$D$10)),1,0)</f>
        <v>1</v>
      </c>
      <c r="AQ2357" s="105">
        <f ca="1">IF(AP2357=0,"",CHOOSE(MATCH('Top 25'!$G$10,{"Priority score","Economic need","Enrollment","Fresh miles","Nearby resources"},0),T2357,G2357,F2357,K2357,L2357))</f>
        <v>45</v>
      </c>
      <c r="AR2357" s="105">
        <f ca="1">IF(AP2357=0,"",1+COUNTIFS($AP$2051:$AP$2550,1,$AQ$2051:$AQ$2550,IF('Top 25'!$J$10="Ascending","&lt;","&gt;")&amp;AQ2357)+COUNTIFS($AP$2051:$AP$2550,1,$AQ$2051:$AQ$2550,AQ2357,$W$2051:$W$2550,"&lt;"&amp;W2357))</f>
        <v>12</v>
      </c>
      <c r="AT2357" s="105">
        <f ca="1">IF(AND(AL2357=1,OR(Master_rankableSchools!$A$10="All",C2357=Master_rankableSchools!$A$10),OR(Master_rankableSchools!$D$10="All",D2357=Master_rankableSchools!$D$10)),1,0)</f>
        <v>1</v>
      </c>
      <c r="AU2357" s="105">
        <f ca="1">IF(AT2357=0,"",CHOOSE(MATCH(Master_rankableSchools!$G$10,{"Priority score","Economic need","Enrollment","Fresh miles","Nearby resources"},0),T2357,G2357,F2357,K2357,L2357))</f>
        <v>45</v>
      </c>
      <c r="AV2357" s="105">
        <f ca="1">IF(AT2357=0,"",1+COUNTIFS($AT$2051:$AT$2550,1,$AU$2051:$AU$2550,IF(Master_rankableSchools!$J$10="Ascending","&lt;","&gt;")&amp;AU2357)+COUNTIFS($AT$2051:$AT$2550,1,$AU$2051:$AU$2550,AU2357,$W$2051:$W$2550,"&lt;"&amp;W2357))</f>
        <v>77</v>
      </c>
    </row>
    <row r="2358" spans="1:48" ht="22" customHeight="1">
      <c r="A2358" s="1" t="str">
        <f t="shared" si="120"/>
        <v>8350</v>
      </c>
      <c r="B2358" s="1" t="str">
        <f t="shared" si="121"/>
        <v>Gilbert Spruance School</v>
      </c>
      <c r="C2358" s="1" t="str">
        <f t="shared" si="122"/>
        <v>District</v>
      </c>
      <c r="D2358" s="1" t="str">
        <f t="shared" si="123"/>
        <v>Elementary-Middle</v>
      </c>
      <c r="E2358" s="1" t="str">
        <f t="shared" si="124"/>
        <v>19149</v>
      </c>
      <c r="F2358" s="1">
        <f t="shared" si="125"/>
        <v>1259</v>
      </c>
      <c r="G2358" s="1">
        <f t="shared" si="126"/>
        <v>0.78769999999999996</v>
      </c>
      <c r="H2358" s="1" t="str">
        <f t="shared" si="127"/>
        <v>Yes</v>
      </c>
      <c r="I2358" s="1">
        <f>IF(OR(A2358="",COUNTIFS('Staff Review'!$A$8:$A$507,A2358)&lt;&gt;1),0,MATCH(A2358,'Staff Review'!$A$8:$A$507,0))</f>
        <v>98</v>
      </c>
      <c r="J2358" s="1" t="str">
        <f>IF(I2358=0,"No",IF(INDEX('Staff Review'!$C$8:$C$507,I2358)="Yes","Yes","No"))</f>
        <v>No</v>
      </c>
      <c r="K2358" s="1">
        <f ca="1">IF(AI2358="Yes",INDEX('Staff Review'!$D$8:$D$507,I2358),IF(AB2358=0,"",IF(COUNT(INDEX($C$1531:$C$2030,AB2358))=1,INDEX($C$1531:$C$2030,AB2358),"")))</f>
        <v>0.27189586889960465</v>
      </c>
      <c r="L2358" s="1">
        <f>IF(AJ2358="Yes",INDEX('Staff Review'!$F$8:$F$507,I2358),IF(AB2358=0,"",IF(COUNT(INDEX($G$1531:$G$2030,AB2358))=1,INDEX($G$1531:$G$2030,AB2358),"")))</f>
        <v>4</v>
      </c>
      <c r="M2358" s="1" t="str">
        <f t="shared" ca="1" si="128"/>
        <v>Listed</v>
      </c>
      <c r="N2358" s="1" t="str">
        <f t="shared" si="129"/>
        <v>Listed</v>
      </c>
      <c r="O2358" s="1">
        <f t="shared" si="130"/>
        <v>20</v>
      </c>
      <c r="P2358" s="1">
        <f t="shared" ca="1" si="131"/>
        <v>10</v>
      </c>
      <c r="Q2358" s="1">
        <f t="shared" si="132"/>
        <v>5</v>
      </c>
      <c r="R2358" s="1">
        <f t="shared" si="133"/>
        <v>5</v>
      </c>
      <c r="S2358" s="1">
        <f t="shared" ca="1" si="134"/>
        <v>40</v>
      </c>
      <c r="T2358" s="1">
        <f ca="1">IF(OR(COUNT(O2358:R2358)&lt;&gt;4,COUNT('Top 25'!$B$45:$E$45)&lt;&gt;4,MIN('Top 25'!$B$45:$E$45)&lt;0,SUM('Top 25'!$B$45:$E$45)&lt;=0),"",ROUND(85*(O2358/30*'Top 25'!$B$45+P2358/25*'Top 25'!$C$45+Q2358/25*'Top 25'!$D$45+R2358/5*'Top 25'!$E$45)/SUM('Top 25'!$B$45:$E$45),6))</f>
        <v>40</v>
      </c>
      <c r="U2358" s="1" t="str">
        <f t="shared" ca="1" si="135"/>
        <v>Listed</v>
      </c>
      <c r="V2358" s="1" t="str">
        <f ca="1">IF(A2358="","",IF(AK2358&lt;&gt;1,"Duplicate source ID",IF(COUNTIFS('Staff Review'!$A$8:$A$507,A2358)&gt;1,"Duplicate review ID",IF(H2358&lt;&gt;"Yes","Outside scope",IF(J2358="Yes","Already served",IF(NOT(ISNUMBER(T2358)),"Missing data","Candidate"))))))</f>
        <v>Candidate</v>
      </c>
      <c r="W2358" s="1">
        <f t="shared" ca="1" si="136"/>
        <v>144</v>
      </c>
      <c r="X2358" s="1">
        <f t="shared" ca="1" si="137"/>
        <v>133</v>
      </c>
      <c r="Y2358" s="1">
        <f ca="1">IF(AND(H2358="Yes",OR(LEN('School Search'!$B$5)=0,ISNUMBER(SEARCH('School Search'!$B$5,B2358&amp;" "&amp;E2358&amp;" "&amp;A2358))),OR('School Search'!$D$5="All",C2358='School Search'!$D$5),OR('School Search'!$G$5="All eligible",AND('School Search'!$G$5="Not marked served",J2358&lt;&gt;"Yes"),AND('School Search'!$G$5="Missing data",V2358="Missing data"),AND('School Search'!$G$5="Marked served",J2358="Yes"))),1,0)</f>
        <v>1</v>
      </c>
      <c r="Z2358" s="1">
        <f ca="1">IF(Y2358=0,"",COUNTIFS($Y$2051:$Y$2550,1,$AO$2051:$AO$2550,"&lt;"&amp;AO2358)+COUNTIFS($Y$2051:Y2358,1,$AO$2051:AO2358,AO2358))</f>
        <v>144</v>
      </c>
      <c r="AA2358" s="1" t="str">
        <f t="shared" ca="1" si="138"/>
        <v>79% economic need; 0.27 mi fresh access; 4 nearby resources</v>
      </c>
      <c r="AB2358" s="1">
        <f t="shared" si="139"/>
        <v>308</v>
      </c>
      <c r="AC2358" s="1" t="str">
        <f t="shared" si="140"/>
        <v>Compare &amp; Save</v>
      </c>
      <c r="AD2358" s="1" t="str">
        <f t="shared" si="141"/>
        <v>6515 Castor Ave, Philadelphia, PA, 19149</v>
      </c>
      <c r="AE2358" s="1" t="str">
        <f t="shared" si="142"/>
        <v>6401 HORROCKS ST</v>
      </c>
      <c r="AF2358" s="1">
        <f t="shared" si="143"/>
        <v>40.037561420000003</v>
      </c>
      <c r="AG2358" s="1">
        <f t="shared" si="144"/>
        <v>-75.072329359999998</v>
      </c>
      <c r="AH2358" s="1" t="str">
        <f>IF(I2358=0,"Not contacted",IF(INDEX('Staff Review'!$J$8:$J$507,I2358)="","Not contacted",INDEX('Staff Review'!$J$8:$J$507,I2358)))</f>
        <v>Not contacted</v>
      </c>
      <c r="AI2358" s="1" t="str">
        <f ca="1">IF(I2358=0,"No",IF(AND(COUNT(INDEX('Staff Review'!$D$8:$D$507,I2358))=1,INDEX('Staff Review'!$D$8:$D$507,I2358)&gt;=0,COUNT(INDEX('Staff Review'!$E$8:$E$507,I2358))=1,INDEX('Staff Review'!$E$8:$E$507,I2358)&gt;0,INDEX('Staff Review'!$E$8:$E$507,I2358)&lt;='Top 25'!$E$5,'Top 25'!$E$5-INDEX('Staff Review'!$E$8:$E$507,I2358)&lt;='Top 25'!$H$5,LEN(INDEX('Staff Review'!$H$8:$H$507,I2358))&gt;0),"Yes","No"))</f>
        <v>No</v>
      </c>
      <c r="AJ2358" s="1" t="str">
        <f>IF(I2358=0,"No",IF(COUNT(INDEX('Staff Review'!$F$8:$F$507,I2358))&lt;&gt;1,"No",IF(AND(INDEX('Staff Review'!$F$8:$F$507,I2358)&gt;=0,MOD(INDEX('Staff Review'!$F$8:$F$507,I2358),1)=0,COUNT(INDEX('Staff Review'!$G$8:$G$507,I2358))=1,INDEX('Staff Review'!$G$8:$G$507,I2358)&gt;0,INDEX('Staff Review'!$G$8:$G$507,I2358)&lt;='Top 25'!$E$5,'Top 25'!$E$5-INDEX('Staff Review'!$G$8:$G$507,I2358)&lt;='Top 25'!$H$5,LEN(INDEX('Staff Review'!$H$8:$H$507,I2358))&gt;0),"Yes","No")))</f>
        <v>No</v>
      </c>
      <c r="AK2358" s="1">
        <f t="shared" si="145"/>
        <v>1</v>
      </c>
      <c r="AL2358" s="1">
        <f t="shared" ca="1" si="146"/>
        <v>1</v>
      </c>
      <c r="AM2358" s="1">
        <f t="shared" si="147"/>
        <v>8350</v>
      </c>
      <c r="AN2358" s="1">
        <f t="shared" si="148"/>
        <v>308</v>
      </c>
      <c r="AO2358">
        <f t="shared" ca="1" si="149"/>
        <v>144</v>
      </c>
      <c r="AP2358" s="105">
        <f ca="1">IF(AND(AL2358=1,OR('Top 25'!$A$10="All",C2358='Top 25'!$A$10),OR('Top 25'!$D$10="All",D2358='Top 25'!$D$10)),1,0)</f>
        <v>0</v>
      </c>
      <c r="AQ2358" s="105" t="str">
        <f ca="1">IF(AP2358=0,"",CHOOSE(MATCH('Top 25'!$G$10,{"Priority score","Economic need","Enrollment","Fresh miles","Nearby resources"},0),T2358,G2358,F2358,K2358,L2358))</f>
        <v/>
      </c>
      <c r="AR2358" s="105" t="str">
        <f ca="1">IF(AP2358=0,"",1+COUNTIFS($AP$2051:$AP$2550,1,$AQ$2051:$AQ$2550,IF('Top 25'!$J$10="Ascending","&lt;","&gt;")&amp;AQ2358)+COUNTIFS($AP$2051:$AP$2550,1,$AQ$2051:$AQ$2550,AQ2358,$W$2051:$W$2550,"&lt;"&amp;W2358))</f>
        <v/>
      </c>
      <c r="AT2358" s="105">
        <f ca="1">IF(AND(AL2358=1,OR(Master_rankableSchools!$A$10="All",C2358=Master_rankableSchools!$A$10),OR(Master_rankableSchools!$D$10="All",D2358=Master_rankableSchools!$D$10)),1,0)</f>
        <v>1</v>
      </c>
      <c r="AU2358" s="105">
        <f ca="1">IF(AT2358=0,"",CHOOSE(MATCH(Master_rankableSchools!$G$10,{"Priority score","Economic need","Enrollment","Fresh miles","Nearby resources"},0),T2358,G2358,F2358,K2358,L2358))</f>
        <v>40</v>
      </c>
      <c r="AV2358" s="105">
        <f ca="1">IF(AT2358=0,"",1+COUNTIFS($AT$2051:$AT$2550,1,$AU$2051:$AU$2550,IF(Master_rankableSchools!$J$10="Ascending","&lt;","&gt;")&amp;AU2358)+COUNTIFS($AT$2051:$AT$2550,1,$AU$2051:$AU$2550,AU2358,$W$2051:$W$2550,"&lt;"&amp;W2358))</f>
        <v>144</v>
      </c>
    </row>
    <row r="2359" spans="1:48" ht="22" customHeight="1">
      <c r="A2359" s="1" t="str">
        <f t="shared" si="120"/>
        <v>8360</v>
      </c>
      <c r="B2359" s="1" t="str">
        <f t="shared" si="121"/>
        <v>Rhawnhurst School</v>
      </c>
      <c r="C2359" s="1" t="str">
        <f t="shared" si="122"/>
        <v>District</v>
      </c>
      <c r="D2359" s="1" t="str">
        <f t="shared" si="123"/>
        <v>Elementary</v>
      </c>
      <c r="E2359" s="1" t="str">
        <f t="shared" si="124"/>
        <v>19152</v>
      </c>
      <c r="F2359" s="1">
        <f t="shared" si="125"/>
        <v>584</v>
      </c>
      <c r="G2359" s="1">
        <f t="shared" si="126"/>
        <v>0.76370000000000005</v>
      </c>
      <c r="H2359" s="1" t="str">
        <f t="shared" si="127"/>
        <v>Yes</v>
      </c>
      <c r="I2359" s="1">
        <f>IF(OR(A2359="",COUNTIFS('Staff Review'!$A$8:$A$507,A2359)&lt;&gt;1),0,MATCH(A2359,'Staff Review'!$A$8:$A$507,0))</f>
        <v>247</v>
      </c>
      <c r="J2359" s="1" t="str">
        <f>IF(I2359=0,"No",IF(INDEX('Staff Review'!$C$8:$C$507,I2359)="Yes","Yes","No"))</f>
        <v>No</v>
      </c>
      <c r="K2359" s="1">
        <f ca="1">IF(AI2359="Yes",INDEX('Staff Review'!$D$8:$D$507,I2359),IF(AB2359=0,"",IF(COUNT(INDEX($C$1531:$C$2030,AB2359))=1,INDEX($C$1531:$C$2030,AB2359),"")))</f>
        <v>0.51437216105070149</v>
      </c>
      <c r="L2359" s="1">
        <f>IF(AJ2359="Yes",INDEX('Staff Review'!$F$8:$F$507,I2359),IF(AB2359=0,"",IF(COUNT(INDEX($G$1531:$G$2030,AB2359))=1,INDEX($G$1531:$G$2030,AB2359),"")))</f>
        <v>0</v>
      </c>
      <c r="M2359" s="1" t="str">
        <f t="shared" ca="1" si="128"/>
        <v>Listed</v>
      </c>
      <c r="N2359" s="1" t="str">
        <f t="shared" si="129"/>
        <v>Listed</v>
      </c>
      <c r="O2359" s="1">
        <f t="shared" si="130"/>
        <v>20</v>
      </c>
      <c r="P2359" s="1">
        <f t="shared" ca="1" si="131"/>
        <v>15</v>
      </c>
      <c r="Q2359" s="1">
        <f t="shared" si="132"/>
        <v>25</v>
      </c>
      <c r="R2359" s="1">
        <f t="shared" si="133"/>
        <v>4</v>
      </c>
      <c r="S2359" s="1">
        <f t="shared" ca="1" si="134"/>
        <v>64</v>
      </c>
      <c r="T2359" s="1">
        <f ca="1">IF(OR(COUNT(O2359:R2359)&lt;&gt;4,COUNT('Top 25'!$B$45:$E$45)&lt;&gt;4,MIN('Top 25'!$B$45:$E$45)&lt;0,SUM('Top 25'!$B$45:$E$45)&lt;=0),"",ROUND(85*(O2359/30*'Top 25'!$B$45+P2359/25*'Top 25'!$C$45+Q2359/25*'Top 25'!$D$45+R2359/5*'Top 25'!$E$45)/SUM('Top 25'!$B$45:$E$45),6))</f>
        <v>64</v>
      </c>
      <c r="U2359" s="1" t="str">
        <f t="shared" ca="1" si="135"/>
        <v>Listed</v>
      </c>
      <c r="V2359" s="1" t="str">
        <f ca="1">IF(A2359="","",IF(AK2359&lt;&gt;1,"Duplicate source ID",IF(COUNTIFS('Staff Review'!$A$8:$A$507,A2359)&gt;1,"Duplicate review ID",IF(H2359&lt;&gt;"Yes","Outside scope",IF(J2359="Yes","Already served",IF(NOT(ISNUMBER(T2359)),"Missing data","Candidate"))))))</f>
        <v>Candidate</v>
      </c>
      <c r="W2359" s="1">
        <f t="shared" ca="1" si="136"/>
        <v>6</v>
      </c>
      <c r="X2359" s="1">
        <f t="shared" ca="1" si="137"/>
        <v>4</v>
      </c>
      <c r="Y2359" s="1">
        <f ca="1">IF(AND(H2359="Yes",OR(LEN('School Search'!$B$5)=0,ISNUMBER(SEARCH('School Search'!$B$5,B2359&amp;" "&amp;E2359&amp;" "&amp;A2359))),OR('School Search'!$D$5="All",C2359='School Search'!$D$5),OR('School Search'!$G$5="All eligible",AND('School Search'!$G$5="Not marked served",J2359&lt;&gt;"Yes"),AND('School Search'!$G$5="Missing data",V2359="Missing data"),AND('School Search'!$G$5="Marked served",J2359="Yes"))),1,0)</f>
        <v>1</v>
      </c>
      <c r="Z2359" s="1">
        <f ca="1">IF(Y2359=0,"",COUNTIFS($Y$2051:$Y$2550,1,$AO$2051:$AO$2550,"&lt;"&amp;AO2359)+COUNTIFS($Y$2051:Y2359,1,$AO$2051:AO2359,AO2359))</f>
        <v>6</v>
      </c>
      <c r="AA2359" s="1" t="str">
        <f t="shared" ca="1" si="138"/>
        <v>76% economic need; 0.51 mi fresh access; 0 nearby resources</v>
      </c>
      <c r="AB2359" s="1">
        <f t="shared" si="139"/>
        <v>309</v>
      </c>
      <c r="AC2359" s="1" t="str">
        <f t="shared" si="140"/>
        <v>Jumbo Meat Market</v>
      </c>
      <c r="AD2359" s="1" t="str">
        <f t="shared" si="141"/>
        <v>7322 Castor Ave, Philadelphia, PA, 19152</v>
      </c>
      <c r="AE2359" s="1" t="str">
        <f t="shared" si="142"/>
        <v>7809 CASTOR AVE</v>
      </c>
      <c r="AF2359" s="1">
        <f t="shared" si="143"/>
        <v>40.058696009999998</v>
      </c>
      <c r="AG2359" s="1">
        <f t="shared" si="144"/>
        <v>-75.058981660000001</v>
      </c>
      <c r="AH2359" s="1" t="str">
        <f>IF(I2359=0,"Not contacted",IF(INDEX('Staff Review'!$J$8:$J$507,I2359)="","Not contacted",INDEX('Staff Review'!$J$8:$J$507,I2359)))</f>
        <v>Not contacted</v>
      </c>
      <c r="AI2359" s="1" t="str">
        <f ca="1">IF(I2359=0,"No",IF(AND(COUNT(INDEX('Staff Review'!$D$8:$D$507,I2359))=1,INDEX('Staff Review'!$D$8:$D$507,I2359)&gt;=0,COUNT(INDEX('Staff Review'!$E$8:$E$507,I2359))=1,INDEX('Staff Review'!$E$8:$E$507,I2359)&gt;0,INDEX('Staff Review'!$E$8:$E$507,I2359)&lt;='Top 25'!$E$5,'Top 25'!$E$5-INDEX('Staff Review'!$E$8:$E$507,I2359)&lt;='Top 25'!$H$5,LEN(INDEX('Staff Review'!$H$8:$H$507,I2359))&gt;0),"Yes","No"))</f>
        <v>No</v>
      </c>
      <c r="AJ2359" s="1" t="str">
        <f>IF(I2359=0,"No",IF(COUNT(INDEX('Staff Review'!$F$8:$F$507,I2359))&lt;&gt;1,"No",IF(AND(INDEX('Staff Review'!$F$8:$F$507,I2359)&gt;=0,MOD(INDEX('Staff Review'!$F$8:$F$507,I2359),1)=0,COUNT(INDEX('Staff Review'!$G$8:$G$507,I2359))=1,INDEX('Staff Review'!$G$8:$G$507,I2359)&gt;0,INDEX('Staff Review'!$G$8:$G$507,I2359)&lt;='Top 25'!$E$5,'Top 25'!$E$5-INDEX('Staff Review'!$G$8:$G$507,I2359)&lt;='Top 25'!$H$5,LEN(INDEX('Staff Review'!$H$8:$H$507,I2359))&gt;0),"Yes","No")))</f>
        <v>No</v>
      </c>
      <c r="AK2359" s="1">
        <f t="shared" si="145"/>
        <v>1</v>
      </c>
      <c r="AL2359" s="1">
        <f t="shared" ca="1" si="146"/>
        <v>1</v>
      </c>
      <c r="AM2359" s="1">
        <f t="shared" si="147"/>
        <v>8360</v>
      </c>
      <c r="AN2359" s="1">
        <f t="shared" si="148"/>
        <v>309</v>
      </c>
      <c r="AO2359">
        <f t="shared" ca="1" si="149"/>
        <v>6</v>
      </c>
      <c r="AP2359" s="105">
        <f ca="1">IF(AND(AL2359=1,OR('Top 25'!$A$10="All",C2359='Top 25'!$A$10),OR('Top 25'!$D$10="All",D2359='Top 25'!$D$10)),1,0)</f>
        <v>1</v>
      </c>
      <c r="AQ2359" s="105">
        <f ca="1">IF(AP2359=0,"",CHOOSE(MATCH('Top 25'!$G$10,{"Priority score","Economic need","Enrollment","Fresh miles","Nearby resources"},0),T2359,G2359,F2359,K2359,L2359))</f>
        <v>64</v>
      </c>
      <c r="AR2359" s="105">
        <f ca="1">IF(AP2359=0,"",1+COUNTIFS($AP$2051:$AP$2550,1,$AQ$2051:$AQ$2550,IF('Top 25'!$J$10="Ascending","&lt;","&gt;")&amp;AQ2359)+COUNTIFS($AP$2051:$AP$2550,1,$AQ$2051:$AQ$2550,AQ2359,$W$2051:$W$2550,"&lt;"&amp;W2359))</f>
        <v>1</v>
      </c>
      <c r="AT2359" s="105">
        <f ca="1">IF(AND(AL2359=1,OR(Master_rankableSchools!$A$10="All",C2359=Master_rankableSchools!$A$10),OR(Master_rankableSchools!$D$10="All",D2359=Master_rankableSchools!$D$10)),1,0)</f>
        <v>1</v>
      </c>
      <c r="AU2359" s="105">
        <f ca="1">IF(AT2359=0,"",CHOOSE(MATCH(Master_rankableSchools!$G$10,{"Priority score","Economic need","Enrollment","Fresh miles","Nearby resources"},0),T2359,G2359,F2359,K2359,L2359))</f>
        <v>64</v>
      </c>
      <c r="AV2359" s="105">
        <f ca="1">IF(AT2359=0,"",1+COUNTIFS($AT$2051:$AT$2550,1,$AU$2051:$AU$2550,IF(Master_rankableSchools!$J$10="Ascending","&lt;","&gt;")&amp;AU2359)+COUNTIFS($AT$2051:$AT$2550,1,$AU$2051:$AU$2550,AU2359,$W$2051:$W$2550,"&lt;"&amp;W2359))</f>
        <v>6</v>
      </c>
    </row>
    <row r="2360" spans="1:48" ht="22" customHeight="1">
      <c r="A2360" s="1" t="str">
        <f t="shared" si="120"/>
        <v>8370</v>
      </c>
      <c r="B2360" s="1" t="str">
        <f t="shared" si="121"/>
        <v>Watson Comly School</v>
      </c>
      <c r="C2360" s="1" t="str">
        <f t="shared" si="122"/>
        <v>District</v>
      </c>
      <c r="D2360" s="1" t="str">
        <f t="shared" si="123"/>
        <v>Elementary</v>
      </c>
      <c r="E2360" s="1" t="str">
        <f t="shared" si="124"/>
        <v>19116</v>
      </c>
      <c r="F2360" s="1">
        <f t="shared" si="125"/>
        <v>660</v>
      </c>
      <c r="G2360" s="1">
        <f t="shared" si="126"/>
        <v>0.66559999999999997</v>
      </c>
      <c r="H2360" s="1" t="str">
        <f t="shared" si="127"/>
        <v>Yes</v>
      </c>
      <c r="I2360" s="1">
        <f>IF(OR(A2360="",COUNTIFS('Staff Review'!$A$8:$A$507,A2360)&lt;&gt;1),0,MATCH(A2360,'Staff Review'!$A$8:$A$507,0))</f>
        <v>307</v>
      </c>
      <c r="J2360" s="1" t="str">
        <f>IF(I2360=0,"No",IF(INDEX('Staff Review'!$C$8:$C$507,I2360)="Yes","Yes","No"))</f>
        <v>No</v>
      </c>
      <c r="K2360" s="1">
        <f ca="1">IF(AI2360="Yes",INDEX('Staff Review'!$D$8:$D$507,I2360),IF(AB2360=0,"",IF(COUNT(INDEX($C$1531:$C$2030,AB2360))=1,INDEX($C$1531:$C$2030,AB2360),"")))</f>
        <v>0.42671826805716384</v>
      </c>
      <c r="L2360" s="1">
        <f>IF(AJ2360="Yes",INDEX('Staff Review'!$F$8:$F$507,I2360),IF(AB2360=0,"",IF(COUNT(INDEX($G$1531:$G$2030,AB2360))=1,INDEX($G$1531:$G$2030,AB2360),"")))</f>
        <v>1</v>
      </c>
      <c r="M2360" s="1" t="str">
        <f t="shared" ca="1" si="128"/>
        <v>Listed</v>
      </c>
      <c r="N2360" s="1" t="str">
        <f t="shared" si="129"/>
        <v>Listed</v>
      </c>
      <c r="O2360" s="1">
        <f t="shared" si="130"/>
        <v>15</v>
      </c>
      <c r="P2360" s="1">
        <f t="shared" ca="1" si="131"/>
        <v>10</v>
      </c>
      <c r="Q2360" s="1">
        <f t="shared" si="132"/>
        <v>20</v>
      </c>
      <c r="R2360" s="1">
        <f t="shared" si="133"/>
        <v>4</v>
      </c>
      <c r="S2360" s="1">
        <f t="shared" ca="1" si="134"/>
        <v>49</v>
      </c>
      <c r="T2360" s="1">
        <f ca="1">IF(OR(COUNT(O2360:R2360)&lt;&gt;4,COUNT('Top 25'!$B$45:$E$45)&lt;&gt;4,MIN('Top 25'!$B$45:$E$45)&lt;0,SUM('Top 25'!$B$45:$E$45)&lt;=0),"",ROUND(85*(O2360/30*'Top 25'!$B$45+P2360/25*'Top 25'!$C$45+Q2360/25*'Top 25'!$D$45+R2360/5*'Top 25'!$E$45)/SUM('Top 25'!$B$45:$E$45),6))</f>
        <v>49</v>
      </c>
      <c r="U2360" s="1" t="str">
        <f t="shared" ca="1" si="135"/>
        <v>Listed</v>
      </c>
      <c r="V2360" s="1" t="str">
        <f ca="1">IF(A2360="","",IF(AK2360&lt;&gt;1,"Duplicate source ID",IF(COUNTIFS('Staff Review'!$A$8:$A$507,A2360)&gt;1,"Duplicate review ID",IF(H2360&lt;&gt;"Yes","Outside scope",IF(J2360="Yes","Already served",IF(NOT(ISNUMBER(T2360)),"Missing data","Candidate"))))))</f>
        <v>Candidate</v>
      </c>
      <c r="W2360" s="1">
        <f t="shared" ca="1" si="136"/>
        <v>54</v>
      </c>
      <c r="X2360" s="1">
        <f t="shared" ca="1" si="137"/>
        <v>46</v>
      </c>
      <c r="Y2360" s="1">
        <f ca="1">IF(AND(H2360="Yes",OR(LEN('School Search'!$B$5)=0,ISNUMBER(SEARCH('School Search'!$B$5,B2360&amp;" "&amp;E2360&amp;" "&amp;A2360))),OR('School Search'!$D$5="All",C2360='School Search'!$D$5),OR('School Search'!$G$5="All eligible",AND('School Search'!$G$5="Not marked served",J2360&lt;&gt;"Yes"),AND('School Search'!$G$5="Missing data",V2360="Missing data"),AND('School Search'!$G$5="Marked served",J2360="Yes"))),1,0)</f>
        <v>1</v>
      </c>
      <c r="Z2360" s="1">
        <f ca="1">IF(Y2360=0,"",COUNTIFS($Y$2051:$Y$2550,1,$AO$2051:$AO$2550,"&lt;"&amp;AO2360)+COUNTIFS($Y$2051:Y2360,1,$AO$2051:AO2360,AO2360))</f>
        <v>54</v>
      </c>
      <c r="AA2360" s="1" t="str">
        <f t="shared" ca="1" si="138"/>
        <v>67% economic need; 0.43 mi fresh access; 1 nearby resources</v>
      </c>
      <c r="AB2360" s="1">
        <f t="shared" si="139"/>
        <v>310</v>
      </c>
      <c r="AC2360" s="1" t="str">
        <f t="shared" si="140"/>
        <v>Net Cost Market 4</v>
      </c>
      <c r="AD2360" s="1" t="str">
        <f t="shared" si="141"/>
        <v>11701 Bustleton Ave, Philadelphia, PA, 19116</v>
      </c>
      <c r="AE2360" s="1" t="str">
        <f t="shared" si="142"/>
        <v>1001 BYBERRY RD</v>
      </c>
      <c r="AF2360" s="1">
        <f t="shared" si="143"/>
        <v>40.120964860000001</v>
      </c>
      <c r="AG2360" s="1">
        <f t="shared" si="144"/>
        <v>-75.009108800000007</v>
      </c>
      <c r="AH2360" s="1" t="str">
        <f>IF(I2360=0,"Not contacted",IF(INDEX('Staff Review'!$J$8:$J$507,I2360)="","Not contacted",INDEX('Staff Review'!$J$8:$J$507,I2360)))</f>
        <v>Not contacted</v>
      </c>
      <c r="AI2360" s="1" t="str">
        <f ca="1">IF(I2360=0,"No",IF(AND(COUNT(INDEX('Staff Review'!$D$8:$D$507,I2360))=1,INDEX('Staff Review'!$D$8:$D$507,I2360)&gt;=0,COUNT(INDEX('Staff Review'!$E$8:$E$507,I2360))=1,INDEX('Staff Review'!$E$8:$E$507,I2360)&gt;0,INDEX('Staff Review'!$E$8:$E$507,I2360)&lt;='Top 25'!$E$5,'Top 25'!$E$5-INDEX('Staff Review'!$E$8:$E$507,I2360)&lt;='Top 25'!$H$5,LEN(INDEX('Staff Review'!$H$8:$H$507,I2360))&gt;0),"Yes","No"))</f>
        <v>No</v>
      </c>
      <c r="AJ2360" s="1" t="str">
        <f>IF(I2360=0,"No",IF(COUNT(INDEX('Staff Review'!$F$8:$F$507,I2360))&lt;&gt;1,"No",IF(AND(INDEX('Staff Review'!$F$8:$F$507,I2360)&gt;=0,MOD(INDEX('Staff Review'!$F$8:$F$507,I2360),1)=0,COUNT(INDEX('Staff Review'!$G$8:$G$507,I2360))=1,INDEX('Staff Review'!$G$8:$G$507,I2360)&gt;0,INDEX('Staff Review'!$G$8:$G$507,I2360)&lt;='Top 25'!$E$5,'Top 25'!$E$5-INDEX('Staff Review'!$G$8:$G$507,I2360)&lt;='Top 25'!$H$5,LEN(INDEX('Staff Review'!$H$8:$H$507,I2360))&gt;0),"Yes","No")))</f>
        <v>No</v>
      </c>
      <c r="AK2360" s="1">
        <f t="shared" si="145"/>
        <v>1</v>
      </c>
      <c r="AL2360" s="1">
        <f t="shared" ca="1" si="146"/>
        <v>1</v>
      </c>
      <c r="AM2360" s="1">
        <f t="shared" si="147"/>
        <v>8370</v>
      </c>
      <c r="AN2360" s="1">
        <f t="shared" si="148"/>
        <v>310</v>
      </c>
      <c r="AO2360">
        <f t="shared" ca="1" si="149"/>
        <v>54</v>
      </c>
      <c r="AP2360" s="105">
        <f ca="1">IF(AND(AL2360=1,OR('Top 25'!$A$10="All",C2360='Top 25'!$A$10),OR('Top 25'!$D$10="All",D2360='Top 25'!$D$10)),1,0)</f>
        <v>1</v>
      </c>
      <c r="AQ2360" s="105">
        <f ca="1">IF(AP2360=0,"",CHOOSE(MATCH('Top 25'!$G$10,{"Priority score","Economic need","Enrollment","Fresh miles","Nearby resources"},0),T2360,G2360,F2360,K2360,L2360))</f>
        <v>49</v>
      </c>
      <c r="AR2360" s="105">
        <f ca="1">IF(AP2360=0,"",1+COUNTIFS($AP$2051:$AP$2550,1,$AQ$2051:$AQ$2550,IF('Top 25'!$J$10="Ascending","&lt;","&gt;")&amp;AQ2360)+COUNTIFS($AP$2051:$AP$2550,1,$AQ$2051:$AQ$2550,AQ2360,$W$2051:$W$2550,"&lt;"&amp;W2360))</f>
        <v>8</v>
      </c>
      <c r="AT2360" s="105">
        <f ca="1">IF(AND(AL2360=1,OR(Master_rankableSchools!$A$10="All",C2360=Master_rankableSchools!$A$10),OR(Master_rankableSchools!$D$10="All",D2360=Master_rankableSchools!$D$10)),1,0)</f>
        <v>1</v>
      </c>
      <c r="AU2360" s="105">
        <f ca="1">IF(AT2360=0,"",CHOOSE(MATCH(Master_rankableSchools!$G$10,{"Priority score","Economic need","Enrollment","Fresh miles","Nearby resources"},0),T2360,G2360,F2360,K2360,L2360))</f>
        <v>49</v>
      </c>
      <c r="AV2360" s="105">
        <f ca="1">IF(AT2360=0,"",1+COUNTIFS($AT$2051:$AT$2550,1,$AU$2051:$AU$2550,IF(Master_rankableSchools!$J$10="Ascending","&lt;","&gt;")&amp;AU2360)+COUNTIFS($AT$2051:$AT$2550,1,$AU$2051:$AU$2550,AU2360,$W$2051:$W$2550,"&lt;"&amp;W2360))</f>
        <v>54</v>
      </c>
    </row>
    <row r="2361" spans="1:48" ht="22" customHeight="1">
      <c r="A2361" s="1" t="str">
        <f t="shared" si="120"/>
        <v>8380</v>
      </c>
      <c r="B2361" s="1" t="str">
        <f t="shared" si="121"/>
        <v>Louis H. Farrell School</v>
      </c>
      <c r="C2361" s="1" t="str">
        <f t="shared" si="122"/>
        <v>District</v>
      </c>
      <c r="D2361" s="1" t="str">
        <f t="shared" si="123"/>
        <v>Elementary-Middle</v>
      </c>
      <c r="E2361" s="1" t="str">
        <f t="shared" si="124"/>
        <v>19152</v>
      </c>
      <c r="F2361" s="1">
        <f t="shared" si="125"/>
        <v>1255</v>
      </c>
      <c r="G2361" s="1">
        <f t="shared" si="126"/>
        <v>0.71479999999999999</v>
      </c>
      <c r="H2361" s="1" t="str">
        <f t="shared" si="127"/>
        <v>Yes</v>
      </c>
      <c r="I2361" s="1">
        <f>IF(OR(A2361="",COUNTIFS('Staff Review'!$A$8:$A$507,A2361)&lt;&gt;1),0,MATCH(A2361,'Staff Review'!$A$8:$A$507,0))</f>
        <v>172</v>
      </c>
      <c r="J2361" s="1" t="str">
        <f>IF(I2361=0,"No",IF(INDEX('Staff Review'!$C$8:$C$507,I2361)="Yes","Yes","No"))</f>
        <v>No</v>
      </c>
      <c r="K2361" s="1">
        <f ca="1">IF(AI2361="Yes",INDEX('Staff Review'!$D$8:$D$507,I2361),IF(AB2361=0,"",IF(COUNT(INDEX($C$1531:$C$2030,AB2361))=1,INDEX($C$1531:$C$2030,AB2361),"")))</f>
        <v>8.1529450428878991E-2</v>
      </c>
      <c r="L2361" s="1">
        <f>IF(AJ2361="Yes",INDEX('Staff Review'!$F$8:$F$507,I2361),IF(AB2361=0,"",IF(COUNT(INDEX($G$1531:$G$2030,AB2361))=1,INDEX($G$1531:$G$2030,AB2361),"")))</f>
        <v>0</v>
      </c>
      <c r="M2361" s="1" t="str">
        <f t="shared" ca="1" si="128"/>
        <v>Listed</v>
      </c>
      <c r="N2361" s="1" t="str">
        <f t="shared" si="129"/>
        <v>Listed</v>
      </c>
      <c r="O2361" s="1">
        <f t="shared" si="130"/>
        <v>20</v>
      </c>
      <c r="P2361" s="1">
        <f t="shared" ca="1" si="131"/>
        <v>5</v>
      </c>
      <c r="Q2361" s="1">
        <f t="shared" si="132"/>
        <v>25</v>
      </c>
      <c r="R2361" s="1">
        <f t="shared" si="133"/>
        <v>5</v>
      </c>
      <c r="S2361" s="1">
        <f t="shared" ca="1" si="134"/>
        <v>55</v>
      </c>
      <c r="T2361" s="1">
        <f ca="1">IF(OR(COUNT(O2361:R2361)&lt;&gt;4,COUNT('Top 25'!$B$45:$E$45)&lt;&gt;4,MIN('Top 25'!$B$45:$E$45)&lt;0,SUM('Top 25'!$B$45:$E$45)&lt;=0),"",ROUND(85*(O2361/30*'Top 25'!$B$45+P2361/25*'Top 25'!$C$45+Q2361/25*'Top 25'!$D$45+R2361/5*'Top 25'!$E$45)/SUM('Top 25'!$B$45:$E$45),6))</f>
        <v>55</v>
      </c>
      <c r="U2361" s="1" t="str">
        <f t="shared" ca="1" si="135"/>
        <v>Listed</v>
      </c>
      <c r="V2361" s="1" t="str">
        <f ca="1">IF(A2361="","",IF(AK2361&lt;&gt;1,"Duplicate source ID",IF(COUNTIFS('Staff Review'!$A$8:$A$507,A2361)&gt;1,"Duplicate review ID",IF(H2361&lt;&gt;"Yes","Outside scope",IF(J2361="Yes","Already served",IF(NOT(ISNUMBER(T2361)),"Missing data","Candidate"))))))</f>
        <v>Candidate</v>
      </c>
      <c r="W2361" s="1">
        <f t="shared" ca="1" si="136"/>
        <v>29</v>
      </c>
      <c r="X2361" s="1">
        <f t="shared" ca="1" si="137"/>
        <v>24</v>
      </c>
      <c r="Y2361" s="1">
        <f ca="1">IF(AND(H2361="Yes",OR(LEN('School Search'!$B$5)=0,ISNUMBER(SEARCH('School Search'!$B$5,B2361&amp;" "&amp;E2361&amp;" "&amp;A2361))),OR('School Search'!$D$5="All",C2361='School Search'!$D$5),OR('School Search'!$G$5="All eligible",AND('School Search'!$G$5="Not marked served",J2361&lt;&gt;"Yes"),AND('School Search'!$G$5="Missing data",V2361="Missing data"),AND('School Search'!$G$5="Marked served",J2361="Yes"))),1,0)</f>
        <v>1</v>
      </c>
      <c r="Z2361" s="1">
        <f ca="1">IF(Y2361=0,"",COUNTIFS($Y$2051:$Y$2550,1,$AO$2051:$AO$2550,"&lt;"&amp;AO2361)+COUNTIFS($Y$2051:Y2361,1,$AO$2051:AO2361,AO2361))</f>
        <v>29</v>
      </c>
      <c r="AA2361" s="1" t="str">
        <f t="shared" ca="1" si="138"/>
        <v>71% economic need; 0.08 mi fresh access; 0 nearby resources</v>
      </c>
      <c r="AB2361" s="1">
        <f t="shared" si="139"/>
        <v>311</v>
      </c>
      <c r="AC2361" s="1" t="str">
        <f t="shared" si="140"/>
        <v>Bell's Market</v>
      </c>
      <c r="AD2361" s="1" t="str">
        <f t="shared" si="141"/>
        <v>8330 Bustleton Ave, Philadelphia, PA, 19152</v>
      </c>
      <c r="AE2361" s="1" t="str">
        <f t="shared" si="142"/>
        <v>8300 CASTOR AVE</v>
      </c>
      <c r="AF2361" s="1">
        <f t="shared" si="143"/>
        <v>40.066571619999998</v>
      </c>
      <c r="AG2361" s="1">
        <f t="shared" si="144"/>
        <v>-75.052414760000005</v>
      </c>
      <c r="AH2361" s="1" t="str">
        <f>IF(I2361=0,"Not contacted",IF(INDEX('Staff Review'!$J$8:$J$507,I2361)="","Not contacted",INDEX('Staff Review'!$J$8:$J$507,I2361)))</f>
        <v>Not contacted</v>
      </c>
      <c r="AI2361" s="1" t="str">
        <f ca="1">IF(I2361=0,"No",IF(AND(COUNT(INDEX('Staff Review'!$D$8:$D$507,I2361))=1,INDEX('Staff Review'!$D$8:$D$507,I2361)&gt;=0,COUNT(INDEX('Staff Review'!$E$8:$E$507,I2361))=1,INDEX('Staff Review'!$E$8:$E$507,I2361)&gt;0,INDEX('Staff Review'!$E$8:$E$507,I2361)&lt;='Top 25'!$E$5,'Top 25'!$E$5-INDEX('Staff Review'!$E$8:$E$507,I2361)&lt;='Top 25'!$H$5,LEN(INDEX('Staff Review'!$H$8:$H$507,I2361))&gt;0),"Yes","No"))</f>
        <v>No</v>
      </c>
      <c r="AJ2361" s="1" t="str">
        <f>IF(I2361=0,"No",IF(COUNT(INDEX('Staff Review'!$F$8:$F$507,I2361))&lt;&gt;1,"No",IF(AND(INDEX('Staff Review'!$F$8:$F$507,I2361)&gt;=0,MOD(INDEX('Staff Review'!$F$8:$F$507,I2361),1)=0,COUNT(INDEX('Staff Review'!$G$8:$G$507,I2361))=1,INDEX('Staff Review'!$G$8:$G$507,I2361)&gt;0,INDEX('Staff Review'!$G$8:$G$507,I2361)&lt;='Top 25'!$E$5,'Top 25'!$E$5-INDEX('Staff Review'!$G$8:$G$507,I2361)&lt;='Top 25'!$H$5,LEN(INDEX('Staff Review'!$H$8:$H$507,I2361))&gt;0),"Yes","No")))</f>
        <v>No</v>
      </c>
      <c r="AK2361" s="1">
        <f t="shared" si="145"/>
        <v>1</v>
      </c>
      <c r="AL2361" s="1">
        <f t="shared" ca="1" si="146"/>
        <v>1</v>
      </c>
      <c r="AM2361" s="1">
        <f t="shared" si="147"/>
        <v>8380</v>
      </c>
      <c r="AN2361" s="1">
        <f t="shared" si="148"/>
        <v>311</v>
      </c>
      <c r="AO2361">
        <f t="shared" ca="1" si="149"/>
        <v>29</v>
      </c>
      <c r="AP2361" s="105">
        <f ca="1">IF(AND(AL2361=1,OR('Top 25'!$A$10="All",C2361='Top 25'!$A$10),OR('Top 25'!$D$10="All",D2361='Top 25'!$D$10)),1,0)</f>
        <v>0</v>
      </c>
      <c r="AQ2361" s="105" t="str">
        <f ca="1">IF(AP2361=0,"",CHOOSE(MATCH('Top 25'!$G$10,{"Priority score","Economic need","Enrollment","Fresh miles","Nearby resources"},0),T2361,G2361,F2361,K2361,L2361))</f>
        <v/>
      </c>
      <c r="AR2361" s="105" t="str">
        <f ca="1">IF(AP2361=0,"",1+COUNTIFS($AP$2051:$AP$2550,1,$AQ$2051:$AQ$2550,IF('Top 25'!$J$10="Ascending","&lt;","&gt;")&amp;AQ2361)+COUNTIFS($AP$2051:$AP$2550,1,$AQ$2051:$AQ$2550,AQ2361,$W$2051:$W$2550,"&lt;"&amp;W2361))</f>
        <v/>
      </c>
      <c r="AT2361" s="105">
        <f ca="1">IF(AND(AL2361=1,OR(Master_rankableSchools!$A$10="All",C2361=Master_rankableSchools!$A$10),OR(Master_rankableSchools!$D$10="All",D2361=Master_rankableSchools!$D$10)),1,0)</f>
        <v>1</v>
      </c>
      <c r="AU2361" s="105">
        <f ca="1">IF(AT2361=0,"",CHOOSE(MATCH(Master_rankableSchools!$G$10,{"Priority score","Economic need","Enrollment","Fresh miles","Nearby resources"},0),T2361,G2361,F2361,K2361,L2361))</f>
        <v>55</v>
      </c>
      <c r="AV2361" s="105">
        <f ca="1">IF(AT2361=0,"",1+COUNTIFS($AT$2051:$AT$2550,1,$AU$2051:$AU$2550,IF(Master_rankableSchools!$J$10="Ascending","&lt;","&gt;")&amp;AU2361)+COUNTIFS($AT$2051:$AT$2550,1,$AU$2051:$AU$2550,AU2361,$W$2051:$W$2550,"&lt;"&amp;W2361))</f>
        <v>29</v>
      </c>
    </row>
    <row r="2362" spans="1:48" ht="22" customHeight="1">
      <c r="A2362" s="1" t="str">
        <f t="shared" si="120"/>
        <v>8390</v>
      </c>
      <c r="B2362" s="1" t="str">
        <f t="shared" si="121"/>
        <v>Aloysius L. Fitzpatrick School</v>
      </c>
      <c r="C2362" s="1" t="str">
        <f t="shared" si="122"/>
        <v>District</v>
      </c>
      <c r="D2362" s="1" t="str">
        <f t="shared" si="123"/>
        <v>Elementary-Middle</v>
      </c>
      <c r="E2362" s="1" t="str">
        <f t="shared" si="124"/>
        <v>19154</v>
      </c>
      <c r="F2362" s="1">
        <f t="shared" si="125"/>
        <v>868</v>
      </c>
      <c r="G2362" s="1">
        <f t="shared" si="126"/>
        <v>0.71760000000000002</v>
      </c>
      <c r="H2362" s="1" t="str">
        <f t="shared" si="127"/>
        <v>Yes</v>
      </c>
      <c r="I2362" s="1">
        <f>IF(OR(A2362="",COUNTIFS('Staff Review'!$A$8:$A$507,A2362)&lt;&gt;1),0,MATCH(A2362,'Staff Review'!$A$8:$A$507,0))</f>
        <v>16</v>
      </c>
      <c r="J2362" s="1" t="str">
        <f>IF(I2362=0,"No",IF(INDEX('Staff Review'!$C$8:$C$507,I2362)="Yes","Yes","No"))</f>
        <v>No</v>
      </c>
      <c r="K2362" s="1">
        <f ca="1">IF(AI2362="Yes",INDEX('Staff Review'!$D$8:$D$507,I2362),IF(AB2362=0,"",IF(COUNT(INDEX($C$1531:$C$2030,AB2362))=1,INDEX($C$1531:$C$2030,AB2362),"")))</f>
        <v>0.48645902345094222</v>
      </c>
      <c r="L2362" s="1">
        <f>IF(AJ2362="Yes",INDEX('Staff Review'!$F$8:$F$507,I2362),IF(AB2362=0,"",IF(COUNT(INDEX($G$1531:$G$2030,AB2362))=1,INDEX($G$1531:$G$2030,AB2362),"")))</f>
        <v>0</v>
      </c>
      <c r="M2362" s="1" t="str">
        <f t="shared" ca="1" si="128"/>
        <v>Listed</v>
      </c>
      <c r="N2362" s="1" t="str">
        <f t="shared" si="129"/>
        <v>Listed</v>
      </c>
      <c r="O2362" s="1">
        <f t="shared" si="130"/>
        <v>20</v>
      </c>
      <c r="P2362" s="1">
        <f t="shared" ca="1" si="131"/>
        <v>10</v>
      </c>
      <c r="Q2362" s="1">
        <f t="shared" si="132"/>
        <v>25</v>
      </c>
      <c r="R2362" s="1">
        <f t="shared" si="133"/>
        <v>5</v>
      </c>
      <c r="S2362" s="1">
        <f t="shared" ca="1" si="134"/>
        <v>60</v>
      </c>
      <c r="T2362" s="1">
        <f ca="1">IF(OR(COUNT(O2362:R2362)&lt;&gt;4,COUNT('Top 25'!$B$45:$E$45)&lt;&gt;4,MIN('Top 25'!$B$45:$E$45)&lt;0,SUM('Top 25'!$B$45:$E$45)&lt;=0),"",ROUND(85*(O2362/30*'Top 25'!$B$45+P2362/25*'Top 25'!$C$45+Q2362/25*'Top 25'!$D$45+R2362/5*'Top 25'!$E$45)/SUM('Top 25'!$B$45:$E$45),6))</f>
        <v>60</v>
      </c>
      <c r="U2362" s="1" t="str">
        <f t="shared" ca="1" si="135"/>
        <v>Listed</v>
      </c>
      <c r="V2362" s="1" t="str">
        <f ca="1">IF(A2362="","",IF(AK2362&lt;&gt;1,"Duplicate source ID",IF(COUNTIFS('Staff Review'!$A$8:$A$507,A2362)&gt;1,"Duplicate review ID",IF(H2362&lt;&gt;"Yes","Outside scope",IF(J2362="Yes","Already served",IF(NOT(ISNUMBER(T2362)),"Missing data","Candidate"))))))</f>
        <v>Candidate</v>
      </c>
      <c r="W2362" s="1">
        <f t="shared" ca="1" si="136"/>
        <v>12</v>
      </c>
      <c r="X2362" s="1">
        <f t="shared" ca="1" si="137"/>
        <v>10</v>
      </c>
      <c r="Y2362" s="1">
        <f ca="1">IF(AND(H2362="Yes",OR(LEN('School Search'!$B$5)=0,ISNUMBER(SEARCH('School Search'!$B$5,B2362&amp;" "&amp;E2362&amp;" "&amp;A2362))),OR('School Search'!$D$5="All",C2362='School Search'!$D$5),OR('School Search'!$G$5="All eligible",AND('School Search'!$G$5="Not marked served",J2362&lt;&gt;"Yes"),AND('School Search'!$G$5="Missing data",V2362="Missing data"),AND('School Search'!$G$5="Marked served",J2362="Yes"))),1,0)</f>
        <v>1</v>
      </c>
      <c r="Z2362" s="1">
        <f ca="1">IF(Y2362=0,"",COUNTIFS($Y$2051:$Y$2550,1,$AO$2051:$AO$2550,"&lt;"&amp;AO2362)+COUNTIFS($Y$2051:Y2362,1,$AO$2051:AO2362,AO2362))</f>
        <v>12</v>
      </c>
      <c r="AA2362" s="1" t="str">
        <f t="shared" ca="1" si="138"/>
        <v>72% economic need; 0.49 mi fresh access; 0 nearby resources</v>
      </c>
      <c r="AB2362" s="1">
        <f t="shared" si="139"/>
        <v>312</v>
      </c>
      <c r="AC2362" s="1" t="str">
        <f t="shared" si="140"/>
        <v>Grocery Outlet Of Woodhaven 750</v>
      </c>
      <c r="AD2362" s="1" t="str">
        <f t="shared" si="141"/>
        <v>4016 Woodhaven Rd, Philadelphia, PA, 19154</v>
      </c>
      <c r="AE2362" s="1" t="str">
        <f t="shared" si="142"/>
        <v>11061 KNIGHTS RD</v>
      </c>
      <c r="AF2362" s="1">
        <f t="shared" si="143"/>
        <v>40.080306</v>
      </c>
      <c r="AG2362" s="1">
        <f t="shared" si="144"/>
        <v>-74.976528999999999</v>
      </c>
      <c r="AH2362" s="1" t="str">
        <f>IF(I2362=0,"Not contacted",IF(INDEX('Staff Review'!$J$8:$J$507,I2362)="","Not contacted",INDEX('Staff Review'!$J$8:$J$507,I2362)))</f>
        <v>Not contacted</v>
      </c>
      <c r="AI2362" s="1" t="str">
        <f ca="1">IF(I2362=0,"No",IF(AND(COUNT(INDEX('Staff Review'!$D$8:$D$507,I2362))=1,INDEX('Staff Review'!$D$8:$D$507,I2362)&gt;=0,COUNT(INDEX('Staff Review'!$E$8:$E$507,I2362))=1,INDEX('Staff Review'!$E$8:$E$507,I2362)&gt;0,INDEX('Staff Review'!$E$8:$E$507,I2362)&lt;='Top 25'!$E$5,'Top 25'!$E$5-INDEX('Staff Review'!$E$8:$E$507,I2362)&lt;='Top 25'!$H$5,LEN(INDEX('Staff Review'!$H$8:$H$507,I2362))&gt;0),"Yes","No"))</f>
        <v>No</v>
      </c>
      <c r="AJ2362" s="1" t="str">
        <f>IF(I2362=0,"No",IF(COUNT(INDEX('Staff Review'!$F$8:$F$507,I2362))&lt;&gt;1,"No",IF(AND(INDEX('Staff Review'!$F$8:$F$507,I2362)&gt;=0,MOD(INDEX('Staff Review'!$F$8:$F$507,I2362),1)=0,COUNT(INDEX('Staff Review'!$G$8:$G$507,I2362))=1,INDEX('Staff Review'!$G$8:$G$507,I2362)&gt;0,INDEX('Staff Review'!$G$8:$G$507,I2362)&lt;='Top 25'!$E$5,'Top 25'!$E$5-INDEX('Staff Review'!$G$8:$G$507,I2362)&lt;='Top 25'!$H$5,LEN(INDEX('Staff Review'!$H$8:$H$507,I2362))&gt;0),"Yes","No")))</f>
        <v>No</v>
      </c>
      <c r="AK2362" s="1">
        <f t="shared" si="145"/>
        <v>1</v>
      </c>
      <c r="AL2362" s="1">
        <f t="shared" ca="1" si="146"/>
        <v>1</v>
      </c>
      <c r="AM2362" s="1">
        <f t="shared" si="147"/>
        <v>8390</v>
      </c>
      <c r="AN2362" s="1">
        <f t="shared" si="148"/>
        <v>312</v>
      </c>
      <c r="AO2362">
        <f t="shared" ca="1" si="149"/>
        <v>12</v>
      </c>
      <c r="AP2362" s="105">
        <f ca="1">IF(AND(AL2362=1,OR('Top 25'!$A$10="All",C2362='Top 25'!$A$10),OR('Top 25'!$D$10="All",D2362='Top 25'!$D$10)),1,0)</f>
        <v>0</v>
      </c>
      <c r="AQ2362" s="105" t="str">
        <f ca="1">IF(AP2362=0,"",CHOOSE(MATCH('Top 25'!$G$10,{"Priority score","Economic need","Enrollment","Fresh miles","Nearby resources"},0),T2362,G2362,F2362,K2362,L2362))</f>
        <v/>
      </c>
      <c r="AR2362" s="105" t="str">
        <f ca="1">IF(AP2362=0,"",1+COUNTIFS($AP$2051:$AP$2550,1,$AQ$2051:$AQ$2550,IF('Top 25'!$J$10="Ascending","&lt;","&gt;")&amp;AQ2362)+COUNTIFS($AP$2051:$AP$2550,1,$AQ$2051:$AQ$2550,AQ2362,$W$2051:$W$2550,"&lt;"&amp;W2362))</f>
        <v/>
      </c>
      <c r="AT2362" s="105">
        <f ca="1">IF(AND(AL2362=1,OR(Master_rankableSchools!$A$10="All",C2362=Master_rankableSchools!$A$10),OR(Master_rankableSchools!$D$10="All",D2362=Master_rankableSchools!$D$10)),1,0)</f>
        <v>1</v>
      </c>
      <c r="AU2362" s="105">
        <f ca="1">IF(AT2362=0,"",CHOOSE(MATCH(Master_rankableSchools!$G$10,{"Priority score","Economic need","Enrollment","Fresh miles","Nearby resources"},0),T2362,G2362,F2362,K2362,L2362))</f>
        <v>60</v>
      </c>
      <c r="AV2362" s="105">
        <f ca="1">IF(AT2362=0,"",1+COUNTIFS($AT$2051:$AT$2550,1,$AU$2051:$AU$2550,IF(Master_rankableSchools!$J$10="Ascending","&lt;","&gt;")&amp;AU2362)+COUNTIFS($AT$2051:$AT$2550,1,$AU$2051:$AU$2550,AU2362,$W$2051:$W$2550,"&lt;"&amp;W2362))</f>
        <v>12</v>
      </c>
    </row>
    <row r="2363" spans="1:48" ht="22" customHeight="1">
      <c r="A2363" s="1" t="str">
        <f t="shared" si="120"/>
        <v>8400</v>
      </c>
      <c r="B2363" s="1" t="str">
        <f t="shared" si="121"/>
        <v>Anne Frank School</v>
      </c>
      <c r="C2363" s="1" t="str">
        <f t="shared" si="122"/>
        <v>District</v>
      </c>
      <c r="D2363" s="1" t="str">
        <f t="shared" si="123"/>
        <v>Elementary</v>
      </c>
      <c r="E2363" s="1" t="str">
        <f t="shared" si="124"/>
        <v>19115</v>
      </c>
      <c r="F2363" s="1">
        <f t="shared" si="125"/>
        <v>1687</v>
      </c>
      <c r="G2363" s="1">
        <f t="shared" si="126"/>
        <v>0.68479999999999996</v>
      </c>
      <c r="H2363" s="1" t="str">
        <f t="shared" si="127"/>
        <v>Yes</v>
      </c>
      <c r="I2363" s="1">
        <f>IF(OR(A2363="",COUNTIFS('Staff Review'!$A$8:$A$507,A2363)&lt;&gt;1),0,MATCH(A2363,'Staff Review'!$A$8:$A$507,0))</f>
        <v>22</v>
      </c>
      <c r="J2363" s="1" t="str">
        <f>IF(I2363=0,"No",IF(INDEX('Staff Review'!$C$8:$C$507,I2363)="Yes","Yes","No"))</f>
        <v>No</v>
      </c>
      <c r="K2363" s="1">
        <f ca="1">IF(AI2363="Yes",INDEX('Staff Review'!$D$8:$D$507,I2363),IF(AB2363=0,"",IF(COUNT(INDEX($C$1531:$C$2030,AB2363))=1,INDEX($C$1531:$C$2030,AB2363),"")))</f>
        <v>0.32586149861755442</v>
      </c>
      <c r="L2363" s="1">
        <f>IF(AJ2363="Yes",INDEX('Staff Review'!$F$8:$F$507,I2363),IF(AB2363=0,"",IF(COUNT(INDEX($G$1531:$G$2030,AB2363))=1,INDEX($G$1531:$G$2030,AB2363),"")))</f>
        <v>2</v>
      </c>
      <c r="M2363" s="1" t="str">
        <f t="shared" ca="1" si="128"/>
        <v>Listed</v>
      </c>
      <c r="N2363" s="1" t="str">
        <f t="shared" si="129"/>
        <v>Listed</v>
      </c>
      <c r="O2363" s="1">
        <f t="shared" si="130"/>
        <v>15</v>
      </c>
      <c r="P2363" s="1">
        <f t="shared" ca="1" si="131"/>
        <v>10</v>
      </c>
      <c r="Q2363" s="1">
        <f t="shared" si="132"/>
        <v>15</v>
      </c>
      <c r="R2363" s="1">
        <f t="shared" si="133"/>
        <v>5</v>
      </c>
      <c r="S2363" s="1">
        <f t="shared" ca="1" si="134"/>
        <v>45</v>
      </c>
      <c r="T2363" s="1">
        <f ca="1">IF(OR(COUNT(O2363:R2363)&lt;&gt;4,COUNT('Top 25'!$B$45:$E$45)&lt;&gt;4,MIN('Top 25'!$B$45:$E$45)&lt;0,SUM('Top 25'!$B$45:$E$45)&lt;=0),"",ROUND(85*(O2363/30*'Top 25'!$B$45+P2363/25*'Top 25'!$C$45+Q2363/25*'Top 25'!$D$45+R2363/5*'Top 25'!$E$45)/SUM('Top 25'!$B$45:$E$45),6))</f>
        <v>45</v>
      </c>
      <c r="U2363" s="1" t="str">
        <f t="shared" ca="1" si="135"/>
        <v>Listed</v>
      </c>
      <c r="V2363" s="1" t="str">
        <f ca="1">IF(A2363="","",IF(AK2363&lt;&gt;1,"Duplicate source ID",IF(COUNTIFS('Staff Review'!$A$8:$A$507,A2363)&gt;1,"Duplicate review ID",IF(H2363&lt;&gt;"Yes","Outside scope",IF(J2363="Yes","Already served",IF(NOT(ISNUMBER(T2363)),"Missing data","Candidate"))))))</f>
        <v>Candidate</v>
      </c>
      <c r="W2363" s="1">
        <f t="shared" ca="1" si="136"/>
        <v>79</v>
      </c>
      <c r="X2363" s="1">
        <f t="shared" ca="1" si="137"/>
        <v>74</v>
      </c>
      <c r="Y2363" s="1">
        <f ca="1">IF(AND(H2363="Yes",OR(LEN('School Search'!$B$5)=0,ISNUMBER(SEARCH('School Search'!$B$5,B2363&amp;" "&amp;E2363&amp;" "&amp;A2363))),OR('School Search'!$D$5="All",C2363='School Search'!$D$5),OR('School Search'!$G$5="All eligible",AND('School Search'!$G$5="Not marked served",J2363&lt;&gt;"Yes"),AND('School Search'!$G$5="Missing data",V2363="Missing data"),AND('School Search'!$G$5="Marked served",J2363="Yes"))),1,0)</f>
        <v>1</v>
      </c>
      <c r="Z2363" s="1">
        <f ca="1">IF(Y2363=0,"",COUNTIFS($Y$2051:$Y$2550,1,$AO$2051:$AO$2550,"&lt;"&amp;AO2363)+COUNTIFS($Y$2051:Y2363,1,$AO$2051:AO2363,AO2363))</f>
        <v>79</v>
      </c>
      <c r="AA2363" s="1" t="str">
        <f t="shared" ca="1" si="138"/>
        <v>68% economic need; 0.33 mi fresh access; 2 nearby resources</v>
      </c>
      <c r="AB2363" s="1">
        <f t="shared" si="139"/>
        <v>313</v>
      </c>
      <c r="AC2363" s="1" t="str">
        <f t="shared" si="140"/>
        <v>House Of Kosher Inc</v>
      </c>
      <c r="AD2363" s="1" t="str">
        <f t="shared" si="141"/>
        <v>9806 Bustleton Ave, Philadelphia, PA, 19115</v>
      </c>
      <c r="AE2363" s="1" t="str">
        <f t="shared" si="142"/>
        <v>2000 BOWLER ST</v>
      </c>
      <c r="AF2363" s="1">
        <f t="shared" si="143"/>
        <v>40.088287999999999</v>
      </c>
      <c r="AG2363" s="1">
        <f t="shared" si="144"/>
        <v>-75.028222</v>
      </c>
      <c r="AH2363" s="1" t="str">
        <f>IF(I2363=0,"Not contacted",IF(INDEX('Staff Review'!$J$8:$J$507,I2363)="","Not contacted",INDEX('Staff Review'!$J$8:$J$507,I2363)))</f>
        <v>Not contacted</v>
      </c>
      <c r="AI2363" s="1" t="str">
        <f ca="1">IF(I2363=0,"No",IF(AND(COUNT(INDEX('Staff Review'!$D$8:$D$507,I2363))=1,INDEX('Staff Review'!$D$8:$D$507,I2363)&gt;=0,COUNT(INDEX('Staff Review'!$E$8:$E$507,I2363))=1,INDEX('Staff Review'!$E$8:$E$507,I2363)&gt;0,INDEX('Staff Review'!$E$8:$E$507,I2363)&lt;='Top 25'!$E$5,'Top 25'!$E$5-INDEX('Staff Review'!$E$8:$E$507,I2363)&lt;='Top 25'!$H$5,LEN(INDEX('Staff Review'!$H$8:$H$507,I2363))&gt;0),"Yes","No"))</f>
        <v>No</v>
      </c>
      <c r="AJ2363" s="1" t="str">
        <f>IF(I2363=0,"No",IF(COUNT(INDEX('Staff Review'!$F$8:$F$507,I2363))&lt;&gt;1,"No",IF(AND(INDEX('Staff Review'!$F$8:$F$507,I2363)&gt;=0,MOD(INDEX('Staff Review'!$F$8:$F$507,I2363),1)=0,COUNT(INDEX('Staff Review'!$G$8:$G$507,I2363))=1,INDEX('Staff Review'!$G$8:$G$507,I2363)&gt;0,INDEX('Staff Review'!$G$8:$G$507,I2363)&lt;='Top 25'!$E$5,'Top 25'!$E$5-INDEX('Staff Review'!$G$8:$G$507,I2363)&lt;='Top 25'!$H$5,LEN(INDEX('Staff Review'!$H$8:$H$507,I2363))&gt;0),"Yes","No")))</f>
        <v>No</v>
      </c>
      <c r="AK2363" s="1">
        <f t="shared" si="145"/>
        <v>1</v>
      </c>
      <c r="AL2363" s="1">
        <f t="shared" ca="1" si="146"/>
        <v>1</v>
      </c>
      <c r="AM2363" s="1">
        <f t="shared" si="147"/>
        <v>8400</v>
      </c>
      <c r="AN2363" s="1">
        <f t="shared" si="148"/>
        <v>313</v>
      </c>
      <c r="AO2363">
        <f t="shared" ca="1" si="149"/>
        <v>79</v>
      </c>
      <c r="AP2363" s="105">
        <f ca="1">IF(AND(AL2363=1,OR('Top 25'!$A$10="All",C2363='Top 25'!$A$10),OR('Top 25'!$D$10="All",D2363='Top 25'!$D$10)),1,0)</f>
        <v>1</v>
      </c>
      <c r="AQ2363" s="105">
        <f ca="1">IF(AP2363=0,"",CHOOSE(MATCH('Top 25'!$G$10,{"Priority score","Economic need","Enrollment","Fresh miles","Nearby resources"},0),T2363,G2363,F2363,K2363,L2363))</f>
        <v>45</v>
      </c>
      <c r="AR2363" s="105">
        <f ca="1">IF(AP2363=0,"",1+COUNTIFS($AP$2051:$AP$2550,1,$AQ$2051:$AQ$2550,IF('Top 25'!$J$10="Ascending","&lt;","&gt;")&amp;AQ2363)+COUNTIFS($AP$2051:$AP$2550,1,$AQ$2051:$AQ$2550,AQ2363,$W$2051:$W$2550,"&lt;"&amp;W2363))</f>
        <v>13</v>
      </c>
      <c r="AT2363" s="105">
        <f ca="1">IF(AND(AL2363=1,OR(Master_rankableSchools!$A$10="All",C2363=Master_rankableSchools!$A$10),OR(Master_rankableSchools!$D$10="All",D2363=Master_rankableSchools!$D$10)),1,0)</f>
        <v>1</v>
      </c>
      <c r="AU2363" s="105">
        <f ca="1">IF(AT2363=0,"",CHOOSE(MATCH(Master_rankableSchools!$G$10,{"Priority score","Economic need","Enrollment","Fresh miles","Nearby resources"},0),T2363,G2363,F2363,K2363,L2363))</f>
        <v>45</v>
      </c>
      <c r="AV2363" s="105">
        <f ca="1">IF(AT2363=0,"",1+COUNTIFS($AT$2051:$AT$2550,1,$AU$2051:$AU$2550,IF(Master_rankableSchools!$J$10="Ascending","&lt;","&gt;")&amp;AU2363)+COUNTIFS($AT$2051:$AT$2550,1,$AU$2051:$AU$2550,AU2363,$W$2051:$W$2550,"&lt;"&amp;W2363))</f>
        <v>79</v>
      </c>
    </row>
    <row r="2364" spans="1:48" ht="22" customHeight="1">
      <c r="A2364" s="1" t="str">
        <f t="shared" si="120"/>
        <v>8410</v>
      </c>
      <c r="B2364" s="1" t="str">
        <f t="shared" si="121"/>
        <v>Robert B. Pollock School</v>
      </c>
      <c r="C2364" s="1" t="str">
        <f t="shared" si="122"/>
        <v>District</v>
      </c>
      <c r="D2364" s="1" t="str">
        <f t="shared" si="123"/>
        <v>Elementary-Middle</v>
      </c>
      <c r="E2364" s="1" t="str">
        <f t="shared" si="124"/>
        <v>19152</v>
      </c>
      <c r="F2364" s="1">
        <f t="shared" si="125"/>
        <v>900</v>
      </c>
      <c r="G2364" s="1">
        <f t="shared" si="126"/>
        <v>0.73409999999999997</v>
      </c>
      <c r="H2364" s="1" t="str">
        <f t="shared" si="127"/>
        <v>Yes</v>
      </c>
      <c r="I2364" s="1">
        <f>IF(OR(A2364="",COUNTIFS('Staff Review'!$A$8:$A$507,A2364)&lt;&gt;1),0,MATCH(A2364,'Staff Review'!$A$8:$A$507,0))</f>
        <v>251</v>
      </c>
      <c r="J2364" s="1" t="str">
        <f>IF(I2364=0,"No",IF(INDEX('Staff Review'!$C$8:$C$507,I2364)="Yes","Yes","No"))</f>
        <v>No</v>
      </c>
      <c r="K2364" s="1">
        <f ca="1">IF(AI2364="Yes",INDEX('Staff Review'!$D$8:$D$507,I2364),IF(AB2364=0,"",IF(COUNT(INDEX($C$1531:$C$2030,AB2364))=1,INDEX($C$1531:$C$2030,AB2364),"")))</f>
        <v>0.80763086314446486</v>
      </c>
      <c r="L2364" s="1">
        <f>IF(AJ2364="Yes",INDEX('Staff Review'!$F$8:$F$507,I2364),IF(AB2364=0,"",IF(COUNT(INDEX($G$1531:$G$2030,AB2364))=1,INDEX($G$1531:$G$2030,AB2364),"")))</f>
        <v>2</v>
      </c>
      <c r="M2364" s="1" t="str">
        <f t="shared" ca="1" si="128"/>
        <v>Listed</v>
      </c>
      <c r="N2364" s="1" t="str">
        <f t="shared" si="129"/>
        <v>Listed</v>
      </c>
      <c r="O2364" s="1">
        <f t="shared" si="130"/>
        <v>20</v>
      </c>
      <c r="P2364" s="1">
        <f t="shared" ca="1" si="131"/>
        <v>20</v>
      </c>
      <c r="Q2364" s="1">
        <f t="shared" si="132"/>
        <v>15</v>
      </c>
      <c r="R2364" s="1">
        <f t="shared" si="133"/>
        <v>5</v>
      </c>
      <c r="S2364" s="1">
        <f t="shared" ca="1" si="134"/>
        <v>60</v>
      </c>
      <c r="T2364" s="1">
        <f ca="1">IF(OR(COUNT(O2364:R2364)&lt;&gt;4,COUNT('Top 25'!$B$45:$E$45)&lt;&gt;4,MIN('Top 25'!$B$45:$E$45)&lt;0,SUM('Top 25'!$B$45:$E$45)&lt;=0),"",ROUND(85*(O2364/30*'Top 25'!$B$45+P2364/25*'Top 25'!$C$45+Q2364/25*'Top 25'!$D$45+R2364/5*'Top 25'!$E$45)/SUM('Top 25'!$B$45:$E$45),6))</f>
        <v>60</v>
      </c>
      <c r="U2364" s="1" t="str">
        <f t="shared" ca="1" si="135"/>
        <v>Listed</v>
      </c>
      <c r="V2364" s="1" t="str">
        <f ca="1">IF(A2364="","",IF(AK2364&lt;&gt;1,"Duplicate source ID",IF(COUNTIFS('Staff Review'!$A$8:$A$507,A2364)&gt;1,"Duplicate review ID",IF(H2364&lt;&gt;"Yes","Outside scope",IF(J2364="Yes","Already served",IF(NOT(ISNUMBER(T2364)),"Missing data","Candidate"))))))</f>
        <v>Candidate</v>
      </c>
      <c r="W2364" s="1">
        <f t="shared" ca="1" si="136"/>
        <v>10</v>
      </c>
      <c r="X2364" s="1">
        <f t="shared" ca="1" si="137"/>
        <v>10</v>
      </c>
      <c r="Y2364" s="1">
        <f ca="1">IF(AND(H2364="Yes",OR(LEN('School Search'!$B$5)=0,ISNUMBER(SEARCH('School Search'!$B$5,B2364&amp;" "&amp;E2364&amp;" "&amp;A2364))),OR('School Search'!$D$5="All",C2364='School Search'!$D$5),OR('School Search'!$G$5="All eligible",AND('School Search'!$G$5="Not marked served",J2364&lt;&gt;"Yes"),AND('School Search'!$G$5="Missing data",V2364="Missing data"),AND('School Search'!$G$5="Marked served",J2364="Yes"))),1,0)</f>
        <v>1</v>
      </c>
      <c r="Z2364" s="1">
        <f ca="1">IF(Y2364=0,"",COUNTIFS($Y$2051:$Y$2550,1,$AO$2051:$AO$2550,"&lt;"&amp;AO2364)+COUNTIFS($Y$2051:Y2364,1,$AO$2051:AO2364,AO2364))</f>
        <v>10</v>
      </c>
      <c r="AA2364" s="1" t="str">
        <f t="shared" ca="1" si="138"/>
        <v>73% economic need; 0.81 mi fresh access; 2 nearby resources</v>
      </c>
      <c r="AB2364" s="1">
        <f t="shared" si="139"/>
        <v>314</v>
      </c>
      <c r="AC2364" s="1" t="str">
        <f t="shared" si="140"/>
        <v>Net Cost Market 9</v>
      </c>
      <c r="AD2364" s="1" t="str">
        <f t="shared" si="141"/>
        <v>2417 Welsh Rd, Philadelphia, PA, 19114</v>
      </c>
      <c r="AE2364" s="1" t="str">
        <f t="shared" si="142"/>
        <v>2875 WELSH RD</v>
      </c>
      <c r="AF2364" s="1">
        <f t="shared" si="143"/>
        <v>40.060116000000001</v>
      </c>
      <c r="AG2364" s="1">
        <f t="shared" si="144"/>
        <v>-75.02713</v>
      </c>
      <c r="AH2364" s="1" t="str">
        <f>IF(I2364=0,"Not contacted",IF(INDEX('Staff Review'!$J$8:$J$507,I2364)="","Not contacted",INDEX('Staff Review'!$J$8:$J$507,I2364)))</f>
        <v>Not contacted</v>
      </c>
      <c r="AI2364" s="1" t="str">
        <f ca="1">IF(I2364=0,"No",IF(AND(COUNT(INDEX('Staff Review'!$D$8:$D$507,I2364))=1,INDEX('Staff Review'!$D$8:$D$507,I2364)&gt;=0,COUNT(INDEX('Staff Review'!$E$8:$E$507,I2364))=1,INDEX('Staff Review'!$E$8:$E$507,I2364)&gt;0,INDEX('Staff Review'!$E$8:$E$507,I2364)&lt;='Top 25'!$E$5,'Top 25'!$E$5-INDEX('Staff Review'!$E$8:$E$507,I2364)&lt;='Top 25'!$H$5,LEN(INDEX('Staff Review'!$H$8:$H$507,I2364))&gt;0),"Yes","No"))</f>
        <v>No</v>
      </c>
      <c r="AJ2364" s="1" t="str">
        <f>IF(I2364=0,"No",IF(COUNT(INDEX('Staff Review'!$F$8:$F$507,I2364))&lt;&gt;1,"No",IF(AND(INDEX('Staff Review'!$F$8:$F$507,I2364)&gt;=0,MOD(INDEX('Staff Review'!$F$8:$F$507,I2364),1)=0,COUNT(INDEX('Staff Review'!$G$8:$G$507,I2364))=1,INDEX('Staff Review'!$G$8:$G$507,I2364)&gt;0,INDEX('Staff Review'!$G$8:$G$507,I2364)&lt;='Top 25'!$E$5,'Top 25'!$E$5-INDEX('Staff Review'!$G$8:$G$507,I2364)&lt;='Top 25'!$H$5,LEN(INDEX('Staff Review'!$H$8:$H$507,I2364))&gt;0),"Yes","No")))</f>
        <v>No</v>
      </c>
      <c r="AK2364" s="1">
        <f t="shared" si="145"/>
        <v>1</v>
      </c>
      <c r="AL2364" s="1">
        <f t="shared" ca="1" si="146"/>
        <v>1</v>
      </c>
      <c r="AM2364" s="1">
        <f t="shared" si="147"/>
        <v>8410</v>
      </c>
      <c r="AN2364" s="1">
        <f t="shared" si="148"/>
        <v>314</v>
      </c>
      <c r="AO2364">
        <f t="shared" ca="1" si="149"/>
        <v>10</v>
      </c>
      <c r="AP2364" s="105">
        <f ca="1">IF(AND(AL2364=1,OR('Top 25'!$A$10="All",C2364='Top 25'!$A$10),OR('Top 25'!$D$10="All",D2364='Top 25'!$D$10)),1,0)</f>
        <v>0</v>
      </c>
      <c r="AQ2364" s="105" t="str">
        <f ca="1">IF(AP2364=0,"",CHOOSE(MATCH('Top 25'!$G$10,{"Priority score","Economic need","Enrollment","Fresh miles","Nearby resources"},0),T2364,G2364,F2364,K2364,L2364))</f>
        <v/>
      </c>
      <c r="AR2364" s="105" t="str">
        <f ca="1">IF(AP2364=0,"",1+COUNTIFS($AP$2051:$AP$2550,1,$AQ$2051:$AQ$2550,IF('Top 25'!$J$10="Ascending","&lt;","&gt;")&amp;AQ2364)+COUNTIFS($AP$2051:$AP$2550,1,$AQ$2051:$AQ$2550,AQ2364,$W$2051:$W$2550,"&lt;"&amp;W2364))</f>
        <v/>
      </c>
      <c r="AT2364" s="105">
        <f ca="1">IF(AND(AL2364=1,OR(Master_rankableSchools!$A$10="All",C2364=Master_rankableSchools!$A$10),OR(Master_rankableSchools!$D$10="All",D2364=Master_rankableSchools!$D$10)),1,0)</f>
        <v>1</v>
      </c>
      <c r="AU2364" s="105">
        <f ca="1">IF(AT2364=0,"",CHOOSE(MATCH(Master_rankableSchools!$G$10,{"Priority score","Economic need","Enrollment","Fresh miles","Nearby resources"},0),T2364,G2364,F2364,K2364,L2364))</f>
        <v>60</v>
      </c>
      <c r="AV2364" s="105">
        <f ca="1">IF(AT2364=0,"",1+COUNTIFS($AT$2051:$AT$2550,1,$AU$2051:$AU$2550,IF(Master_rankableSchools!$J$10="Ascending","&lt;","&gt;")&amp;AU2364)+COUNTIFS($AT$2051:$AT$2550,1,$AU$2051:$AU$2550,AU2364,$W$2051:$W$2550,"&lt;"&amp;W2364))</f>
        <v>10</v>
      </c>
    </row>
    <row r="2365" spans="1:48" ht="22" customHeight="1">
      <c r="A2365" s="1" t="str">
        <f t="shared" si="120"/>
        <v>8420</v>
      </c>
      <c r="B2365" s="1" t="str">
        <f t="shared" si="121"/>
        <v>Stephen Decatur School</v>
      </c>
      <c r="C2365" s="1" t="str">
        <f t="shared" si="122"/>
        <v>District</v>
      </c>
      <c r="D2365" s="1" t="str">
        <f t="shared" si="123"/>
        <v>Elementary-Middle</v>
      </c>
      <c r="E2365" s="1" t="str">
        <f t="shared" si="124"/>
        <v>19154</v>
      </c>
      <c r="F2365" s="1">
        <f t="shared" si="125"/>
        <v>1041</v>
      </c>
      <c r="G2365" s="1">
        <f t="shared" si="126"/>
        <v>0.66920000000000002</v>
      </c>
      <c r="H2365" s="1" t="str">
        <f t="shared" si="127"/>
        <v>Yes</v>
      </c>
      <c r="I2365" s="1">
        <f>IF(OR(A2365="",COUNTIFS('Staff Review'!$A$8:$A$507,A2365)&lt;&gt;1),0,MATCH(A2365,'Staff Review'!$A$8:$A$507,0))</f>
        <v>275</v>
      </c>
      <c r="J2365" s="1" t="str">
        <f>IF(I2365=0,"No",IF(INDEX('Staff Review'!$C$8:$C$507,I2365)="Yes","Yes","No"))</f>
        <v>No</v>
      </c>
      <c r="K2365" s="1">
        <f ca="1">IF(AI2365="Yes",INDEX('Staff Review'!$D$8:$D$507,I2365),IF(AB2365=0,"",IF(COUNT(INDEX($C$1531:$C$2030,AB2365))=1,INDEX($C$1531:$C$2030,AB2365),"")))</f>
        <v>0.6602426050811474</v>
      </c>
      <c r="L2365" s="1">
        <f>IF(AJ2365="Yes",INDEX('Staff Review'!$F$8:$F$507,I2365),IF(AB2365=0,"",IF(COUNT(INDEX($G$1531:$G$2030,AB2365))=1,INDEX($G$1531:$G$2030,AB2365),"")))</f>
        <v>1</v>
      </c>
      <c r="M2365" s="1" t="str">
        <f t="shared" ca="1" si="128"/>
        <v>Listed</v>
      </c>
      <c r="N2365" s="1" t="str">
        <f t="shared" si="129"/>
        <v>Listed</v>
      </c>
      <c r="O2365" s="1">
        <f t="shared" si="130"/>
        <v>15</v>
      </c>
      <c r="P2365" s="1">
        <f t="shared" ca="1" si="131"/>
        <v>15</v>
      </c>
      <c r="Q2365" s="1">
        <f t="shared" si="132"/>
        <v>20</v>
      </c>
      <c r="R2365" s="1">
        <f t="shared" si="133"/>
        <v>5</v>
      </c>
      <c r="S2365" s="1">
        <f t="shared" ca="1" si="134"/>
        <v>55</v>
      </c>
      <c r="T2365" s="1">
        <f ca="1">IF(OR(COUNT(O2365:R2365)&lt;&gt;4,COUNT('Top 25'!$B$45:$E$45)&lt;&gt;4,MIN('Top 25'!$B$45:$E$45)&lt;0,SUM('Top 25'!$B$45:$E$45)&lt;=0),"",ROUND(85*(O2365/30*'Top 25'!$B$45+P2365/25*'Top 25'!$C$45+Q2365/25*'Top 25'!$D$45+R2365/5*'Top 25'!$E$45)/SUM('Top 25'!$B$45:$E$45),6))</f>
        <v>55</v>
      </c>
      <c r="U2365" s="1" t="str">
        <f t="shared" ca="1" si="135"/>
        <v>Listed</v>
      </c>
      <c r="V2365" s="1" t="str">
        <f ca="1">IF(A2365="","",IF(AK2365&lt;&gt;1,"Duplicate source ID",IF(COUNTIFS('Staff Review'!$A$8:$A$507,A2365)&gt;1,"Duplicate review ID",IF(H2365&lt;&gt;"Yes","Outside scope",IF(J2365="Yes","Already served",IF(NOT(ISNUMBER(T2365)),"Missing data","Candidate"))))))</f>
        <v>Candidate</v>
      </c>
      <c r="W2365" s="1">
        <f t="shared" ca="1" si="136"/>
        <v>32</v>
      </c>
      <c r="X2365" s="1">
        <f t="shared" ca="1" si="137"/>
        <v>24</v>
      </c>
      <c r="Y2365" s="1">
        <f ca="1">IF(AND(H2365="Yes",OR(LEN('School Search'!$B$5)=0,ISNUMBER(SEARCH('School Search'!$B$5,B2365&amp;" "&amp;E2365&amp;" "&amp;A2365))),OR('School Search'!$D$5="All",C2365='School Search'!$D$5),OR('School Search'!$G$5="All eligible",AND('School Search'!$G$5="Not marked served",J2365&lt;&gt;"Yes"),AND('School Search'!$G$5="Missing data",V2365="Missing data"),AND('School Search'!$G$5="Marked served",J2365="Yes"))),1,0)</f>
        <v>1</v>
      </c>
      <c r="Z2365" s="1">
        <f ca="1">IF(Y2365=0,"",COUNTIFS($Y$2051:$Y$2550,1,$AO$2051:$AO$2550,"&lt;"&amp;AO2365)+COUNTIFS($Y$2051:Y2365,1,$AO$2051:AO2365,AO2365))</f>
        <v>32</v>
      </c>
      <c r="AA2365" s="1" t="str">
        <f t="shared" ca="1" si="138"/>
        <v>67% economic need; 0.66 mi fresh access; 1 nearby resources</v>
      </c>
      <c r="AB2365" s="1">
        <f t="shared" si="139"/>
        <v>315</v>
      </c>
      <c r="AC2365" s="1" t="str">
        <f t="shared" si="140"/>
        <v>Sam's Club 6332</v>
      </c>
      <c r="AD2365" s="1" t="str">
        <f t="shared" si="141"/>
        <v>1000 Franklin Mills Cir, Philadelphia, PA, 19154</v>
      </c>
      <c r="AE2365" s="1" t="str">
        <f t="shared" si="142"/>
        <v>3500 ACADEMY RD</v>
      </c>
      <c r="AF2365" s="1">
        <f t="shared" si="143"/>
        <v>40.095818000000001</v>
      </c>
      <c r="AG2365" s="1">
        <f t="shared" si="144"/>
        <v>-74.970534999999998</v>
      </c>
      <c r="AH2365" s="1" t="str">
        <f>IF(I2365=0,"Not contacted",IF(INDEX('Staff Review'!$J$8:$J$507,I2365)="","Not contacted",INDEX('Staff Review'!$J$8:$J$507,I2365)))</f>
        <v>Not contacted</v>
      </c>
      <c r="AI2365" s="1" t="str">
        <f ca="1">IF(I2365=0,"No",IF(AND(COUNT(INDEX('Staff Review'!$D$8:$D$507,I2365))=1,INDEX('Staff Review'!$D$8:$D$507,I2365)&gt;=0,COUNT(INDEX('Staff Review'!$E$8:$E$507,I2365))=1,INDEX('Staff Review'!$E$8:$E$507,I2365)&gt;0,INDEX('Staff Review'!$E$8:$E$507,I2365)&lt;='Top 25'!$E$5,'Top 25'!$E$5-INDEX('Staff Review'!$E$8:$E$507,I2365)&lt;='Top 25'!$H$5,LEN(INDEX('Staff Review'!$H$8:$H$507,I2365))&gt;0),"Yes","No"))</f>
        <v>No</v>
      </c>
      <c r="AJ2365" s="1" t="str">
        <f>IF(I2365=0,"No",IF(COUNT(INDEX('Staff Review'!$F$8:$F$507,I2365))&lt;&gt;1,"No",IF(AND(INDEX('Staff Review'!$F$8:$F$507,I2365)&gt;=0,MOD(INDEX('Staff Review'!$F$8:$F$507,I2365),1)=0,COUNT(INDEX('Staff Review'!$G$8:$G$507,I2365))=1,INDEX('Staff Review'!$G$8:$G$507,I2365)&gt;0,INDEX('Staff Review'!$G$8:$G$507,I2365)&lt;='Top 25'!$E$5,'Top 25'!$E$5-INDEX('Staff Review'!$G$8:$G$507,I2365)&lt;='Top 25'!$H$5,LEN(INDEX('Staff Review'!$H$8:$H$507,I2365))&gt;0),"Yes","No")))</f>
        <v>No</v>
      </c>
      <c r="AK2365" s="1">
        <f t="shared" si="145"/>
        <v>1</v>
      </c>
      <c r="AL2365" s="1">
        <f t="shared" ca="1" si="146"/>
        <v>1</v>
      </c>
      <c r="AM2365" s="1">
        <f t="shared" si="147"/>
        <v>8420</v>
      </c>
      <c r="AN2365" s="1">
        <f t="shared" si="148"/>
        <v>315</v>
      </c>
      <c r="AO2365">
        <f t="shared" ca="1" si="149"/>
        <v>32</v>
      </c>
      <c r="AP2365" s="105">
        <f ca="1">IF(AND(AL2365=1,OR('Top 25'!$A$10="All",C2365='Top 25'!$A$10),OR('Top 25'!$D$10="All",D2365='Top 25'!$D$10)),1,0)</f>
        <v>0</v>
      </c>
      <c r="AQ2365" s="105" t="str">
        <f ca="1">IF(AP2365=0,"",CHOOSE(MATCH('Top 25'!$G$10,{"Priority score","Economic need","Enrollment","Fresh miles","Nearby resources"},0),T2365,G2365,F2365,K2365,L2365))</f>
        <v/>
      </c>
      <c r="AR2365" s="105" t="str">
        <f ca="1">IF(AP2365=0,"",1+COUNTIFS($AP$2051:$AP$2550,1,$AQ$2051:$AQ$2550,IF('Top 25'!$J$10="Ascending","&lt;","&gt;")&amp;AQ2365)+COUNTIFS($AP$2051:$AP$2550,1,$AQ$2051:$AQ$2550,AQ2365,$W$2051:$W$2550,"&lt;"&amp;W2365))</f>
        <v/>
      </c>
      <c r="AT2365" s="105">
        <f ca="1">IF(AND(AL2365=1,OR(Master_rankableSchools!$A$10="All",C2365=Master_rankableSchools!$A$10),OR(Master_rankableSchools!$D$10="All",D2365=Master_rankableSchools!$D$10)),1,0)</f>
        <v>1</v>
      </c>
      <c r="AU2365" s="105">
        <f ca="1">IF(AT2365=0,"",CHOOSE(MATCH(Master_rankableSchools!$G$10,{"Priority score","Economic need","Enrollment","Fresh miles","Nearby resources"},0),T2365,G2365,F2365,K2365,L2365))</f>
        <v>55</v>
      </c>
      <c r="AV2365" s="105">
        <f ca="1">IF(AT2365=0,"",1+COUNTIFS($AT$2051:$AT$2550,1,$AU$2051:$AU$2550,IF(Master_rankableSchools!$J$10="Ascending","&lt;","&gt;")&amp;AU2365)+COUNTIFS($AT$2051:$AT$2550,1,$AU$2051:$AU$2550,AU2365,$W$2051:$W$2550,"&lt;"&amp;W2365))</f>
        <v>32</v>
      </c>
    </row>
    <row r="2366" spans="1:48" ht="22" customHeight="1">
      <c r="A2366" s="1" t="str">
        <f t="shared" si="120"/>
        <v>8430</v>
      </c>
      <c r="B2366" s="1" t="str">
        <f t="shared" si="121"/>
        <v>Joseph Greenberg School</v>
      </c>
      <c r="C2366" s="1" t="str">
        <f t="shared" si="122"/>
        <v>District</v>
      </c>
      <c r="D2366" s="1" t="str">
        <f t="shared" si="123"/>
        <v>Elementary-Middle</v>
      </c>
      <c r="E2366" s="1" t="str">
        <f t="shared" si="124"/>
        <v>19115</v>
      </c>
      <c r="F2366" s="1">
        <f t="shared" si="125"/>
        <v>1048</v>
      </c>
      <c r="G2366" s="1">
        <f t="shared" si="126"/>
        <v>0.52339999999999998</v>
      </c>
      <c r="H2366" s="1" t="str">
        <f t="shared" si="127"/>
        <v>Yes</v>
      </c>
      <c r="I2366" s="1">
        <f>IF(OR(A2366="",COUNTIFS('Staff Review'!$A$8:$A$507,A2366)&lt;&gt;1),0,MATCH(A2366,'Staff Review'!$A$8:$A$507,0))</f>
        <v>146</v>
      </c>
      <c r="J2366" s="1" t="str">
        <f>IF(I2366=0,"No",IF(INDEX('Staff Review'!$C$8:$C$507,I2366)="Yes","Yes","No"))</f>
        <v>No</v>
      </c>
      <c r="K2366" s="1">
        <f ca="1">IF(AI2366="Yes",INDEX('Staff Review'!$D$8:$D$507,I2366),IF(AB2366=0,"",IF(COUNT(INDEX($C$1531:$C$2030,AB2366))=1,INDEX($C$1531:$C$2030,AB2366),"")))</f>
        <v>0.90583823073951042</v>
      </c>
      <c r="L2366" s="1">
        <f>IF(AJ2366="Yes",INDEX('Staff Review'!$F$8:$F$507,I2366),IF(AB2366=0,"",IF(COUNT(INDEX($G$1531:$G$2030,AB2366))=1,INDEX($G$1531:$G$2030,AB2366),"")))</f>
        <v>0</v>
      </c>
      <c r="M2366" s="1" t="str">
        <f t="shared" ca="1" si="128"/>
        <v>Listed</v>
      </c>
      <c r="N2366" s="1" t="str">
        <f t="shared" si="129"/>
        <v>Listed</v>
      </c>
      <c r="O2366" s="1">
        <f t="shared" si="130"/>
        <v>10</v>
      </c>
      <c r="P2366" s="1">
        <f t="shared" ca="1" si="131"/>
        <v>20</v>
      </c>
      <c r="Q2366" s="1">
        <f t="shared" si="132"/>
        <v>25</v>
      </c>
      <c r="R2366" s="1">
        <f t="shared" si="133"/>
        <v>5</v>
      </c>
      <c r="S2366" s="1">
        <f t="shared" ca="1" si="134"/>
        <v>60</v>
      </c>
      <c r="T2366" s="1">
        <f ca="1">IF(OR(COUNT(O2366:R2366)&lt;&gt;4,COUNT('Top 25'!$B$45:$E$45)&lt;&gt;4,MIN('Top 25'!$B$45:$E$45)&lt;0,SUM('Top 25'!$B$45:$E$45)&lt;=0),"",ROUND(85*(O2366/30*'Top 25'!$B$45+P2366/25*'Top 25'!$C$45+Q2366/25*'Top 25'!$D$45+R2366/5*'Top 25'!$E$45)/SUM('Top 25'!$B$45:$E$45),6))</f>
        <v>60</v>
      </c>
      <c r="U2366" s="1" t="str">
        <f t="shared" ca="1" si="135"/>
        <v>Listed</v>
      </c>
      <c r="V2366" s="1" t="str">
        <f ca="1">IF(A2366="","",IF(AK2366&lt;&gt;1,"Duplicate source ID",IF(COUNTIFS('Staff Review'!$A$8:$A$507,A2366)&gt;1,"Duplicate review ID",IF(H2366&lt;&gt;"Yes","Outside scope",IF(J2366="Yes","Already served",IF(NOT(ISNUMBER(T2366)),"Missing data","Candidate"))))))</f>
        <v>Candidate</v>
      </c>
      <c r="W2366" s="1">
        <f t="shared" ca="1" si="136"/>
        <v>15</v>
      </c>
      <c r="X2366" s="1">
        <f t="shared" ca="1" si="137"/>
        <v>10</v>
      </c>
      <c r="Y2366" s="1">
        <f ca="1">IF(AND(H2366="Yes",OR(LEN('School Search'!$B$5)=0,ISNUMBER(SEARCH('School Search'!$B$5,B2366&amp;" "&amp;E2366&amp;" "&amp;A2366))),OR('School Search'!$D$5="All",C2366='School Search'!$D$5),OR('School Search'!$G$5="All eligible",AND('School Search'!$G$5="Not marked served",J2366&lt;&gt;"Yes"),AND('School Search'!$G$5="Missing data",V2366="Missing data"),AND('School Search'!$G$5="Marked served",J2366="Yes"))),1,0)</f>
        <v>1</v>
      </c>
      <c r="Z2366" s="1">
        <f ca="1">IF(Y2366=0,"",COUNTIFS($Y$2051:$Y$2550,1,$AO$2051:$AO$2550,"&lt;"&amp;AO2366)+COUNTIFS($Y$2051:Y2366,1,$AO$2051:AO2366,AO2366))</f>
        <v>15</v>
      </c>
      <c r="AA2366" s="1" t="str">
        <f t="shared" ca="1" si="138"/>
        <v>52% economic need; 0.91 mi fresh access; 0 nearby resources</v>
      </c>
      <c r="AB2366" s="1">
        <f t="shared" si="139"/>
        <v>316</v>
      </c>
      <c r="AC2366" s="1" t="str">
        <f t="shared" si="140"/>
        <v>Kashmir Garden Super Market Inc</v>
      </c>
      <c r="AD2366" s="1" t="str">
        <f t="shared" si="141"/>
        <v>9325 Krewstown Rd, Philadelphia, PA, 19115</v>
      </c>
      <c r="AE2366" s="1" t="str">
        <f t="shared" si="142"/>
        <v>600 SHARON LN</v>
      </c>
      <c r="AF2366" s="1">
        <f t="shared" si="143"/>
        <v>40.09608652</v>
      </c>
      <c r="AG2366" s="1">
        <f t="shared" si="144"/>
        <v>-75.057711019999999</v>
      </c>
      <c r="AH2366" s="1" t="str">
        <f>IF(I2366=0,"Not contacted",IF(INDEX('Staff Review'!$J$8:$J$507,I2366)="","Not contacted",INDEX('Staff Review'!$J$8:$J$507,I2366)))</f>
        <v>Not contacted</v>
      </c>
      <c r="AI2366" s="1" t="str">
        <f ca="1">IF(I2366=0,"No",IF(AND(COUNT(INDEX('Staff Review'!$D$8:$D$507,I2366))=1,INDEX('Staff Review'!$D$8:$D$507,I2366)&gt;=0,COUNT(INDEX('Staff Review'!$E$8:$E$507,I2366))=1,INDEX('Staff Review'!$E$8:$E$507,I2366)&gt;0,INDEX('Staff Review'!$E$8:$E$507,I2366)&lt;='Top 25'!$E$5,'Top 25'!$E$5-INDEX('Staff Review'!$E$8:$E$507,I2366)&lt;='Top 25'!$H$5,LEN(INDEX('Staff Review'!$H$8:$H$507,I2366))&gt;0),"Yes","No"))</f>
        <v>No</v>
      </c>
      <c r="AJ2366" s="1" t="str">
        <f>IF(I2366=0,"No",IF(COUNT(INDEX('Staff Review'!$F$8:$F$507,I2366))&lt;&gt;1,"No",IF(AND(INDEX('Staff Review'!$F$8:$F$507,I2366)&gt;=0,MOD(INDEX('Staff Review'!$F$8:$F$507,I2366),1)=0,COUNT(INDEX('Staff Review'!$G$8:$G$507,I2366))=1,INDEX('Staff Review'!$G$8:$G$507,I2366)&gt;0,INDEX('Staff Review'!$G$8:$G$507,I2366)&lt;='Top 25'!$E$5,'Top 25'!$E$5-INDEX('Staff Review'!$G$8:$G$507,I2366)&lt;='Top 25'!$H$5,LEN(INDEX('Staff Review'!$H$8:$H$507,I2366))&gt;0),"Yes","No")))</f>
        <v>No</v>
      </c>
      <c r="AK2366" s="1">
        <f t="shared" si="145"/>
        <v>1</v>
      </c>
      <c r="AL2366" s="1">
        <f t="shared" ca="1" si="146"/>
        <v>1</v>
      </c>
      <c r="AM2366" s="1">
        <f t="shared" si="147"/>
        <v>8430</v>
      </c>
      <c r="AN2366" s="1">
        <f t="shared" si="148"/>
        <v>316</v>
      </c>
      <c r="AO2366">
        <f t="shared" ca="1" si="149"/>
        <v>15</v>
      </c>
      <c r="AP2366" s="105">
        <f ca="1">IF(AND(AL2366=1,OR('Top 25'!$A$10="All",C2366='Top 25'!$A$10),OR('Top 25'!$D$10="All",D2366='Top 25'!$D$10)),1,0)</f>
        <v>0</v>
      </c>
      <c r="AQ2366" s="105" t="str">
        <f ca="1">IF(AP2366=0,"",CHOOSE(MATCH('Top 25'!$G$10,{"Priority score","Economic need","Enrollment","Fresh miles","Nearby resources"},0),T2366,G2366,F2366,K2366,L2366))</f>
        <v/>
      </c>
      <c r="AR2366" s="105" t="str">
        <f ca="1">IF(AP2366=0,"",1+COUNTIFS($AP$2051:$AP$2550,1,$AQ$2051:$AQ$2550,IF('Top 25'!$J$10="Ascending","&lt;","&gt;")&amp;AQ2366)+COUNTIFS($AP$2051:$AP$2550,1,$AQ$2051:$AQ$2550,AQ2366,$W$2051:$W$2550,"&lt;"&amp;W2366))</f>
        <v/>
      </c>
      <c r="AT2366" s="105">
        <f ca="1">IF(AND(AL2366=1,OR(Master_rankableSchools!$A$10="All",C2366=Master_rankableSchools!$A$10),OR(Master_rankableSchools!$D$10="All",D2366=Master_rankableSchools!$D$10)),1,0)</f>
        <v>1</v>
      </c>
      <c r="AU2366" s="105">
        <f ca="1">IF(AT2366=0,"",CHOOSE(MATCH(Master_rankableSchools!$G$10,{"Priority score","Economic need","Enrollment","Fresh miles","Nearby resources"},0),T2366,G2366,F2366,K2366,L2366))</f>
        <v>60</v>
      </c>
      <c r="AV2366" s="105">
        <f ca="1">IF(AT2366=0,"",1+COUNTIFS($AT$2051:$AT$2550,1,$AU$2051:$AU$2550,IF(Master_rankableSchools!$J$10="Ascending","&lt;","&gt;")&amp;AU2366)+COUNTIFS($AT$2051:$AT$2550,1,$AU$2051:$AU$2550,AU2366,$W$2051:$W$2550,"&lt;"&amp;W2366))</f>
        <v>15</v>
      </c>
    </row>
    <row r="2367" spans="1:48" ht="22" customHeight="1">
      <c r="A2367" s="1" t="str">
        <f t="shared" si="120"/>
        <v>8440</v>
      </c>
      <c r="B2367" s="1" t="str">
        <f t="shared" si="121"/>
        <v>William H. Loesche School</v>
      </c>
      <c r="C2367" s="1" t="str">
        <f t="shared" si="122"/>
        <v>District</v>
      </c>
      <c r="D2367" s="1" t="str">
        <f t="shared" si="123"/>
        <v>Elementary</v>
      </c>
      <c r="E2367" s="1" t="str">
        <f t="shared" si="124"/>
        <v>19116</v>
      </c>
      <c r="F2367" s="1">
        <f t="shared" si="125"/>
        <v>1276</v>
      </c>
      <c r="G2367" s="1">
        <f t="shared" si="126"/>
        <v>0.73460000000000003</v>
      </c>
      <c r="H2367" s="1" t="str">
        <f t="shared" si="127"/>
        <v>Yes</v>
      </c>
      <c r="I2367" s="1">
        <f>IF(OR(A2367="",COUNTIFS('Staff Review'!$A$8:$A$507,A2367)&lt;&gt;1),0,MATCH(A2367,'Staff Review'!$A$8:$A$507,0))</f>
        <v>318</v>
      </c>
      <c r="J2367" s="1" t="str">
        <f>IF(I2367=0,"No",IF(INDEX('Staff Review'!$C$8:$C$507,I2367)="Yes","Yes","No"))</f>
        <v>No</v>
      </c>
      <c r="K2367" s="1">
        <f ca="1">IF(AI2367="Yes",INDEX('Staff Review'!$D$8:$D$507,I2367),IF(AB2367=0,"",IF(COUNT(INDEX($C$1531:$C$2030,AB2367))=1,INDEX($C$1531:$C$2030,AB2367),"")))</f>
        <v>0.45647317626121353</v>
      </c>
      <c r="L2367" s="1">
        <f>IF(AJ2367="Yes",INDEX('Staff Review'!$F$8:$F$507,I2367),IF(AB2367=0,"",IF(COUNT(INDEX($G$1531:$G$2030,AB2367))=1,INDEX($G$1531:$G$2030,AB2367),"")))</f>
        <v>4</v>
      </c>
      <c r="M2367" s="1" t="str">
        <f t="shared" ca="1" si="128"/>
        <v>Listed</v>
      </c>
      <c r="N2367" s="1" t="str">
        <f t="shared" si="129"/>
        <v>Listed</v>
      </c>
      <c r="O2367" s="1">
        <f t="shared" si="130"/>
        <v>20</v>
      </c>
      <c r="P2367" s="1">
        <f t="shared" ca="1" si="131"/>
        <v>10</v>
      </c>
      <c r="Q2367" s="1">
        <f t="shared" si="132"/>
        <v>5</v>
      </c>
      <c r="R2367" s="1">
        <f t="shared" si="133"/>
        <v>5</v>
      </c>
      <c r="S2367" s="1">
        <f t="shared" ca="1" si="134"/>
        <v>40</v>
      </c>
      <c r="T2367" s="1">
        <f ca="1">IF(OR(COUNT(O2367:R2367)&lt;&gt;4,COUNT('Top 25'!$B$45:$E$45)&lt;&gt;4,MIN('Top 25'!$B$45:$E$45)&lt;0,SUM('Top 25'!$B$45:$E$45)&lt;=0),"",ROUND(85*(O2367/30*'Top 25'!$B$45+P2367/25*'Top 25'!$C$45+Q2367/25*'Top 25'!$D$45+R2367/5*'Top 25'!$E$45)/SUM('Top 25'!$B$45:$E$45),6))</f>
        <v>40</v>
      </c>
      <c r="U2367" s="1" t="str">
        <f t="shared" ca="1" si="135"/>
        <v>Listed</v>
      </c>
      <c r="V2367" s="1" t="str">
        <f ca="1">IF(A2367="","",IF(AK2367&lt;&gt;1,"Duplicate source ID",IF(COUNTIFS('Staff Review'!$A$8:$A$507,A2367)&gt;1,"Duplicate review ID",IF(H2367&lt;&gt;"Yes","Outside scope",IF(J2367="Yes","Already served",IF(NOT(ISNUMBER(T2367)),"Missing data","Candidate"))))))</f>
        <v>Candidate</v>
      </c>
      <c r="W2367" s="1">
        <f t="shared" ca="1" si="136"/>
        <v>146</v>
      </c>
      <c r="X2367" s="1">
        <f t="shared" ca="1" si="137"/>
        <v>133</v>
      </c>
      <c r="Y2367" s="1">
        <f ca="1">IF(AND(H2367="Yes",OR(LEN('School Search'!$B$5)=0,ISNUMBER(SEARCH('School Search'!$B$5,B2367&amp;" "&amp;E2367&amp;" "&amp;A2367))),OR('School Search'!$D$5="All",C2367='School Search'!$D$5),OR('School Search'!$G$5="All eligible",AND('School Search'!$G$5="Not marked served",J2367&lt;&gt;"Yes"),AND('School Search'!$G$5="Missing data",V2367="Missing data"),AND('School Search'!$G$5="Marked served",J2367="Yes"))),1,0)</f>
        <v>1</v>
      </c>
      <c r="Z2367" s="1">
        <f ca="1">IF(Y2367=0,"",COUNTIFS($Y$2051:$Y$2550,1,$AO$2051:$AO$2550,"&lt;"&amp;AO2367)+COUNTIFS($Y$2051:Y2367,1,$AO$2051:AO2367,AO2367))</f>
        <v>146</v>
      </c>
      <c r="AA2367" s="1" t="str">
        <f t="shared" ca="1" si="138"/>
        <v>73% economic need; 0.46 mi fresh access; 4 nearby resources</v>
      </c>
      <c r="AB2367" s="1">
        <f t="shared" si="139"/>
        <v>317</v>
      </c>
      <c r="AC2367" s="1" t="str">
        <f t="shared" si="140"/>
        <v>Ali Baba Bakery Inc</v>
      </c>
      <c r="AD2367" s="1" t="str">
        <f t="shared" si="141"/>
        <v>10184 Bustleton Ave, Philadelphia, PA, 19116</v>
      </c>
      <c r="AE2367" s="1" t="str">
        <f t="shared" si="142"/>
        <v>595 TOMLINSON RD</v>
      </c>
      <c r="AF2367" s="1">
        <f t="shared" si="143"/>
        <v>40.113583640000002</v>
      </c>
      <c r="AG2367" s="1">
        <f t="shared" si="144"/>
        <v>-75.023867839999994</v>
      </c>
      <c r="AH2367" s="1" t="str">
        <f>IF(I2367=0,"Not contacted",IF(INDEX('Staff Review'!$J$8:$J$507,I2367)="","Not contacted",INDEX('Staff Review'!$J$8:$J$507,I2367)))</f>
        <v>Not contacted</v>
      </c>
      <c r="AI2367" s="1" t="str">
        <f ca="1">IF(I2367=0,"No",IF(AND(COUNT(INDEX('Staff Review'!$D$8:$D$507,I2367))=1,INDEX('Staff Review'!$D$8:$D$507,I2367)&gt;=0,COUNT(INDEX('Staff Review'!$E$8:$E$507,I2367))=1,INDEX('Staff Review'!$E$8:$E$507,I2367)&gt;0,INDEX('Staff Review'!$E$8:$E$507,I2367)&lt;='Top 25'!$E$5,'Top 25'!$E$5-INDEX('Staff Review'!$E$8:$E$507,I2367)&lt;='Top 25'!$H$5,LEN(INDEX('Staff Review'!$H$8:$H$507,I2367))&gt;0),"Yes","No"))</f>
        <v>No</v>
      </c>
      <c r="AJ2367" s="1" t="str">
        <f>IF(I2367=0,"No",IF(COUNT(INDEX('Staff Review'!$F$8:$F$507,I2367))&lt;&gt;1,"No",IF(AND(INDEX('Staff Review'!$F$8:$F$507,I2367)&gt;=0,MOD(INDEX('Staff Review'!$F$8:$F$507,I2367),1)=0,COUNT(INDEX('Staff Review'!$G$8:$G$507,I2367))=1,INDEX('Staff Review'!$G$8:$G$507,I2367)&gt;0,INDEX('Staff Review'!$G$8:$G$507,I2367)&lt;='Top 25'!$E$5,'Top 25'!$E$5-INDEX('Staff Review'!$G$8:$G$507,I2367)&lt;='Top 25'!$H$5,LEN(INDEX('Staff Review'!$H$8:$H$507,I2367))&gt;0),"Yes","No")))</f>
        <v>No</v>
      </c>
      <c r="AK2367" s="1">
        <f t="shared" si="145"/>
        <v>1</v>
      </c>
      <c r="AL2367" s="1">
        <f t="shared" ca="1" si="146"/>
        <v>1</v>
      </c>
      <c r="AM2367" s="1">
        <f t="shared" si="147"/>
        <v>8440</v>
      </c>
      <c r="AN2367" s="1">
        <f t="shared" si="148"/>
        <v>317</v>
      </c>
      <c r="AO2367">
        <f t="shared" ca="1" si="149"/>
        <v>146</v>
      </c>
      <c r="AP2367" s="105">
        <f ca="1">IF(AND(AL2367=1,OR('Top 25'!$A$10="All",C2367='Top 25'!$A$10),OR('Top 25'!$D$10="All",D2367='Top 25'!$D$10)),1,0)</f>
        <v>1</v>
      </c>
      <c r="AQ2367" s="105">
        <f ca="1">IF(AP2367=0,"",CHOOSE(MATCH('Top 25'!$G$10,{"Priority score","Economic need","Enrollment","Fresh miles","Nearby resources"},0),T2367,G2367,F2367,K2367,L2367))</f>
        <v>40</v>
      </c>
      <c r="AR2367" s="105">
        <f ca="1">IF(AP2367=0,"",1+COUNTIFS($AP$2051:$AP$2550,1,$AQ$2051:$AQ$2550,IF('Top 25'!$J$10="Ascending","&lt;","&gt;")&amp;AQ2367)+COUNTIFS($AP$2051:$AP$2550,1,$AQ$2051:$AQ$2550,AQ2367,$W$2051:$W$2550,"&lt;"&amp;W2367))</f>
        <v>23</v>
      </c>
      <c r="AT2367" s="105">
        <f ca="1">IF(AND(AL2367=1,OR(Master_rankableSchools!$A$10="All",C2367=Master_rankableSchools!$A$10),OR(Master_rankableSchools!$D$10="All",D2367=Master_rankableSchools!$D$10)),1,0)</f>
        <v>1</v>
      </c>
      <c r="AU2367" s="105">
        <f ca="1">IF(AT2367=0,"",CHOOSE(MATCH(Master_rankableSchools!$G$10,{"Priority score","Economic need","Enrollment","Fresh miles","Nearby resources"},0),T2367,G2367,F2367,K2367,L2367))</f>
        <v>40</v>
      </c>
      <c r="AV2367" s="105">
        <f ca="1">IF(AT2367=0,"",1+COUNTIFS($AT$2051:$AT$2550,1,$AU$2051:$AU$2550,IF(Master_rankableSchools!$J$10="Ascending","&lt;","&gt;")&amp;AU2367)+COUNTIFS($AT$2051:$AT$2550,1,$AU$2051:$AU$2550,AU2367,$W$2051:$W$2550,"&lt;"&amp;W2367))</f>
        <v>146</v>
      </c>
    </row>
    <row r="2368" spans="1:48" ht="22" customHeight="1">
      <c r="A2368" s="1" t="str">
        <f t="shared" si="120"/>
        <v>8450</v>
      </c>
      <c r="B2368" s="1" t="str">
        <f t="shared" si="121"/>
        <v>YESPhilly</v>
      </c>
      <c r="C2368" s="1" t="str">
        <f t="shared" si="122"/>
        <v>Contracted</v>
      </c>
      <c r="D2368" s="1" t="str">
        <f t="shared" si="123"/>
        <v>Transition/Overage School</v>
      </c>
      <c r="E2368" s="1" t="str">
        <f t="shared" si="124"/>
        <v>19132</v>
      </c>
      <c r="F2368" s="1">
        <f t="shared" si="125"/>
        <v>127</v>
      </c>
      <c r="G2368" s="1" t="str">
        <f t="shared" si="126"/>
        <v/>
      </c>
      <c r="H2368" s="1" t="str">
        <f t="shared" si="127"/>
        <v>No</v>
      </c>
      <c r="I2368" s="1">
        <f>IF(OR(A2368="",COUNTIFS('Staff Review'!$A$8:$A$507,A2368)&lt;&gt;1),0,MATCH(A2368,'Staff Review'!$A$8:$A$507,0))</f>
        <v>327</v>
      </c>
      <c r="J2368" s="1" t="str">
        <f>IF(I2368=0,"No",IF(INDEX('Staff Review'!$C$8:$C$507,I2368)="Yes","Yes","No"))</f>
        <v>No</v>
      </c>
      <c r="K2368" s="1">
        <f ca="1">IF(AI2368="Yes",INDEX('Staff Review'!$D$8:$D$507,I2368),IF(AB2368=0,"",IF(COUNT(INDEX($C$1531:$C$2030,AB2368))=1,INDEX($C$1531:$C$2030,AB2368),"")))</f>
        <v>0.54117704287237034</v>
      </c>
      <c r="L2368" s="1">
        <f>IF(AJ2368="Yes",INDEX('Staff Review'!$F$8:$F$507,I2368),IF(AB2368=0,"",IF(COUNT(INDEX($G$1531:$G$2030,AB2368))=1,INDEX($G$1531:$G$2030,AB2368),"")))</f>
        <v>15</v>
      </c>
      <c r="M2368" s="1" t="str">
        <f t="shared" ca="1" si="128"/>
        <v>Listed</v>
      </c>
      <c r="N2368" s="1" t="str">
        <f t="shared" si="129"/>
        <v>Listed</v>
      </c>
      <c r="O2368" s="1" t="str">
        <f t="shared" si="130"/>
        <v/>
      </c>
      <c r="P2368" s="1">
        <f t="shared" ca="1" si="131"/>
        <v>15</v>
      </c>
      <c r="Q2368" s="1">
        <f t="shared" si="132"/>
        <v>0</v>
      </c>
      <c r="R2368" s="1">
        <f t="shared" si="133"/>
        <v>1</v>
      </c>
      <c r="S2368" s="1" t="str">
        <f t="shared" ca="1" si="134"/>
        <v/>
      </c>
      <c r="T2368" s="1" t="str">
        <f ca="1">IF(OR(COUNT(O2368:R2368)&lt;&gt;4,COUNT('Top 25'!$B$45:$E$45)&lt;&gt;4,MIN('Top 25'!$B$45:$E$45)&lt;0,SUM('Top 25'!$B$45:$E$45)&lt;=0),"",ROUND(85*(O2368/30*'Top 25'!$B$45+P2368/25*'Top 25'!$C$45+Q2368/25*'Top 25'!$D$45+R2368/5*'Top 25'!$E$45)/SUM('Top 25'!$B$45:$E$45),6))</f>
        <v/>
      </c>
      <c r="U2368" s="1" t="str">
        <f t="shared" ca="1" si="135"/>
        <v>Listed</v>
      </c>
      <c r="V2368" s="1" t="str">
        <f>IF(A2368="","",IF(AK2368&lt;&gt;1,"Duplicate source ID",IF(COUNTIFS('Staff Review'!$A$8:$A$507,A2368)&gt;1,"Duplicate review ID",IF(H2368&lt;&gt;"Yes","Outside scope",IF(J2368="Yes","Already served",IF(NOT(ISNUMBER(T2368)),"Missing data","Candidate"))))))</f>
        <v>Outside scope</v>
      </c>
      <c r="W2368" s="1" t="str">
        <f t="shared" si="136"/>
        <v/>
      </c>
      <c r="X2368" s="1" t="str">
        <f t="shared" si="137"/>
        <v/>
      </c>
      <c r="Y2368" s="1">
        <f>IF(AND(H2368="Yes",OR(LEN('School Search'!$B$5)=0,ISNUMBER(SEARCH('School Search'!$B$5,B2368&amp;" "&amp;E2368&amp;" "&amp;A2368))),OR('School Search'!$D$5="All",C2368='School Search'!$D$5),OR('School Search'!$G$5="All eligible",AND('School Search'!$G$5="Not marked served",J2368&lt;&gt;"Yes"),AND('School Search'!$G$5="Missing data",V2368="Missing data"),AND('School Search'!$G$5="Marked served",J2368="Yes"))),1,0)</f>
        <v>0</v>
      </c>
      <c r="Z2368" s="1" t="str">
        <f>IF(Y2368=0,"",COUNTIFS($Y$2051:$Y$2550,1,$AO$2051:$AO$2550,"&lt;"&amp;AO2368)+COUNTIFS($Y$2051:Y2368,1,$AO$2051:AO2368,AO2368))</f>
        <v/>
      </c>
      <c r="AA2368" s="1" t="str">
        <f t="shared" ca="1" si="138"/>
        <v>Missing demographic or access input</v>
      </c>
      <c r="AB2368" s="1">
        <f t="shared" si="139"/>
        <v>318</v>
      </c>
      <c r="AC2368" s="1" t="str">
        <f t="shared" si="140"/>
        <v>Save A Lot 60139</v>
      </c>
      <c r="AD2368" s="1" t="str">
        <f t="shared" si="141"/>
        <v>701 W Lehigh Ave, Philadelphia, PA, 19133</v>
      </c>
      <c r="AE2368" s="1" t="str">
        <f t="shared" si="142"/>
        <v>2709 N BROAD ST</v>
      </c>
      <c r="AF2368" s="1">
        <f t="shared" si="143"/>
        <v>39.994464299999997</v>
      </c>
      <c r="AG2368" s="1">
        <f t="shared" si="144"/>
        <v>-75.154127599999995</v>
      </c>
      <c r="AH2368" s="1" t="str">
        <f>IF(I2368=0,"Not contacted",IF(INDEX('Staff Review'!$J$8:$J$507,I2368)="","Not contacted",INDEX('Staff Review'!$J$8:$J$507,I2368)))</f>
        <v>Not contacted</v>
      </c>
      <c r="AI2368" s="1" t="str">
        <f ca="1">IF(I2368=0,"No",IF(AND(COUNT(INDEX('Staff Review'!$D$8:$D$507,I2368))=1,INDEX('Staff Review'!$D$8:$D$507,I2368)&gt;=0,COUNT(INDEX('Staff Review'!$E$8:$E$507,I2368))=1,INDEX('Staff Review'!$E$8:$E$507,I2368)&gt;0,INDEX('Staff Review'!$E$8:$E$507,I2368)&lt;='Top 25'!$E$5,'Top 25'!$E$5-INDEX('Staff Review'!$E$8:$E$507,I2368)&lt;='Top 25'!$H$5,LEN(INDEX('Staff Review'!$H$8:$H$507,I2368))&gt;0),"Yes","No"))</f>
        <v>No</v>
      </c>
      <c r="AJ2368" s="1" t="str">
        <f>IF(I2368=0,"No",IF(COUNT(INDEX('Staff Review'!$F$8:$F$507,I2368))&lt;&gt;1,"No",IF(AND(INDEX('Staff Review'!$F$8:$F$507,I2368)&gt;=0,MOD(INDEX('Staff Review'!$F$8:$F$507,I2368),1)=0,COUNT(INDEX('Staff Review'!$G$8:$G$507,I2368))=1,INDEX('Staff Review'!$G$8:$G$507,I2368)&gt;0,INDEX('Staff Review'!$G$8:$G$507,I2368)&lt;='Top 25'!$E$5,'Top 25'!$E$5-INDEX('Staff Review'!$G$8:$G$507,I2368)&lt;='Top 25'!$H$5,LEN(INDEX('Staff Review'!$H$8:$H$507,I2368))&gt;0),"Yes","No")))</f>
        <v>No</v>
      </c>
      <c r="AK2368" s="1">
        <f t="shared" si="145"/>
        <v>1</v>
      </c>
      <c r="AL2368" s="1">
        <f t="shared" si="146"/>
        <v>0</v>
      </c>
      <c r="AM2368" s="1">
        <f t="shared" si="147"/>
        <v>8450</v>
      </c>
      <c r="AN2368" s="1">
        <f t="shared" si="148"/>
        <v>318</v>
      </c>
      <c r="AO2368">
        <f t="shared" si="149"/>
        <v>18450</v>
      </c>
      <c r="AP2368" s="105">
        <f>IF(AND(AL2368=1,OR('Top 25'!$A$10="All",C2368='Top 25'!$A$10),OR('Top 25'!$D$10="All",D2368='Top 25'!$D$10)),1,0)</f>
        <v>0</v>
      </c>
      <c r="AQ2368" s="105" t="str">
        <f>IF(AP2368=0,"",CHOOSE(MATCH('Top 25'!$G$10,{"Priority score","Economic need","Enrollment","Fresh miles","Nearby resources"},0),T2368,G2368,F2368,K2368,L2368))</f>
        <v/>
      </c>
      <c r="AR2368" s="105" t="str">
        <f>IF(AP2368=0,"",1+COUNTIFS($AP$2051:$AP$2550,1,$AQ$2051:$AQ$2550,IF('Top 25'!$J$10="Ascending","&lt;","&gt;")&amp;AQ2368)+COUNTIFS($AP$2051:$AP$2550,1,$AQ$2051:$AQ$2550,AQ2368,$W$2051:$W$2550,"&lt;"&amp;W2368))</f>
        <v/>
      </c>
      <c r="AT2368" s="105">
        <f>IF(AND(AL2368=1,OR(Master_rankableSchools!$A$10="All",C2368=Master_rankableSchools!$A$10),OR(Master_rankableSchools!$D$10="All",D2368=Master_rankableSchools!$D$10)),1,0)</f>
        <v>0</v>
      </c>
      <c r="AU2368" s="105" t="str">
        <f>IF(AT2368=0,"",CHOOSE(MATCH(Master_rankableSchools!$G$10,{"Priority score","Economic need","Enrollment","Fresh miles","Nearby resources"},0),T2368,G2368,F2368,K2368,L2368))</f>
        <v/>
      </c>
      <c r="AV2368" s="105" t="str">
        <f>IF(AT2368=0,"",1+COUNTIFS($AT$2051:$AT$2550,1,$AU$2051:$AU$2550,IF(Master_rankableSchools!$J$10="Ascending","&lt;","&gt;")&amp;AU2368)+COUNTIFS($AT$2051:$AT$2550,1,$AU$2051:$AU$2550,AU2368,$W$2051:$W$2550,"&lt;"&amp;W2368))</f>
        <v/>
      </c>
    </row>
    <row r="2369" spans="1:48" ht="22" customHeight="1">
      <c r="A2369" s="1" t="str">
        <f t="shared" si="120"/>
        <v>8460</v>
      </c>
      <c r="B2369" s="1" t="str">
        <f t="shared" si="121"/>
        <v>Philadelphia Learning Academy West</v>
      </c>
      <c r="C2369" s="1" t="str">
        <f t="shared" si="122"/>
        <v>District</v>
      </c>
      <c r="D2369" s="1" t="str">
        <f t="shared" si="123"/>
        <v>Transition/Overage School</v>
      </c>
      <c r="E2369" s="1" t="str">
        <f t="shared" si="124"/>
        <v>19104</v>
      </c>
      <c r="F2369" s="1">
        <f t="shared" si="125"/>
        <v>60</v>
      </c>
      <c r="G2369" s="1">
        <f t="shared" si="126"/>
        <v>0.89829999999999999</v>
      </c>
      <c r="H2369" s="1" t="str">
        <f t="shared" si="127"/>
        <v>Yes</v>
      </c>
      <c r="I2369" s="1">
        <f>IF(OR(A2369="",COUNTIFS('Staff Review'!$A$8:$A$507,A2369)&lt;&gt;1),0,MATCH(A2369,'Staff Review'!$A$8:$A$507,0))</f>
        <v>238</v>
      </c>
      <c r="J2369" s="1" t="str">
        <f>IF(I2369=0,"No",IF(INDEX('Staff Review'!$C$8:$C$507,I2369)="Yes","Yes","No"))</f>
        <v>No</v>
      </c>
      <c r="K2369" s="1">
        <f ca="1">IF(AI2369="Yes",INDEX('Staff Review'!$D$8:$D$507,I2369),IF(AB2369=0,"",IF(COUNT(INDEX($C$1531:$C$2030,AB2369))=1,INDEX($C$1531:$C$2030,AB2369),"")))</f>
        <v>0.66104747662637997</v>
      </c>
      <c r="L2369" s="1">
        <f>IF(AJ2369="Yes",INDEX('Staff Review'!$F$8:$F$507,I2369),IF(AB2369=0,"",IF(COUNT(INDEX($G$1531:$G$2030,AB2369))=1,INDEX($G$1531:$G$2030,AB2369),"")))</f>
        <v>11</v>
      </c>
      <c r="M2369" s="1" t="str">
        <f t="shared" ca="1" si="128"/>
        <v>Listed</v>
      </c>
      <c r="N2369" s="1" t="str">
        <f t="shared" si="129"/>
        <v>Listed</v>
      </c>
      <c r="O2369" s="1">
        <f t="shared" si="130"/>
        <v>25</v>
      </c>
      <c r="P2369" s="1">
        <f t="shared" ca="1" si="131"/>
        <v>15</v>
      </c>
      <c r="Q2369" s="1">
        <f t="shared" si="132"/>
        <v>0</v>
      </c>
      <c r="R2369" s="1">
        <f t="shared" si="133"/>
        <v>1</v>
      </c>
      <c r="S2369" s="1">
        <f t="shared" ca="1" si="134"/>
        <v>41</v>
      </c>
      <c r="T2369" s="1">
        <f ca="1">IF(OR(COUNT(O2369:R2369)&lt;&gt;4,COUNT('Top 25'!$B$45:$E$45)&lt;&gt;4,MIN('Top 25'!$B$45:$E$45)&lt;0,SUM('Top 25'!$B$45:$E$45)&lt;=0),"",ROUND(85*(O2369/30*'Top 25'!$B$45+P2369/25*'Top 25'!$C$45+Q2369/25*'Top 25'!$D$45+R2369/5*'Top 25'!$E$45)/SUM('Top 25'!$B$45:$E$45),6))</f>
        <v>41</v>
      </c>
      <c r="U2369" s="1" t="str">
        <f t="shared" ca="1" si="135"/>
        <v>Listed</v>
      </c>
      <c r="V2369" s="1" t="str">
        <f ca="1">IF(A2369="","",IF(AK2369&lt;&gt;1,"Duplicate source ID",IF(COUNTIFS('Staff Review'!$A$8:$A$507,A2369)&gt;1,"Duplicate review ID",IF(H2369&lt;&gt;"Yes","Outside scope",IF(J2369="Yes","Already served",IF(NOT(ISNUMBER(T2369)),"Missing data","Candidate"))))))</f>
        <v>Candidate</v>
      </c>
      <c r="W2369" s="1">
        <f t="shared" ca="1" si="136"/>
        <v>131</v>
      </c>
      <c r="X2369" s="1">
        <f t="shared" ca="1" si="137"/>
        <v>128</v>
      </c>
      <c r="Y2369" s="1">
        <f ca="1">IF(AND(H2369="Yes",OR(LEN('School Search'!$B$5)=0,ISNUMBER(SEARCH('School Search'!$B$5,B2369&amp;" "&amp;E2369&amp;" "&amp;A2369))),OR('School Search'!$D$5="All",C2369='School Search'!$D$5),OR('School Search'!$G$5="All eligible",AND('School Search'!$G$5="Not marked served",J2369&lt;&gt;"Yes"),AND('School Search'!$G$5="Missing data",V2369="Missing data"),AND('School Search'!$G$5="Marked served",J2369="Yes"))),1,0)</f>
        <v>1</v>
      </c>
      <c r="Z2369" s="1">
        <f ca="1">IF(Y2369=0,"",COUNTIFS($Y$2051:$Y$2550,1,$AO$2051:$AO$2550,"&lt;"&amp;AO2369)+COUNTIFS($Y$2051:Y2369,1,$AO$2051:AO2369,AO2369))</f>
        <v>131</v>
      </c>
      <c r="AA2369" s="1" t="str">
        <f t="shared" ca="1" si="138"/>
        <v>90% economic need; 0.66 mi fresh access; 11 nearby resources</v>
      </c>
      <c r="AB2369" s="1">
        <f t="shared" si="139"/>
        <v>319</v>
      </c>
      <c r="AC2369" s="1" t="str">
        <f t="shared" si="140"/>
        <v>Cousin's Fresh Market 2 Inc</v>
      </c>
      <c r="AD2369" s="1" t="str">
        <f t="shared" si="141"/>
        <v>5429 W Girard Ave, Philadelphia, PA, 19131</v>
      </c>
      <c r="AE2369" s="1" t="str">
        <f t="shared" si="142"/>
        <v>4300 WESTMINSTER AVE</v>
      </c>
      <c r="AF2369" s="1">
        <f t="shared" si="143"/>
        <v>39.969713710000001</v>
      </c>
      <c r="AG2369" s="1">
        <f t="shared" si="144"/>
        <v>-75.210135210000004</v>
      </c>
      <c r="AH2369" s="1" t="str">
        <f>IF(I2369=0,"Not contacted",IF(INDEX('Staff Review'!$J$8:$J$507,I2369)="","Not contacted",INDEX('Staff Review'!$J$8:$J$507,I2369)))</f>
        <v>Not contacted</v>
      </c>
      <c r="AI2369" s="1" t="str">
        <f ca="1">IF(I2369=0,"No",IF(AND(COUNT(INDEX('Staff Review'!$D$8:$D$507,I2369))=1,INDEX('Staff Review'!$D$8:$D$507,I2369)&gt;=0,COUNT(INDEX('Staff Review'!$E$8:$E$507,I2369))=1,INDEX('Staff Review'!$E$8:$E$507,I2369)&gt;0,INDEX('Staff Review'!$E$8:$E$507,I2369)&lt;='Top 25'!$E$5,'Top 25'!$E$5-INDEX('Staff Review'!$E$8:$E$507,I2369)&lt;='Top 25'!$H$5,LEN(INDEX('Staff Review'!$H$8:$H$507,I2369))&gt;0),"Yes","No"))</f>
        <v>No</v>
      </c>
      <c r="AJ2369" s="1" t="str">
        <f>IF(I2369=0,"No",IF(COUNT(INDEX('Staff Review'!$F$8:$F$507,I2369))&lt;&gt;1,"No",IF(AND(INDEX('Staff Review'!$F$8:$F$507,I2369)&gt;=0,MOD(INDEX('Staff Review'!$F$8:$F$507,I2369),1)=0,COUNT(INDEX('Staff Review'!$G$8:$G$507,I2369))=1,INDEX('Staff Review'!$G$8:$G$507,I2369)&gt;0,INDEX('Staff Review'!$G$8:$G$507,I2369)&lt;='Top 25'!$E$5,'Top 25'!$E$5-INDEX('Staff Review'!$G$8:$G$507,I2369)&lt;='Top 25'!$H$5,LEN(INDEX('Staff Review'!$H$8:$H$507,I2369))&gt;0),"Yes","No")))</f>
        <v>No</v>
      </c>
      <c r="AK2369" s="1">
        <f t="shared" si="145"/>
        <v>1</v>
      </c>
      <c r="AL2369" s="1">
        <f t="shared" ca="1" si="146"/>
        <v>1</v>
      </c>
      <c r="AM2369" s="1">
        <f t="shared" si="147"/>
        <v>8460</v>
      </c>
      <c r="AN2369" s="1">
        <f t="shared" si="148"/>
        <v>319</v>
      </c>
      <c r="AO2369">
        <f t="shared" ca="1" si="149"/>
        <v>131</v>
      </c>
      <c r="AP2369" s="105">
        <f ca="1">IF(AND(AL2369=1,OR('Top 25'!$A$10="All",C2369='Top 25'!$A$10),OR('Top 25'!$D$10="All",D2369='Top 25'!$D$10)),1,0)</f>
        <v>0</v>
      </c>
      <c r="AQ2369" s="105" t="str">
        <f ca="1">IF(AP2369=0,"",CHOOSE(MATCH('Top 25'!$G$10,{"Priority score","Economic need","Enrollment","Fresh miles","Nearby resources"},0),T2369,G2369,F2369,K2369,L2369))</f>
        <v/>
      </c>
      <c r="AR2369" s="105" t="str">
        <f ca="1">IF(AP2369=0,"",1+COUNTIFS($AP$2051:$AP$2550,1,$AQ$2051:$AQ$2550,IF('Top 25'!$J$10="Ascending","&lt;","&gt;")&amp;AQ2369)+COUNTIFS($AP$2051:$AP$2550,1,$AQ$2051:$AQ$2550,AQ2369,$W$2051:$W$2550,"&lt;"&amp;W2369))</f>
        <v/>
      </c>
      <c r="AT2369" s="105">
        <f ca="1">IF(AND(AL2369=1,OR(Master_rankableSchools!$A$10="All",C2369=Master_rankableSchools!$A$10),OR(Master_rankableSchools!$D$10="All",D2369=Master_rankableSchools!$D$10)),1,0)</f>
        <v>1</v>
      </c>
      <c r="AU2369" s="105">
        <f ca="1">IF(AT2369=0,"",CHOOSE(MATCH(Master_rankableSchools!$G$10,{"Priority score","Economic need","Enrollment","Fresh miles","Nearby resources"},0),T2369,G2369,F2369,K2369,L2369))</f>
        <v>41</v>
      </c>
      <c r="AV2369" s="105">
        <f ca="1">IF(AT2369=0,"",1+COUNTIFS($AT$2051:$AT$2550,1,$AU$2051:$AU$2550,IF(Master_rankableSchools!$J$10="Ascending","&lt;","&gt;")&amp;AU2369)+COUNTIFS($AT$2051:$AT$2550,1,$AU$2051:$AU$2550,AU2369,$W$2051:$W$2550,"&lt;"&amp;W2369))</f>
        <v>131</v>
      </c>
    </row>
    <row r="2370" spans="1:48" ht="22" customHeight="1">
      <c r="A2370" s="1" t="str">
        <f t="shared" si="120"/>
        <v>8470</v>
      </c>
      <c r="B2370" s="1" t="str">
        <f t="shared" si="121"/>
        <v>Philadelphia Learning Academy North</v>
      </c>
      <c r="C2370" s="1" t="str">
        <f t="shared" si="122"/>
        <v>District</v>
      </c>
      <c r="D2370" s="1" t="str">
        <f t="shared" si="123"/>
        <v>Transition/Overage School</v>
      </c>
      <c r="E2370" s="1" t="str">
        <f t="shared" si="124"/>
        <v>19140</v>
      </c>
      <c r="F2370" s="1">
        <f t="shared" si="125"/>
        <v>67</v>
      </c>
      <c r="G2370" s="1">
        <f t="shared" si="126"/>
        <v>0.90159999999999996</v>
      </c>
      <c r="H2370" s="1" t="str">
        <f t="shared" si="127"/>
        <v>Yes</v>
      </c>
      <c r="I2370" s="1">
        <f>IF(OR(A2370="",COUNTIFS('Staff Review'!$A$8:$A$507,A2370)&lt;&gt;1),0,MATCH(A2370,'Staff Review'!$A$8:$A$507,0))</f>
        <v>237</v>
      </c>
      <c r="J2370" s="1" t="str">
        <f>IF(I2370=0,"No",IF(INDEX('Staff Review'!$C$8:$C$507,I2370)="Yes","Yes","No"))</f>
        <v>No</v>
      </c>
      <c r="K2370" s="1">
        <f ca="1">IF(AI2370="Yes",INDEX('Staff Review'!$D$8:$D$507,I2370),IF(AB2370=0,"",IF(COUNT(INDEX($C$1531:$C$2030,AB2370))=1,INDEX($C$1531:$C$2030,AB2370),"")))</f>
        <v>0.51816367324305457</v>
      </c>
      <c r="L2370" s="1">
        <f>IF(AJ2370="Yes",INDEX('Staff Review'!$F$8:$F$507,I2370),IF(AB2370=0,"",IF(COUNT(INDEX($G$1531:$G$2030,AB2370))=1,INDEX($G$1531:$G$2030,AB2370),"")))</f>
        <v>10</v>
      </c>
      <c r="M2370" s="1" t="str">
        <f t="shared" ca="1" si="128"/>
        <v>Listed</v>
      </c>
      <c r="N2370" s="1" t="str">
        <f t="shared" si="129"/>
        <v>Listed</v>
      </c>
      <c r="O2370" s="1">
        <f t="shared" si="130"/>
        <v>30</v>
      </c>
      <c r="P2370" s="1">
        <f t="shared" ca="1" si="131"/>
        <v>15</v>
      </c>
      <c r="Q2370" s="1">
        <f t="shared" si="132"/>
        <v>0</v>
      </c>
      <c r="R2370" s="1">
        <f t="shared" si="133"/>
        <v>1</v>
      </c>
      <c r="S2370" s="1">
        <f t="shared" ca="1" si="134"/>
        <v>46</v>
      </c>
      <c r="T2370" s="1">
        <f ca="1">IF(OR(COUNT(O2370:R2370)&lt;&gt;4,COUNT('Top 25'!$B$45:$E$45)&lt;&gt;4,MIN('Top 25'!$B$45:$E$45)&lt;0,SUM('Top 25'!$B$45:$E$45)&lt;=0),"",ROUND(85*(O2370/30*'Top 25'!$B$45+P2370/25*'Top 25'!$C$45+Q2370/25*'Top 25'!$D$45+R2370/5*'Top 25'!$E$45)/SUM('Top 25'!$B$45:$E$45),6))</f>
        <v>46</v>
      </c>
      <c r="U2370" s="1" t="str">
        <f t="shared" ca="1" si="135"/>
        <v>Listed</v>
      </c>
      <c r="V2370" s="1" t="str">
        <f ca="1">IF(A2370="","",IF(AK2370&lt;&gt;1,"Duplicate source ID",IF(COUNTIFS('Staff Review'!$A$8:$A$507,A2370)&gt;1,"Duplicate review ID",IF(H2370&lt;&gt;"Yes","Outside scope",IF(J2370="Yes","Already served",IF(NOT(ISNUMBER(T2370)),"Missing data","Candidate"))))))</f>
        <v>Candidate</v>
      </c>
      <c r="W2370" s="1">
        <f t="shared" ca="1" si="136"/>
        <v>71</v>
      </c>
      <c r="X2370" s="1">
        <f t="shared" ca="1" si="137"/>
        <v>71</v>
      </c>
      <c r="Y2370" s="1">
        <f ca="1">IF(AND(H2370="Yes",OR(LEN('School Search'!$B$5)=0,ISNUMBER(SEARCH('School Search'!$B$5,B2370&amp;" "&amp;E2370&amp;" "&amp;A2370))),OR('School Search'!$D$5="All",C2370='School Search'!$D$5),OR('School Search'!$G$5="All eligible",AND('School Search'!$G$5="Not marked served",J2370&lt;&gt;"Yes"),AND('School Search'!$G$5="Missing data",V2370="Missing data"),AND('School Search'!$G$5="Marked served",J2370="Yes"))),1,0)</f>
        <v>1</v>
      </c>
      <c r="Z2370" s="1">
        <f ca="1">IF(Y2370=0,"",COUNTIFS($Y$2051:$Y$2550,1,$AO$2051:$AO$2550,"&lt;"&amp;AO2370)+COUNTIFS($Y$2051:Y2370,1,$AO$2051:AO2370,AO2370))</f>
        <v>71</v>
      </c>
      <c r="AA2370" s="1" t="str">
        <f t="shared" ca="1" si="138"/>
        <v>90% economic need; 0.52 mi fresh access; 10 nearby resources</v>
      </c>
      <c r="AB2370" s="1">
        <f t="shared" si="139"/>
        <v>320</v>
      </c>
      <c r="AC2370" s="1" t="str">
        <f t="shared" si="140"/>
        <v>COUSINS SUPERMARKET INC. #2</v>
      </c>
      <c r="AD2370" s="1" t="str">
        <f t="shared" si="141"/>
        <v>4037 N 5th St, Philadelphia, PA, 19140</v>
      </c>
      <c r="AE2370" s="1" t="str">
        <f t="shared" si="142"/>
        <v>4224 N FRONT ST</v>
      </c>
      <c r="AF2370" s="1">
        <f t="shared" si="143"/>
        <v>40.014255249999998</v>
      </c>
      <c r="AG2370" s="1">
        <f t="shared" si="144"/>
        <v>-75.125996790000002</v>
      </c>
      <c r="AH2370" s="1" t="str">
        <f>IF(I2370=0,"Not contacted",IF(INDEX('Staff Review'!$J$8:$J$507,I2370)="","Not contacted",INDEX('Staff Review'!$J$8:$J$507,I2370)))</f>
        <v>Not contacted</v>
      </c>
      <c r="AI2370" s="1" t="str">
        <f ca="1">IF(I2370=0,"No",IF(AND(COUNT(INDEX('Staff Review'!$D$8:$D$507,I2370))=1,INDEX('Staff Review'!$D$8:$D$507,I2370)&gt;=0,COUNT(INDEX('Staff Review'!$E$8:$E$507,I2370))=1,INDEX('Staff Review'!$E$8:$E$507,I2370)&gt;0,INDEX('Staff Review'!$E$8:$E$507,I2370)&lt;='Top 25'!$E$5,'Top 25'!$E$5-INDEX('Staff Review'!$E$8:$E$507,I2370)&lt;='Top 25'!$H$5,LEN(INDEX('Staff Review'!$H$8:$H$507,I2370))&gt;0),"Yes","No"))</f>
        <v>No</v>
      </c>
      <c r="AJ2370" s="1" t="str">
        <f>IF(I2370=0,"No",IF(COUNT(INDEX('Staff Review'!$F$8:$F$507,I2370))&lt;&gt;1,"No",IF(AND(INDEX('Staff Review'!$F$8:$F$507,I2370)&gt;=0,MOD(INDEX('Staff Review'!$F$8:$F$507,I2370),1)=0,COUNT(INDEX('Staff Review'!$G$8:$G$507,I2370))=1,INDEX('Staff Review'!$G$8:$G$507,I2370)&gt;0,INDEX('Staff Review'!$G$8:$G$507,I2370)&lt;='Top 25'!$E$5,'Top 25'!$E$5-INDEX('Staff Review'!$G$8:$G$507,I2370)&lt;='Top 25'!$H$5,LEN(INDEX('Staff Review'!$H$8:$H$507,I2370))&gt;0),"Yes","No")))</f>
        <v>No</v>
      </c>
      <c r="AK2370" s="1">
        <f t="shared" si="145"/>
        <v>1</v>
      </c>
      <c r="AL2370" s="1">
        <f t="shared" ca="1" si="146"/>
        <v>1</v>
      </c>
      <c r="AM2370" s="1">
        <f t="shared" si="147"/>
        <v>8470</v>
      </c>
      <c r="AN2370" s="1">
        <f t="shared" si="148"/>
        <v>320</v>
      </c>
      <c r="AO2370">
        <f t="shared" ca="1" si="149"/>
        <v>71</v>
      </c>
      <c r="AP2370" s="105">
        <f ca="1">IF(AND(AL2370=1,OR('Top 25'!$A$10="All",C2370='Top 25'!$A$10),OR('Top 25'!$D$10="All",D2370='Top 25'!$D$10)),1,0)</f>
        <v>0</v>
      </c>
      <c r="AQ2370" s="105" t="str">
        <f ca="1">IF(AP2370=0,"",CHOOSE(MATCH('Top 25'!$G$10,{"Priority score","Economic need","Enrollment","Fresh miles","Nearby resources"},0),T2370,G2370,F2370,K2370,L2370))</f>
        <v/>
      </c>
      <c r="AR2370" s="105" t="str">
        <f ca="1">IF(AP2370=0,"",1+COUNTIFS($AP$2051:$AP$2550,1,$AQ$2051:$AQ$2550,IF('Top 25'!$J$10="Ascending","&lt;","&gt;")&amp;AQ2370)+COUNTIFS($AP$2051:$AP$2550,1,$AQ$2051:$AQ$2550,AQ2370,$W$2051:$W$2550,"&lt;"&amp;W2370))</f>
        <v/>
      </c>
      <c r="AT2370" s="105">
        <f ca="1">IF(AND(AL2370=1,OR(Master_rankableSchools!$A$10="All",C2370=Master_rankableSchools!$A$10),OR(Master_rankableSchools!$D$10="All",D2370=Master_rankableSchools!$D$10)),1,0)</f>
        <v>1</v>
      </c>
      <c r="AU2370" s="105">
        <f ca="1">IF(AT2370=0,"",CHOOSE(MATCH(Master_rankableSchools!$G$10,{"Priority score","Economic need","Enrollment","Fresh miles","Nearby resources"},0),T2370,G2370,F2370,K2370,L2370))</f>
        <v>46</v>
      </c>
      <c r="AV2370" s="105">
        <f ca="1">IF(AT2370=0,"",1+COUNTIFS($AT$2051:$AT$2550,1,$AU$2051:$AU$2550,IF(Master_rankableSchools!$J$10="Ascending","&lt;","&gt;")&amp;AU2370)+COUNTIFS($AT$2051:$AT$2550,1,$AU$2051:$AU$2550,AU2370,$W$2051:$W$2550,"&lt;"&amp;W2370))</f>
        <v>71</v>
      </c>
    </row>
    <row r="2371" spans="1:48" ht="22" customHeight="1">
      <c r="A2371" s="1" t="str">
        <f t="shared" ref="A2371:A2434" si="150">IF(A322="","",A322)</f>
        <v>8540</v>
      </c>
      <c r="B2371" s="1" t="str">
        <f t="shared" ref="B2371:B2434" si="151">IF(A2371="","",B322)</f>
        <v>Pennypack House School</v>
      </c>
      <c r="C2371" s="1" t="str">
        <f t="shared" ref="C2371:C2434" si="152">IF(A2371="","",C322)</f>
        <v>District</v>
      </c>
      <c r="D2371" s="1" t="str">
        <f t="shared" ref="D2371:D2434" si="153">IF(A2371="","",E322)</f>
        <v>Transition/Overage School</v>
      </c>
      <c r="E2371" s="1" t="str">
        <f t="shared" ref="E2371:E2434" si="154">IF(A2371="","",H322)</f>
        <v>19136</v>
      </c>
      <c r="F2371" s="1">
        <f t="shared" ref="F2371:F2434" si="155">IF(ISNUMBER(K322),K322,"")</f>
        <v>75</v>
      </c>
      <c r="G2371" s="1" t="str">
        <f t="shared" ref="G2371:G2434" si="156">IF(ISNUMBER(L322),L322,"")</f>
        <v/>
      </c>
      <c r="H2371" s="1" t="str">
        <f t="shared" ref="H2371:H2434" si="157">IF(A2371="","",IF(AND(UPPER(G322)="PHILADELPHIA",OR(C2371="District",AND(C2371="Charter",D322="Yes"))),"Yes","No"))</f>
        <v>Yes</v>
      </c>
      <c r="I2371" s="1">
        <f>IF(OR(A2371="",COUNTIFS('Staff Review'!$A$8:$A$507,A2371)&lt;&gt;1),0,MATCH(A2371,'Staff Review'!$A$8:$A$507,0))</f>
        <v>228</v>
      </c>
      <c r="J2371" s="1" t="str">
        <f>IF(I2371=0,"No",IF(INDEX('Staff Review'!$C$8:$C$507,I2371)="Yes","Yes","No"))</f>
        <v>No</v>
      </c>
      <c r="K2371" s="1">
        <f ca="1">IF(AI2371="Yes",INDEX('Staff Review'!$D$8:$D$507,I2371),IF(AB2371=0,"",IF(COUNT(INDEX($C$1531:$C$2030,AB2371))=1,INDEX($C$1531:$C$2030,AB2371),"")))</f>
        <v>1.4877013342422842</v>
      </c>
      <c r="L2371" s="1">
        <f>IF(AJ2371="Yes",INDEX('Staff Review'!$F$8:$F$507,I2371),IF(AB2371=0,"",IF(COUNT(INDEX($G$1531:$G$2030,AB2371))=1,INDEX($G$1531:$G$2030,AB2371),"")))</f>
        <v>2</v>
      </c>
      <c r="M2371" s="1" t="str">
        <f t="shared" ref="M2371:M2434" ca="1" si="158">IF(A2371="","",IF(AI2371="Yes","Verified","Listed"))</f>
        <v>Listed</v>
      </c>
      <c r="N2371" s="1" t="str">
        <f t="shared" ref="N2371:N2434" si="159">IF(A2371="","",IF(AJ2371="Yes","Verified","Listed"))</f>
        <v>Listed</v>
      </c>
      <c r="O2371" s="1" t="str">
        <f t="shared" ref="O2371:O2434" si="160">IF(AND(ISNUMBER(G2371),G2371&gt;=0,G2371&lt;=1),IF(G2371&gt;=0.9,30,IF(G2371&gt;=0.8,25,IF(G2371&gt;=0.7,20,IF(G2371&gt;=0.6,15,IF(G2371&gt;=0.5,10,IF(G2371&gt;=0.4,5,0)))))),"")</f>
        <v/>
      </c>
      <c r="P2371" s="1">
        <f t="shared" ref="P2371:P2434" ca="1" si="161">IF(ISNUMBER(K2371),IF(K2371&lt;0,"",IF(K2371&gt;1,25,IF(K2371&gt;=0.75,20,IF(K2371&gt;=0.5,15,IF(K2371&gt;=0.25,10,5))))),"")</f>
        <v>25</v>
      </c>
      <c r="Q2371" s="1">
        <f t="shared" ref="Q2371:Q2434" si="162">IF(NOT(ISNUMBER(L2371)),"",IF(AND(L2371&gt;=0,MOD(L2371,1)=0),MAX(0,25-5*L2371),""))</f>
        <v>15</v>
      </c>
      <c r="R2371" s="1">
        <f t="shared" ref="R2371:R2434" si="163">IF(NOT(ISNUMBER(F2371)),"",IF(AND(F2371&gt;0,MOD(F2371,1)=0),IF(F2371&gt;=700,5,IF(F2371&gt;=500,4,IF(F2371&gt;=350,3,IF(F2371&gt;=200,2,1)))),""))</f>
        <v>1</v>
      </c>
      <c r="S2371" s="1" t="str">
        <f t="shared" ref="S2371:S2434" ca="1" si="164">IF(COUNT(O2371:R2371)=4,SUM(O2371:R2371),"")</f>
        <v/>
      </c>
      <c r="T2371" s="1" t="str">
        <f ca="1">IF(OR(COUNT(O2371:R2371)&lt;&gt;4,COUNT('Top 25'!$B$45:$E$45)&lt;&gt;4,MIN('Top 25'!$B$45:$E$45)&lt;0,SUM('Top 25'!$B$45:$E$45)&lt;=0),"",ROUND(85*(O2371/30*'Top 25'!$B$45+P2371/25*'Top 25'!$C$45+Q2371/25*'Top 25'!$D$45+R2371/5*'Top 25'!$E$45)/SUM('Top 25'!$B$45:$E$45),6))</f>
        <v/>
      </c>
      <c r="U2371" s="1" t="str">
        <f t="shared" ref="U2371:U2434" ca="1" si="165">IF(A2371="","",IF(AND(M2371="Verified",N2371="Verified"),"Verified",IF(AND(M2371="Listed",N2371="Listed"),"Listed","Mixed")))</f>
        <v>Listed</v>
      </c>
      <c r="V2371" s="1" t="str">
        <f ca="1">IF(A2371="","",IF(AK2371&lt;&gt;1,"Duplicate source ID",IF(COUNTIFS('Staff Review'!$A$8:$A$507,A2371)&gt;1,"Duplicate review ID",IF(H2371&lt;&gt;"Yes","Outside scope",IF(J2371="Yes","Already served",IF(NOT(ISNUMBER(T2371)),"Missing data","Candidate"))))))</f>
        <v>Missing data</v>
      </c>
      <c r="W2371" s="1" t="str">
        <f t="shared" ref="W2371:W2434" ca="1" si="166">IF(AL2371=0,"",1+COUNTIFS($AL$2051:$AL$2550,1,$T$2051:$T$2550,"&gt;"&amp;T2371)+COUNTIFS($AL$2051:$AL$2550,1,$T$2051:$T$2550,T2371,$G$2051:$G$2550,"&gt;"&amp;G2371)+COUNTIFS($AL$2051:$AL$2550,1,$T$2051:$T$2550,T2371,$G$2051:$G$2550,G2371,$F$2051:$F$2550,"&gt;"&amp;F2371)+COUNTIFS($AL$2051:$AL$2550,1,$T$2051:$T$2550,T2371,$G$2051:$G$2550,G2371,$F$2051:$F$2550,F2371,$AM$2051:$AM$2550,"&lt;"&amp;AM2371))</f>
        <v/>
      </c>
      <c r="X2371" s="1" t="str">
        <f t="shared" ref="X2371:X2434" ca="1" si="167">IF(AL2371=0,"",1+COUNTIFS($AL$2051:$AL$2550,1,$T$2051:$T$2550,"&gt;"&amp;T2371))</f>
        <v/>
      </c>
      <c r="Y2371" s="1">
        <f ca="1">IF(AND(H2371="Yes",OR(LEN('School Search'!$B$5)=0,ISNUMBER(SEARCH('School Search'!$B$5,B2371&amp;" "&amp;E2371&amp;" "&amp;A2371))),OR('School Search'!$D$5="All",C2371='School Search'!$D$5),OR('School Search'!$G$5="All eligible",AND('School Search'!$G$5="Not marked served",J2371&lt;&gt;"Yes"),AND('School Search'!$G$5="Missing data",V2371="Missing data"),AND('School Search'!$G$5="Marked served",J2371="Yes"))),1,0)</f>
        <v>1</v>
      </c>
      <c r="Z2371" s="1">
        <f ca="1">IF(Y2371=0,"",COUNTIFS($Y$2051:$Y$2550,1,$AO$2051:$AO$2550,"&lt;"&amp;AO2371)+COUNTIFS($Y$2051:Y2371,1,$AO$2051:AO2371,AO2371))</f>
        <v>303</v>
      </c>
      <c r="AA2371" s="1" t="str">
        <f t="shared" ref="AA2371:AA2434" ca="1" si="168">IF(NOT(ISNUMBER(S2371)),"Missing demographic or access input",TEXT(G2371,"0%")&amp;" economic need; "&amp;TEXT(K2371,"0.00")&amp;" mi fresh access; "&amp;L2371&amp;" nearby resources")</f>
        <v>Missing demographic or access input</v>
      </c>
      <c r="AB2371" s="1">
        <f t="shared" ref="AB2371:AB2434" si="169">IF(OR(A2371="",COUNTIFS($A$1531:$A$2030,A2371)&lt;&gt;1),0,MATCH(A2371,$A$1531:$A$2030,0))</f>
        <v>321</v>
      </c>
      <c r="AC2371" s="1" t="str">
        <f t="shared" ref="AC2371:AC2434" si="170">IF(AB2371=0,"",INDEX($E$1531:$E$2030,AB2371))</f>
        <v>PJP Marketplace</v>
      </c>
      <c r="AD2371" s="1" t="str">
        <f t="shared" ref="AD2371:AD2434" si="171">IF(AB2371=0,"",INDEX($F$1531:$F$2030,AB2371))</f>
        <v>8960 Frankford Avenue, Philadelphia, PA, 19136</v>
      </c>
      <c r="AE2371" s="1" t="str">
        <f t="shared" ref="AE2371:AE2434" si="172">IF(A2371="","",F322)</f>
        <v>7901 STATE RD</v>
      </c>
      <c r="AF2371" s="1">
        <f t="shared" ref="AF2371:AF2434" si="173">IF(ISNUMBER(I322),I322,"")</f>
        <v>40.032021</v>
      </c>
      <c r="AG2371" s="1">
        <f t="shared" ref="AG2371:AG2434" si="174">IF(ISNUMBER(J322),J322,"")</f>
        <v>-75.019689</v>
      </c>
      <c r="AH2371" s="1" t="str">
        <f>IF(I2371=0,"Not contacted",IF(INDEX('Staff Review'!$J$8:$J$507,I2371)="","Not contacted",INDEX('Staff Review'!$J$8:$J$507,I2371)))</f>
        <v>Not contacted</v>
      </c>
      <c r="AI2371" s="1" t="str">
        <f ca="1">IF(I2371=0,"No",IF(AND(COUNT(INDEX('Staff Review'!$D$8:$D$507,I2371))=1,INDEX('Staff Review'!$D$8:$D$507,I2371)&gt;=0,COUNT(INDEX('Staff Review'!$E$8:$E$507,I2371))=1,INDEX('Staff Review'!$E$8:$E$507,I2371)&gt;0,INDEX('Staff Review'!$E$8:$E$507,I2371)&lt;='Top 25'!$E$5,'Top 25'!$E$5-INDEX('Staff Review'!$E$8:$E$507,I2371)&lt;='Top 25'!$H$5,LEN(INDEX('Staff Review'!$H$8:$H$507,I2371))&gt;0),"Yes","No"))</f>
        <v>No</v>
      </c>
      <c r="AJ2371" s="1" t="str">
        <f>IF(I2371=0,"No",IF(COUNT(INDEX('Staff Review'!$F$8:$F$507,I2371))&lt;&gt;1,"No",IF(AND(INDEX('Staff Review'!$F$8:$F$507,I2371)&gt;=0,MOD(INDEX('Staff Review'!$F$8:$F$507,I2371),1)=0,COUNT(INDEX('Staff Review'!$G$8:$G$507,I2371))=1,INDEX('Staff Review'!$G$8:$G$507,I2371)&gt;0,INDEX('Staff Review'!$G$8:$G$507,I2371)&lt;='Top 25'!$E$5,'Top 25'!$E$5-INDEX('Staff Review'!$G$8:$G$507,I2371)&lt;='Top 25'!$H$5,LEN(INDEX('Staff Review'!$H$8:$H$507,I2371))&gt;0),"Yes","No")))</f>
        <v>No</v>
      </c>
      <c r="AK2371" s="1">
        <f t="shared" ref="AK2371:AK2434" si="175">IF(A2371="",0,COUNTIFS($A$2:$A$501,A2371))</f>
        <v>1</v>
      </c>
      <c r="AL2371" s="1">
        <f t="shared" ref="AL2371:AL2434" ca="1" si="176">IF(V2371="Candidate",1,0)</f>
        <v>0</v>
      </c>
      <c r="AM2371" s="1">
        <f t="shared" ref="AM2371:AM2434" si="177">IF(A2371="",0,VALUE(A2371))</f>
        <v>8540</v>
      </c>
      <c r="AN2371" s="1">
        <f t="shared" ref="AN2371:AN2434" si="178">IF(OR(A2371="",COUNTIFS($T$41:$T$540,A2371)&lt;&gt;1),0,MATCH(A2371,$T$41:$T$540,0))</f>
        <v>321</v>
      </c>
      <c r="AO2371">
        <f t="shared" ref="AO2371:AO2434" ca="1" si="179">IF(ISNUMBER(W2371),W2371,10000+AM2371)</f>
        <v>18540</v>
      </c>
      <c r="AP2371" s="105">
        <f ca="1">IF(AND(AL2371=1,OR('Top 25'!$A$10="All",C2371='Top 25'!$A$10),OR('Top 25'!$D$10="All",D2371='Top 25'!$D$10)),1,0)</f>
        <v>0</v>
      </c>
      <c r="AQ2371" s="105" t="str">
        <f ca="1">IF(AP2371=0,"",CHOOSE(MATCH('Top 25'!$G$10,{"Priority score","Economic need","Enrollment","Fresh miles","Nearby resources"},0),T2371,G2371,F2371,K2371,L2371))</f>
        <v/>
      </c>
      <c r="AR2371" s="105" t="str">
        <f ca="1">IF(AP2371=0,"",1+COUNTIFS($AP$2051:$AP$2550,1,$AQ$2051:$AQ$2550,IF('Top 25'!$J$10="Ascending","&lt;","&gt;")&amp;AQ2371)+COUNTIFS($AP$2051:$AP$2550,1,$AQ$2051:$AQ$2550,AQ2371,$W$2051:$W$2550,"&lt;"&amp;W2371))</f>
        <v/>
      </c>
      <c r="AT2371" s="105">
        <f ca="1">IF(AND(AL2371=1,OR(Master_rankableSchools!$A$10="All",C2371=Master_rankableSchools!$A$10),OR(Master_rankableSchools!$D$10="All",D2371=Master_rankableSchools!$D$10)),1,0)</f>
        <v>0</v>
      </c>
      <c r="AU2371" s="105" t="str">
        <f ca="1">IF(AT2371=0,"",CHOOSE(MATCH(Master_rankableSchools!$G$10,{"Priority score","Economic need","Enrollment","Fresh miles","Nearby resources"},0),T2371,G2371,F2371,K2371,L2371))</f>
        <v/>
      </c>
      <c r="AV2371" s="105" t="str">
        <f ca="1">IF(AT2371=0,"",1+COUNTIFS($AT$2051:$AT$2550,1,$AU$2051:$AU$2550,IF(Master_rankableSchools!$J$10="Ascending","&lt;","&gt;")&amp;AU2371)+COUNTIFS($AT$2051:$AT$2550,1,$AU$2051:$AU$2550,AU2371,$W$2051:$W$2550,"&lt;"&amp;W2371))</f>
        <v/>
      </c>
    </row>
    <row r="2372" spans="1:48" ht="22" customHeight="1">
      <c r="A2372" s="1" t="str">
        <f t="shared" si="150"/>
        <v>8560</v>
      </c>
      <c r="B2372" s="1" t="str">
        <f t="shared" si="151"/>
        <v>The Workshop High School</v>
      </c>
      <c r="C2372" s="1" t="str">
        <f t="shared" si="152"/>
        <v>District</v>
      </c>
      <c r="D2372" s="1" t="str">
        <f t="shared" si="153"/>
        <v>High</v>
      </c>
      <c r="E2372" s="1" t="str">
        <f t="shared" si="154"/>
        <v>19139</v>
      </c>
      <c r="F2372" s="1">
        <f t="shared" si="155"/>
        <v>233</v>
      </c>
      <c r="G2372" s="1">
        <f t="shared" si="156"/>
        <v>0.84409999999999996</v>
      </c>
      <c r="H2372" s="1" t="str">
        <f t="shared" si="157"/>
        <v>Yes</v>
      </c>
      <c r="I2372" s="1">
        <f>IF(OR(A2372="",COUNTIFS('Staff Review'!$A$8:$A$507,A2372)&lt;&gt;1),0,MATCH(A2372,'Staff Review'!$A$8:$A$507,0))</f>
        <v>290</v>
      </c>
      <c r="J2372" s="1" t="str">
        <f>IF(I2372=0,"No",IF(INDEX('Staff Review'!$C$8:$C$507,I2372)="Yes","Yes","No"))</f>
        <v>No</v>
      </c>
      <c r="K2372" s="1">
        <f ca="1">IF(AI2372="Yes",INDEX('Staff Review'!$D$8:$D$507,I2372),IF(AB2372=0,"",IF(COUNT(INDEX($C$1531:$C$2030,AB2372))=1,INDEX($C$1531:$C$2030,AB2372),"")))</f>
        <v>0.40195766619653583</v>
      </c>
      <c r="L2372" s="1">
        <f>IF(AJ2372="Yes",INDEX('Staff Review'!$F$8:$F$507,I2372),IF(AB2372=0,"",IF(COUNT(INDEX($G$1531:$G$2030,AB2372))=1,INDEX($G$1531:$G$2030,AB2372),"")))</f>
        <v>11</v>
      </c>
      <c r="M2372" s="1" t="str">
        <f t="shared" ca="1" si="158"/>
        <v>Listed</v>
      </c>
      <c r="N2372" s="1" t="str">
        <f t="shared" si="159"/>
        <v>Listed</v>
      </c>
      <c r="O2372" s="1">
        <f t="shared" si="160"/>
        <v>25</v>
      </c>
      <c r="P2372" s="1">
        <f t="shared" ca="1" si="161"/>
        <v>10</v>
      </c>
      <c r="Q2372" s="1">
        <f t="shared" si="162"/>
        <v>0</v>
      </c>
      <c r="R2372" s="1">
        <f t="shared" si="163"/>
        <v>2</v>
      </c>
      <c r="S2372" s="1">
        <f t="shared" ca="1" si="164"/>
        <v>37</v>
      </c>
      <c r="T2372" s="1">
        <f ca="1">IF(OR(COUNT(O2372:R2372)&lt;&gt;4,COUNT('Top 25'!$B$45:$E$45)&lt;&gt;4,MIN('Top 25'!$B$45:$E$45)&lt;0,SUM('Top 25'!$B$45:$E$45)&lt;=0),"",ROUND(85*(O2372/30*'Top 25'!$B$45+P2372/25*'Top 25'!$C$45+Q2372/25*'Top 25'!$D$45+R2372/5*'Top 25'!$E$45)/SUM('Top 25'!$B$45:$E$45),6))</f>
        <v>37</v>
      </c>
      <c r="U2372" s="1" t="str">
        <f t="shared" ca="1" si="165"/>
        <v>Listed</v>
      </c>
      <c r="V2372" s="1" t="str">
        <f ca="1">IF(A2372="","",IF(AK2372&lt;&gt;1,"Duplicate source ID",IF(COUNTIFS('Staff Review'!$A$8:$A$507,A2372)&gt;1,"Duplicate review ID",IF(H2372&lt;&gt;"Yes","Outside scope",IF(J2372="Yes","Already served",IF(NOT(ISNUMBER(T2372)),"Missing data","Candidate"))))))</f>
        <v>Candidate</v>
      </c>
      <c r="W2372" s="1">
        <f t="shared" ca="1" si="166"/>
        <v>197</v>
      </c>
      <c r="X2372" s="1">
        <f t="shared" ca="1" si="167"/>
        <v>182</v>
      </c>
      <c r="Y2372" s="1">
        <f ca="1">IF(AND(H2372="Yes",OR(LEN('School Search'!$B$5)=0,ISNUMBER(SEARCH('School Search'!$B$5,B2372&amp;" "&amp;E2372&amp;" "&amp;A2372))),OR('School Search'!$D$5="All",C2372='School Search'!$D$5),OR('School Search'!$G$5="All eligible",AND('School Search'!$G$5="Not marked served",J2372&lt;&gt;"Yes"),AND('School Search'!$G$5="Missing data",V2372="Missing data"),AND('School Search'!$G$5="Marked served",J2372="Yes"))),1,0)</f>
        <v>1</v>
      </c>
      <c r="Z2372" s="1">
        <f ca="1">IF(Y2372=0,"",COUNTIFS($Y$2051:$Y$2550,1,$AO$2051:$AO$2550,"&lt;"&amp;AO2372)+COUNTIFS($Y$2051:Y2372,1,$AO$2051:AO2372,AO2372))</f>
        <v>197</v>
      </c>
      <c r="AA2372" s="1" t="str">
        <f t="shared" ca="1" si="168"/>
        <v>84% economic need; 0.40 mi fresh access; 11 nearby resources</v>
      </c>
      <c r="AB2372" s="1">
        <f t="shared" si="169"/>
        <v>322</v>
      </c>
      <c r="AC2372" s="1" t="str">
        <f t="shared" si="170"/>
        <v>ALDI 54</v>
      </c>
      <c r="AD2372" s="1" t="str">
        <f t="shared" si="171"/>
        <v>4421 Market St, Philadelphia, PA, 19104</v>
      </c>
      <c r="AE2372" s="1" t="str">
        <f t="shared" si="172"/>
        <v>221 S HANSON ST</v>
      </c>
      <c r="AF2372" s="1">
        <f t="shared" si="173"/>
        <v>39.955305889999998</v>
      </c>
      <c r="AG2372" s="1">
        <f t="shared" si="174"/>
        <v>-75.218553290000003</v>
      </c>
      <c r="AH2372" s="1" t="str">
        <f>IF(I2372=0,"Not contacted",IF(INDEX('Staff Review'!$J$8:$J$507,I2372)="","Not contacted",INDEX('Staff Review'!$J$8:$J$507,I2372)))</f>
        <v>Not contacted</v>
      </c>
      <c r="AI2372" s="1" t="str">
        <f ca="1">IF(I2372=0,"No",IF(AND(COUNT(INDEX('Staff Review'!$D$8:$D$507,I2372))=1,INDEX('Staff Review'!$D$8:$D$507,I2372)&gt;=0,COUNT(INDEX('Staff Review'!$E$8:$E$507,I2372))=1,INDEX('Staff Review'!$E$8:$E$507,I2372)&gt;0,INDEX('Staff Review'!$E$8:$E$507,I2372)&lt;='Top 25'!$E$5,'Top 25'!$E$5-INDEX('Staff Review'!$E$8:$E$507,I2372)&lt;='Top 25'!$H$5,LEN(INDEX('Staff Review'!$H$8:$H$507,I2372))&gt;0),"Yes","No"))</f>
        <v>No</v>
      </c>
      <c r="AJ2372" s="1" t="str">
        <f>IF(I2372=0,"No",IF(COUNT(INDEX('Staff Review'!$F$8:$F$507,I2372))&lt;&gt;1,"No",IF(AND(INDEX('Staff Review'!$F$8:$F$507,I2372)&gt;=0,MOD(INDEX('Staff Review'!$F$8:$F$507,I2372),1)=0,COUNT(INDEX('Staff Review'!$G$8:$G$507,I2372))=1,INDEX('Staff Review'!$G$8:$G$507,I2372)&gt;0,INDEX('Staff Review'!$G$8:$G$507,I2372)&lt;='Top 25'!$E$5,'Top 25'!$E$5-INDEX('Staff Review'!$G$8:$G$507,I2372)&lt;='Top 25'!$H$5,LEN(INDEX('Staff Review'!$H$8:$H$507,I2372))&gt;0),"Yes","No")))</f>
        <v>No</v>
      </c>
      <c r="AK2372" s="1">
        <f t="shared" si="175"/>
        <v>1</v>
      </c>
      <c r="AL2372" s="1">
        <f t="shared" ca="1" si="176"/>
        <v>1</v>
      </c>
      <c r="AM2372" s="1">
        <f t="shared" si="177"/>
        <v>8560</v>
      </c>
      <c r="AN2372" s="1">
        <f t="shared" si="178"/>
        <v>322</v>
      </c>
      <c r="AO2372">
        <f t="shared" ca="1" si="179"/>
        <v>197</v>
      </c>
      <c r="AP2372" s="105">
        <f ca="1">IF(AND(AL2372=1,OR('Top 25'!$A$10="All",C2372='Top 25'!$A$10),OR('Top 25'!$D$10="All",D2372='Top 25'!$D$10)),1,0)</f>
        <v>0</v>
      </c>
      <c r="AQ2372" s="105" t="str">
        <f ca="1">IF(AP2372=0,"",CHOOSE(MATCH('Top 25'!$G$10,{"Priority score","Economic need","Enrollment","Fresh miles","Nearby resources"},0),T2372,G2372,F2372,K2372,L2372))</f>
        <v/>
      </c>
      <c r="AR2372" s="105" t="str">
        <f ca="1">IF(AP2372=0,"",1+COUNTIFS($AP$2051:$AP$2550,1,$AQ$2051:$AQ$2550,IF('Top 25'!$J$10="Ascending","&lt;","&gt;")&amp;AQ2372)+COUNTIFS($AP$2051:$AP$2550,1,$AQ$2051:$AQ$2550,AQ2372,$W$2051:$W$2550,"&lt;"&amp;W2372))</f>
        <v/>
      </c>
      <c r="AT2372" s="105">
        <f ca="1">IF(AND(AL2372=1,OR(Master_rankableSchools!$A$10="All",C2372=Master_rankableSchools!$A$10),OR(Master_rankableSchools!$D$10="All",D2372=Master_rankableSchools!$D$10)),1,0)</f>
        <v>1</v>
      </c>
      <c r="AU2372" s="105">
        <f ca="1">IF(AT2372=0,"",CHOOSE(MATCH(Master_rankableSchools!$G$10,{"Priority score","Economic need","Enrollment","Fresh miles","Nearby resources"},0),T2372,G2372,F2372,K2372,L2372))</f>
        <v>37</v>
      </c>
      <c r="AV2372" s="105">
        <f ca="1">IF(AT2372=0,"",1+COUNTIFS($AT$2051:$AT$2550,1,$AU$2051:$AU$2550,IF(Master_rankableSchools!$J$10="Ascending","&lt;","&gt;")&amp;AU2372)+COUNTIFS($AT$2051:$AT$2550,1,$AU$2051:$AU$2550,AU2372,$W$2051:$W$2550,"&lt;"&amp;W2372))</f>
        <v>197</v>
      </c>
    </row>
    <row r="2373" spans="1:48" ht="22" customHeight="1">
      <c r="A2373" s="1" t="str">
        <f t="shared" si="150"/>
        <v>8690</v>
      </c>
      <c r="B2373" s="1" t="str">
        <f t="shared" si="151"/>
        <v>Crossroads Accelerated Academy</v>
      </c>
      <c r="C2373" s="1" t="str">
        <f t="shared" si="152"/>
        <v>District</v>
      </c>
      <c r="D2373" s="1" t="str">
        <f t="shared" si="153"/>
        <v>Transition/Overage School</v>
      </c>
      <c r="E2373" s="1" t="str">
        <f t="shared" si="154"/>
        <v>19104</v>
      </c>
      <c r="F2373" s="1">
        <f t="shared" si="155"/>
        <v>55</v>
      </c>
      <c r="G2373" s="1" t="str">
        <f t="shared" si="156"/>
        <v/>
      </c>
      <c r="H2373" s="1" t="str">
        <f t="shared" si="157"/>
        <v>Yes</v>
      </c>
      <c r="I2373" s="1">
        <f>IF(OR(A2373="",COUNTIFS('Staff Review'!$A$8:$A$507,A2373)&lt;&gt;1),0,MATCH(A2373,'Staff Review'!$A$8:$A$507,0))</f>
        <v>47</v>
      </c>
      <c r="J2373" s="1" t="str">
        <f>IF(I2373=0,"No",IF(INDEX('Staff Review'!$C$8:$C$507,I2373)="Yes","Yes","No"))</f>
        <v>No</v>
      </c>
      <c r="K2373" s="1">
        <f ca="1">IF(AI2373="Yes",INDEX('Staff Review'!$D$8:$D$507,I2373),IF(AB2373=0,"",IF(COUNT(INDEX($C$1531:$C$2030,AB2373))=1,INDEX($C$1531:$C$2030,AB2373),"")))</f>
        <v>0.66104747662637997</v>
      </c>
      <c r="L2373" s="1">
        <f>IF(AJ2373="Yes",INDEX('Staff Review'!$F$8:$F$507,I2373),IF(AB2373=0,"",IF(COUNT(INDEX($G$1531:$G$2030,AB2373))=1,INDEX($G$1531:$G$2030,AB2373),"")))</f>
        <v>11</v>
      </c>
      <c r="M2373" s="1" t="str">
        <f t="shared" ca="1" si="158"/>
        <v>Listed</v>
      </c>
      <c r="N2373" s="1" t="str">
        <f t="shared" si="159"/>
        <v>Listed</v>
      </c>
      <c r="O2373" s="1" t="str">
        <f t="shared" si="160"/>
        <v/>
      </c>
      <c r="P2373" s="1">
        <f t="shared" ca="1" si="161"/>
        <v>15</v>
      </c>
      <c r="Q2373" s="1">
        <f t="shared" si="162"/>
        <v>0</v>
      </c>
      <c r="R2373" s="1">
        <f t="shared" si="163"/>
        <v>1</v>
      </c>
      <c r="S2373" s="1" t="str">
        <f t="shared" ca="1" si="164"/>
        <v/>
      </c>
      <c r="T2373" s="1" t="str">
        <f ca="1">IF(OR(COUNT(O2373:R2373)&lt;&gt;4,COUNT('Top 25'!$B$45:$E$45)&lt;&gt;4,MIN('Top 25'!$B$45:$E$45)&lt;0,SUM('Top 25'!$B$45:$E$45)&lt;=0),"",ROUND(85*(O2373/30*'Top 25'!$B$45+P2373/25*'Top 25'!$C$45+Q2373/25*'Top 25'!$D$45+R2373/5*'Top 25'!$E$45)/SUM('Top 25'!$B$45:$E$45),6))</f>
        <v/>
      </c>
      <c r="U2373" s="1" t="str">
        <f t="shared" ca="1" si="165"/>
        <v>Listed</v>
      </c>
      <c r="V2373" s="1" t="str">
        <f ca="1">IF(A2373="","",IF(AK2373&lt;&gt;1,"Duplicate source ID",IF(COUNTIFS('Staff Review'!$A$8:$A$507,A2373)&gt;1,"Duplicate review ID",IF(H2373&lt;&gt;"Yes","Outside scope",IF(J2373="Yes","Already served",IF(NOT(ISNUMBER(T2373)),"Missing data","Candidate"))))))</f>
        <v>Missing data</v>
      </c>
      <c r="W2373" s="1" t="str">
        <f t="shared" ca="1" si="166"/>
        <v/>
      </c>
      <c r="X2373" s="1" t="str">
        <f t="shared" ca="1" si="167"/>
        <v/>
      </c>
      <c r="Y2373" s="1">
        <f ca="1">IF(AND(H2373="Yes",OR(LEN('School Search'!$B$5)=0,ISNUMBER(SEARCH('School Search'!$B$5,B2373&amp;" "&amp;E2373&amp;" "&amp;A2373))),OR('School Search'!$D$5="All",C2373='School Search'!$D$5),OR('School Search'!$G$5="All eligible",AND('School Search'!$G$5="Not marked served",J2373&lt;&gt;"Yes"),AND('School Search'!$G$5="Missing data",V2373="Missing data"),AND('School Search'!$G$5="Marked served",J2373="Yes"))),1,0)</f>
        <v>1</v>
      </c>
      <c r="Z2373" s="1">
        <f ca="1">IF(Y2373=0,"",COUNTIFS($Y$2051:$Y$2550,1,$AO$2051:$AO$2550,"&lt;"&amp;AO2373)+COUNTIFS($Y$2051:Y2373,1,$AO$2051:AO2373,AO2373))</f>
        <v>304</v>
      </c>
      <c r="AA2373" s="1" t="str">
        <f t="shared" ca="1" si="168"/>
        <v>Missing demographic or access input</v>
      </c>
      <c r="AB2373" s="1">
        <f t="shared" si="169"/>
        <v>323</v>
      </c>
      <c r="AC2373" s="1" t="str">
        <f t="shared" si="170"/>
        <v>Cousin's Fresh Market 2 Inc</v>
      </c>
      <c r="AD2373" s="1" t="str">
        <f t="shared" si="171"/>
        <v>5429 W Girard Ave, Philadelphia, PA, 19131</v>
      </c>
      <c r="AE2373" s="1" t="str">
        <f t="shared" si="172"/>
        <v>4300 WESTMINSTER AVE</v>
      </c>
      <c r="AF2373" s="1">
        <f t="shared" si="173"/>
        <v>39.969713710000001</v>
      </c>
      <c r="AG2373" s="1">
        <f t="shared" si="174"/>
        <v>-75.210135210000004</v>
      </c>
      <c r="AH2373" s="1" t="str">
        <f>IF(I2373=0,"Not contacted",IF(INDEX('Staff Review'!$J$8:$J$507,I2373)="","Not contacted",INDEX('Staff Review'!$J$8:$J$507,I2373)))</f>
        <v>Not contacted</v>
      </c>
      <c r="AI2373" s="1" t="str">
        <f ca="1">IF(I2373=0,"No",IF(AND(COUNT(INDEX('Staff Review'!$D$8:$D$507,I2373))=1,INDEX('Staff Review'!$D$8:$D$507,I2373)&gt;=0,COUNT(INDEX('Staff Review'!$E$8:$E$507,I2373))=1,INDEX('Staff Review'!$E$8:$E$507,I2373)&gt;0,INDEX('Staff Review'!$E$8:$E$507,I2373)&lt;='Top 25'!$E$5,'Top 25'!$E$5-INDEX('Staff Review'!$E$8:$E$507,I2373)&lt;='Top 25'!$H$5,LEN(INDEX('Staff Review'!$H$8:$H$507,I2373))&gt;0),"Yes","No"))</f>
        <v>No</v>
      </c>
      <c r="AJ2373" s="1" t="str">
        <f>IF(I2373=0,"No",IF(COUNT(INDEX('Staff Review'!$F$8:$F$507,I2373))&lt;&gt;1,"No",IF(AND(INDEX('Staff Review'!$F$8:$F$507,I2373)&gt;=0,MOD(INDEX('Staff Review'!$F$8:$F$507,I2373),1)=0,COUNT(INDEX('Staff Review'!$G$8:$G$507,I2373))=1,INDEX('Staff Review'!$G$8:$G$507,I2373)&gt;0,INDEX('Staff Review'!$G$8:$G$507,I2373)&lt;='Top 25'!$E$5,'Top 25'!$E$5-INDEX('Staff Review'!$G$8:$G$507,I2373)&lt;='Top 25'!$H$5,LEN(INDEX('Staff Review'!$H$8:$H$507,I2373))&gt;0),"Yes","No")))</f>
        <v>No</v>
      </c>
      <c r="AK2373" s="1">
        <f t="shared" si="175"/>
        <v>1</v>
      </c>
      <c r="AL2373" s="1">
        <f t="shared" ca="1" si="176"/>
        <v>0</v>
      </c>
      <c r="AM2373" s="1">
        <f t="shared" si="177"/>
        <v>8690</v>
      </c>
      <c r="AN2373" s="1">
        <f t="shared" si="178"/>
        <v>323</v>
      </c>
      <c r="AO2373">
        <f t="shared" ca="1" si="179"/>
        <v>18690</v>
      </c>
      <c r="AP2373" s="105">
        <f ca="1">IF(AND(AL2373=1,OR('Top 25'!$A$10="All",C2373='Top 25'!$A$10),OR('Top 25'!$D$10="All",D2373='Top 25'!$D$10)),1,0)</f>
        <v>0</v>
      </c>
      <c r="AQ2373" s="105" t="str">
        <f ca="1">IF(AP2373=0,"",CHOOSE(MATCH('Top 25'!$G$10,{"Priority score","Economic need","Enrollment","Fresh miles","Nearby resources"},0),T2373,G2373,F2373,K2373,L2373))</f>
        <v/>
      </c>
      <c r="AR2373" s="105" t="str">
        <f ca="1">IF(AP2373=0,"",1+COUNTIFS($AP$2051:$AP$2550,1,$AQ$2051:$AQ$2550,IF('Top 25'!$J$10="Ascending","&lt;","&gt;")&amp;AQ2373)+COUNTIFS($AP$2051:$AP$2550,1,$AQ$2051:$AQ$2550,AQ2373,$W$2051:$W$2550,"&lt;"&amp;W2373))</f>
        <v/>
      </c>
      <c r="AT2373" s="105">
        <f ca="1">IF(AND(AL2373=1,OR(Master_rankableSchools!$A$10="All",C2373=Master_rankableSchools!$A$10),OR(Master_rankableSchools!$D$10="All",D2373=Master_rankableSchools!$D$10)),1,0)</f>
        <v>0</v>
      </c>
      <c r="AU2373" s="105" t="str">
        <f ca="1">IF(AT2373=0,"",CHOOSE(MATCH(Master_rankableSchools!$G$10,{"Priority score","Economic need","Enrollment","Fresh miles","Nearby resources"},0),T2373,G2373,F2373,K2373,L2373))</f>
        <v/>
      </c>
      <c r="AV2373" s="105" t="str">
        <f ca="1">IF(AT2373=0,"",1+COUNTIFS($AT$2051:$AT$2550,1,$AU$2051:$AU$2550,IF(Master_rankableSchools!$J$10="Ascending","&lt;","&gt;")&amp;AU2373)+COUNTIFS($AT$2051:$AT$2550,1,$AU$2051:$AU$2550,AU2373,$W$2051:$W$2550,"&lt;"&amp;W2373))</f>
        <v/>
      </c>
    </row>
    <row r="2374" spans="1:48" ht="22" customHeight="1">
      <c r="A2374" s="1" t="str">
        <f t="shared" si="150"/>
        <v>8770</v>
      </c>
      <c r="B2374" s="1" t="str">
        <f t="shared" si="151"/>
        <v>Hancock, John Demonstration School</v>
      </c>
      <c r="C2374" s="1" t="str">
        <f t="shared" si="152"/>
        <v>District</v>
      </c>
      <c r="D2374" s="1" t="str">
        <f t="shared" si="153"/>
        <v>Elementary-Middle</v>
      </c>
      <c r="E2374" s="1" t="str">
        <f t="shared" si="154"/>
        <v>19114</v>
      </c>
      <c r="F2374" s="1">
        <f t="shared" si="155"/>
        <v>869</v>
      </c>
      <c r="G2374" s="1">
        <f t="shared" si="156"/>
        <v>0.67159999999999997</v>
      </c>
      <c r="H2374" s="1" t="str">
        <f t="shared" si="157"/>
        <v>Yes</v>
      </c>
      <c r="I2374" s="1">
        <f>IF(OR(A2374="",COUNTIFS('Staff Review'!$A$8:$A$507,A2374)&lt;&gt;1),0,MATCH(A2374,'Staff Review'!$A$8:$A$507,0))</f>
        <v>107</v>
      </c>
      <c r="J2374" s="1" t="str">
        <f>IF(I2374=0,"No",IF(INDEX('Staff Review'!$C$8:$C$507,I2374)="Yes","Yes","No"))</f>
        <v>No</v>
      </c>
      <c r="K2374" s="1">
        <f ca="1">IF(AI2374="Yes",INDEX('Staff Review'!$D$8:$D$507,I2374),IF(AB2374=0,"",IF(COUNT(INDEX($C$1531:$C$2030,AB2374))=1,INDEX($C$1531:$C$2030,AB2374),"")))</f>
        <v>0.33709717399389799</v>
      </c>
      <c r="L2374" s="1">
        <f>IF(AJ2374="Yes",INDEX('Staff Review'!$F$8:$F$507,I2374),IF(AB2374=0,"",IF(COUNT(INDEX($G$1531:$G$2030,AB2374))=1,INDEX($G$1531:$G$2030,AB2374),"")))</f>
        <v>0</v>
      </c>
      <c r="M2374" s="1" t="str">
        <f t="shared" ca="1" si="158"/>
        <v>Listed</v>
      </c>
      <c r="N2374" s="1" t="str">
        <f t="shared" si="159"/>
        <v>Listed</v>
      </c>
      <c r="O2374" s="1">
        <f t="shared" si="160"/>
        <v>15</v>
      </c>
      <c r="P2374" s="1">
        <f t="shared" ca="1" si="161"/>
        <v>10</v>
      </c>
      <c r="Q2374" s="1">
        <f t="shared" si="162"/>
        <v>25</v>
      </c>
      <c r="R2374" s="1">
        <f t="shared" si="163"/>
        <v>5</v>
      </c>
      <c r="S2374" s="1">
        <f t="shared" ca="1" si="164"/>
        <v>55</v>
      </c>
      <c r="T2374" s="1">
        <f ca="1">IF(OR(COUNT(O2374:R2374)&lt;&gt;4,COUNT('Top 25'!$B$45:$E$45)&lt;&gt;4,MIN('Top 25'!$B$45:$E$45)&lt;0,SUM('Top 25'!$B$45:$E$45)&lt;=0),"",ROUND(85*(O2374/30*'Top 25'!$B$45+P2374/25*'Top 25'!$C$45+Q2374/25*'Top 25'!$D$45+R2374/5*'Top 25'!$E$45)/SUM('Top 25'!$B$45:$E$45),6))</f>
        <v>55</v>
      </c>
      <c r="U2374" s="1" t="str">
        <f t="shared" ca="1" si="165"/>
        <v>Listed</v>
      </c>
      <c r="V2374" s="1" t="str">
        <f ca="1">IF(A2374="","",IF(AK2374&lt;&gt;1,"Duplicate source ID",IF(COUNTIFS('Staff Review'!$A$8:$A$507,A2374)&gt;1,"Duplicate review ID",IF(H2374&lt;&gt;"Yes","Outside scope",IF(J2374="Yes","Already served",IF(NOT(ISNUMBER(T2374)),"Missing data","Candidate"))))))</f>
        <v>Candidate</v>
      </c>
      <c r="W2374" s="1">
        <f t="shared" ca="1" si="166"/>
        <v>31</v>
      </c>
      <c r="X2374" s="1">
        <f t="shared" ca="1" si="167"/>
        <v>24</v>
      </c>
      <c r="Y2374" s="1">
        <f ca="1">IF(AND(H2374="Yes",OR(LEN('School Search'!$B$5)=0,ISNUMBER(SEARCH('School Search'!$B$5,B2374&amp;" "&amp;E2374&amp;" "&amp;A2374))),OR('School Search'!$D$5="All",C2374='School Search'!$D$5),OR('School Search'!$G$5="All eligible",AND('School Search'!$G$5="Not marked served",J2374&lt;&gt;"Yes"),AND('School Search'!$G$5="Missing data",V2374="Missing data"),AND('School Search'!$G$5="Marked served",J2374="Yes"))),1,0)</f>
        <v>1</v>
      </c>
      <c r="Z2374" s="1">
        <f ca="1">IF(Y2374=0,"",COUNTIFS($Y$2051:$Y$2550,1,$AO$2051:$AO$2550,"&lt;"&amp;AO2374)+COUNTIFS($Y$2051:Y2374,1,$AO$2051:AO2374,AO2374))</f>
        <v>31</v>
      </c>
      <c r="AA2374" s="1" t="str">
        <f t="shared" ca="1" si="168"/>
        <v>67% economic need; 0.34 mi fresh access; 0 nearby resources</v>
      </c>
      <c r="AB2374" s="1">
        <f t="shared" si="169"/>
        <v>324</v>
      </c>
      <c r="AC2374" s="1" t="str">
        <f t="shared" si="170"/>
        <v>McMenamin Family Shop Rite 450</v>
      </c>
      <c r="AD2374" s="1" t="str">
        <f t="shared" si="171"/>
        <v>9910 Frankford Avenue, Philadelphia, PA, 19114</v>
      </c>
      <c r="AE2374" s="1" t="str">
        <f t="shared" si="172"/>
        <v>3700 MORRELL AVE</v>
      </c>
      <c r="AF2374" s="1">
        <f t="shared" si="173"/>
        <v>40.067747279999999</v>
      </c>
      <c r="AG2374" s="1">
        <f t="shared" si="174"/>
        <v>-74.98842793</v>
      </c>
      <c r="AH2374" s="1" t="str">
        <f>IF(I2374=0,"Not contacted",IF(INDEX('Staff Review'!$J$8:$J$507,I2374)="","Not contacted",INDEX('Staff Review'!$J$8:$J$507,I2374)))</f>
        <v>Not contacted</v>
      </c>
      <c r="AI2374" s="1" t="str">
        <f ca="1">IF(I2374=0,"No",IF(AND(COUNT(INDEX('Staff Review'!$D$8:$D$507,I2374))=1,INDEX('Staff Review'!$D$8:$D$507,I2374)&gt;=0,COUNT(INDEX('Staff Review'!$E$8:$E$507,I2374))=1,INDEX('Staff Review'!$E$8:$E$507,I2374)&gt;0,INDEX('Staff Review'!$E$8:$E$507,I2374)&lt;='Top 25'!$E$5,'Top 25'!$E$5-INDEX('Staff Review'!$E$8:$E$507,I2374)&lt;='Top 25'!$H$5,LEN(INDEX('Staff Review'!$H$8:$H$507,I2374))&gt;0),"Yes","No"))</f>
        <v>No</v>
      </c>
      <c r="AJ2374" s="1" t="str">
        <f>IF(I2374=0,"No",IF(COUNT(INDEX('Staff Review'!$F$8:$F$507,I2374))&lt;&gt;1,"No",IF(AND(INDEX('Staff Review'!$F$8:$F$507,I2374)&gt;=0,MOD(INDEX('Staff Review'!$F$8:$F$507,I2374),1)=0,COUNT(INDEX('Staff Review'!$G$8:$G$507,I2374))=1,INDEX('Staff Review'!$G$8:$G$507,I2374)&gt;0,INDEX('Staff Review'!$G$8:$G$507,I2374)&lt;='Top 25'!$E$5,'Top 25'!$E$5-INDEX('Staff Review'!$G$8:$G$507,I2374)&lt;='Top 25'!$H$5,LEN(INDEX('Staff Review'!$H$8:$H$507,I2374))&gt;0),"Yes","No")))</f>
        <v>No</v>
      </c>
      <c r="AK2374" s="1">
        <f t="shared" si="175"/>
        <v>1</v>
      </c>
      <c r="AL2374" s="1">
        <f t="shared" ca="1" si="176"/>
        <v>1</v>
      </c>
      <c r="AM2374" s="1">
        <f t="shared" si="177"/>
        <v>8770</v>
      </c>
      <c r="AN2374" s="1">
        <f t="shared" si="178"/>
        <v>324</v>
      </c>
      <c r="AO2374">
        <f t="shared" ca="1" si="179"/>
        <v>31</v>
      </c>
      <c r="AP2374" s="105">
        <f ca="1">IF(AND(AL2374=1,OR('Top 25'!$A$10="All",C2374='Top 25'!$A$10),OR('Top 25'!$D$10="All",D2374='Top 25'!$D$10)),1,0)</f>
        <v>0</v>
      </c>
      <c r="AQ2374" s="105" t="str">
        <f ca="1">IF(AP2374=0,"",CHOOSE(MATCH('Top 25'!$G$10,{"Priority score","Economic need","Enrollment","Fresh miles","Nearby resources"},0),T2374,G2374,F2374,K2374,L2374))</f>
        <v/>
      </c>
      <c r="AR2374" s="105" t="str">
        <f ca="1">IF(AP2374=0,"",1+COUNTIFS($AP$2051:$AP$2550,1,$AQ$2051:$AQ$2550,IF('Top 25'!$J$10="Ascending","&lt;","&gt;")&amp;AQ2374)+COUNTIFS($AP$2051:$AP$2550,1,$AQ$2051:$AQ$2550,AQ2374,$W$2051:$W$2550,"&lt;"&amp;W2374))</f>
        <v/>
      </c>
      <c r="AT2374" s="105">
        <f ca="1">IF(AND(AL2374=1,OR(Master_rankableSchools!$A$10="All",C2374=Master_rankableSchools!$A$10),OR(Master_rankableSchools!$D$10="All",D2374=Master_rankableSchools!$D$10)),1,0)</f>
        <v>1</v>
      </c>
      <c r="AU2374" s="105">
        <f ca="1">IF(AT2374=0,"",CHOOSE(MATCH(Master_rankableSchools!$G$10,{"Priority score","Economic need","Enrollment","Fresh miles","Nearby resources"},0),T2374,G2374,F2374,K2374,L2374))</f>
        <v>55</v>
      </c>
      <c r="AV2374" s="105">
        <f ca="1">IF(AT2374=0,"",1+COUNTIFS($AT$2051:$AT$2550,1,$AU$2051:$AU$2550,IF(Master_rankableSchools!$J$10="Ascending","&lt;","&gt;")&amp;AU2374)+COUNTIFS($AT$2051:$AT$2550,1,$AU$2051:$AU$2550,AU2374,$W$2051:$W$2550,"&lt;"&amp;W2374))</f>
        <v>31</v>
      </c>
    </row>
    <row r="2375" spans="1:48" ht="22" customHeight="1">
      <c r="A2375" s="1" t="str">
        <f t="shared" si="150"/>
        <v>8780</v>
      </c>
      <c r="B2375" s="1" t="str">
        <f t="shared" si="151"/>
        <v>Philadelphia Virtual Academy</v>
      </c>
      <c r="C2375" s="1" t="str">
        <f t="shared" si="152"/>
        <v>District</v>
      </c>
      <c r="D2375" s="1" t="str">
        <f t="shared" si="153"/>
        <v>Elementary-Middle-High</v>
      </c>
      <c r="E2375" s="1" t="str">
        <f t="shared" si="154"/>
        <v>19130</v>
      </c>
      <c r="F2375" s="1">
        <f t="shared" si="155"/>
        <v>1174</v>
      </c>
      <c r="G2375" s="1">
        <f t="shared" si="156"/>
        <v>0</v>
      </c>
      <c r="H2375" s="1" t="str">
        <f t="shared" si="157"/>
        <v>Yes</v>
      </c>
      <c r="I2375" s="1">
        <f>IF(OR(A2375="",COUNTIFS('Staff Review'!$A$8:$A$507,A2375)&lt;&gt;1),0,MATCH(A2375,'Staff Review'!$A$8:$A$507,0))</f>
        <v>242</v>
      </c>
      <c r="J2375" s="1" t="str">
        <f>IF(I2375=0,"No",IF(INDEX('Staff Review'!$C$8:$C$507,I2375)="Yes","Yes","No"))</f>
        <v>No</v>
      </c>
      <c r="K2375" s="1">
        <f ca="1">IF(AI2375="Yes",INDEX('Staff Review'!$D$8:$D$507,I2375),IF(AB2375=0,"",IF(COUNT(INDEX($C$1531:$C$2030,AB2375))=1,INDEX($C$1531:$C$2030,AB2375),"")))</f>
        <v>0.13651599008722429</v>
      </c>
      <c r="L2375" s="1">
        <f>IF(AJ2375="Yes",INDEX('Staff Review'!$F$8:$F$507,I2375),IF(AB2375=0,"",IF(COUNT(INDEX($G$1531:$G$2030,AB2375))=1,INDEX($G$1531:$G$2030,AB2375),"")))</f>
        <v>10</v>
      </c>
      <c r="M2375" s="1" t="str">
        <f t="shared" ca="1" si="158"/>
        <v>Listed</v>
      </c>
      <c r="N2375" s="1" t="str">
        <f t="shared" si="159"/>
        <v>Listed</v>
      </c>
      <c r="O2375" s="1">
        <f t="shared" si="160"/>
        <v>0</v>
      </c>
      <c r="P2375" s="1">
        <f t="shared" ca="1" si="161"/>
        <v>5</v>
      </c>
      <c r="Q2375" s="1">
        <f t="shared" si="162"/>
        <v>0</v>
      </c>
      <c r="R2375" s="1">
        <f t="shared" si="163"/>
        <v>5</v>
      </c>
      <c r="S2375" s="1">
        <f t="shared" ca="1" si="164"/>
        <v>10</v>
      </c>
      <c r="T2375" s="1">
        <f ca="1">IF(OR(COUNT(O2375:R2375)&lt;&gt;4,COUNT('Top 25'!$B$45:$E$45)&lt;&gt;4,MIN('Top 25'!$B$45:$E$45)&lt;0,SUM('Top 25'!$B$45:$E$45)&lt;=0),"",ROUND(85*(O2375/30*'Top 25'!$B$45+P2375/25*'Top 25'!$C$45+Q2375/25*'Top 25'!$D$45+R2375/5*'Top 25'!$E$45)/SUM('Top 25'!$B$45:$E$45),6))</f>
        <v>10</v>
      </c>
      <c r="U2375" s="1" t="str">
        <f t="shared" ca="1" si="165"/>
        <v>Listed</v>
      </c>
      <c r="V2375" s="1" t="str">
        <f ca="1">IF(A2375="","",IF(AK2375&lt;&gt;1,"Duplicate source ID",IF(COUNTIFS('Staff Review'!$A$8:$A$507,A2375)&gt;1,"Duplicate review ID",IF(H2375&lt;&gt;"Yes","Outside scope",IF(J2375="Yes","Already served",IF(NOT(ISNUMBER(T2375)),"Missing data","Candidate"))))))</f>
        <v>Candidate</v>
      </c>
      <c r="W2375" s="1">
        <f t="shared" ca="1" si="166"/>
        <v>292</v>
      </c>
      <c r="X2375" s="1">
        <f t="shared" ca="1" si="167"/>
        <v>290</v>
      </c>
      <c r="Y2375" s="1">
        <f ca="1">IF(AND(H2375="Yes",OR(LEN('School Search'!$B$5)=0,ISNUMBER(SEARCH('School Search'!$B$5,B2375&amp;" "&amp;E2375&amp;" "&amp;A2375))),OR('School Search'!$D$5="All",C2375='School Search'!$D$5),OR('School Search'!$G$5="All eligible",AND('School Search'!$G$5="Not marked served",J2375&lt;&gt;"Yes"),AND('School Search'!$G$5="Missing data",V2375="Missing data"),AND('School Search'!$G$5="Marked served",J2375="Yes"))),1,0)</f>
        <v>1</v>
      </c>
      <c r="Z2375" s="1">
        <f ca="1">IF(Y2375=0,"",COUNTIFS($Y$2051:$Y$2550,1,$AO$2051:$AO$2550,"&lt;"&amp;AO2375)+COUNTIFS($Y$2051:Y2375,1,$AO$2051:AO2375,AO2375))</f>
        <v>292</v>
      </c>
      <c r="AA2375" s="1" t="str">
        <f t="shared" ca="1" si="168"/>
        <v>0% economic need; 0.14 mi fresh access; 10 nearby resources</v>
      </c>
      <c r="AB2375" s="1">
        <f t="shared" si="169"/>
        <v>325</v>
      </c>
      <c r="AC2375" s="1" t="str">
        <f t="shared" si="170"/>
        <v>Giant Food Store 6573</v>
      </c>
      <c r="AD2375" s="1" t="str">
        <f t="shared" si="171"/>
        <v>510 N Broad St, Philadelphia, PA, 19130</v>
      </c>
      <c r="AE2375" s="1" t="str">
        <f t="shared" si="172"/>
        <v>440 N BROAD ST</v>
      </c>
      <c r="AF2375" s="1">
        <f t="shared" si="173"/>
        <v>39.961021590000001</v>
      </c>
      <c r="AG2375" s="1">
        <f t="shared" si="174"/>
        <v>-75.162644049999997</v>
      </c>
      <c r="AH2375" s="1" t="str">
        <f>IF(I2375=0,"Not contacted",IF(INDEX('Staff Review'!$J$8:$J$507,I2375)="","Not contacted",INDEX('Staff Review'!$J$8:$J$507,I2375)))</f>
        <v>Not contacted</v>
      </c>
      <c r="AI2375" s="1" t="str">
        <f ca="1">IF(I2375=0,"No",IF(AND(COUNT(INDEX('Staff Review'!$D$8:$D$507,I2375))=1,INDEX('Staff Review'!$D$8:$D$507,I2375)&gt;=0,COUNT(INDEX('Staff Review'!$E$8:$E$507,I2375))=1,INDEX('Staff Review'!$E$8:$E$507,I2375)&gt;0,INDEX('Staff Review'!$E$8:$E$507,I2375)&lt;='Top 25'!$E$5,'Top 25'!$E$5-INDEX('Staff Review'!$E$8:$E$507,I2375)&lt;='Top 25'!$H$5,LEN(INDEX('Staff Review'!$H$8:$H$507,I2375))&gt;0),"Yes","No"))</f>
        <v>No</v>
      </c>
      <c r="AJ2375" s="1" t="str">
        <f>IF(I2375=0,"No",IF(COUNT(INDEX('Staff Review'!$F$8:$F$507,I2375))&lt;&gt;1,"No",IF(AND(INDEX('Staff Review'!$F$8:$F$507,I2375)&gt;=0,MOD(INDEX('Staff Review'!$F$8:$F$507,I2375),1)=0,COUNT(INDEX('Staff Review'!$G$8:$G$507,I2375))=1,INDEX('Staff Review'!$G$8:$G$507,I2375)&gt;0,INDEX('Staff Review'!$G$8:$G$507,I2375)&lt;='Top 25'!$E$5,'Top 25'!$E$5-INDEX('Staff Review'!$G$8:$G$507,I2375)&lt;='Top 25'!$H$5,LEN(INDEX('Staff Review'!$H$8:$H$507,I2375))&gt;0),"Yes","No")))</f>
        <v>No</v>
      </c>
      <c r="AK2375" s="1">
        <f t="shared" si="175"/>
        <v>1</v>
      </c>
      <c r="AL2375" s="1">
        <f t="shared" ca="1" si="176"/>
        <v>1</v>
      </c>
      <c r="AM2375" s="1">
        <f t="shared" si="177"/>
        <v>8780</v>
      </c>
      <c r="AN2375" s="1">
        <f t="shared" si="178"/>
        <v>325</v>
      </c>
      <c r="AO2375">
        <f t="shared" ca="1" si="179"/>
        <v>292</v>
      </c>
      <c r="AP2375" s="105">
        <f ca="1">IF(AND(AL2375=1,OR('Top 25'!$A$10="All",C2375='Top 25'!$A$10),OR('Top 25'!$D$10="All",D2375='Top 25'!$D$10)),1,0)</f>
        <v>0</v>
      </c>
      <c r="AQ2375" s="105" t="str">
        <f ca="1">IF(AP2375=0,"",CHOOSE(MATCH('Top 25'!$G$10,{"Priority score","Economic need","Enrollment","Fresh miles","Nearby resources"},0),T2375,G2375,F2375,K2375,L2375))</f>
        <v/>
      </c>
      <c r="AR2375" s="105" t="str">
        <f ca="1">IF(AP2375=0,"",1+COUNTIFS($AP$2051:$AP$2550,1,$AQ$2051:$AQ$2550,IF('Top 25'!$J$10="Ascending","&lt;","&gt;")&amp;AQ2375)+COUNTIFS($AP$2051:$AP$2550,1,$AQ$2051:$AQ$2550,AQ2375,$W$2051:$W$2550,"&lt;"&amp;W2375))</f>
        <v/>
      </c>
      <c r="AT2375" s="105">
        <f ca="1">IF(AND(AL2375=1,OR(Master_rankableSchools!$A$10="All",C2375=Master_rankableSchools!$A$10),OR(Master_rankableSchools!$D$10="All",D2375=Master_rankableSchools!$D$10)),1,0)</f>
        <v>1</v>
      </c>
      <c r="AU2375" s="105">
        <f ca="1">IF(AT2375=0,"",CHOOSE(MATCH(Master_rankableSchools!$G$10,{"Priority score","Economic need","Enrollment","Fresh miles","Nearby resources"},0),T2375,G2375,F2375,K2375,L2375))</f>
        <v>10</v>
      </c>
      <c r="AV2375" s="105">
        <f ca="1">IF(AT2375=0,"",1+COUNTIFS($AT$2051:$AT$2550,1,$AU$2051:$AU$2550,IF(Master_rankableSchools!$J$10="Ascending","&lt;","&gt;")&amp;AU2375)+COUNTIFS($AT$2051:$AT$2550,1,$AU$2051:$AU$2550,AU2375,$W$2051:$W$2550,"&lt;"&amp;W2375))</f>
        <v>292</v>
      </c>
    </row>
    <row r="2376" spans="1:48" ht="22" customHeight="1">
      <c r="A2376" s="1" t="str">
        <f t="shared" si="150"/>
        <v>8860</v>
      </c>
      <c r="B2376" s="1" t="str">
        <f t="shared" si="151"/>
        <v>One Bright Ray - Mansion</v>
      </c>
      <c r="C2376" s="1" t="str">
        <f t="shared" si="152"/>
        <v>Contracted</v>
      </c>
      <c r="D2376" s="1" t="str">
        <f t="shared" si="153"/>
        <v>Transition/Overage School</v>
      </c>
      <c r="E2376" s="1" t="str">
        <f t="shared" si="154"/>
        <v>19121</v>
      </c>
      <c r="F2376" s="1">
        <f t="shared" si="155"/>
        <v>105</v>
      </c>
      <c r="G2376" s="1" t="str">
        <f t="shared" si="156"/>
        <v/>
      </c>
      <c r="H2376" s="1" t="str">
        <f t="shared" si="157"/>
        <v>No</v>
      </c>
      <c r="I2376" s="1">
        <f>IF(OR(A2376="",COUNTIFS('Staff Review'!$A$8:$A$507,A2376)&lt;&gt;1),0,MATCH(A2376,'Staff Review'!$A$8:$A$507,0))</f>
        <v>215</v>
      </c>
      <c r="J2376" s="1" t="str">
        <f>IF(I2376=0,"No",IF(INDEX('Staff Review'!$C$8:$C$507,I2376)="Yes","Yes","No"))</f>
        <v>No</v>
      </c>
      <c r="K2376" s="1">
        <f ca="1">IF(AI2376="Yes",INDEX('Staff Review'!$D$8:$D$507,I2376),IF(AB2376=0,"",IF(COUNT(INDEX($C$1531:$C$2030,AB2376))=1,INDEX($C$1531:$C$2030,AB2376),"")))</f>
        <v>0.325702508834255</v>
      </c>
      <c r="L2376" s="1">
        <f>IF(AJ2376="Yes",INDEX('Staff Review'!$F$8:$F$507,I2376),IF(AB2376=0,"",IF(COUNT(INDEX($G$1531:$G$2030,AB2376))=1,INDEX($G$1531:$G$2030,AB2376),"")))</f>
        <v>12</v>
      </c>
      <c r="M2376" s="1" t="str">
        <f t="shared" ca="1" si="158"/>
        <v>Listed</v>
      </c>
      <c r="N2376" s="1" t="str">
        <f t="shared" si="159"/>
        <v>Listed</v>
      </c>
      <c r="O2376" s="1" t="str">
        <f t="shared" si="160"/>
        <v/>
      </c>
      <c r="P2376" s="1">
        <f t="shared" ca="1" si="161"/>
        <v>10</v>
      </c>
      <c r="Q2376" s="1">
        <f t="shared" si="162"/>
        <v>0</v>
      </c>
      <c r="R2376" s="1">
        <f t="shared" si="163"/>
        <v>1</v>
      </c>
      <c r="S2376" s="1" t="str">
        <f t="shared" ca="1" si="164"/>
        <v/>
      </c>
      <c r="T2376" s="1" t="str">
        <f ca="1">IF(OR(COUNT(O2376:R2376)&lt;&gt;4,COUNT('Top 25'!$B$45:$E$45)&lt;&gt;4,MIN('Top 25'!$B$45:$E$45)&lt;0,SUM('Top 25'!$B$45:$E$45)&lt;=0),"",ROUND(85*(O2376/30*'Top 25'!$B$45+P2376/25*'Top 25'!$C$45+Q2376/25*'Top 25'!$D$45+R2376/5*'Top 25'!$E$45)/SUM('Top 25'!$B$45:$E$45),6))</f>
        <v/>
      </c>
      <c r="U2376" s="1" t="str">
        <f t="shared" ca="1" si="165"/>
        <v>Listed</v>
      </c>
      <c r="V2376" s="1" t="str">
        <f>IF(A2376="","",IF(AK2376&lt;&gt;1,"Duplicate source ID",IF(COUNTIFS('Staff Review'!$A$8:$A$507,A2376)&gt;1,"Duplicate review ID",IF(H2376&lt;&gt;"Yes","Outside scope",IF(J2376="Yes","Already served",IF(NOT(ISNUMBER(T2376)),"Missing data","Candidate"))))))</f>
        <v>Outside scope</v>
      </c>
      <c r="W2376" s="1" t="str">
        <f t="shared" si="166"/>
        <v/>
      </c>
      <c r="X2376" s="1" t="str">
        <f t="shared" si="167"/>
        <v/>
      </c>
      <c r="Y2376" s="1">
        <f>IF(AND(H2376="Yes",OR(LEN('School Search'!$B$5)=0,ISNUMBER(SEARCH('School Search'!$B$5,B2376&amp;" "&amp;E2376&amp;" "&amp;A2376))),OR('School Search'!$D$5="All",C2376='School Search'!$D$5),OR('School Search'!$G$5="All eligible",AND('School Search'!$G$5="Not marked served",J2376&lt;&gt;"Yes"),AND('School Search'!$G$5="Missing data",V2376="Missing data"),AND('School Search'!$G$5="Marked served",J2376="Yes"))),1,0)</f>
        <v>0</v>
      </c>
      <c r="Z2376" s="1" t="str">
        <f>IF(Y2376=0,"",COUNTIFS($Y$2051:$Y$2550,1,$AO$2051:$AO$2550,"&lt;"&amp;AO2376)+COUNTIFS($Y$2051:Y2376,1,$AO$2051:AO2376,AO2376))</f>
        <v/>
      </c>
      <c r="AA2376" s="1" t="str">
        <f t="shared" ca="1" si="168"/>
        <v>Missing demographic or access input</v>
      </c>
      <c r="AB2376" s="1">
        <f t="shared" si="169"/>
        <v>326</v>
      </c>
      <c r="AC2376" s="1" t="str">
        <f t="shared" si="170"/>
        <v>SAVE-A-LOT 60146</v>
      </c>
      <c r="AD2376" s="1" t="str">
        <f t="shared" si="171"/>
        <v>2801 W Dauphin St, Philadelphia, PA, 19132</v>
      </c>
      <c r="AE2376" s="1" t="str">
        <f t="shared" si="172"/>
        <v>3133 RIDGE AVE</v>
      </c>
      <c r="AF2376" s="1">
        <f t="shared" si="173"/>
        <v>39.990743709999997</v>
      </c>
      <c r="AG2376" s="1">
        <f t="shared" si="174"/>
        <v>-75.184024640000004</v>
      </c>
      <c r="AH2376" s="1" t="str">
        <f>IF(I2376=0,"Not contacted",IF(INDEX('Staff Review'!$J$8:$J$507,I2376)="","Not contacted",INDEX('Staff Review'!$J$8:$J$507,I2376)))</f>
        <v>Not contacted</v>
      </c>
      <c r="AI2376" s="1" t="str">
        <f ca="1">IF(I2376=0,"No",IF(AND(COUNT(INDEX('Staff Review'!$D$8:$D$507,I2376))=1,INDEX('Staff Review'!$D$8:$D$507,I2376)&gt;=0,COUNT(INDEX('Staff Review'!$E$8:$E$507,I2376))=1,INDEX('Staff Review'!$E$8:$E$507,I2376)&gt;0,INDEX('Staff Review'!$E$8:$E$507,I2376)&lt;='Top 25'!$E$5,'Top 25'!$E$5-INDEX('Staff Review'!$E$8:$E$507,I2376)&lt;='Top 25'!$H$5,LEN(INDEX('Staff Review'!$H$8:$H$507,I2376))&gt;0),"Yes","No"))</f>
        <v>No</v>
      </c>
      <c r="AJ2376" s="1" t="str">
        <f>IF(I2376=0,"No",IF(COUNT(INDEX('Staff Review'!$F$8:$F$507,I2376))&lt;&gt;1,"No",IF(AND(INDEX('Staff Review'!$F$8:$F$507,I2376)&gt;=0,MOD(INDEX('Staff Review'!$F$8:$F$507,I2376),1)=0,COUNT(INDEX('Staff Review'!$G$8:$G$507,I2376))=1,INDEX('Staff Review'!$G$8:$G$507,I2376)&gt;0,INDEX('Staff Review'!$G$8:$G$507,I2376)&lt;='Top 25'!$E$5,'Top 25'!$E$5-INDEX('Staff Review'!$G$8:$G$507,I2376)&lt;='Top 25'!$H$5,LEN(INDEX('Staff Review'!$H$8:$H$507,I2376))&gt;0),"Yes","No")))</f>
        <v>No</v>
      </c>
      <c r="AK2376" s="1">
        <f t="shared" si="175"/>
        <v>1</v>
      </c>
      <c r="AL2376" s="1">
        <f t="shared" si="176"/>
        <v>0</v>
      </c>
      <c r="AM2376" s="1">
        <f t="shared" si="177"/>
        <v>8860</v>
      </c>
      <c r="AN2376" s="1">
        <f t="shared" si="178"/>
        <v>326</v>
      </c>
      <c r="AO2376">
        <f t="shared" si="179"/>
        <v>18860</v>
      </c>
      <c r="AP2376" s="105">
        <f>IF(AND(AL2376=1,OR('Top 25'!$A$10="All",C2376='Top 25'!$A$10),OR('Top 25'!$D$10="All",D2376='Top 25'!$D$10)),1,0)</f>
        <v>0</v>
      </c>
      <c r="AQ2376" s="105" t="str">
        <f>IF(AP2376=0,"",CHOOSE(MATCH('Top 25'!$G$10,{"Priority score","Economic need","Enrollment","Fresh miles","Nearby resources"},0),T2376,G2376,F2376,K2376,L2376))</f>
        <v/>
      </c>
      <c r="AR2376" s="105" t="str">
        <f>IF(AP2376=0,"",1+COUNTIFS($AP$2051:$AP$2550,1,$AQ$2051:$AQ$2550,IF('Top 25'!$J$10="Ascending","&lt;","&gt;")&amp;AQ2376)+COUNTIFS($AP$2051:$AP$2550,1,$AQ$2051:$AQ$2550,AQ2376,$W$2051:$W$2550,"&lt;"&amp;W2376))</f>
        <v/>
      </c>
      <c r="AT2376" s="105">
        <f>IF(AND(AL2376=1,OR(Master_rankableSchools!$A$10="All",C2376=Master_rankableSchools!$A$10),OR(Master_rankableSchools!$D$10="All",D2376=Master_rankableSchools!$D$10)),1,0)</f>
        <v>0</v>
      </c>
      <c r="AU2376" s="105" t="str">
        <f>IF(AT2376=0,"",CHOOSE(MATCH(Master_rankableSchools!$G$10,{"Priority score","Economic need","Enrollment","Fresh miles","Nearby resources"},0),T2376,G2376,F2376,K2376,L2376))</f>
        <v/>
      </c>
      <c r="AV2376" s="105" t="str">
        <f>IF(AT2376=0,"",1+COUNTIFS($AT$2051:$AT$2550,1,$AU$2051:$AU$2550,IF(Master_rankableSchools!$J$10="Ascending","&lt;","&gt;")&amp;AU2376)+COUNTIFS($AT$2051:$AT$2550,1,$AU$2051:$AU$2550,AU2376,$W$2051:$W$2550,"&lt;"&amp;W2376))</f>
        <v/>
      </c>
    </row>
    <row r="2377" spans="1:48" ht="22" customHeight="1">
      <c r="A2377" s="1" t="str">
        <f t="shared" si="150"/>
        <v>8890</v>
      </c>
      <c r="B2377" s="1" t="str">
        <f t="shared" si="151"/>
        <v>One Bright Ray - Simpson</v>
      </c>
      <c r="C2377" s="1" t="str">
        <f t="shared" si="152"/>
        <v>Contracted</v>
      </c>
      <c r="D2377" s="1" t="str">
        <f t="shared" si="153"/>
        <v>Transition/Overage School</v>
      </c>
      <c r="E2377" s="1" t="str">
        <f t="shared" si="154"/>
        <v>19124</v>
      </c>
      <c r="F2377" s="1">
        <f t="shared" si="155"/>
        <v>226</v>
      </c>
      <c r="G2377" s="1" t="str">
        <f t="shared" si="156"/>
        <v/>
      </c>
      <c r="H2377" s="1" t="str">
        <f t="shared" si="157"/>
        <v>No</v>
      </c>
      <c r="I2377" s="1">
        <f>IF(OR(A2377="",COUNTIFS('Staff Review'!$A$8:$A$507,A2377)&lt;&gt;1),0,MATCH(A2377,'Staff Review'!$A$8:$A$507,0))</f>
        <v>216</v>
      </c>
      <c r="J2377" s="1" t="str">
        <f>IF(I2377=0,"No",IF(INDEX('Staff Review'!$C$8:$C$507,I2377)="Yes","Yes","No"))</f>
        <v>No</v>
      </c>
      <c r="K2377" s="1">
        <f ca="1">IF(AI2377="Yes",INDEX('Staff Review'!$D$8:$D$507,I2377),IF(AB2377=0,"",IF(COUNT(INDEX($C$1531:$C$2030,AB2377))=1,INDEX($C$1531:$C$2030,AB2377),"")))</f>
        <v>6.4939953124175831E-2</v>
      </c>
      <c r="L2377" s="1">
        <f>IF(AJ2377="Yes",INDEX('Staff Review'!$F$8:$F$507,I2377),IF(AB2377=0,"",IF(COUNT(INDEX($G$1531:$G$2030,AB2377))=1,INDEX($G$1531:$G$2030,AB2377),"")))</f>
        <v>7</v>
      </c>
      <c r="M2377" s="1" t="str">
        <f t="shared" ca="1" si="158"/>
        <v>Listed</v>
      </c>
      <c r="N2377" s="1" t="str">
        <f t="shared" si="159"/>
        <v>Listed</v>
      </c>
      <c r="O2377" s="1" t="str">
        <f t="shared" si="160"/>
        <v/>
      </c>
      <c r="P2377" s="1">
        <f t="shared" ca="1" si="161"/>
        <v>5</v>
      </c>
      <c r="Q2377" s="1">
        <f t="shared" si="162"/>
        <v>0</v>
      </c>
      <c r="R2377" s="1">
        <f t="shared" si="163"/>
        <v>2</v>
      </c>
      <c r="S2377" s="1" t="str">
        <f t="shared" ca="1" si="164"/>
        <v/>
      </c>
      <c r="T2377" s="1" t="str">
        <f ca="1">IF(OR(COUNT(O2377:R2377)&lt;&gt;4,COUNT('Top 25'!$B$45:$E$45)&lt;&gt;4,MIN('Top 25'!$B$45:$E$45)&lt;0,SUM('Top 25'!$B$45:$E$45)&lt;=0),"",ROUND(85*(O2377/30*'Top 25'!$B$45+P2377/25*'Top 25'!$C$45+Q2377/25*'Top 25'!$D$45+R2377/5*'Top 25'!$E$45)/SUM('Top 25'!$B$45:$E$45),6))</f>
        <v/>
      </c>
      <c r="U2377" s="1" t="str">
        <f t="shared" ca="1" si="165"/>
        <v>Listed</v>
      </c>
      <c r="V2377" s="1" t="str">
        <f>IF(A2377="","",IF(AK2377&lt;&gt;1,"Duplicate source ID",IF(COUNTIFS('Staff Review'!$A$8:$A$507,A2377)&gt;1,"Duplicate review ID",IF(H2377&lt;&gt;"Yes","Outside scope",IF(J2377="Yes","Already served",IF(NOT(ISNUMBER(T2377)),"Missing data","Candidate"))))))</f>
        <v>Outside scope</v>
      </c>
      <c r="W2377" s="1" t="str">
        <f t="shared" si="166"/>
        <v/>
      </c>
      <c r="X2377" s="1" t="str">
        <f t="shared" si="167"/>
        <v/>
      </c>
      <c r="Y2377" s="1">
        <f>IF(AND(H2377="Yes",OR(LEN('School Search'!$B$5)=0,ISNUMBER(SEARCH('School Search'!$B$5,B2377&amp;" "&amp;E2377&amp;" "&amp;A2377))),OR('School Search'!$D$5="All",C2377='School Search'!$D$5),OR('School Search'!$G$5="All eligible",AND('School Search'!$G$5="Not marked served",J2377&lt;&gt;"Yes"),AND('School Search'!$G$5="Missing data",V2377="Missing data"),AND('School Search'!$G$5="Marked served",J2377="Yes"))),1,0)</f>
        <v>0</v>
      </c>
      <c r="Z2377" s="1" t="str">
        <f>IF(Y2377=0,"",COUNTIFS($Y$2051:$Y$2550,1,$AO$2051:$AO$2550,"&lt;"&amp;AO2377)+COUNTIFS($Y$2051:Y2377,1,$AO$2051:AO2377,AO2377))</f>
        <v/>
      </c>
      <c r="AA2377" s="1" t="str">
        <f t="shared" ca="1" si="168"/>
        <v>Missing demographic or access input</v>
      </c>
      <c r="AB2377" s="1">
        <f t="shared" si="169"/>
        <v>327</v>
      </c>
      <c r="AC2377" s="1" t="str">
        <f t="shared" si="170"/>
        <v>Pa Fair Farm Food Corp/Fine Fare Supermarket</v>
      </c>
      <c r="AD2377" s="1" t="str">
        <f t="shared" si="171"/>
        <v>1240 E Erie Ave, Philadelphia, PA, 19124</v>
      </c>
      <c r="AE2377" s="1" t="str">
        <f t="shared" si="172"/>
        <v>1142 E ERIE AVE</v>
      </c>
      <c r="AF2377" s="1">
        <f t="shared" si="173"/>
        <v>40.005279999999999</v>
      </c>
      <c r="AG2377" s="1">
        <f t="shared" si="174"/>
        <v>-75.105600960000004</v>
      </c>
      <c r="AH2377" s="1" t="str">
        <f>IF(I2377=0,"Not contacted",IF(INDEX('Staff Review'!$J$8:$J$507,I2377)="","Not contacted",INDEX('Staff Review'!$J$8:$J$507,I2377)))</f>
        <v>Not contacted</v>
      </c>
      <c r="AI2377" s="1" t="str">
        <f ca="1">IF(I2377=0,"No",IF(AND(COUNT(INDEX('Staff Review'!$D$8:$D$507,I2377))=1,INDEX('Staff Review'!$D$8:$D$507,I2377)&gt;=0,COUNT(INDEX('Staff Review'!$E$8:$E$507,I2377))=1,INDEX('Staff Review'!$E$8:$E$507,I2377)&gt;0,INDEX('Staff Review'!$E$8:$E$507,I2377)&lt;='Top 25'!$E$5,'Top 25'!$E$5-INDEX('Staff Review'!$E$8:$E$507,I2377)&lt;='Top 25'!$H$5,LEN(INDEX('Staff Review'!$H$8:$H$507,I2377))&gt;0),"Yes","No"))</f>
        <v>No</v>
      </c>
      <c r="AJ2377" s="1" t="str">
        <f>IF(I2377=0,"No",IF(COUNT(INDEX('Staff Review'!$F$8:$F$507,I2377))&lt;&gt;1,"No",IF(AND(INDEX('Staff Review'!$F$8:$F$507,I2377)&gt;=0,MOD(INDEX('Staff Review'!$F$8:$F$507,I2377),1)=0,COUNT(INDEX('Staff Review'!$G$8:$G$507,I2377))=1,INDEX('Staff Review'!$G$8:$G$507,I2377)&gt;0,INDEX('Staff Review'!$G$8:$G$507,I2377)&lt;='Top 25'!$E$5,'Top 25'!$E$5-INDEX('Staff Review'!$G$8:$G$507,I2377)&lt;='Top 25'!$H$5,LEN(INDEX('Staff Review'!$H$8:$H$507,I2377))&gt;0),"Yes","No")))</f>
        <v>No</v>
      </c>
      <c r="AK2377" s="1">
        <f t="shared" si="175"/>
        <v>1</v>
      </c>
      <c r="AL2377" s="1">
        <f t="shared" si="176"/>
        <v>0</v>
      </c>
      <c r="AM2377" s="1">
        <f t="shared" si="177"/>
        <v>8890</v>
      </c>
      <c r="AN2377" s="1">
        <f t="shared" si="178"/>
        <v>327</v>
      </c>
      <c r="AO2377">
        <f t="shared" si="179"/>
        <v>18890</v>
      </c>
      <c r="AP2377" s="105">
        <f>IF(AND(AL2377=1,OR('Top 25'!$A$10="All",C2377='Top 25'!$A$10),OR('Top 25'!$D$10="All",D2377='Top 25'!$D$10)),1,0)</f>
        <v>0</v>
      </c>
      <c r="AQ2377" s="105" t="str">
        <f>IF(AP2377=0,"",CHOOSE(MATCH('Top 25'!$G$10,{"Priority score","Economic need","Enrollment","Fresh miles","Nearby resources"},0),T2377,G2377,F2377,K2377,L2377))</f>
        <v/>
      </c>
      <c r="AR2377" s="105" t="str">
        <f>IF(AP2377=0,"",1+COUNTIFS($AP$2051:$AP$2550,1,$AQ$2051:$AQ$2550,IF('Top 25'!$J$10="Ascending","&lt;","&gt;")&amp;AQ2377)+COUNTIFS($AP$2051:$AP$2550,1,$AQ$2051:$AQ$2550,AQ2377,$W$2051:$W$2550,"&lt;"&amp;W2377))</f>
        <v/>
      </c>
      <c r="AT2377" s="105">
        <f>IF(AND(AL2377=1,OR(Master_rankableSchools!$A$10="All",C2377=Master_rankableSchools!$A$10),OR(Master_rankableSchools!$D$10="All",D2377=Master_rankableSchools!$D$10)),1,0)</f>
        <v>0</v>
      </c>
      <c r="AU2377" s="105" t="str">
        <f>IF(AT2377=0,"",CHOOSE(MATCH(Master_rankableSchools!$G$10,{"Priority score","Economic need","Enrollment","Fresh miles","Nearby resources"},0),T2377,G2377,F2377,K2377,L2377))</f>
        <v/>
      </c>
      <c r="AV2377" s="105" t="str">
        <f>IF(AT2377=0,"",1+COUNTIFS($AT$2051:$AT$2550,1,$AU$2051:$AU$2550,IF(Master_rankableSchools!$J$10="Ascending","&lt;","&gt;")&amp;AU2377)+COUNTIFS($AT$2051:$AT$2550,1,$AU$2051:$AU$2550,AU2377,$W$2051:$W$2550,"&lt;"&amp;W2377))</f>
        <v/>
      </c>
    </row>
    <row r="2378" spans="1:48" ht="22" customHeight="1">
      <c r="A2378" s="1" t="str">
        <f t="shared" si="150"/>
        <v>8891</v>
      </c>
      <c r="B2378" s="1" t="str">
        <f t="shared" si="151"/>
        <v>One Bright Ray - Simpson Evening</v>
      </c>
      <c r="C2378" s="1" t="str">
        <f t="shared" si="152"/>
        <v>Contracted</v>
      </c>
      <c r="D2378" s="1" t="str">
        <f t="shared" si="153"/>
        <v>Transition/Overage School</v>
      </c>
      <c r="E2378" s="1" t="str">
        <f t="shared" si="154"/>
        <v>19124</v>
      </c>
      <c r="F2378" s="1">
        <f t="shared" si="155"/>
        <v>131</v>
      </c>
      <c r="G2378" s="1" t="str">
        <f t="shared" si="156"/>
        <v/>
      </c>
      <c r="H2378" s="1" t="str">
        <f t="shared" si="157"/>
        <v>No</v>
      </c>
      <c r="I2378" s="1">
        <f>IF(OR(A2378="",COUNTIFS('Staff Review'!$A$8:$A$507,A2378)&lt;&gt;1),0,MATCH(A2378,'Staff Review'!$A$8:$A$507,0))</f>
        <v>217</v>
      </c>
      <c r="J2378" s="1" t="str">
        <f>IF(I2378=0,"No",IF(INDEX('Staff Review'!$C$8:$C$507,I2378)="Yes","Yes","No"))</f>
        <v>No</v>
      </c>
      <c r="K2378" s="1">
        <f ca="1">IF(AI2378="Yes",INDEX('Staff Review'!$D$8:$D$507,I2378),IF(AB2378=0,"",IF(COUNT(INDEX($C$1531:$C$2030,AB2378))=1,INDEX($C$1531:$C$2030,AB2378),"")))</f>
        <v>6.4902508397519057E-2</v>
      </c>
      <c r="L2378" s="1">
        <f>IF(AJ2378="Yes",INDEX('Staff Review'!$F$8:$F$507,I2378),IF(AB2378=0,"",IF(COUNT(INDEX($G$1531:$G$2030,AB2378))=1,INDEX($G$1531:$G$2030,AB2378),"")))</f>
        <v>7</v>
      </c>
      <c r="M2378" s="1" t="str">
        <f t="shared" ca="1" si="158"/>
        <v>Listed</v>
      </c>
      <c r="N2378" s="1" t="str">
        <f t="shared" si="159"/>
        <v>Listed</v>
      </c>
      <c r="O2378" s="1" t="str">
        <f t="shared" si="160"/>
        <v/>
      </c>
      <c r="P2378" s="1">
        <f t="shared" ca="1" si="161"/>
        <v>5</v>
      </c>
      <c r="Q2378" s="1">
        <f t="shared" si="162"/>
        <v>0</v>
      </c>
      <c r="R2378" s="1">
        <f t="shared" si="163"/>
        <v>1</v>
      </c>
      <c r="S2378" s="1" t="str">
        <f t="shared" ca="1" si="164"/>
        <v/>
      </c>
      <c r="T2378" s="1" t="str">
        <f ca="1">IF(OR(COUNT(O2378:R2378)&lt;&gt;4,COUNT('Top 25'!$B$45:$E$45)&lt;&gt;4,MIN('Top 25'!$B$45:$E$45)&lt;0,SUM('Top 25'!$B$45:$E$45)&lt;=0),"",ROUND(85*(O2378/30*'Top 25'!$B$45+P2378/25*'Top 25'!$C$45+Q2378/25*'Top 25'!$D$45+R2378/5*'Top 25'!$E$45)/SUM('Top 25'!$B$45:$E$45),6))</f>
        <v/>
      </c>
      <c r="U2378" s="1" t="str">
        <f t="shared" ca="1" si="165"/>
        <v>Listed</v>
      </c>
      <c r="V2378" s="1" t="str">
        <f>IF(A2378="","",IF(AK2378&lt;&gt;1,"Duplicate source ID",IF(COUNTIFS('Staff Review'!$A$8:$A$507,A2378)&gt;1,"Duplicate review ID",IF(H2378&lt;&gt;"Yes","Outside scope",IF(J2378="Yes","Already served",IF(NOT(ISNUMBER(T2378)),"Missing data","Candidate"))))))</f>
        <v>Outside scope</v>
      </c>
      <c r="W2378" s="1" t="str">
        <f t="shared" si="166"/>
        <v/>
      </c>
      <c r="X2378" s="1" t="str">
        <f t="shared" si="167"/>
        <v/>
      </c>
      <c r="Y2378" s="1">
        <f>IF(AND(H2378="Yes",OR(LEN('School Search'!$B$5)=0,ISNUMBER(SEARCH('School Search'!$B$5,B2378&amp;" "&amp;E2378&amp;" "&amp;A2378))),OR('School Search'!$D$5="All",C2378='School Search'!$D$5),OR('School Search'!$G$5="All eligible",AND('School Search'!$G$5="Not marked served",J2378&lt;&gt;"Yes"),AND('School Search'!$G$5="Missing data",V2378="Missing data"),AND('School Search'!$G$5="Marked served",J2378="Yes"))),1,0)</f>
        <v>0</v>
      </c>
      <c r="Z2378" s="1" t="str">
        <f>IF(Y2378=0,"",COUNTIFS($Y$2051:$Y$2550,1,$AO$2051:$AO$2550,"&lt;"&amp;AO2378)+COUNTIFS($Y$2051:Y2378,1,$AO$2051:AO2378,AO2378))</f>
        <v/>
      </c>
      <c r="AA2378" s="1" t="str">
        <f t="shared" ca="1" si="168"/>
        <v>Missing demographic or access input</v>
      </c>
      <c r="AB2378" s="1">
        <f t="shared" si="169"/>
        <v>328</v>
      </c>
      <c r="AC2378" s="1" t="str">
        <f t="shared" si="170"/>
        <v>Pa Fair Farm Food Corp/Fine Fare Supermarket</v>
      </c>
      <c r="AD2378" s="1" t="str">
        <f t="shared" si="171"/>
        <v>1240 E Erie Ave, Philadelphia, PA, 19124</v>
      </c>
      <c r="AE2378" s="1" t="str">
        <f t="shared" si="172"/>
        <v>1142 E ERIE AVE</v>
      </c>
      <c r="AF2378" s="1">
        <f t="shared" si="173"/>
        <v>40.005260929999999</v>
      </c>
      <c r="AG2378" s="1">
        <f t="shared" si="174"/>
        <v>-75.105608369999999</v>
      </c>
      <c r="AH2378" s="1" t="str">
        <f>IF(I2378=0,"Not contacted",IF(INDEX('Staff Review'!$J$8:$J$507,I2378)="","Not contacted",INDEX('Staff Review'!$J$8:$J$507,I2378)))</f>
        <v>Not contacted</v>
      </c>
      <c r="AI2378" s="1" t="str">
        <f ca="1">IF(I2378=0,"No",IF(AND(COUNT(INDEX('Staff Review'!$D$8:$D$507,I2378))=1,INDEX('Staff Review'!$D$8:$D$507,I2378)&gt;=0,COUNT(INDEX('Staff Review'!$E$8:$E$507,I2378))=1,INDEX('Staff Review'!$E$8:$E$507,I2378)&gt;0,INDEX('Staff Review'!$E$8:$E$507,I2378)&lt;='Top 25'!$E$5,'Top 25'!$E$5-INDEX('Staff Review'!$E$8:$E$507,I2378)&lt;='Top 25'!$H$5,LEN(INDEX('Staff Review'!$H$8:$H$507,I2378))&gt;0),"Yes","No"))</f>
        <v>No</v>
      </c>
      <c r="AJ2378" s="1" t="str">
        <f>IF(I2378=0,"No",IF(COUNT(INDEX('Staff Review'!$F$8:$F$507,I2378))&lt;&gt;1,"No",IF(AND(INDEX('Staff Review'!$F$8:$F$507,I2378)&gt;=0,MOD(INDEX('Staff Review'!$F$8:$F$507,I2378),1)=0,COUNT(INDEX('Staff Review'!$G$8:$G$507,I2378))=1,INDEX('Staff Review'!$G$8:$G$507,I2378)&gt;0,INDEX('Staff Review'!$G$8:$G$507,I2378)&lt;='Top 25'!$E$5,'Top 25'!$E$5-INDEX('Staff Review'!$G$8:$G$507,I2378)&lt;='Top 25'!$H$5,LEN(INDEX('Staff Review'!$H$8:$H$507,I2378))&gt;0),"Yes","No")))</f>
        <v>No</v>
      </c>
      <c r="AK2378" s="1">
        <f t="shared" si="175"/>
        <v>1</v>
      </c>
      <c r="AL2378" s="1">
        <f t="shared" si="176"/>
        <v>0</v>
      </c>
      <c r="AM2378" s="1">
        <f t="shared" si="177"/>
        <v>8891</v>
      </c>
      <c r="AN2378" s="1">
        <f t="shared" si="178"/>
        <v>328</v>
      </c>
      <c r="AO2378">
        <f t="shared" si="179"/>
        <v>18891</v>
      </c>
      <c r="AP2378" s="105">
        <f>IF(AND(AL2378=1,OR('Top 25'!$A$10="All",C2378='Top 25'!$A$10),OR('Top 25'!$D$10="All",D2378='Top 25'!$D$10)),1,0)</f>
        <v>0</v>
      </c>
      <c r="AQ2378" s="105" t="str">
        <f>IF(AP2378=0,"",CHOOSE(MATCH('Top 25'!$G$10,{"Priority score","Economic need","Enrollment","Fresh miles","Nearby resources"},0),T2378,G2378,F2378,K2378,L2378))</f>
        <v/>
      </c>
      <c r="AR2378" s="105" t="str">
        <f>IF(AP2378=0,"",1+COUNTIFS($AP$2051:$AP$2550,1,$AQ$2051:$AQ$2550,IF('Top 25'!$J$10="Ascending","&lt;","&gt;")&amp;AQ2378)+COUNTIFS($AP$2051:$AP$2550,1,$AQ$2051:$AQ$2550,AQ2378,$W$2051:$W$2550,"&lt;"&amp;W2378))</f>
        <v/>
      </c>
      <c r="AT2378" s="105">
        <f>IF(AND(AL2378=1,OR(Master_rankableSchools!$A$10="All",C2378=Master_rankableSchools!$A$10),OR(Master_rankableSchools!$D$10="All",D2378=Master_rankableSchools!$D$10)),1,0)</f>
        <v>0</v>
      </c>
      <c r="AU2378" s="105" t="str">
        <f>IF(AT2378=0,"",CHOOSE(MATCH(Master_rankableSchools!$G$10,{"Priority score","Economic need","Enrollment","Fresh miles","Nearby resources"},0),T2378,G2378,F2378,K2378,L2378))</f>
        <v/>
      </c>
      <c r="AV2378" s="105" t="str">
        <f>IF(AT2378=0,"",1+COUNTIFS($AT$2051:$AT$2550,1,$AU$2051:$AU$2550,IF(Master_rankableSchools!$J$10="Ascending","&lt;","&gt;")&amp;AU2378)+COUNTIFS($AT$2051:$AT$2550,1,$AU$2051:$AU$2550,AU2378,$W$2051:$W$2550,"&lt;"&amp;W2378))</f>
        <v/>
      </c>
    </row>
    <row r="2379" spans="1:48" ht="22" customHeight="1">
      <c r="A2379" s="1" t="str">
        <f t="shared" si="150"/>
        <v>8900</v>
      </c>
      <c r="B2379" s="1" t="str">
        <f t="shared" si="151"/>
        <v>Re-Engagement Center</v>
      </c>
      <c r="C2379" s="1" t="str">
        <f t="shared" si="152"/>
        <v>District</v>
      </c>
      <c r="D2379" s="1" t="str">
        <f t="shared" si="153"/>
        <v>Transition/Overage School</v>
      </c>
      <c r="E2379" s="1" t="str">
        <f t="shared" si="154"/>
        <v>19130</v>
      </c>
      <c r="F2379" s="1">
        <f t="shared" si="155"/>
        <v>1</v>
      </c>
      <c r="G2379" s="1" t="str">
        <f t="shared" si="156"/>
        <v/>
      </c>
      <c r="H2379" s="1" t="str">
        <f t="shared" si="157"/>
        <v>Yes</v>
      </c>
      <c r="I2379" s="1">
        <f>IF(OR(A2379="",COUNTIFS('Staff Review'!$A$8:$A$507,A2379)&lt;&gt;1),0,MATCH(A2379,'Staff Review'!$A$8:$A$507,0))</f>
        <v>246</v>
      </c>
      <c r="J2379" s="1" t="str">
        <f>IF(I2379=0,"No",IF(INDEX('Staff Review'!$C$8:$C$507,I2379)="Yes","Yes","No"))</f>
        <v>No</v>
      </c>
      <c r="K2379" s="1">
        <f ca="1">IF(AI2379="Yes",INDEX('Staff Review'!$D$8:$D$507,I2379),IF(AB2379=0,"",IF(COUNT(INDEX($C$1531:$C$2030,AB2379))=1,INDEX($C$1531:$C$2030,AB2379),"")))</f>
        <v>0.13651599008722429</v>
      </c>
      <c r="L2379" s="1">
        <f>IF(AJ2379="Yes",INDEX('Staff Review'!$F$8:$F$507,I2379),IF(AB2379=0,"",IF(COUNT(INDEX($G$1531:$G$2030,AB2379))=1,INDEX($G$1531:$G$2030,AB2379),"")))</f>
        <v>10</v>
      </c>
      <c r="M2379" s="1" t="str">
        <f t="shared" ca="1" si="158"/>
        <v>Listed</v>
      </c>
      <c r="N2379" s="1" t="str">
        <f t="shared" si="159"/>
        <v>Listed</v>
      </c>
      <c r="O2379" s="1" t="str">
        <f t="shared" si="160"/>
        <v/>
      </c>
      <c r="P2379" s="1">
        <f t="shared" ca="1" si="161"/>
        <v>5</v>
      </c>
      <c r="Q2379" s="1">
        <f t="shared" si="162"/>
        <v>0</v>
      </c>
      <c r="R2379" s="1">
        <f t="shared" si="163"/>
        <v>1</v>
      </c>
      <c r="S2379" s="1" t="str">
        <f t="shared" ca="1" si="164"/>
        <v/>
      </c>
      <c r="T2379" s="1" t="str">
        <f ca="1">IF(OR(COUNT(O2379:R2379)&lt;&gt;4,COUNT('Top 25'!$B$45:$E$45)&lt;&gt;4,MIN('Top 25'!$B$45:$E$45)&lt;0,SUM('Top 25'!$B$45:$E$45)&lt;=0),"",ROUND(85*(O2379/30*'Top 25'!$B$45+P2379/25*'Top 25'!$C$45+Q2379/25*'Top 25'!$D$45+R2379/5*'Top 25'!$E$45)/SUM('Top 25'!$B$45:$E$45),6))</f>
        <v/>
      </c>
      <c r="U2379" s="1" t="str">
        <f t="shared" ca="1" si="165"/>
        <v>Listed</v>
      </c>
      <c r="V2379" s="1" t="str">
        <f ca="1">IF(A2379="","",IF(AK2379&lt;&gt;1,"Duplicate source ID",IF(COUNTIFS('Staff Review'!$A$8:$A$507,A2379)&gt;1,"Duplicate review ID",IF(H2379&lt;&gt;"Yes","Outside scope",IF(J2379="Yes","Already served",IF(NOT(ISNUMBER(T2379)),"Missing data","Candidate"))))))</f>
        <v>Missing data</v>
      </c>
      <c r="W2379" s="1" t="str">
        <f t="shared" ca="1" si="166"/>
        <v/>
      </c>
      <c r="X2379" s="1" t="str">
        <f t="shared" ca="1" si="167"/>
        <v/>
      </c>
      <c r="Y2379" s="1">
        <f ca="1">IF(AND(H2379="Yes",OR(LEN('School Search'!$B$5)=0,ISNUMBER(SEARCH('School Search'!$B$5,B2379&amp;" "&amp;E2379&amp;" "&amp;A2379))),OR('School Search'!$D$5="All",C2379='School Search'!$D$5),OR('School Search'!$G$5="All eligible",AND('School Search'!$G$5="Not marked served",J2379&lt;&gt;"Yes"),AND('School Search'!$G$5="Missing data",V2379="Missing data"),AND('School Search'!$G$5="Marked served",J2379="Yes"))),1,0)</f>
        <v>1</v>
      </c>
      <c r="Z2379" s="1">
        <f ca="1">IF(Y2379=0,"",COUNTIFS($Y$2051:$Y$2550,1,$AO$2051:$AO$2550,"&lt;"&amp;AO2379)+COUNTIFS($Y$2051:Y2379,1,$AO$2051:AO2379,AO2379))</f>
        <v>305</v>
      </c>
      <c r="AA2379" s="1" t="str">
        <f t="shared" ca="1" si="168"/>
        <v>Missing demographic or access input</v>
      </c>
      <c r="AB2379" s="1">
        <f t="shared" si="169"/>
        <v>329</v>
      </c>
      <c r="AC2379" s="1" t="str">
        <f t="shared" si="170"/>
        <v>Giant Food Store 6573</v>
      </c>
      <c r="AD2379" s="1" t="str">
        <f t="shared" si="171"/>
        <v>510 N Broad St, Philadelphia, PA, 19130</v>
      </c>
      <c r="AE2379" s="1" t="str">
        <f t="shared" si="172"/>
        <v>440 N BROAD ST</v>
      </c>
      <c r="AF2379" s="1">
        <f t="shared" si="173"/>
        <v>39.961021590000001</v>
      </c>
      <c r="AG2379" s="1">
        <f t="shared" si="174"/>
        <v>-75.162644049999997</v>
      </c>
      <c r="AH2379" s="1" t="str">
        <f>IF(I2379=0,"Not contacted",IF(INDEX('Staff Review'!$J$8:$J$507,I2379)="","Not contacted",INDEX('Staff Review'!$J$8:$J$507,I2379)))</f>
        <v>Not contacted</v>
      </c>
      <c r="AI2379" s="1" t="str">
        <f ca="1">IF(I2379=0,"No",IF(AND(COUNT(INDEX('Staff Review'!$D$8:$D$507,I2379))=1,INDEX('Staff Review'!$D$8:$D$507,I2379)&gt;=0,COUNT(INDEX('Staff Review'!$E$8:$E$507,I2379))=1,INDEX('Staff Review'!$E$8:$E$507,I2379)&gt;0,INDEX('Staff Review'!$E$8:$E$507,I2379)&lt;='Top 25'!$E$5,'Top 25'!$E$5-INDEX('Staff Review'!$E$8:$E$507,I2379)&lt;='Top 25'!$H$5,LEN(INDEX('Staff Review'!$H$8:$H$507,I2379))&gt;0),"Yes","No"))</f>
        <v>No</v>
      </c>
      <c r="AJ2379" s="1" t="str">
        <f>IF(I2379=0,"No",IF(COUNT(INDEX('Staff Review'!$F$8:$F$507,I2379))&lt;&gt;1,"No",IF(AND(INDEX('Staff Review'!$F$8:$F$507,I2379)&gt;=0,MOD(INDEX('Staff Review'!$F$8:$F$507,I2379),1)=0,COUNT(INDEX('Staff Review'!$G$8:$G$507,I2379))=1,INDEX('Staff Review'!$G$8:$G$507,I2379)&gt;0,INDEX('Staff Review'!$G$8:$G$507,I2379)&lt;='Top 25'!$E$5,'Top 25'!$E$5-INDEX('Staff Review'!$G$8:$G$507,I2379)&lt;='Top 25'!$H$5,LEN(INDEX('Staff Review'!$H$8:$H$507,I2379))&gt;0),"Yes","No")))</f>
        <v>No</v>
      </c>
      <c r="AK2379" s="1">
        <f t="shared" si="175"/>
        <v>1</v>
      </c>
      <c r="AL2379" s="1">
        <f t="shared" ca="1" si="176"/>
        <v>0</v>
      </c>
      <c r="AM2379" s="1">
        <f t="shared" si="177"/>
        <v>8900</v>
      </c>
      <c r="AN2379" s="1">
        <f t="shared" si="178"/>
        <v>329</v>
      </c>
      <c r="AO2379">
        <f t="shared" ca="1" si="179"/>
        <v>18900</v>
      </c>
      <c r="AP2379" s="105">
        <f ca="1">IF(AND(AL2379=1,OR('Top 25'!$A$10="All",C2379='Top 25'!$A$10),OR('Top 25'!$D$10="All",D2379='Top 25'!$D$10)),1,0)</f>
        <v>0</v>
      </c>
      <c r="AQ2379" s="105" t="str">
        <f ca="1">IF(AP2379=0,"",CHOOSE(MATCH('Top 25'!$G$10,{"Priority score","Economic need","Enrollment","Fresh miles","Nearby resources"},0),T2379,G2379,F2379,K2379,L2379))</f>
        <v/>
      </c>
      <c r="AR2379" s="105" t="str">
        <f ca="1">IF(AP2379=0,"",1+COUNTIFS($AP$2051:$AP$2550,1,$AQ$2051:$AQ$2550,IF('Top 25'!$J$10="Ascending","&lt;","&gt;")&amp;AQ2379)+COUNTIFS($AP$2051:$AP$2550,1,$AQ$2051:$AQ$2550,AQ2379,$W$2051:$W$2550,"&lt;"&amp;W2379))</f>
        <v/>
      </c>
      <c r="AT2379" s="105">
        <f ca="1">IF(AND(AL2379=1,OR(Master_rankableSchools!$A$10="All",C2379=Master_rankableSchools!$A$10),OR(Master_rankableSchools!$D$10="All",D2379=Master_rankableSchools!$D$10)),1,0)</f>
        <v>0</v>
      </c>
      <c r="AU2379" s="105" t="str">
        <f ca="1">IF(AT2379=0,"",CHOOSE(MATCH(Master_rankableSchools!$G$10,{"Priority score","Economic need","Enrollment","Fresh miles","Nearby resources"},0),T2379,G2379,F2379,K2379,L2379))</f>
        <v/>
      </c>
      <c r="AV2379" s="105" t="str">
        <f ca="1">IF(AT2379=0,"",1+COUNTIFS($AT$2051:$AT$2550,1,$AU$2051:$AU$2550,IF(Master_rankableSchools!$J$10="Ascending","&lt;","&gt;")&amp;AU2379)+COUNTIFS($AT$2051:$AT$2550,1,$AU$2051:$AU$2550,AU2379,$W$2051:$W$2550,"&lt;"&amp;W2379))</f>
        <v/>
      </c>
    </row>
    <row r="2380" spans="1:48" ht="22" customHeight="1">
      <c r="A2380" s="1" t="str">
        <f t="shared" si="150"/>
        <v/>
      </c>
      <c r="B2380" s="1" t="str">
        <f t="shared" si="151"/>
        <v/>
      </c>
      <c r="C2380" s="1" t="str">
        <f t="shared" si="152"/>
        <v/>
      </c>
      <c r="D2380" s="1" t="str">
        <f t="shared" si="153"/>
        <v/>
      </c>
      <c r="E2380" s="1" t="str">
        <f t="shared" si="154"/>
        <v/>
      </c>
      <c r="F2380" s="1" t="str">
        <f t="shared" si="155"/>
        <v/>
      </c>
      <c r="G2380" s="1" t="str">
        <f t="shared" si="156"/>
        <v/>
      </c>
      <c r="H2380" s="1" t="str">
        <f t="shared" si="157"/>
        <v/>
      </c>
      <c r="I2380" s="1">
        <f>IF(OR(A2380="",COUNTIFS('Staff Review'!$A$8:$A$507,A2380)&lt;&gt;1),0,MATCH(A2380,'Staff Review'!$A$8:$A$507,0))</f>
        <v>0</v>
      </c>
      <c r="J2380" s="1" t="str">
        <f>IF(I2380=0,"No",IF(INDEX('Staff Review'!$C$8:$C$507,I2380)="Yes","Yes","No"))</f>
        <v>No</v>
      </c>
      <c r="K2380" s="1" t="str">
        <f>IF(AI2380="Yes",INDEX('Staff Review'!$D$8:$D$507,I2380),IF(AB2380=0,"",IF(COUNT(INDEX($C$1531:$C$2030,AB2380))=1,INDEX($C$1531:$C$2030,AB2380),"")))</f>
        <v/>
      </c>
      <c r="L2380" s="1" t="str">
        <f>IF(AJ2380="Yes",INDEX('Staff Review'!$F$8:$F$507,I2380),IF(AB2380=0,"",IF(COUNT(INDEX($G$1531:$G$2030,AB2380))=1,INDEX($G$1531:$G$2030,AB2380),"")))</f>
        <v/>
      </c>
      <c r="M2380" s="1" t="str">
        <f t="shared" si="158"/>
        <v/>
      </c>
      <c r="N2380" s="1" t="str">
        <f t="shared" si="159"/>
        <v/>
      </c>
      <c r="O2380" s="1" t="str">
        <f t="shared" si="160"/>
        <v/>
      </c>
      <c r="P2380" s="1" t="str">
        <f t="shared" si="161"/>
        <v/>
      </c>
      <c r="Q2380" s="1" t="str">
        <f t="shared" si="162"/>
        <v/>
      </c>
      <c r="R2380" s="1" t="str">
        <f t="shared" si="163"/>
        <v/>
      </c>
      <c r="S2380" s="1" t="str">
        <f t="shared" si="164"/>
        <v/>
      </c>
      <c r="T2380" s="1" t="str">
        <f>IF(OR(COUNT(O2380:R2380)&lt;&gt;4,COUNT('Top 25'!$B$45:$E$45)&lt;&gt;4,MIN('Top 25'!$B$45:$E$45)&lt;0,SUM('Top 25'!$B$45:$E$45)&lt;=0),"",ROUND(85*(O2380/30*'Top 25'!$B$45+P2380/25*'Top 25'!$C$45+Q2380/25*'Top 25'!$D$45+R2380/5*'Top 25'!$E$45)/SUM('Top 25'!$B$45:$E$45),6))</f>
        <v/>
      </c>
      <c r="U2380" s="1" t="str">
        <f t="shared" si="165"/>
        <v/>
      </c>
      <c r="V2380" s="1" t="str">
        <f>IF(A2380="","",IF(AK2380&lt;&gt;1,"Duplicate source ID",IF(COUNTIFS('Staff Review'!$A$8:$A$507,A2380)&gt;1,"Duplicate review ID",IF(H2380&lt;&gt;"Yes","Outside scope",IF(J2380="Yes","Already served",IF(NOT(ISNUMBER(T2380)),"Missing data","Candidate"))))))</f>
        <v/>
      </c>
      <c r="W2380" s="1" t="str">
        <f t="shared" si="166"/>
        <v/>
      </c>
      <c r="X2380" s="1" t="str">
        <f t="shared" si="167"/>
        <v/>
      </c>
      <c r="Y2380" s="1">
        <f>IF(AND(H2380="Yes",OR(LEN('School Search'!$B$5)=0,ISNUMBER(SEARCH('School Search'!$B$5,B2380&amp;" "&amp;E2380&amp;" "&amp;A2380))),OR('School Search'!$D$5="All",C2380='School Search'!$D$5),OR('School Search'!$G$5="All eligible",AND('School Search'!$G$5="Not marked served",J2380&lt;&gt;"Yes"),AND('School Search'!$G$5="Missing data",V2380="Missing data"),AND('School Search'!$G$5="Marked served",J2380="Yes"))),1,0)</f>
        <v>0</v>
      </c>
      <c r="Z2380" s="1" t="str">
        <f>IF(Y2380=0,"",COUNTIFS($Y$2051:$Y$2550,1,$AO$2051:$AO$2550,"&lt;"&amp;AO2380)+COUNTIFS($Y$2051:Y2380,1,$AO$2051:AO2380,AO2380))</f>
        <v/>
      </c>
      <c r="AA2380" s="1" t="str">
        <f t="shared" si="168"/>
        <v>Missing demographic or access input</v>
      </c>
      <c r="AB2380" s="1">
        <f t="shared" si="169"/>
        <v>0</v>
      </c>
      <c r="AC2380" s="1" t="str">
        <f t="shared" si="170"/>
        <v/>
      </c>
      <c r="AD2380" s="1" t="str">
        <f t="shared" si="171"/>
        <v/>
      </c>
      <c r="AE2380" s="1" t="str">
        <f t="shared" si="172"/>
        <v/>
      </c>
      <c r="AF2380" s="1" t="str">
        <f t="shared" si="173"/>
        <v/>
      </c>
      <c r="AG2380" s="1" t="str">
        <f t="shared" si="174"/>
        <v/>
      </c>
      <c r="AH2380" s="1" t="str">
        <f>IF(I2380=0,"Not contacted",IF(INDEX('Staff Review'!$J$8:$J$507,I2380)="","Not contacted",INDEX('Staff Review'!$J$8:$J$507,I2380)))</f>
        <v>Not contacted</v>
      </c>
      <c r="AI2380" s="1" t="str">
        <f>IF(I2380=0,"No",IF(AND(COUNT(INDEX('Staff Review'!$D$8:$D$507,I2380))=1,INDEX('Staff Review'!$D$8:$D$507,I2380)&gt;=0,COUNT(INDEX('Staff Review'!$E$8:$E$507,I2380))=1,INDEX('Staff Review'!$E$8:$E$507,I2380)&gt;0,INDEX('Staff Review'!$E$8:$E$507,I2380)&lt;='Top 25'!$E$5,'Top 25'!$E$5-INDEX('Staff Review'!$E$8:$E$507,I2380)&lt;='Top 25'!$H$5,LEN(INDEX('Staff Review'!$H$8:$H$507,I2380))&gt;0),"Yes","No"))</f>
        <v>No</v>
      </c>
      <c r="AJ2380" s="1" t="str">
        <f>IF(I2380=0,"No",IF(COUNT(INDEX('Staff Review'!$F$8:$F$507,I2380))&lt;&gt;1,"No",IF(AND(INDEX('Staff Review'!$F$8:$F$507,I2380)&gt;=0,MOD(INDEX('Staff Review'!$F$8:$F$507,I2380),1)=0,COUNT(INDEX('Staff Review'!$G$8:$G$507,I2380))=1,INDEX('Staff Review'!$G$8:$G$507,I2380)&gt;0,INDEX('Staff Review'!$G$8:$G$507,I2380)&lt;='Top 25'!$E$5,'Top 25'!$E$5-INDEX('Staff Review'!$G$8:$G$507,I2380)&lt;='Top 25'!$H$5,LEN(INDEX('Staff Review'!$H$8:$H$507,I2380))&gt;0),"Yes","No")))</f>
        <v>No</v>
      </c>
      <c r="AK2380" s="1">
        <f t="shared" si="175"/>
        <v>0</v>
      </c>
      <c r="AL2380" s="1">
        <f t="shared" si="176"/>
        <v>0</v>
      </c>
      <c r="AM2380" s="1">
        <f t="shared" si="177"/>
        <v>0</v>
      </c>
      <c r="AN2380" s="1">
        <f t="shared" si="178"/>
        <v>0</v>
      </c>
      <c r="AO2380">
        <f t="shared" si="179"/>
        <v>10000</v>
      </c>
      <c r="AP2380" s="105">
        <f>IF(AND(AL2380=1,OR('Top 25'!$A$10="All",C2380='Top 25'!$A$10),OR('Top 25'!$D$10="All",D2380='Top 25'!$D$10)),1,0)</f>
        <v>0</v>
      </c>
      <c r="AQ2380" s="105" t="str">
        <f>IF(AP2380=0,"",CHOOSE(MATCH('Top 25'!$G$10,{"Priority score","Economic need","Enrollment","Fresh miles","Nearby resources"},0),T2380,G2380,F2380,K2380,L2380))</f>
        <v/>
      </c>
      <c r="AR2380" s="105" t="str">
        <f>IF(AP2380=0,"",1+COUNTIFS($AP$2051:$AP$2550,1,$AQ$2051:$AQ$2550,IF('Top 25'!$J$10="Ascending","&lt;","&gt;")&amp;AQ2380)+COUNTIFS($AP$2051:$AP$2550,1,$AQ$2051:$AQ$2550,AQ2380,$W$2051:$W$2550,"&lt;"&amp;W2380))</f>
        <v/>
      </c>
      <c r="AT2380" s="105">
        <f>IF(AND(AL2380=1,OR(Master_rankableSchools!$A$10="All",C2380=Master_rankableSchools!$A$10),OR(Master_rankableSchools!$D$10="All",D2380=Master_rankableSchools!$D$10)),1,0)</f>
        <v>0</v>
      </c>
      <c r="AU2380" s="105" t="str">
        <f>IF(AT2380=0,"",CHOOSE(MATCH(Master_rankableSchools!$G$10,{"Priority score","Economic need","Enrollment","Fresh miles","Nearby resources"},0),T2380,G2380,F2380,K2380,L2380))</f>
        <v/>
      </c>
      <c r="AV2380" s="105" t="str">
        <f>IF(AT2380=0,"",1+COUNTIFS($AT$2051:$AT$2550,1,$AU$2051:$AU$2550,IF(Master_rankableSchools!$J$10="Ascending","&lt;","&gt;")&amp;AU2380)+COUNTIFS($AT$2051:$AT$2550,1,$AU$2051:$AU$2550,AU2380,$W$2051:$W$2550,"&lt;"&amp;W2380))</f>
        <v/>
      </c>
    </row>
    <row r="2381" spans="1:48" ht="22" customHeight="1">
      <c r="A2381" s="1" t="str">
        <f t="shared" si="150"/>
        <v/>
      </c>
      <c r="B2381" s="1" t="str">
        <f t="shared" si="151"/>
        <v/>
      </c>
      <c r="C2381" s="1" t="str">
        <f t="shared" si="152"/>
        <v/>
      </c>
      <c r="D2381" s="1" t="str">
        <f t="shared" si="153"/>
        <v/>
      </c>
      <c r="E2381" s="1" t="str">
        <f t="shared" si="154"/>
        <v/>
      </c>
      <c r="F2381" s="1" t="str">
        <f t="shared" si="155"/>
        <v/>
      </c>
      <c r="G2381" s="1" t="str">
        <f t="shared" si="156"/>
        <v/>
      </c>
      <c r="H2381" s="1" t="str">
        <f t="shared" si="157"/>
        <v/>
      </c>
      <c r="I2381" s="1">
        <f>IF(OR(A2381="",COUNTIFS('Staff Review'!$A$8:$A$507,A2381)&lt;&gt;1),0,MATCH(A2381,'Staff Review'!$A$8:$A$507,0))</f>
        <v>0</v>
      </c>
      <c r="J2381" s="1" t="str">
        <f>IF(I2381=0,"No",IF(INDEX('Staff Review'!$C$8:$C$507,I2381)="Yes","Yes","No"))</f>
        <v>No</v>
      </c>
      <c r="K2381" s="1" t="str">
        <f>IF(AI2381="Yes",INDEX('Staff Review'!$D$8:$D$507,I2381),IF(AB2381=0,"",IF(COUNT(INDEX($C$1531:$C$2030,AB2381))=1,INDEX($C$1531:$C$2030,AB2381),"")))</f>
        <v/>
      </c>
      <c r="L2381" s="1" t="str">
        <f>IF(AJ2381="Yes",INDEX('Staff Review'!$F$8:$F$507,I2381),IF(AB2381=0,"",IF(COUNT(INDEX($G$1531:$G$2030,AB2381))=1,INDEX($G$1531:$G$2030,AB2381),"")))</f>
        <v/>
      </c>
      <c r="M2381" s="1" t="str">
        <f t="shared" si="158"/>
        <v/>
      </c>
      <c r="N2381" s="1" t="str">
        <f t="shared" si="159"/>
        <v/>
      </c>
      <c r="O2381" s="1" t="str">
        <f t="shared" si="160"/>
        <v/>
      </c>
      <c r="P2381" s="1" t="str">
        <f t="shared" si="161"/>
        <v/>
      </c>
      <c r="Q2381" s="1" t="str">
        <f t="shared" si="162"/>
        <v/>
      </c>
      <c r="R2381" s="1" t="str">
        <f t="shared" si="163"/>
        <v/>
      </c>
      <c r="S2381" s="1" t="str">
        <f t="shared" si="164"/>
        <v/>
      </c>
      <c r="T2381" s="1" t="str">
        <f>IF(OR(COUNT(O2381:R2381)&lt;&gt;4,COUNT('Top 25'!$B$45:$E$45)&lt;&gt;4,MIN('Top 25'!$B$45:$E$45)&lt;0,SUM('Top 25'!$B$45:$E$45)&lt;=0),"",ROUND(85*(O2381/30*'Top 25'!$B$45+P2381/25*'Top 25'!$C$45+Q2381/25*'Top 25'!$D$45+R2381/5*'Top 25'!$E$45)/SUM('Top 25'!$B$45:$E$45),6))</f>
        <v/>
      </c>
      <c r="U2381" s="1" t="str">
        <f t="shared" si="165"/>
        <v/>
      </c>
      <c r="V2381" s="1" t="str">
        <f>IF(A2381="","",IF(AK2381&lt;&gt;1,"Duplicate source ID",IF(COUNTIFS('Staff Review'!$A$8:$A$507,A2381)&gt;1,"Duplicate review ID",IF(H2381&lt;&gt;"Yes","Outside scope",IF(J2381="Yes","Already served",IF(NOT(ISNUMBER(T2381)),"Missing data","Candidate"))))))</f>
        <v/>
      </c>
      <c r="W2381" s="1" t="str">
        <f t="shared" si="166"/>
        <v/>
      </c>
      <c r="X2381" s="1" t="str">
        <f t="shared" si="167"/>
        <v/>
      </c>
      <c r="Y2381" s="1">
        <f>IF(AND(H2381="Yes",OR(LEN('School Search'!$B$5)=0,ISNUMBER(SEARCH('School Search'!$B$5,B2381&amp;" "&amp;E2381&amp;" "&amp;A2381))),OR('School Search'!$D$5="All",C2381='School Search'!$D$5),OR('School Search'!$G$5="All eligible",AND('School Search'!$G$5="Not marked served",J2381&lt;&gt;"Yes"),AND('School Search'!$G$5="Missing data",V2381="Missing data"),AND('School Search'!$G$5="Marked served",J2381="Yes"))),1,0)</f>
        <v>0</v>
      </c>
      <c r="Z2381" s="1" t="str">
        <f>IF(Y2381=0,"",COUNTIFS($Y$2051:$Y$2550,1,$AO$2051:$AO$2550,"&lt;"&amp;AO2381)+COUNTIFS($Y$2051:Y2381,1,$AO$2051:AO2381,AO2381))</f>
        <v/>
      </c>
      <c r="AA2381" s="1" t="str">
        <f t="shared" si="168"/>
        <v>Missing demographic or access input</v>
      </c>
      <c r="AB2381" s="1">
        <f t="shared" si="169"/>
        <v>0</v>
      </c>
      <c r="AC2381" s="1" t="str">
        <f t="shared" si="170"/>
        <v/>
      </c>
      <c r="AD2381" s="1" t="str">
        <f t="shared" si="171"/>
        <v/>
      </c>
      <c r="AE2381" s="1" t="str">
        <f t="shared" si="172"/>
        <v/>
      </c>
      <c r="AF2381" s="1" t="str">
        <f t="shared" si="173"/>
        <v/>
      </c>
      <c r="AG2381" s="1" t="str">
        <f t="shared" si="174"/>
        <v/>
      </c>
      <c r="AH2381" s="1" t="str">
        <f>IF(I2381=0,"Not contacted",IF(INDEX('Staff Review'!$J$8:$J$507,I2381)="","Not contacted",INDEX('Staff Review'!$J$8:$J$507,I2381)))</f>
        <v>Not contacted</v>
      </c>
      <c r="AI2381" s="1" t="str">
        <f>IF(I2381=0,"No",IF(AND(COUNT(INDEX('Staff Review'!$D$8:$D$507,I2381))=1,INDEX('Staff Review'!$D$8:$D$507,I2381)&gt;=0,COUNT(INDEX('Staff Review'!$E$8:$E$507,I2381))=1,INDEX('Staff Review'!$E$8:$E$507,I2381)&gt;0,INDEX('Staff Review'!$E$8:$E$507,I2381)&lt;='Top 25'!$E$5,'Top 25'!$E$5-INDEX('Staff Review'!$E$8:$E$507,I2381)&lt;='Top 25'!$H$5,LEN(INDEX('Staff Review'!$H$8:$H$507,I2381))&gt;0),"Yes","No"))</f>
        <v>No</v>
      </c>
      <c r="AJ2381" s="1" t="str">
        <f>IF(I2381=0,"No",IF(COUNT(INDEX('Staff Review'!$F$8:$F$507,I2381))&lt;&gt;1,"No",IF(AND(INDEX('Staff Review'!$F$8:$F$507,I2381)&gt;=0,MOD(INDEX('Staff Review'!$F$8:$F$507,I2381),1)=0,COUNT(INDEX('Staff Review'!$G$8:$G$507,I2381))=1,INDEX('Staff Review'!$G$8:$G$507,I2381)&gt;0,INDEX('Staff Review'!$G$8:$G$507,I2381)&lt;='Top 25'!$E$5,'Top 25'!$E$5-INDEX('Staff Review'!$G$8:$G$507,I2381)&lt;='Top 25'!$H$5,LEN(INDEX('Staff Review'!$H$8:$H$507,I2381))&gt;0),"Yes","No")))</f>
        <v>No</v>
      </c>
      <c r="AK2381" s="1">
        <f t="shared" si="175"/>
        <v>0</v>
      </c>
      <c r="AL2381" s="1">
        <f t="shared" si="176"/>
        <v>0</v>
      </c>
      <c r="AM2381" s="1">
        <f t="shared" si="177"/>
        <v>0</v>
      </c>
      <c r="AN2381" s="1">
        <f t="shared" si="178"/>
        <v>0</v>
      </c>
      <c r="AO2381">
        <f t="shared" si="179"/>
        <v>10000</v>
      </c>
      <c r="AP2381" s="105">
        <f>IF(AND(AL2381=1,OR('Top 25'!$A$10="All",C2381='Top 25'!$A$10),OR('Top 25'!$D$10="All",D2381='Top 25'!$D$10)),1,0)</f>
        <v>0</v>
      </c>
      <c r="AQ2381" s="105" t="str">
        <f>IF(AP2381=0,"",CHOOSE(MATCH('Top 25'!$G$10,{"Priority score","Economic need","Enrollment","Fresh miles","Nearby resources"},0),T2381,G2381,F2381,K2381,L2381))</f>
        <v/>
      </c>
      <c r="AR2381" s="105" t="str">
        <f>IF(AP2381=0,"",1+COUNTIFS($AP$2051:$AP$2550,1,$AQ$2051:$AQ$2550,IF('Top 25'!$J$10="Ascending","&lt;","&gt;")&amp;AQ2381)+COUNTIFS($AP$2051:$AP$2550,1,$AQ$2051:$AQ$2550,AQ2381,$W$2051:$W$2550,"&lt;"&amp;W2381))</f>
        <v/>
      </c>
      <c r="AT2381" s="105">
        <f>IF(AND(AL2381=1,OR(Master_rankableSchools!$A$10="All",C2381=Master_rankableSchools!$A$10),OR(Master_rankableSchools!$D$10="All",D2381=Master_rankableSchools!$D$10)),1,0)</f>
        <v>0</v>
      </c>
      <c r="AU2381" s="105" t="str">
        <f>IF(AT2381=0,"",CHOOSE(MATCH(Master_rankableSchools!$G$10,{"Priority score","Economic need","Enrollment","Fresh miles","Nearby resources"},0),T2381,G2381,F2381,K2381,L2381))</f>
        <v/>
      </c>
      <c r="AV2381" s="105" t="str">
        <f>IF(AT2381=0,"",1+COUNTIFS($AT$2051:$AT$2550,1,$AU$2051:$AU$2550,IF(Master_rankableSchools!$J$10="Ascending","&lt;","&gt;")&amp;AU2381)+COUNTIFS($AT$2051:$AT$2550,1,$AU$2051:$AU$2550,AU2381,$W$2051:$W$2550,"&lt;"&amp;W2381))</f>
        <v/>
      </c>
    </row>
    <row r="2382" spans="1:48" ht="22" customHeight="1">
      <c r="A2382" s="1" t="str">
        <f t="shared" si="150"/>
        <v/>
      </c>
      <c r="B2382" s="1" t="str">
        <f t="shared" si="151"/>
        <v/>
      </c>
      <c r="C2382" s="1" t="str">
        <f t="shared" si="152"/>
        <v/>
      </c>
      <c r="D2382" s="1" t="str">
        <f t="shared" si="153"/>
        <v/>
      </c>
      <c r="E2382" s="1" t="str">
        <f t="shared" si="154"/>
        <v/>
      </c>
      <c r="F2382" s="1" t="str">
        <f t="shared" si="155"/>
        <v/>
      </c>
      <c r="G2382" s="1" t="str">
        <f t="shared" si="156"/>
        <v/>
      </c>
      <c r="H2382" s="1" t="str">
        <f t="shared" si="157"/>
        <v/>
      </c>
      <c r="I2382" s="1">
        <f>IF(OR(A2382="",COUNTIFS('Staff Review'!$A$8:$A$507,A2382)&lt;&gt;1),0,MATCH(A2382,'Staff Review'!$A$8:$A$507,0))</f>
        <v>0</v>
      </c>
      <c r="J2382" s="1" t="str">
        <f>IF(I2382=0,"No",IF(INDEX('Staff Review'!$C$8:$C$507,I2382)="Yes","Yes","No"))</f>
        <v>No</v>
      </c>
      <c r="K2382" s="1" t="str">
        <f>IF(AI2382="Yes",INDEX('Staff Review'!$D$8:$D$507,I2382),IF(AB2382=0,"",IF(COUNT(INDEX($C$1531:$C$2030,AB2382))=1,INDEX($C$1531:$C$2030,AB2382),"")))</f>
        <v/>
      </c>
      <c r="L2382" s="1" t="str">
        <f>IF(AJ2382="Yes",INDEX('Staff Review'!$F$8:$F$507,I2382),IF(AB2382=0,"",IF(COUNT(INDEX($G$1531:$G$2030,AB2382))=1,INDEX($G$1531:$G$2030,AB2382),"")))</f>
        <v/>
      </c>
      <c r="M2382" s="1" t="str">
        <f t="shared" si="158"/>
        <v/>
      </c>
      <c r="N2382" s="1" t="str">
        <f t="shared" si="159"/>
        <v/>
      </c>
      <c r="O2382" s="1" t="str">
        <f t="shared" si="160"/>
        <v/>
      </c>
      <c r="P2382" s="1" t="str">
        <f t="shared" si="161"/>
        <v/>
      </c>
      <c r="Q2382" s="1" t="str">
        <f t="shared" si="162"/>
        <v/>
      </c>
      <c r="R2382" s="1" t="str">
        <f t="shared" si="163"/>
        <v/>
      </c>
      <c r="S2382" s="1" t="str">
        <f t="shared" si="164"/>
        <v/>
      </c>
      <c r="T2382" s="1" t="str">
        <f>IF(OR(COUNT(O2382:R2382)&lt;&gt;4,COUNT('Top 25'!$B$45:$E$45)&lt;&gt;4,MIN('Top 25'!$B$45:$E$45)&lt;0,SUM('Top 25'!$B$45:$E$45)&lt;=0),"",ROUND(85*(O2382/30*'Top 25'!$B$45+P2382/25*'Top 25'!$C$45+Q2382/25*'Top 25'!$D$45+R2382/5*'Top 25'!$E$45)/SUM('Top 25'!$B$45:$E$45),6))</f>
        <v/>
      </c>
      <c r="U2382" s="1" t="str">
        <f t="shared" si="165"/>
        <v/>
      </c>
      <c r="V2382" s="1" t="str">
        <f>IF(A2382="","",IF(AK2382&lt;&gt;1,"Duplicate source ID",IF(COUNTIFS('Staff Review'!$A$8:$A$507,A2382)&gt;1,"Duplicate review ID",IF(H2382&lt;&gt;"Yes","Outside scope",IF(J2382="Yes","Already served",IF(NOT(ISNUMBER(T2382)),"Missing data","Candidate"))))))</f>
        <v/>
      </c>
      <c r="W2382" s="1" t="str">
        <f t="shared" si="166"/>
        <v/>
      </c>
      <c r="X2382" s="1" t="str">
        <f t="shared" si="167"/>
        <v/>
      </c>
      <c r="Y2382" s="1">
        <f>IF(AND(H2382="Yes",OR(LEN('School Search'!$B$5)=0,ISNUMBER(SEARCH('School Search'!$B$5,B2382&amp;" "&amp;E2382&amp;" "&amp;A2382))),OR('School Search'!$D$5="All",C2382='School Search'!$D$5),OR('School Search'!$G$5="All eligible",AND('School Search'!$G$5="Not marked served",J2382&lt;&gt;"Yes"),AND('School Search'!$G$5="Missing data",V2382="Missing data"),AND('School Search'!$G$5="Marked served",J2382="Yes"))),1,0)</f>
        <v>0</v>
      </c>
      <c r="Z2382" s="1" t="str">
        <f>IF(Y2382=0,"",COUNTIFS($Y$2051:$Y$2550,1,$AO$2051:$AO$2550,"&lt;"&amp;AO2382)+COUNTIFS($Y$2051:Y2382,1,$AO$2051:AO2382,AO2382))</f>
        <v/>
      </c>
      <c r="AA2382" s="1" t="str">
        <f t="shared" si="168"/>
        <v>Missing demographic or access input</v>
      </c>
      <c r="AB2382" s="1">
        <f t="shared" si="169"/>
        <v>0</v>
      </c>
      <c r="AC2382" s="1" t="str">
        <f t="shared" si="170"/>
        <v/>
      </c>
      <c r="AD2382" s="1" t="str">
        <f t="shared" si="171"/>
        <v/>
      </c>
      <c r="AE2382" s="1" t="str">
        <f t="shared" si="172"/>
        <v/>
      </c>
      <c r="AF2382" s="1" t="str">
        <f t="shared" si="173"/>
        <v/>
      </c>
      <c r="AG2382" s="1" t="str">
        <f t="shared" si="174"/>
        <v/>
      </c>
      <c r="AH2382" s="1" t="str">
        <f>IF(I2382=0,"Not contacted",IF(INDEX('Staff Review'!$J$8:$J$507,I2382)="","Not contacted",INDEX('Staff Review'!$J$8:$J$507,I2382)))</f>
        <v>Not contacted</v>
      </c>
      <c r="AI2382" s="1" t="str">
        <f>IF(I2382=0,"No",IF(AND(COUNT(INDEX('Staff Review'!$D$8:$D$507,I2382))=1,INDEX('Staff Review'!$D$8:$D$507,I2382)&gt;=0,COUNT(INDEX('Staff Review'!$E$8:$E$507,I2382))=1,INDEX('Staff Review'!$E$8:$E$507,I2382)&gt;0,INDEX('Staff Review'!$E$8:$E$507,I2382)&lt;='Top 25'!$E$5,'Top 25'!$E$5-INDEX('Staff Review'!$E$8:$E$507,I2382)&lt;='Top 25'!$H$5,LEN(INDEX('Staff Review'!$H$8:$H$507,I2382))&gt;0),"Yes","No"))</f>
        <v>No</v>
      </c>
      <c r="AJ2382" s="1" t="str">
        <f>IF(I2382=0,"No",IF(COUNT(INDEX('Staff Review'!$F$8:$F$507,I2382))&lt;&gt;1,"No",IF(AND(INDEX('Staff Review'!$F$8:$F$507,I2382)&gt;=0,MOD(INDEX('Staff Review'!$F$8:$F$507,I2382),1)=0,COUNT(INDEX('Staff Review'!$G$8:$G$507,I2382))=1,INDEX('Staff Review'!$G$8:$G$507,I2382)&gt;0,INDEX('Staff Review'!$G$8:$G$507,I2382)&lt;='Top 25'!$E$5,'Top 25'!$E$5-INDEX('Staff Review'!$G$8:$G$507,I2382)&lt;='Top 25'!$H$5,LEN(INDEX('Staff Review'!$H$8:$H$507,I2382))&gt;0),"Yes","No")))</f>
        <v>No</v>
      </c>
      <c r="AK2382" s="1">
        <f t="shared" si="175"/>
        <v>0</v>
      </c>
      <c r="AL2382" s="1">
        <f t="shared" si="176"/>
        <v>0</v>
      </c>
      <c r="AM2382" s="1">
        <f t="shared" si="177"/>
        <v>0</v>
      </c>
      <c r="AN2382" s="1">
        <f t="shared" si="178"/>
        <v>0</v>
      </c>
      <c r="AO2382">
        <f t="shared" si="179"/>
        <v>10000</v>
      </c>
      <c r="AP2382" s="105">
        <f>IF(AND(AL2382=1,OR('Top 25'!$A$10="All",C2382='Top 25'!$A$10),OR('Top 25'!$D$10="All",D2382='Top 25'!$D$10)),1,0)</f>
        <v>0</v>
      </c>
      <c r="AQ2382" s="105" t="str">
        <f>IF(AP2382=0,"",CHOOSE(MATCH('Top 25'!$G$10,{"Priority score","Economic need","Enrollment","Fresh miles","Nearby resources"},0),T2382,G2382,F2382,K2382,L2382))</f>
        <v/>
      </c>
      <c r="AR2382" s="105" t="str">
        <f>IF(AP2382=0,"",1+COUNTIFS($AP$2051:$AP$2550,1,$AQ$2051:$AQ$2550,IF('Top 25'!$J$10="Ascending","&lt;","&gt;")&amp;AQ2382)+COUNTIFS($AP$2051:$AP$2550,1,$AQ$2051:$AQ$2550,AQ2382,$W$2051:$W$2550,"&lt;"&amp;W2382))</f>
        <v/>
      </c>
      <c r="AT2382" s="105">
        <f>IF(AND(AL2382=1,OR(Master_rankableSchools!$A$10="All",C2382=Master_rankableSchools!$A$10),OR(Master_rankableSchools!$D$10="All",D2382=Master_rankableSchools!$D$10)),1,0)</f>
        <v>0</v>
      </c>
      <c r="AU2382" s="105" t="str">
        <f>IF(AT2382=0,"",CHOOSE(MATCH(Master_rankableSchools!$G$10,{"Priority score","Economic need","Enrollment","Fresh miles","Nearby resources"},0),T2382,G2382,F2382,K2382,L2382))</f>
        <v/>
      </c>
      <c r="AV2382" s="105" t="str">
        <f>IF(AT2382=0,"",1+COUNTIFS($AT$2051:$AT$2550,1,$AU$2051:$AU$2550,IF(Master_rankableSchools!$J$10="Ascending","&lt;","&gt;")&amp;AU2382)+COUNTIFS($AT$2051:$AT$2550,1,$AU$2051:$AU$2550,AU2382,$W$2051:$W$2550,"&lt;"&amp;W2382))</f>
        <v/>
      </c>
    </row>
    <row r="2383" spans="1:48" ht="22" customHeight="1">
      <c r="A2383" s="1" t="str">
        <f t="shared" si="150"/>
        <v/>
      </c>
      <c r="B2383" s="1" t="str">
        <f t="shared" si="151"/>
        <v/>
      </c>
      <c r="C2383" s="1" t="str">
        <f t="shared" si="152"/>
        <v/>
      </c>
      <c r="D2383" s="1" t="str">
        <f t="shared" si="153"/>
        <v/>
      </c>
      <c r="E2383" s="1" t="str">
        <f t="shared" si="154"/>
        <v/>
      </c>
      <c r="F2383" s="1" t="str">
        <f t="shared" si="155"/>
        <v/>
      </c>
      <c r="G2383" s="1" t="str">
        <f t="shared" si="156"/>
        <v/>
      </c>
      <c r="H2383" s="1" t="str">
        <f t="shared" si="157"/>
        <v/>
      </c>
      <c r="I2383" s="1">
        <f>IF(OR(A2383="",COUNTIFS('Staff Review'!$A$8:$A$507,A2383)&lt;&gt;1),0,MATCH(A2383,'Staff Review'!$A$8:$A$507,0))</f>
        <v>0</v>
      </c>
      <c r="J2383" s="1" t="str">
        <f>IF(I2383=0,"No",IF(INDEX('Staff Review'!$C$8:$C$507,I2383)="Yes","Yes","No"))</f>
        <v>No</v>
      </c>
      <c r="K2383" s="1" t="str">
        <f>IF(AI2383="Yes",INDEX('Staff Review'!$D$8:$D$507,I2383),IF(AB2383=0,"",IF(COUNT(INDEX($C$1531:$C$2030,AB2383))=1,INDEX($C$1531:$C$2030,AB2383),"")))</f>
        <v/>
      </c>
      <c r="L2383" s="1" t="str">
        <f>IF(AJ2383="Yes",INDEX('Staff Review'!$F$8:$F$507,I2383),IF(AB2383=0,"",IF(COUNT(INDEX($G$1531:$G$2030,AB2383))=1,INDEX($G$1531:$G$2030,AB2383),"")))</f>
        <v/>
      </c>
      <c r="M2383" s="1" t="str">
        <f t="shared" si="158"/>
        <v/>
      </c>
      <c r="N2383" s="1" t="str">
        <f t="shared" si="159"/>
        <v/>
      </c>
      <c r="O2383" s="1" t="str">
        <f t="shared" si="160"/>
        <v/>
      </c>
      <c r="P2383" s="1" t="str">
        <f t="shared" si="161"/>
        <v/>
      </c>
      <c r="Q2383" s="1" t="str">
        <f t="shared" si="162"/>
        <v/>
      </c>
      <c r="R2383" s="1" t="str">
        <f t="shared" si="163"/>
        <v/>
      </c>
      <c r="S2383" s="1" t="str">
        <f t="shared" si="164"/>
        <v/>
      </c>
      <c r="T2383" s="1" t="str">
        <f>IF(OR(COUNT(O2383:R2383)&lt;&gt;4,COUNT('Top 25'!$B$45:$E$45)&lt;&gt;4,MIN('Top 25'!$B$45:$E$45)&lt;0,SUM('Top 25'!$B$45:$E$45)&lt;=0),"",ROUND(85*(O2383/30*'Top 25'!$B$45+P2383/25*'Top 25'!$C$45+Q2383/25*'Top 25'!$D$45+R2383/5*'Top 25'!$E$45)/SUM('Top 25'!$B$45:$E$45),6))</f>
        <v/>
      </c>
      <c r="U2383" s="1" t="str">
        <f t="shared" si="165"/>
        <v/>
      </c>
      <c r="V2383" s="1" t="str">
        <f>IF(A2383="","",IF(AK2383&lt;&gt;1,"Duplicate source ID",IF(COUNTIFS('Staff Review'!$A$8:$A$507,A2383)&gt;1,"Duplicate review ID",IF(H2383&lt;&gt;"Yes","Outside scope",IF(J2383="Yes","Already served",IF(NOT(ISNUMBER(T2383)),"Missing data","Candidate"))))))</f>
        <v/>
      </c>
      <c r="W2383" s="1" t="str">
        <f t="shared" si="166"/>
        <v/>
      </c>
      <c r="X2383" s="1" t="str">
        <f t="shared" si="167"/>
        <v/>
      </c>
      <c r="Y2383" s="1">
        <f>IF(AND(H2383="Yes",OR(LEN('School Search'!$B$5)=0,ISNUMBER(SEARCH('School Search'!$B$5,B2383&amp;" "&amp;E2383&amp;" "&amp;A2383))),OR('School Search'!$D$5="All",C2383='School Search'!$D$5),OR('School Search'!$G$5="All eligible",AND('School Search'!$G$5="Not marked served",J2383&lt;&gt;"Yes"),AND('School Search'!$G$5="Missing data",V2383="Missing data"),AND('School Search'!$G$5="Marked served",J2383="Yes"))),1,0)</f>
        <v>0</v>
      </c>
      <c r="Z2383" s="1" t="str">
        <f>IF(Y2383=0,"",COUNTIFS($Y$2051:$Y$2550,1,$AO$2051:$AO$2550,"&lt;"&amp;AO2383)+COUNTIFS($Y$2051:Y2383,1,$AO$2051:AO2383,AO2383))</f>
        <v/>
      </c>
      <c r="AA2383" s="1" t="str">
        <f t="shared" si="168"/>
        <v>Missing demographic or access input</v>
      </c>
      <c r="AB2383" s="1">
        <f t="shared" si="169"/>
        <v>0</v>
      </c>
      <c r="AC2383" s="1" t="str">
        <f t="shared" si="170"/>
        <v/>
      </c>
      <c r="AD2383" s="1" t="str">
        <f t="shared" si="171"/>
        <v/>
      </c>
      <c r="AE2383" s="1" t="str">
        <f t="shared" si="172"/>
        <v/>
      </c>
      <c r="AF2383" s="1" t="str">
        <f t="shared" si="173"/>
        <v/>
      </c>
      <c r="AG2383" s="1" t="str">
        <f t="shared" si="174"/>
        <v/>
      </c>
      <c r="AH2383" s="1" t="str">
        <f>IF(I2383=0,"Not contacted",IF(INDEX('Staff Review'!$J$8:$J$507,I2383)="","Not contacted",INDEX('Staff Review'!$J$8:$J$507,I2383)))</f>
        <v>Not contacted</v>
      </c>
      <c r="AI2383" s="1" t="str">
        <f>IF(I2383=0,"No",IF(AND(COUNT(INDEX('Staff Review'!$D$8:$D$507,I2383))=1,INDEX('Staff Review'!$D$8:$D$507,I2383)&gt;=0,COUNT(INDEX('Staff Review'!$E$8:$E$507,I2383))=1,INDEX('Staff Review'!$E$8:$E$507,I2383)&gt;0,INDEX('Staff Review'!$E$8:$E$507,I2383)&lt;='Top 25'!$E$5,'Top 25'!$E$5-INDEX('Staff Review'!$E$8:$E$507,I2383)&lt;='Top 25'!$H$5,LEN(INDEX('Staff Review'!$H$8:$H$507,I2383))&gt;0),"Yes","No"))</f>
        <v>No</v>
      </c>
      <c r="AJ2383" s="1" t="str">
        <f>IF(I2383=0,"No",IF(COUNT(INDEX('Staff Review'!$F$8:$F$507,I2383))&lt;&gt;1,"No",IF(AND(INDEX('Staff Review'!$F$8:$F$507,I2383)&gt;=0,MOD(INDEX('Staff Review'!$F$8:$F$507,I2383),1)=0,COUNT(INDEX('Staff Review'!$G$8:$G$507,I2383))=1,INDEX('Staff Review'!$G$8:$G$507,I2383)&gt;0,INDEX('Staff Review'!$G$8:$G$507,I2383)&lt;='Top 25'!$E$5,'Top 25'!$E$5-INDEX('Staff Review'!$G$8:$G$507,I2383)&lt;='Top 25'!$H$5,LEN(INDEX('Staff Review'!$H$8:$H$507,I2383))&gt;0),"Yes","No")))</f>
        <v>No</v>
      </c>
      <c r="AK2383" s="1">
        <f t="shared" si="175"/>
        <v>0</v>
      </c>
      <c r="AL2383" s="1">
        <f t="shared" si="176"/>
        <v>0</v>
      </c>
      <c r="AM2383" s="1">
        <f t="shared" si="177"/>
        <v>0</v>
      </c>
      <c r="AN2383" s="1">
        <f t="shared" si="178"/>
        <v>0</v>
      </c>
      <c r="AO2383">
        <f t="shared" si="179"/>
        <v>10000</v>
      </c>
      <c r="AP2383" s="105">
        <f>IF(AND(AL2383=1,OR('Top 25'!$A$10="All",C2383='Top 25'!$A$10),OR('Top 25'!$D$10="All",D2383='Top 25'!$D$10)),1,0)</f>
        <v>0</v>
      </c>
      <c r="AQ2383" s="105" t="str">
        <f>IF(AP2383=0,"",CHOOSE(MATCH('Top 25'!$G$10,{"Priority score","Economic need","Enrollment","Fresh miles","Nearby resources"},0),T2383,G2383,F2383,K2383,L2383))</f>
        <v/>
      </c>
      <c r="AR2383" s="105" t="str">
        <f>IF(AP2383=0,"",1+COUNTIFS($AP$2051:$AP$2550,1,$AQ$2051:$AQ$2550,IF('Top 25'!$J$10="Ascending","&lt;","&gt;")&amp;AQ2383)+COUNTIFS($AP$2051:$AP$2550,1,$AQ$2051:$AQ$2550,AQ2383,$W$2051:$W$2550,"&lt;"&amp;W2383))</f>
        <v/>
      </c>
      <c r="AT2383" s="105">
        <f>IF(AND(AL2383=1,OR(Master_rankableSchools!$A$10="All",C2383=Master_rankableSchools!$A$10),OR(Master_rankableSchools!$D$10="All",D2383=Master_rankableSchools!$D$10)),1,0)</f>
        <v>0</v>
      </c>
      <c r="AU2383" s="105" t="str">
        <f>IF(AT2383=0,"",CHOOSE(MATCH(Master_rankableSchools!$G$10,{"Priority score","Economic need","Enrollment","Fresh miles","Nearby resources"},0),T2383,G2383,F2383,K2383,L2383))</f>
        <v/>
      </c>
      <c r="AV2383" s="105" t="str">
        <f>IF(AT2383=0,"",1+COUNTIFS($AT$2051:$AT$2550,1,$AU$2051:$AU$2550,IF(Master_rankableSchools!$J$10="Ascending","&lt;","&gt;")&amp;AU2383)+COUNTIFS($AT$2051:$AT$2550,1,$AU$2051:$AU$2550,AU2383,$W$2051:$W$2550,"&lt;"&amp;W2383))</f>
        <v/>
      </c>
    </row>
    <row r="2384" spans="1:48" ht="22" customHeight="1">
      <c r="A2384" s="1" t="str">
        <f t="shared" si="150"/>
        <v/>
      </c>
      <c r="B2384" s="1" t="str">
        <f t="shared" si="151"/>
        <v/>
      </c>
      <c r="C2384" s="1" t="str">
        <f t="shared" si="152"/>
        <v/>
      </c>
      <c r="D2384" s="1" t="str">
        <f t="shared" si="153"/>
        <v/>
      </c>
      <c r="E2384" s="1" t="str">
        <f t="shared" si="154"/>
        <v/>
      </c>
      <c r="F2384" s="1" t="str">
        <f t="shared" si="155"/>
        <v/>
      </c>
      <c r="G2384" s="1" t="str">
        <f t="shared" si="156"/>
        <v/>
      </c>
      <c r="H2384" s="1" t="str">
        <f t="shared" si="157"/>
        <v/>
      </c>
      <c r="I2384" s="1">
        <f>IF(OR(A2384="",COUNTIFS('Staff Review'!$A$8:$A$507,A2384)&lt;&gt;1),0,MATCH(A2384,'Staff Review'!$A$8:$A$507,0))</f>
        <v>0</v>
      </c>
      <c r="J2384" s="1" t="str">
        <f>IF(I2384=0,"No",IF(INDEX('Staff Review'!$C$8:$C$507,I2384)="Yes","Yes","No"))</f>
        <v>No</v>
      </c>
      <c r="K2384" s="1" t="str">
        <f>IF(AI2384="Yes",INDEX('Staff Review'!$D$8:$D$507,I2384),IF(AB2384=0,"",IF(COUNT(INDEX($C$1531:$C$2030,AB2384))=1,INDEX($C$1531:$C$2030,AB2384),"")))</f>
        <v/>
      </c>
      <c r="L2384" s="1" t="str">
        <f>IF(AJ2384="Yes",INDEX('Staff Review'!$F$8:$F$507,I2384),IF(AB2384=0,"",IF(COUNT(INDEX($G$1531:$G$2030,AB2384))=1,INDEX($G$1531:$G$2030,AB2384),"")))</f>
        <v/>
      </c>
      <c r="M2384" s="1" t="str">
        <f t="shared" si="158"/>
        <v/>
      </c>
      <c r="N2384" s="1" t="str">
        <f t="shared" si="159"/>
        <v/>
      </c>
      <c r="O2384" s="1" t="str">
        <f t="shared" si="160"/>
        <v/>
      </c>
      <c r="P2384" s="1" t="str">
        <f t="shared" si="161"/>
        <v/>
      </c>
      <c r="Q2384" s="1" t="str">
        <f t="shared" si="162"/>
        <v/>
      </c>
      <c r="R2384" s="1" t="str">
        <f t="shared" si="163"/>
        <v/>
      </c>
      <c r="S2384" s="1" t="str">
        <f t="shared" si="164"/>
        <v/>
      </c>
      <c r="T2384" s="1" t="str">
        <f>IF(OR(COUNT(O2384:R2384)&lt;&gt;4,COUNT('Top 25'!$B$45:$E$45)&lt;&gt;4,MIN('Top 25'!$B$45:$E$45)&lt;0,SUM('Top 25'!$B$45:$E$45)&lt;=0),"",ROUND(85*(O2384/30*'Top 25'!$B$45+P2384/25*'Top 25'!$C$45+Q2384/25*'Top 25'!$D$45+R2384/5*'Top 25'!$E$45)/SUM('Top 25'!$B$45:$E$45),6))</f>
        <v/>
      </c>
      <c r="U2384" s="1" t="str">
        <f t="shared" si="165"/>
        <v/>
      </c>
      <c r="V2384" s="1" t="str">
        <f>IF(A2384="","",IF(AK2384&lt;&gt;1,"Duplicate source ID",IF(COUNTIFS('Staff Review'!$A$8:$A$507,A2384)&gt;1,"Duplicate review ID",IF(H2384&lt;&gt;"Yes","Outside scope",IF(J2384="Yes","Already served",IF(NOT(ISNUMBER(T2384)),"Missing data","Candidate"))))))</f>
        <v/>
      </c>
      <c r="W2384" s="1" t="str">
        <f t="shared" si="166"/>
        <v/>
      </c>
      <c r="X2384" s="1" t="str">
        <f t="shared" si="167"/>
        <v/>
      </c>
      <c r="Y2384" s="1">
        <f>IF(AND(H2384="Yes",OR(LEN('School Search'!$B$5)=0,ISNUMBER(SEARCH('School Search'!$B$5,B2384&amp;" "&amp;E2384&amp;" "&amp;A2384))),OR('School Search'!$D$5="All",C2384='School Search'!$D$5),OR('School Search'!$G$5="All eligible",AND('School Search'!$G$5="Not marked served",J2384&lt;&gt;"Yes"),AND('School Search'!$G$5="Missing data",V2384="Missing data"),AND('School Search'!$G$5="Marked served",J2384="Yes"))),1,0)</f>
        <v>0</v>
      </c>
      <c r="Z2384" s="1" t="str">
        <f>IF(Y2384=0,"",COUNTIFS($Y$2051:$Y$2550,1,$AO$2051:$AO$2550,"&lt;"&amp;AO2384)+COUNTIFS($Y$2051:Y2384,1,$AO$2051:AO2384,AO2384))</f>
        <v/>
      </c>
      <c r="AA2384" s="1" t="str">
        <f t="shared" si="168"/>
        <v>Missing demographic or access input</v>
      </c>
      <c r="AB2384" s="1">
        <f t="shared" si="169"/>
        <v>0</v>
      </c>
      <c r="AC2384" s="1" t="str">
        <f t="shared" si="170"/>
        <v/>
      </c>
      <c r="AD2384" s="1" t="str">
        <f t="shared" si="171"/>
        <v/>
      </c>
      <c r="AE2384" s="1" t="str">
        <f t="shared" si="172"/>
        <v/>
      </c>
      <c r="AF2384" s="1" t="str">
        <f t="shared" si="173"/>
        <v/>
      </c>
      <c r="AG2384" s="1" t="str">
        <f t="shared" si="174"/>
        <v/>
      </c>
      <c r="AH2384" s="1" t="str">
        <f>IF(I2384=0,"Not contacted",IF(INDEX('Staff Review'!$J$8:$J$507,I2384)="","Not contacted",INDEX('Staff Review'!$J$8:$J$507,I2384)))</f>
        <v>Not contacted</v>
      </c>
      <c r="AI2384" s="1" t="str">
        <f>IF(I2384=0,"No",IF(AND(COUNT(INDEX('Staff Review'!$D$8:$D$507,I2384))=1,INDEX('Staff Review'!$D$8:$D$507,I2384)&gt;=0,COUNT(INDEX('Staff Review'!$E$8:$E$507,I2384))=1,INDEX('Staff Review'!$E$8:$E$507,I2384)&gt;0,INDEX('Staff Review'!$E$8:$E$507,I2384)&lt;='Top 25'!$E$5,'Top 25'!$E$5-INDEX('Staff Review'!$E$8:$E$507,I2384)&lt;='Top 25'!$H$5,LEN(INDEX('Staff Review'!$H$8:$H$507,I2384))&gt;0),"Yes","No"))</f>
        <v>No</v>
      </c>
      <c r="AJ2384" s="1" t="str">
        <f>IF(I2384=0,"No",IF(COUNT(INDEX('Staff Review'!$F$8:$F$507,I2384))&lt;&gt;1,"No",IF(AND(INDEX('Staff Review'!$F$8:$F$507,I2384)&gt;=0,MOD(INDEX('Staff Review'!$F$8:$F$507,I2384),1)=0,COUNT(INDEX('Staff Review'!$G$8:$G$507,I2384))=1,INDEX('Staff Review'!$G$8:$G$507,I2384)&gt;0,INDEX('Staff Review'!$G$8:$G$507,I2384)&lt;='Top 25'!$E$5,'Top 25'!$E$5-INDEX('Staff Review'!$G$8:$G$507,I2384)&lt;='Top 25'!$H$5,LEN(INDEX('Staff Review'!$H$8:$H$507,I2384))&gt;0),"Yes","No")))</f>
        <v>No</v>
      </c>
      <c r="AK2384" s="1">
        <f t="shared" si="175"/>
        <v>0</v>
      </c>
      <c r="AL2384" s="1">
        <f t="shared" si="176"/>
        <v>0</v>
      </c>
      <c r="AM2384" s="1">
        <f t="shared" si="177"/>
        <v>0</v>
      </c>
      <c r="AN2384" s="1">
        <f t="shared" si="178"/>
        <v>0</v>
      </c>
      <c r="AO2384">
        <f t="shared" si="179"/>
        <v>10000</v>
      </c>
      <c r="AP2384" s="105">
        <f>IF(AND(AL2384=1,OR('Top 25'!$A$10="All",C2384='Top 25'!$A$10),OR('Top 25'!$D$10="All",D2384='Top 25'!$D$10)),1,0)</f>
        <v>0</v>
      </c>
      <c r="AQ2384" s="105" t="str">
        <f>IF(AP2384=0,"",CHOOSE(MATCH('Top 25'!$G$10,{"Priority score","Economic need","Enrollment","Fresh miles","Nearby resources"},0),T2384,G2384,F2384,K2384,L2384))</f>
        <v/>
      </c>
      <c r="AR2384" s="105" t="str">
        <f>IF(AP2384=0,"",1+COUNTIFS($AP$2051:$AP$2550,1,$AQ$2051:$AQ$2550,IF('Top 25'!$J$10="Ascending","&lt;","&gt;")&amp;AQ2384)+COUNTIFS($AP$2051:$AP$2550,1,$AQ$2051:$AQ$2550,AQ2384,$W$2051:$W$2550,"&lt;"&amp;W2384))</f>
        <v/>
      </c>
      <c r="AT2384" s="105">
        <f>IF(AND(AL2384=1,OR(Master_rankableSchools!$A$10="All",C2384=Master_rankableSchools!$A$10),OR(Master_rankableSchools!$D$10="All",D2384=Master_rankableSchools!$D$10)),1,0)</f>
        <v>0</v>
      </c>
      <c r="AU2384" s="105" t="str">
        <f>IF(AT2384=0,"",CHOOSE(MATCH(Master_rankableSchools!$G$10,{"Priority score","Economic need","Enrollment","Fresh miles","Nearby resources"},0),T2384,G2384,F2384,K2384,L2384))</f>
        <v/>
      </c>
      <c r="AV2384" s="105" t="str">
        <f>IF(AT2384=0,"",1+COUNTIFS($AT$2051:$AT$2550,1,$AU$2051:$AU$2550,IF(Master_rankableSchools!$J$10="Ascending","&lt;","&gt;")&amp;AU2384)+COUNTIFS($AT$2051:$AT$2550,1,$AU$2051:$AU$2550,AU2384,$W$2051:$W$2550,"&lt;"&amp;W2384))</f>
        <v/>
      </c>
    </row>
    <row r="2385" spans="1:48" ht="22" customHeight="1">
      <c r="A2385" s="1" t="str">
        <f t="shared" si="150"/>
        <v/>
      </c>
      <c r="B2385" s="1" t="str">
        <f t="shared" si="151"/>
        <v/>
      </c>
      <c r="C2385" s="1" t="str">
        <f t="shared" si="152"/>
        <v/>
      </c>
      <c r="D2385" s="1" t="str">
        <f t="shared" si="153"/>
        <v/>
      </c>
      <c r="E2385" s="1" t="str">
        <f t="shared" si="154"/>
        <v/>
      </c>
      <c r="F2385" s="1" t="str">
        <f t="shared" si="155"/>
        <v/>
      </c>
      <c r="G2385" s="1" t="str">
        <f t="shared" si="156"/>
        <v/>
      </c>
      <c r="H2385" s="1" t="str">
        <f t="shared" si="157"/>
        <v/>
      </c>
      <c r="I2385" s="1">
        <f>IF(OR(A2385="",COUNTIFS('Staff Review'!$A$8:$A$507,A2385)&lt;&gt;1),0,MATCH(A2385,'Staff Review'!$A$8:$A$507,0))</f>
        <v>0</v>
      </c>
      <c r="J2385" s="1" t="str">
        <f>IF(I2385=0,"No",IF(INDEX('Staff Review'!$C$8:$C$507,I2385)="Yes","Yes","No"))</f>
        <v>No</v>
      </c>
      <c r="K2385" s="1" t="str">
        <f>IF(AI2385="Yes",INDEX('Staff Review'!$D$8:$D$507,I2385),IF(AB2385=0,"",IF(COUNT(INDEX($C$1531:$C$2030,AB2385))=1,INDEX($C$1531:$C$2030,AB2385),"")))</f>
        <v/>
      </c>
      <c r="L2385" s="1" t="str">
        <f>IF(AJ2385="Yes",INDEX('Staff Review'!$F$8:$F$507,I2385),IF(AB2385=0,"",IF(COUNT(INDEX($G$1531:$G$2030,AB2385))=1,INDEX($G$1531:$G$2030,AB2385),"")))</f>
        <v/>
      </c>
      <c r="M2385" s="1" t="str">
        <f t="shared" si="158"/>
        <v/>
      </c>
      <c r="N2385" s="1" t="str">
        <f t="shared" si="159"/>
        <v/>
      </c>
      <c r="O2385" s="1" t="str">
        <f t="shared" si="160"/>
        <v/>
      </c>
      <c r="P2385" s="1" t="str">
        <f t="shared" si="161"/>
        <v/>
      </c>
      <c r="Q2385" s="1" t="str">
        <f t="shared" si="162"/>
        <v/>
      </c>
      <c r="R2385" s="1" t="str">
        <f t="shared" si="163"/>
        <v/>
      </c>
      <c r="S2385" s="1" t="str">
        <f t="shared" si="164"/>
        <v/>
      </c>
      <c r="T2385" s="1" t="str">
        <f>IF(OR(COUNT(O2385:R2385)&lt;&gt;4,COUNT('Top 25'!$B$45:$E$45)&lt;&gt;4,MIN('Top 25'!$B$45:$E$45)&lt;0,SUM('Top 25'!$B$45:$E$45)&lt;=0),"",ROUND(85*(O2385/30*'Top 25'!$B$45+P2385/25*'Top 25'!$C$45+Q2385/25*'Top 25'!$D$45+R2385/5*'Top 25'!$E$45)/SUM('Top 25'!$B$45:$E$45),6))</f>
        <v/>
      </c>
      <c r="U2385" s="1" t="str">
        <f t="shared" si="165"/>
        <v/>
      </c>
      <c r="V2385" s="1" t="str">
        <f>IF(A2385="","",IF(AK2385&lt;&gt;1,"Duplicate source ID",IF(COUNTIFS('Staff Review'!$A$8:$A$507,A2385)&gt;1,"Duplicate review ID",IF(H2385&lt;&gt;"Yes","Outside scope",IF(J2385="Yes","Already served",IF(NOT(ISNUMBER(T2385)),"Missing data","Candidate"))))))</f>
        <v/>
      </c>
      <c r="W2385" s="1" t="str">
        <f t="shared" si="166"/>
        <v/>
      </c>
      <c r="X2385" s="1" t="str">
        <f t="shared" si="167"/>
        <v/>
      </c>
      <c r="Y2385" s="1">
        <f>IF(AND(H2385="Yes",OR(LEN('School Search'!$B$5)=0,ISNUMBER(SEARCH('School Search'!$B$5,B2385&amp;" "&amp;E2385&amp;" "&amp;A2385))),OR('School Search'!$D$5="All",C2385='School Search'!$D$5),OR('School Search'!$G$5="All eligible",AND('School Search'!$G$5="Not marked served",J2385&lt;&gt;"Yes"),AND('School Search'!$G$5="Missing data",V2385="Missing data"),AND('School Search'!$G$5="Marked served",J2385="Yes"))),1,0)</f>
        <v>0</v>
      </c>
      <c r="Z2385" s="1" t="str">
        <f>IF(Y2385=0,"",COUNTIFS($Y$2051:$Y$2550,1,$AO$2051:$AO$2550,"&lt;"&amp;AO2385)+COUNTIFS($Y$2051:Y2385,1,$AO$2051:AO2385,AO2385))</f>
        <v/>
      </c>
      <c r="AA2385" s="1" t="str">
        <f t="shared" si="168"/>
        <v>Missing demographic or access input</v>
      </c>
      <c r="AB2385" s="1">
        <f t="shared" si="169"/>
        <v>0</v>
      </c>
      <c r="AC2385" s="1" t="str">
        <f t="shared" si="170"/>
        <v/>
      </c>
      <c r="AD2385" s="1" t="str">
        <f t="shared" si="171"/>
        <v/>
      </c>
      <c r="AE2385" s="1" t="str">
        <f t="shared" si="172"/>
        <v/>
      </c>
      <c r="AF2385" s="1" t="str">
        <f t="shared" si="173"/>
        <v/>
      </c>
      <c r="AG2385" s="1" t="str">
        <f t="shared" si="174"/>
        <v/>
      </c>
      <c r="AH2385" s="1" t="str">
        <f>IF(I2385=0,"Not contacted",IF(INDEX('Staff Review'!$J$8:$J$507,I2385)="","Not contacted",INDEX('Staff Review'!$J$8:$J$507,I2385)))</f>
        <v>Not contacted</v>
      </c>
      <c r="AI2385" s="1" t="str">
        <f>IF(I2385=0,"No",IF(AND(COUNT(INDEX('Staff Review'!$D$8:$D$507,I2385))=1,INDEX('Staff Review'!$D$8:$D$507,I2385)&gt;=0,COUNT(INDEX('Staff Review'!$E$8:$E$507,I2385))=1,INDEX('Staff Review'!$E$8:$E$507,I2385)&gt;0,INDEX('Staff Review'!$E$8:$E$507,I2385)&lt;='Top 25'!$E$5,'Top 25'!$E$5-INDEX('Staff Review'!$E$8:$E$507,I2385)&lt;='Top 25'!$H$5,LEN(INDEX('Staff Review'!$H$8:$H$507,I2385))&gt;0),"Yes","No"))</f>
        <v>No</v>
      </c>
      <c r="AJ2385" s="1" t="str">
        <f>IF(I2385=0,"No",IF(COUNT(INDEX('Staff Review'!$F$8:$F$507,I2385))&lt;&gt;1,"No",IF(AND(INDEX('Staff Review'!$F$8:$F$507,I2385)&gt;=0,MOD(INDEX('Staff Review'!$F$8:$F$507,I2385),1)=0,COUNT(INDEX('Staff Review'!$G$8:$G$507,I2385))=1,INDEX('Staff Review'!$G$8:$G$507,I2385)&gt;0,INDEX('Staff Review'!$G$8:$G$507,I2385)&lt;='Top 25'!$E$5,'Top 25'!$E$5-INDEX('Staff Review'!$G$8:$G$507,I2385)&lt;='Top 25'!$H$5,LEN(INDEX('Staff Review'!$H$8:$H$507,I2385))&gt;0),"Yes","No")))</f>
        <v>No</v>
      </c>
      <c r="AK2385" s="1">
        <f t="shared" si="175"/>
        <v>0</v>
      </c>
      <c r="AL2385" s="1">
        <f t="shared" si="176"/>
        <v>0</v>
      </c>
      <c r="AM2385" s="1">
        <f t="shared" si="177"/>
        <v>0</v>
      </c>
      <c r="AN2385" s="1">
        <f t="shared" si="178"/>
        <v>0</v>
      </c>
      <c r="AO2385">
        <f t="shared" si="179"/>
        <v>10000</v>
      </c>
      <c r="AP2385" s="105">
        <f>IF(AND(AL2385=1,OR('Top 25'!$A$10="All",C2385='Top 25'!$A$10),OR('Top 25'!$D$10="All",D2385='Top 25'!$D$10)),1,0)</f>
        <v>0</v>
      </c>
      <c r="AQ2385" s="105" t="str">
        <f>IF(AP2385=0,"",CHOOSE(MATCH('Top 25'!$G$10,{"Priority score","Economic need","Enrollment","Fresh miles","Nearby resources"},0),T2385,G2385,F2385,K2385,L2385))</f>
        <v/>
      </c>
      <c r="AR2385" s="105" t="str">
        <f>IF(AP2385=0,"",1+COUNTIFS($AP$2051:$AP$2550,1,$AQ$2051:$AQ$2550,IF('Top 25'!$J$10="Ascending","&lt;","&gt;")&amp;AQ2385)+COUNTIFS($AP$2051:$AP$2550,1,$AQ$2051:$AQ$2550,AQ2385,$W$2051:$W$2550,"&lt;"&amp;W2385))</f>
        <v/>
      </c>
      <c r="AT2385" s="105">
        <f>IF(AND(AL2385=1,OR(Master_rankableSchools!$A$10="All",C2385=Master_rankableSchools!$A$10),OR(Master_rankableSchools!$D$10="All",D2385=Master_rankableSchools!$D$10)),1,0)</f>
        <v>0</v>
      </c>
      <c r="AU2385" s="105" t="str">
        <f>IF(AT2385=0,"",CHOOSE(MATCH(Master_rankableSchools!$G$10,{"Priority score","Economic need","Enrollment","Fresh miles","Nearby resources"},0),T2385,G2385,F2385,K2385,L2385))</f>
        <v/>
      </c>
      <c r="AV2385" s="105" t="str">
        <f>IF(AT2385=0,"",1+COUNTIFS($AT$2051:$AT$2550,1,$AU$2051:$AU$2550,IF(Master_rankableSchools!$J$10="Ascending","&lt;","&gt;")&amp;AU2385)+COUNTIFS($AT$2051:$AT$2550,1,$AU$2051:$AU$2550,AU2385,$W$2051:$W$2550,"&lt;"&amp;W2385))</f>
        <v/>
      </c>
    </row>
    <row r="2386" spans="1:48" ht="22" customHeight="1">
      <c r="A2386" s="1" t="str">
        <f t="shared" si="150"/>
        <v/>
      </c>
      <c r="B2386" s="1" t="str">
        <f t="shared" si="151"/>
        <v/>
      </c>
      <c r="C2386" s="1" t="str">
        <f t="shared" si="152"/>
        <v/>
      </c>
      <c r="D2386" s="1" t="str">
        <f t="shared" si="153"/>
        <v/>
      </c>
      <c r="E2386" s="1" t="str">
        <f t="shared" si="154"/>
        <v/>
      </c>
      <c r="F2386" s="1" t="str">
        <f t="shared" si="155"/>
        <v/>
      </c>
      <c r="G2386" s="1" t="str">
        <f t="shared" si="156"/>
        <v/>
      </c>
      <c r="H2386" s="1" t="str">
        <f t="shared" si="157"/>
        <v/>
      </c>
      <c r="I2386" s="1">
        <f>IF(OR(A2386="",COUNTIFS('Staff Review'!$A$8:$A$507,A2386)&lt;&gt;1),0,MATCH(A2386,'Staff Review'!$A$8:$A$507,0))</f>
        <v>0</v>
      </c>
      <c r="J2386" s="1" t="str">
        <f>IF(I2386=0,"No",IF(INDEX('Staff Review'!$C$8:$C$507,I2386)="Yes","Yes","No"))</f>
        <v>No</v>
      </c>
      <c r="K2386" s="1" t="str">
        <f>IF(AI2386="Yes",INDEX('Staff Review'!$D$8:$D$507,I2386),IF(AB2386=0,"",IF(COUNT(INDEX($C$1531:$C$2030,AB2386))=1,INDEX($C$1531:$C$2030,AB2386),"")))</f>
        <v/>
      </c>
      <c r="L2386" s="1" t="str">
        <f>IF(AJ2386="Yes",INDEX('Staff Review'!$F$8:$F$507,I2386),IF(AB2386=0,"",IF(COUNT(INDEX($G$1531:$G$2030,AB2386))=1,INDEX($G$1531:$G$2030,AB2386),"")))</f>
        <v/>
      </c>
      <c r="M2386" s="1" t="str">
        <f t="shared" si="158"/>
        <v/>
      </c>
      <c r="N2386" s="1" t="str">
        <f t="shared" si="159"/>
        <v/>
      </c>
      <c r="O2386" s="1" t="str">
        <f t="shared" si="160"/>
        <v/>
      </c>
      <c r="P2386" s="1" t="str">
        <f t="shared" si="161"/>
        <v/>
      </c>
      <c r="Q2386" s="1" t="str">
        <f t="shared" si="162"/>
        <v/>
      </c>
      <c r="R2386" s="1" t="str">
        <f t="shared" si="163"/>
        <v/>
      </c>
      <c r="S2386" s="1" t="str">
        <f t="shared" si="164"/>
        <v/>
      </c>
      <c r="T2386" s="1" t="str">
        <f>IF(OR(COUNT(O2386:R2386)&lt;&gt;4,COUNT('Top 25'!$B$45:$E$45)&lt;&gt;4,MIN('Top 25'!$B$45:$E$45)&lt;0,SUM('Top 25'!$B$45:$E$45)&lt;=0),"",ROUND(85*(O2386/30*'Top 25'!$B$45+P2386/25*'Top 25'!$C$45+Q2386/25*'Top 25'!$D$45+R2386/5*'Top 25'!$E$45)/SUM('Top 25'!$B$45:$E$45),6))</f>
        <v/>
      </c>
      <c r="U2386" s="1" t="str">
        <f t="shared" si="165"/>
        <v/>
      </c>
      <c r="V2386" s="1" t="str">
        <f>IF(A2386="","",IF(AK2386&lt;&gt;1,"Duplicate source ID",IF(COUNTIFS('Staff Review'!$A$8:$A$507,A2386)&gt;1,"Duplicate review ID",IF(H2386&lt;&gt;"Yes","Outside scope",IF(J2386="Yes","Already served",IF(NOT(ISNUMBER(T2386)),"Missing data","Candidate"))))))</f>
        <v/>
      </c>
      <c r="W2386" s="1" t="str">
        <f t="shared" si="166"/>
        <v/>
      </c>
      <c r="X2386" s="1" t="str">
        <f t="shared" si="167"/>
        <v/>
      </c>
      <c r="Y2386" s="1">
        <f>IF(AND(H2386="Yes",OR(LEN('School Search'!$B$5)=0,ISNUMBER(SEARCH('School Search'!$B$5,B2386&amp;" "&amp;E2386&amp;" "&amp;A2386))),OR('School Search'!$D$5="All",C2386='School Search'!$D$5),OR('School Search'!$G$5="All eligible",AND('School Search'!$G$5="Not marked served",J2386&lt;&gt;"Yes"),AND('School Search'!$G$5="Missing data",V2386="Missing data"),AND('School Search'!$G$5="Marked served",J2386="Yes"))),1,0)</f>
        <v>0</v>
      </c>
      <c r="Z2386" s="1" t="str">
        <f>IF(Y2386=0,"",COUNTIFS($Y$2051:$Y$2550,1,$AO$2051:$AO$2550,"&lt;"&amp;AO2386)+COUNTIFS($Y$2051:Y2386,1,$AO$2051:AO2386,AO2386))</f>
        <v/>
      </c>
      <c r="AA2386" s="1" t="str">
        <f t="shared" si="168"/>
        <v>Missing demographic or access input</v>
      </c>
      <c r="AB2386" s="1">
        <f t="shared" si="169"/>
        <v>0</v>
      </c>
      <c r="AC2386" s="1" t="str">
        <f t="shared" si="170"/>
        <v/>
      </c>
      <c r="AD2386" s="1" t="str">
        <f t="shared" si="171"/>
        <v/>
      </c>
      <c r="AE2386" s="1" t="str">
        <f t="shared" si="172"/>
        <v/>
      </c>
      <c r="AF2386" s="1" t="str">
        <f t="shared" si="173"/>
        <v/>
      </c>
      <c r="AG2386" s="1" t="str">
        <f t="shared" si="174"/>
        <v/>
      </c>
      <c r="AH2386" s="1" t="str">
        <f>IF(I2386=0,"Not contacted",IF(INDEX('Staff Review'!$J$8:$J$507,I2386)="","Not contacted",INDEX('Staff Review'!$J$8:$J$507,I2386)))</f>
        <v>Not contacted</v>
      </c>
      <c r="AI2386" s="1" t="str">
        <f>IF(I2386=0,"No",IF(AND(COUNT(INDEX('Staff Review'!$D$8:$D$507,I2386))=1,INDEX('Staff Review'!$D$8:$D$507,I2386)&gt;=0,COUNT(INDEX('Staff Review'!$E$8:$E$507,I2386))=1,INDEX('Staff Review'!$E$8:$E$507,I2386)&gt;0,INDEX('Staff Review'!$E$8:$E$507,I2386)&lt;='Top 25'!$E$5,'Top 25'!$E$5-INDEX('Staff Review'!$E$8:$E$507,I2386)&lt;='Top 25'!$H$5,LEN(INDEX('Staff Review'!$H$8:$H$507,I2386))&gt;0),"Yes","No"))</f>
        <v>No</v>
      </c>
      <c r="AJ2386" s="1" t="str">
        <f>IF(I2386=0,"No",IF(COUNT(INDEX('Staff Review'!$F$8:$F$507,I2386))&lt;&gt;1,"No",IF(AND(INDEX('Staff Review'!$F$8:$F$507,I2386)&gt;=0,MOD(INDEX('Staff Review'!$F$8:$F$507,I2386),1)=0,COUNT(INDEX('Staff Review'!$G$8:$G$507,I2386))=1,INDEX('Staff Review'!$G$8:$G$507,I2386)&gt;0,INDEX('Staff Review'!$G$8:$G$507,I2386)&lt;='Top 25'!$E$5,'Top 25'!$E$5-INDEX('Staff Review'!$G$8:$G$507,I2386)&lt;='Top 25'!$H$5,LEN(INDEX('Staff Review'!$H$8:$H$507,I2386))&gt;0),"Yes","No")))</f>
        <v>No</v>
      </c>
      <c r="AK2386" s="1">
        <f t="shared" si="175"/>
        <v>0</v>
      </c>
      <c r="AL2386" s="1">
        <f t="shared" si="176"/>
        <v>0</v>
      </c>
      <c r="AM2386" s="1">
        <f t="shared" si="177"/>
        <v>0</v>
      </c>
      <c r="AN2386" s="1">
        <f t="shared" si="178"/>
        <v>0</v>
      </c>
      <c r="AO2386">
        <f t="shared" si="179"/>
        <v>10000</v>
      </c>
      <c r="AP2386" s="105">
        <f>IF(AND(AL2386=1,OR('Top 25'!$A$10="All",C2386='Top 25'!$A$10),OR('Top 25'!$D$10="All",D2386='Top 25'!$D$10)),1,0)</f>
        <v>0</v>
      </c>
      <c r="AQ2386" s="105" t="str">
        <f>IF(AP2386=0,"",CHOOSE(MATCH('Top 25'!$G$10,{"Priority score","Economic need","Enrollment","Fresh miles","Nearby resources"},0),T2386,G2386,F2386,K2386,L2386))</f>
        <v/>
      </c>
      <c r="AR2386" s="105" t="str">
        <f>IF(AP2386=0,"",1+COUNTIFS($AP$2051:$AP$2550,1,$AQ$2051:$AQ$2550,IF('Top 25'!$J$10="Ascending","&lt;","&gt;")&amp;AQ2386)+COUNTIFS($AP$2051:$AP$2550,1,$AQ$2051:$AQ$2550,AQ2386,$W$2051:$W$2550,"&lt;"&amp;W2386))</f>
        <v/>
      </c>
      <c r="AT2386" s="105">
        <f>IF(AND(AL2386=1,OR(Master_rankableSchools!$A$10="All",C2386=Master_rankableSchools!$A$10),OR(Master_rankableSchools!$D$10="All",D2386=Master_rankableSchools!$D$10)),1,0)</f>
        <v>0</v>
      </c>
      <c r="AU2386" s="105" t="str">
        <f>IF(AT2386=0,"",CHOOSE(MATCH(Master_rankableSchools!$G$10,{"Priority score","Economic need","Enrollment","Fresh miles","Nearby resources"},0),T2386,G2386,F2386,K2386,L2386))</f>
        <v/>
      </c>
      <c r="AV2386" s="105" t="str">
        <f>IF(AT2386=0,"",1+COUNTIFS($AT$2051:$AT$2550,1,$AU$2051:$AU$2550,IF(Master_rankableSchools!$J$10="Ascending","&lt;","&gt;")&amp;AU2386)+COUNTIFS($AT$2051:$AT$2550,1,$AU$2051:$AU$2550,AU2386,$W$2051:$W$2550,"&lt;"&amp;W2386))</f>
        <v/>
      </c>
    </row>
    <row r="2387" spans="1:48" ht="22" customHeight="1">
      <c r="A2387" s="1" t="str">
        <f t="shared" si="150"/>
        <v/>
      </c>
      <c r="B2387" s="1" t="str">
        <f t="shared" si="151"/>
        <v/>
      </c>
      <c r="C2387" s="1" t="str">
        <f t="shared" si="152"/>
        <v/>
      </c>
      <c r="D2387" s="1" t="str">
        <f t="shared" si="153"/>
        <v/>
      </c>
      <c r="E2387" s="1" t="str">
        <f t="shared" si="154"/>
        <v/>
      </c>
      <c r="F2387" s="1" t="str">
        <f t="shared" si="155"/>
        <v/>
      </c>
      <c r="G2387" s="1" t="str">
        <f t="shared" si="156"/>
        <v/>
      </c>
      <c r="H2387" s="1" t="str">
        <f t="shared" si="157"/>
        <v/>
      </c>
      <c r="I2387" s="1">
        <f>IF(OR(A2387="",COUNTIFS('Staff Review'!$A$8:$A$507,A2387)&lt;&gt;1),0,MATCH(A2387,'Staff Review'!$A$8:$A$507,0))</f>
        <v>0</v>
      </c>
      <c r="J2387" s="1" t="str">
        <f>IF(I2387=0,"No",IF(INDEX('Staff Review'!$C$8:$C$507,I2387)="Yes","Yes","No"))</f>
        <v>No</v>
      </c>
      <c r="K2387" s="1" t="str">
        <f>IF(AI2387="Yes",INDEX('Staff Review'!$D$8:$D$507,I2387),IF(AB2387=0,"",IF(COUNT(INDEX($C$1531:$C$2030,AB2387))=1,INDEX($C$1531:$C$2030,AB2387),"")))</f>
        <v/>
      </c>
      <c r="L2387" s="1" t="str">
        <f>IF(AJ2387="Yes",INDEX('Staff Review'!$F$8:$F$507,I2387),IF(AB2387=0,"",IF(COUNT(INDEX($G$1531:$G$2030,AB2387))=1,INDEX($G$1531:$G$2030,AB2387),"")))</f>
        <v/>
      </c>
      <c r="M2387" s="1" t="str">
        <f t="shared" si="158"/>
        <v/>
      </c>
      <c r="N2387" s="1" t="str">
        <f t="shared" si="159"/>
        <v/>
      </c>
      <c r="O2387" s="1" t="str">
        <f t="shared" si="160"/>
        <v/>
      </c>
      <c r="P2387" s="1" t="str">
        <f t="shared" si="161"/>
        <v/>
      </c>
      <c r="Q2387" s="1" t="str">
        <f t="shared" si="162"/>
        <v/>
      </c>
      <c r="R2387" s="1" t="str">
        <f t="shared" si="163"/>
        <v/>
      </c>
      <c r="S2387" s="1" t="str">
        <f t="shared" si="164"/>
        <v/>
      </c>
      <c r="T2387" s="1" t="str">
        <f>IF(OR(COUNT(O2387:R2387)&lt;&gt;4,COUNT('Top 25'!$B$45:$E$45)&lt;&gt;4,MIN('Top 25'!$B$45:$E$45)&lt;0,SUM('Top 25'!$B$45:$E$45)&lt;=0),"",ROUND(85*(O2387/30*'Top 25'!$B$45+P2387/25*'Top 25'!$C$45+Q2387/25*'Top 25'!$D$45+R2387/5*'Top 25'!$E$45)/SUM('Top 25'!$B$45:$E$45),6))</f>
        <v/>
      </c>
      <c r="U2387" s="1" t="str">
        <f t="shared" si="165"/>
        <v/>
      </c>
      <c r="V2387" s="1" t="str">
        <f>IF(A2387="","",IF(AK2387&lt;&gt;1,"Duplicate source ID",IF(COUNTIFS('Staff Review'!$A$8:$A$507,A2387)&gt;1,"Duplicate review ID",IF(H2387&lt;&gt;"Yes","Outside scope",IF(J2387="Yes","Already served",IF(NOT(ISNUMBER(T2387)),"Missing data","Candidate"))))))</f>
        <v/>
      </c>
      <c r="W2387" s="1" t="str">
        <f t="shared" si="166"/>
        <v/>
      </c>
      <c r="X2387" s="1" t="str">
        <f t="shared" si="167"/>
        <v/>
      </c>
      <c r="Y2387" s="1">
        <f>IF(AND(H2387="Yes",OR(LEN('School Search'!$B$5)=0,ISNUMBER(SEARCH('School Search'!$B$5,B2387&amp;" "&amp;E2387&amp;" "&amp;A2387))),OR('School Search'!$D$5="All",C2387='School Search'!$D$5),OR('School Search'!$G$5="All eligible",AND('School Search'!$G$5="Not marked served",J2387&lt;&gt;"Yes"),AND('School Search'!$G$5="Missing data",V2387="Missing data"),AND('School Search'!$G$5="Marked served",J2387="Yes"))),1,0)</f>
        <v>0</v>
      </c>
      <c r="Z2387" s="1" t="str">
        <f>IF(Y2387=0,"",COUNTIFS($Y$2051:$Y$2550,1,$AO$2051:$AO$2550,"&lt;"&amp;AO2387)+COUNTIFS($Y$2051:Y2387,1,$AO$2051:AO2387,AO2387))</f>
        <v/>
      </c>
      <c r="AA2387" s="1" t="str">
        <f t="shared" si="168"/>
        <v>Missing demographic or access input</v>
      </c>
      <c r="AB2387" s="1">
        <f t="shared" si="169"/>
        <v>0</v>
      </c>
      <c r="AC2387" s="1" t="str">
        <f t="shared" si="170"/>
        <v/>
      </c>
      <c r="AD2387" s="1" t="str">
        <f t="shared" si="171"/>
        <v/>
      </c>
      <c r="AE2387" s="1" t="str">
        <f t="shared" si="172"/>
        <v/>
      </c>
      <c r="AF2387" s="1" t="str">
        <f t="shared" si="173"/>
        <v/>
      </c>
      <c r="AG2387" s="1" t="str">
        <f t="shared" si="174"/>
        <v/>
      </c>
      <c r="AH2387" s="1" t="str">
        <f>IF(I2387=0,"Not contacted",IF(INDEX('Staff Review'!$J$8:$J$507,I2387)="","Not contacted",INDEX('Staff Review'!$J$8:$J$507,I2387)))</f>
        <v>Not contacted</v>
      </c>
      <c r="AI2387" s="1" t="str">
        <f>IF(I2387=0,"No",IF(AND(COUNT(INDEX('Staff Review'!$D$8:$D$507,I2387))=1,INDEX('Staff Review'!$D$8:$D$507,I2387)&gt;=0,COUNT(INDEX('Staff Review'!$E$8:$E$507,I2387))=1,INDEX('Staff Review'!$E$8:$E$507,I2387)&gt;0,INDEX('Staff Review'!$E$8:$E$507,I2387)&lt;='Top 25'!$E$5,'Top 25'!$E$5-INDEX('Staff Review'!$E$8:$E$507,I2387)&lt;='Top 25'!$H$5,LEN(INDEX('Staff Review'!$H$8:$H$507,I2387))&gt;0),"Yes","No"))</f>
        <v>No</v>
      </c>
      <c r="AJ2387" s="1" t="str">
        <f>IF(I2387=0,"No",IF(COUNT(INDEX('Staff Review'!$F$8:$F$507,I2387))&lt;&gt;1,"No",IF(AND(INDEX('Staff Review'!$F$8:$F$507,I2387)&gt;=0,MOD(INDEX('Staff Review'!$F$8:$F$507,I2387),1)=0,COUNT(INDEX('Staff Review'!$G$8:$G$507,I2387))=1,INDEX('Staff Review'!$G$8:$G$507,I2387)&gt;0,INDEX('Staff Review'!$G$8:$G$507,I2387)&lt;='Top 25'!$E$5,'Top 25'!$E$5-INDEX('Staff Review'!$G$8:$G$507,I2387)&lt;='Top 25'!$H$5,LEN(INDEX('Staff Review'!$H$8:$H$507,I2387))&gt;0),"Yes","No")))</f>
        <v>No</v>
      </c>
      <c r="AK2387" s="1">
        <f t="shared" si="175"/>
        <v>0</v>
      </c>
      <c r="AL2387" s="1">
        <f t="shared" si="176"/>
        <v>0</v>
      </c>
      <c r="AM2387" s="1">
        <f t="shared" si="177"/>
        <v>0</v>
      </c>
      <c r="AN2387" s="1">
        <f t="shared" si="178"/>
        <v>0</v>
      </c>
      <c r="AO2387">
        <f t="shared" si="179"/>
        <v>10000</v>
      </c>
      <c r="AP2387" s="105">
        <f>IF(AND(AL2387=1,OR('Top 25'!$A$10="All",C2387='Top 25'!$A$10),OR('Top 25'!$D$10="All",D2387='Top 25'!$D$10)),1,0)</f>
        <v>0</v>
      </c>
      <c r="AQ2387" s="105" t="str">
        <f>IF(AP2387=0,"",CHOOSE(MATCH('Top 25'!$G$10,{"Priority score","Economic need","Enrollment","Fresh miles","Nearby resources"},0),T2387,G2387,F2387,K2387,L2387))</f>
        <v/>
      </c>
      <c r="AR2387" s="105" t="str">
        <f>IF(AP2387=0,"",1+COUNTIFS($AP$2051:$AP$2550,1,$AQ$2051:$AQ$2550,IF('Top 25'!$J$10="Ascending","&lt;","&gt;")&amp;AQ2387)+COUNTIFS($AP$2051:$AP$2550,1,$AQ$2051:$AQ$2550,AQ2387,$W$2051:$W$2550,"&lt;"&amp;W2387))</f>
        <v/>
      </c>
      <c r="AT2387" s="105">
        <f>IF(AND(AL2387=1,OR(Master_rankableSchools!$A$10="All",C2387=Master_rankableSchools!$A$10),OR(Master_rankableSchools!$D$10="All",D2387=Master_rankableSchools!$D$10)),1,0)</f>
        <v>0</v>
      </c>
      <c r="AU2387" s="105" t="str">
        <f>IF(AT2387=0,"",CHOOSE(MATCH(Master_rankableSchools!$G$10,{"Priority score","Economic need","Enrollment","Fresh miles","Nearby resources"},0),T2387,G2387,F2387,K2387,L2387))</f>
        <v/>
      </c>
      <c r="AV2387" s="105" t="str">
        <f>IF(AT2387=0,"",1+COUNTIFS($AT$2051:$AT$2550,1,$AU$2051:$AU$2550,IF(Master_rankableSchools!$J$10="Ascending","&lt;","&gt;")&amp;AU2387)+COUNTIFS($AT$2051:$AT$2550,1,$AU$2051:$AU$2550,AU2387,$W$2051:$W$2550,"&lt;"&amp;W2387))</f>
        <v/>
      </c>
    </row>
    <row r="2388" spans="1:48" ht="22" customHeight="1">
      <c r="A2388" s="1" t="str">
        <f t="shared" si="150"/>
        <v/>
      </c>
      <c r="B2388" s="1" t="str">
        <f t="shared" si="151"/>
        <v/>
      </c>
      <c r="C2388" s="1" t="str">
        <f t="shared" si="152"/>
        <v/>
      </c>
      <c r="D2388" s="1" t="str">
        <f t="shared" si="153"/>
        <v/>
      </c>
      <c r="E2388" s="1" t="str">
        <f t="shared" si="154"/>
        <v/>
      </c>
      <c r="F2388" s="1" t="str">
        <f t="shared" si="155"/>
        <v/>
      </c>
      <c r="G2388" s="1" t="str">
        <f t="shared" si="156"/>
        <v/>
      </c>
      <c r="H2388" s="1" t="str">
        <f t="shared" si="157"/>
        <v/>
      </c>
      <c r="I2388" s="1">
        <f>IF(OR(A2388="",COUNTIFS('Staff Review'!$A$8:$A$507,A2388)&lt;&gt;1),0,MATCH(A2388,'Staff Review'!$A$8:$A$507,0))</f>
        <v>0</v>
      </c>
      <c r="J2388" s="1" t="str">
        <f>IF(I2388=0,"No",IF(INDEX('Staff Review'!$C$8:$C$507,I2388)="Yes","Yes","No"))</f>
        <v>No</v>
      </c>
      <c r="K2388" s="1" t="str">
        <f>IF(AI2388="Yes",INDEX('Staff Review'!$D$8:$D$507,I2388),IF(AB2388=0,"",IF(COUNT(INDEX($C$1531:$C$2030,AB2388))=1,INDEX($C$1531:$C$2030,AB2388),"")))</f>
        <v/>
      </c>
      <c r="L2388" s="1" t="str">
        <f>IF(AJ2388="Yes",INDEX('Staff Review'!$F$8:$F$507,I2388),IF(AB2388=0,"",IF(COUNT(INDEX($G$1531:$G$2030,AB2388))=1,INDEX($G$1531:$G$2030,AB2388),"")))</f>
        <v/>
      </c>
      <c r="M2388" s="1" t="str">
        <f t="shared" si="158"/>
        <v/>
      </c>
      <c r="N2388" s="1" t="str">
        <f t="shared" si="159"/>
        <v/>
      </c>
      <c r="O2388" s="1" t="str">
        <f t="shared" si="160"/>
        <v/>
      </c>
      <c r="P2388" s="1" t="str">
        <f t="shared" si="161"/>
        <v/>
      </c>
      <c r="Q2388" s="1" t="str">
        <f t="shared" si="162"/>
        <v/>
      </c>
      <c r="R2388" s="1" t="str">
        <f t="shared" si="163"/>
        <v/>
      </c>
      <c r="S2388" s="1" t="str">
        <f t="shared" si="164"/>
        <v/>
      </c>
      <c r="T2388" s="1" t="str">
        <f>IF(OR(COUNT(O2388:R2388)&lt;&gt;4,COUNT('Top 25'!$B$45:$E$45)&lt;&gt;4,MIN('Top 25'!$B$45:$E$45)&lt;0,SUM('Top 25'!$B$45:$E$45)&lt;=0),"",ROUND(85*(O2388/30*'Top 25'!$B$45+P2388/25*'Top 25'!$C$45+Q2388/25*'Top 25'!$D$45+R2388/5*'Top 25'!$E$45)/SUM('Top 25'!$B$45:$E$45),6))</f>
        <v/>
      </c>
      <c r="U2388" s="1" t="str">
        <f t="shared" si="165"/>
        <v/>
      </c>
      <c r="V2388" s="1" t="str">
        <f>IF(A2388="","",IF(AK2388&lt;&gt;1,"Duplicate source ID",IF(COUNTIFS('Staff Review'!$A$8:$A$507,A2388)&gt;1,"Duplicate review ID",IF(H2388&lt;&gt;"Yes","Outside scope",IF(J2388="Yes","Already served",IF(NOT(ISNUMBER(T2388)),"Missing data","Candidate"))))))</f>
        <v/>
      </c>
      <c r="W2388" s="1" t="str">
        <f t="shared" si="166"/>
        <v/>
      </c>
      <c r="X2388" s="1" t="str">
        <f t="shared" si="167"/>
        <v/>
      </c>
      <c r="Y2388" s="1">
        <f>IF(AND(H2388="Yes",OR(LEN('School Search'!$B$5)=0,ISNUMBER(SEARCH('School Search'!$B$5,B2388&amp;" "&amp;E2388&amp;" "&amp;A2388))),OR('School Search'!$D$5="All",C2388='School Search'!$D$5),OR('School Search'!$G$5="All eligible",AND('School Search'!$G$5="Not marked served",J2388&lt;&gt;"Yes"),AND('School Search'!$G$5="Missing data",V2388="Missing data"),AND('School Search'!$G$5="Marked served",J2388="Yes"))),1,0)</f>
        <v>0</v>
      </c>
      <c r="Z2388" s="1" t="str">
        <f>IF(Y2388=0,"",COUNTIFS($Y$2051:$Y$2550,1,$AO$2051:$AO$2550,"&lt;"&amp;AO2388)+COUNTIFS($Y$2051:Y2388,1,$AO$2051:AO2388,AO2388))</f>
        <v/>
      </c>
      <c r="AA2388" s="1" t="str">
        <f t="shared" si="168"/>
        <v>Missing demographic or access input</v>
      </c>
      <c r="AB2388" s="1">
        <f t="shared" si="169"/>
        <v>0</v>
      </c>
      <c r="AC2388" s="1" t="str">
        <f t="shared" si="170"/>
        <v/>
      </c>
      <c r="AD2388" s="1" t="str">
        <f t="shared" si="171"/>
        <v/>
      </c>
      <c r="AE2388" s="1" t="str">
        <f t="shared" si="172"/>
        <v/>
      </c>
      <c r="AF2388" s="1" t="str">
        <f t="shared" si="173"/>
        <v/>
      </c>
      <c r="AG2388" s="1" t="str">
        <f t="shared" si="174"/>
        <v/>
      </c>
      <c r="AH2388" s="1" t="str">
        <f>IF(I2388=0,"Not contacted",IF(INDEX('Staff Review'!$J$8:$J$507,I2388)="","Not contacted",INDEX('Staff Review'!$J$8:$J$507,I2388)))</f>
        <v>Not contacted</v>
      </c>
      <c r="AI2388" s="1" t="str">
        <f>IF(I2388=0,"No",IF(AND(COUNT(INDEX('Staff Review'!$D$8:$D$507,I2388))=1,INDEX('Staff Review'!$D$8:$D$507,I2388)&gt;=0,COUNT(INDEX('Staff Review'!$E$8:$E$507,I2388))=1,INDEX('Staff Review'!$E$8:$E$507,I2388)&gt;0,INDEX('Staff Review'!$E$8:$E$507,I2388)&lt;='Top 25'!$E$5,'Top 25'!$E$5-INDEX('Staff Review'!$E$8:$E$507,I2388)&lt;='Top 25'!$H$5,LEN(INDEX('Staff Review'!$H$8:$H$507,I2388))&gt;0),"Yes","No"))</f>
        <v>No</v>
      </c>
      <c r="AJ2388" s="1" t="str">
        <f>IF(I2388=0,"No",IF(COUNT(INDEX('Staff Review'!$F$8:$F$507,I2388))&lt;&gt;1,"No",IF(AND(INDEX('Staff Review'!$F$8:$F$507,I2388)&gt;=0,MOD(INDEX('Staff Review'!$F$8:$F$507,I2388),1)=0,COUNT(INDEX('Staff Review'!$G$8:$G$507,I2388))=1,INDEX('Staff Review'!$G$8:$G$507,I2388)&gt;0,INDEX('Staff Review'!$G$8:$G$507,I2388)&lt;='Top 25'!$E$5,'Top 25'!$E$5-INDEX('Staff Review'!$G$8:$G$507,I2388)&lt;='Top 25'!$H$5,LEN(INDEX('Staff Review'!$H$8:$H$507,I2388))&gt;0),"Yes","No")))</f>
        <v>No</v>
      </c>
      <c r="AK2388" s="1">
        <f t="shared" si="175"/>
        <v>0</v>
      </c>
      <c r="AL2388" s="1">
        <f t="shared" si="176"/>
        <v>0</v>
      </c>
      <c r="AM2388" s="1">
        <f t="shared" si="177"/>
        <v>0</v>
      </c>
      <c r="AN2388" s="1">
        <f t="shared" si="178"/>
        <v>0</v>
      </c>
      <c r="AO2388">
        <f t="shared" si="179"/>
        <v>10000</v>
      </c>
      <c r="AP2388" s="105">
        <f>IF(AND(AL2388=1,OR('Top 25'!$A$10="All",C2388='Top 25'!$A$10),OR('Top 25'!$D$10="All",D2388='Top 25'!$D$10)),1,0)</f>
        <v>0</v>
      </c>
      <c r="AQ2388" s="105" t="str">
        <f>IF(AP2388=0,"",CHOOSE(MATCH('Top 25'!$G$10,{"Priority score","Economic need","Enrollment","Fresh miles","Nearby resources"},0),T2388,G2388,F2388,K2388,L2388))</f>
        <v/>
      </c>
      <c r="AR2388" s="105" t="str">
        <f>IF(AP2388=0,"",1+COUNTIFS($AP$2051:$AP$2550,1,$AQ$2051:$AQ$2550,IF('Top 25'!$J$10="Ascending","&lt;","&gt;")&amp;AQ2388)+COUNTIFS($AP$2051:$AP$2550,1,$AQ$2051:$AQ$2550,AQ2388,$W$2051:$W$2550,"&lt;"&amp;W2388))</f>
        <v/>
      </c>
      <c r="AT2388" s="105">
        <f>IF(AND(AL2388=1,OR(Master_rankableSchools!$A$10="All",C2388=Master_rankableSchools!$A$10),OR(Master_rankableSchools!$D$10="All",D2388=Master_rankableSchools!$D$10)),1,0)</f>
        <v>0</v>
      </c>
      <c r="AU2388" s="105" t="str">
        <f>IF(AT2388=0,"",CHOOSE(MATCH(Master_rankableSchools!$G$10,{"Priority score","Economic need","Enrollment","Fresh miles","Nearby resources"},0),T2388,G2388,F2388,K2388,L2388))</f>
        <v/>
      </c>
      <c r="AV2388" s="105" t="str">
        <f>IF(AT2388=0,"",1+COUNTIFS($AT$2051:$AT$2550,1,$AU$2051:$AU$2550,IF(Master_rankableSchools!$J$10="Ascending","&lt;","&gt;")&amp;AU2388)+COUNTIFS($AT$2051:$AT$2550,1,$AU$2051:$AU$2550,AU2388,$W$2051:$W$2550,"&lt;"&amp;W2388))</f>
        <v/>
      </c>
    </row>
    <row r="2389" spans="1:48" ht="22" customHeight="1">
      <c r="A2389" s="1" t="str">
        <f t="shared" si="150"/>
        <v/>
      </c>
      <c r="B2389" s="1" t="str">
        <f t="shared" si="151"/>
        <v/>
      </c>
      <c r="C2389" s="1" t="str">
        <f t="shared" si="152"/>
        <v/>
      </c>
      <c r="D2389" s="1" t="str">
        <f t="shared" si="153"/>
        <v/>
      </c>
      <c r="E2389" s="1" t="str">
        <f t="shared" si="154"/>
        <v/>
      </c>
      <c r="F2389" s="1" t="str">
        <f t="shared" si="155"/>
        <v/>
      </c>
      <c r="G2389" s="1" t="str">
        <f t="shared" si="156"/>
        <v/>
      </c>
      <c r="H2389" s="1" t="str">
        <f t="shared" si="157"/>
        <v/>
      </c>
      <c r="I2389" s="1">
        <f>IF(OR(A2389="",COUNTIFS('Staff Review'!$A$8:$A$507,A2389)&lt;&gt;1),0,MATCH(A2389,'Staff Review'!$A$8:$A$507,0))</f>
        <v>0</v>
      </c>
      <c r="J2389" s="1" t="str">
        <f>IF(I2389=0,"No",IF(INDEX('Staff Review'!$C$8:$C$507,I2389)="Yes","Yes","No"))</f>
        <v>No</v>
      </c>
      <c r="K2389" s="1" t="str">
        <f>IF(AI2389="Yes",INDEX('Staff Review'!$D$8:$D$507,I2389),IF(AB2389=0,"",IF(COUNT(INDEX($C$1531:$C$2030,AB2389))=1,INDEX($C$1531:$C$2030,AB2389),"")))</f>
        <v/>
      </c>
      <c r="L2389" s="1" t="str">
        <f>IF(AJ2389="Yes",INDEX('Staff Review'!$F$8:$F$507,I2389),IF(AB2389=0,"",IF(COUNT(INDEX($G$1531:$G$2030,AB2389))=1,INDEX($G$1531:$G$2030,AB2389),"")))</f>
        <v/>
      </c>
      <c r="M2389" s="1" t="str">
        <f t="shared" si="158"/>
        <v/>
      </c>
      <c r="N2389" s="1" t="str">
        <f t="shared" si="159"/>
        <v/>
      </c>
      <c r="O2389" s="1" t="str">
        <f t="shared" si="160"/>
        <v/>
      </c>
      <c r="P2389" s="1" t="str">
        <f t="shared" si="161"/>
        <v/>
      </c>
      <c r="Q2389" s="1" t="str">
        <f t="shared" si="162"/>
        <v/>
      </c>
      <c r="R2389" s="1" t="str">
        <f t="shared" si="163"/>
        <v/>
      </c>
      <c r="S2389" s="1" t="str">
        <f t="shared" si="164"/>
        <v/>
      </c>
      <c r="T2389" s="1" t="str">
        <f>IF(OR(COUNT(O2389:R2389)&lt;&gt;4,COUNT('Top 25'!$B$45:$E$45)&lt;&gt;4,MIN('Top 25'!$B$45:$E$45)&lt;0,SUM('Top 25'!$B$45:$E$45)&lt;=0),"",ROUND(85*(O2389/30*'Top 25'!$B$45+P2389/25*'Top 25'!$C$45+Q2389/25*'Top 25'!$D$45+R2389/5*'Top 25'!$E$45)/SUM('Top 25'!$B$45:$E$45),6))</f>
        <v/>
      </c>
      <c r="U2389" s="1" t="str">
        <f t="shared" si="165"/>
        <v/>
      </c>
      <c r="V2389" s="1" t="str">
        <f>IF(A2389="","",IF(AK2389&lt;&gt;1,"Duplicate source ID",IF(COUNTIFS('Staff Review'!$A$8:$A$507,A2389)&gt;1,"Duplicate review ID",IF(H2389&lt;&gt;"Yes","Outside scope",IF(J2389="Yes","Already served",IF(NOT(ISNUMBER(T2389)),"Missing data","Candidate"))))))</f>
        <v/>
      </c>
      <c r="W2389" s="1" t="str">
        <f t="shared" si="166"/>
        <v/>
      </c>
      <c r="X2389" s="1" t="str">
        <f t="shared" si="167"/>
        <v/>
      </c>
      <c r="Y2389" s="1">
        <f>IF(AND(H2389="Yes",OR(LEN('School Search'!$B$5)=0,ISNUMBER(SEARCH('School Search'!$B$5,B2389&amp;" "&amp;E2389&amp;" "&amp;A2389))),OR('School Search'!$D$5="All",C2389='School Search'!$D$5),OR('School Search'!$G$5="All eligible",AND('School Search'!$G$5="Not marked served",J2389&lt;&gt;"Yes"),AND('School Search'!$G$5="Missing data",V2389="Missing data"),AND('School Search'!$G$5="Marked served",J2389="Yes"))),1,0)</f>
        <v>0</v>
      </c>
      <c r="Z2389" s="1" t="str">
        <f>IF(Y2389=0,"",COUNTIFS($Y$2051:$Y$2550,1,$AO$2051:$AO$2550,"&lt;"&amp;AO2389)+COUNTIFS($Y$2051:Y2389,1,$AO$2051:AO2389,AO2389))</f>
        <v/>
      </c>
      <c r="AA2389" s="1" t="str">
        <f t="shared" si="168"/>
        <v>Missing demographic or access input</v>
      </c>
      <c r="AB2389" s="1">
        <f t="shared" si="169"/>
        <v>0</v>
      </c>
      <c r="AC2389" s="1" t="str">
        <f t="shared" si="170"/>
        <v/>
      </c>
      <c r="AD2389" s="1" t="str">
        <f t="shared" si="171"/>
        <v/>
      </c>
      <c r="AE2389" s="1" t="str">
        <f t="shared" si="172"/>
        <v/>
      </c>
      <c r="AF2389" s="1" t="str">
        <f t="shared" si="173"/>
        <v/>
      </c>
      <c r="AG2389" s="1" t="str">
        <f t="shared" si="174"/>
        <v/>
      </c>
      <c r="AH2389" s="1" t="str">
        <f>IF(I2389=0,"Not contacted",IF(INDEX('Staff Review'!$J$8:$J$507,I2389)="","Not contacted",INDEX('Staff Review'!$J$8:$J$507,I2389)))</f>
        <v>Not contacted</v>
      </c>
      <c r="AI2389" s="1" t="str">
        <f>IF(I2389=0,"No",IF(AND(COUNT(INDEX('Staff Review'!$D$8:$D$507,I2389))=1,INDEX('Staff Review'!$D$8:$D$507,I2389)&gt;=0,COUNT(INDEX('Staff Review'!$E$8:$E$507,I2389))=1,INDEX('Staff Review'!$E$8:$E$507,I2389)&gt;0,INDEX('Staff Review'!$E$8:$E$507,I2389)&lt;='Top 25'!$E$5,'Top 25'!$E$5-INDEX('Staff Review'!$E$8:$E$507,I2389)&lt;='Top 25'!$H$5,LEN(INDEX('Staff Review'!$H$8:$H$507,I2389))&gt;0),"Yes","No"))</f>
        <v>No</v>
      </c>
      <c r="AJ2389" s="1" t="str">
        <f>IF(I2389=0,"No",IF(COUNT(INDEX('Staff Review'!$F$8:$F$507,I2389))&lt;&gt;1,"No",IF(AND(INDEX('Staff Review'!$F$8:$F$507,I2389)&gt;=0,MOD(INDEX('Staff Review'!$F$8:$F$507,I2389),1)=0,COUNT(INDEX('Staff Review'!$G$8:$G$507,I2389))=1,INDEX('Staff Review'!$G$8:$G$507,I2389)&gt;0,INDEX('Staff Review'!$G$8:$G$507,I2389)&lt;='Top 25'!$E$5,'Top 25'!$E$5-INDEX('Staff Review'!$G$8:$G$507,I2389)&lt;='Top 25'!$H$5,LEN(INDEX('Staff Review'!$H$8:$H$507,I2389))&gt;0),"Yes","No")))</f>
        <v>No</v>
      </c>
      <c r="AK2389" s="1">
        <f t="shared" si="175"/>
        <v>0</v>
      </c>
      <c r="AL2389" s="1">
        <f t="shared" si="176"/>
        <v>0</v>
      </c>
      <c r="AM2389" s="1">
        <f t="shared" si="177"/>
        <v>0</v>
      </c>
      <c r="AN2389" s="1">
        <f t="shared" si="178"/>
        <v>0</v>
      </c>
      <c r="AO2389">
        <f t="shared" si="179"/>
        <v>10000</v>
      </c>
      <c r="AP2389" s="105">
        <f>IF(AND(AL2389=1,OR('Top 25'!$A$10="All",C2389='Top 25'!$A$10),OR('Top 25'!$D$10="All",D2389='Top 25'!$D$10)),1,0)</f>
        <v>0</v>
      </c>
      <c r="AQ2389" s="105" t="str">
        <f>IF(AP2389=0,"",CHOOSE(MATCH('Top 25'!$G$10,{"Priority score","Economic need","Enrollment","Fresh miles","Nearby resources"},0),T2389,G2389,F2389,K2389,L2389))</f>
        <v/>
      </c>
      <c r="AR2389" s="105" t="str">
        <f>IF(AP2389=0,"",1+COUNTIFS($AP$2051:$AP$2550,1,$AQ$2051:$AQ$2550,IF('Top 25'!$J$10="Ascending","&lt;","&gt;")&amp;AQ2389)+COUNTIFS($AP$2051:$AP$2550,1,$AQ$2051:$AQ$2550,AQ2389,$W$2051:$W$2550,"&lt;"&amp;W2389))</f>
        <v/>
      </c>
      <c r="AT2389" s="105">
        <f>IF(AND(AL2389=1,OR(Master_rankableSchools!$A$10="All",C2389=Master_rankableSchools!$A$10),OR(Master_rankableSchools!$D$10="All",D2389=Master_rankableSchools!$D$10)),1,0)</f>
        <v>0</v>
      </c>
      <c r="AU2389" s="105" t="str">
        <f>IF(AT2389=0,"",CHOOSE(MATCH(Master_rankableSchools!$G$10,{"Priority score","Economic need","Enrollment","Fresh miles","Nearby resources"},0),T2389,G2389,F2389,K2389,L2389))</f>
        <v/>
      </c>
      <c r="AV2389" s="105" t="str">
        <f>IF(AT2389=0,"",1+COUNTIFS($AT$2051:$AT$2550,1,$AU$2051:$AU$2550,IF(Master_rankableSchools!$J$10="Ascending","&lt;","&gt;")&amp;AU2389)+COUNTIFS($AT$2051:$AT$2550,1,$AU$2051:$AU$2550,AU2389,$W$2051:$W$2550,"&lt;"&amp;W2389))</f>
        <v/>
      </c>
    </row>
    <row r="2390" spans="1:48" ht="22" customHeight="1">
      <c r="A2390" s="1" t="str">
        <f t="shared" si="150"/>
        <v/>
      </c>
      <c r="B2390" s="1" t="str">
        <f t="shared" si="151"/>
        <v/>
      </c>
      <c r="C2390" s="1" t="str">
        <f t="shared" si="152"/>
        <v/>
      </c>
      <c r="D2390" s="1" t="str">
        <f t="shared" si="153"/>
        <v/>
      </c>
      <c r="E2390" s="1" t="str">
        <f t="shared" si="154"/>
        <v/>
      </c>
      <c r="F2390" s="1" t="str">
        <f t="shared" si="155"/>
        <v/>
      </c>
      <c r="G2390" s="1" t="str">
        <f t="shared" si="156"/>
        <v/>
      </c>
      <c r="H2390" s="1" t="str">
        <f t="shared" si="157"/>
        <v/>
      </c>
      <c r="I2390" s="1">
        <f>IF(OR(A2390="",COUNTIFS('Staff Review'!$A$8:$A$507,A2390)&lt;&gt;1),0,MATCH(A2390,'Staff Review'!$A$8:$A$507,0))</f>
        <v>0</v>
      </c>
      <c r="J2390" s="1" t="str">
        <f>IF(I2390=0,"No",IF(INDEX('Staff Review'!$C$8:$C$507,I2390)="Yes","Yes","No"))</f>
        <v>No</v>
      </c>
      <c r="K2390" s="1" t="str">
        <f>IF(AI2390="Yes",INDEX('Staff Review'!$D$8:$D$507,I2390),IF(AB2390=0,"",IF(COUNT(INDEX($C$1531:$C$2030,AB2390))=1,INDEX($C$1531:$C$2030,AB2390),"")))</f>
        <v/>
      </c>
      <c r="L2390" s="1" t="str">
        <f>IF(AJ2390="Yes",INDEX('Staff Review'!$F$8:$F$507,I2390),IF(AB2390=0,"",IF(COUNT(INDEX($G$1531:$G$2030,AB2390))=1,INDEX($G$1531:$G$2030,AB2390),"")))</f>
        <v/>
      </c>
      <c r="M2390" s="1" t="str">
        <f t="shared" si="158"/>
        <v/>
      </c>
      <c r="N2390" s="1" t="str">
        <f t="shared" si="159"/>
        <v/>
      </c>
      <c r="O2390" s="1" t="str">
        <f t="shared" si="160"/>
        <v/>
      </c>
      <c r="P2390" s="1" t="str">
        <f t="shared" si="161"/>
        <v/>
      </c>
      <c r="Q2390" s="1" t="str">
        <f t="shared" si="162"/>
        <v/>
      </c>
      <c r="R2390" s="1" t="str">
        <f t="shared" si="163"/>
        <v/>
      </c>
      <c r="S2390" s="1" t="str">
        <f t="shared" si="164"/>
        <v/>
      </c>
      <c r="T2390" s="1" t="str">
        <f>IF(OR(COUNT(O2390:R2390)&lt;&gt;4,COUNT('Top 25'!$B$45:$E$45)&lt;&gt;4,MIN('Top 25'!$B$45:$E$45)&lt;0,SUM('Top 25'!$B$45:$E$45)&lt;=0),"",ROUND(85*(O2390/30*'Top 25'!$B$45+P2390/25*'Top 25'!$C$45+Q2390/25*'Top 25'!$D$45+R2390/5*'Top 25'!$E$45)/SUM('Top 25'!$B$45:$E$45),6))</f>
        <v/>
      </c>
      <c r="U2390" s="1" t="str">
        <f t="shared" si="165"/>
        <v/>
      </c>
      <c r="V2390" s="1" t="str">
        <f>IF(A2390="","",IF(AK2390&lt;&gt;1,"Duplicate source ID",IF(COUNTIFS('Staff Review'!$A$8:$A$507,A2390)&gt;1,"Duplicate review ID",IF(H2390&lt;&gt;"Yes","Outside scope",IF(J2390="Yes","Already served",IF(NOT(ISNUMBER(T2390)),"Missing data","Candidate"))))))</f>
        <v/>
      </c>
      <c r="W2390" s="1" t="str">
        <f t="shared" si="166"/>
        <v/>
      </c>
      <c r="X2390" s="1" t="str">
        <f t="shared" si="167"/>
        <v/>
      </c>
      <c r="Y2390" s="1">
        <f>IF(AND(H2390="Yes",OR(LEN('School Search'!$B$5)=0,ISNUMBER(SEARCH('School Search'!$B$5,B2390&amp;" "&amp;E2390&amp;" "&amp;A2390))),OR('School Search'!$D$5="All",C2390='School Search'!$D$5),OR('School Search'!$G$5="All eligible",AND('School Search'!$G$5="Not marked served",J2390&lt;&gt;"Yes"),AND('School Search'!$G$5="Missing data",V2390="Missing data"),AND('School Search'!$G$5="Marked served",J2390="Yes"))),1,0)</f>
        <v>0</v>
      </c>
      <c r="Z2390" s="1" t="str">
        <f>IF(Y2390=0,"",COUNTIFS($Y$2051:$Y$2550,1,$AO$2051:$AO$2550,"&lt;"&amp;AO2390)+COUNTIFS($Y$2051:Y2390,1,$AO$2051:AO2390,AO2390))</f>
        <v/>
      </c>
      <c r="AA2390" s="1" t="str">
        <f t="shared" si="168"/>
        <v>Missing demographic or access input</v>
      </c>
      <c r="AB2390" s="1">
        <f t="shared" si="169"/>
        <v>0</v>
      </c>
      <c r="AC2390" s="1" t="str">
        <f t="shared" si="170"/>
        <v/>
      </c>
      <c r="AD2390" s="1" t="str">
        <f t="shared" si="171"/>
        <v/>
      </c>
      <c r="AE2390" s="1" t="str">
        <f t="shared" si="172"/>
        <v/>
      </c>
      <c r="AF2390" s="1" t="str">
        <f t="shared" si="173"/>
        <v/>
      </c>
      <c r="AG2390" s="1" t="str">
        <f t="shared" si="174"/>
        <v/>
      </c>
      <c r="AH2390" s="1" t="str">
        <f>IF(I2390=0,"Not contacted",IF(INDEX('Staff Review'!$J$8:$J$507,I2390)="","Not contacted",INDEX('Staff Review'!$J$8:$J$507,I2390)))</f>
        <v>Not contacted</v>
      </c>
      <c r="AI2390" s="1" t="str">
        <f>IF(I2390=0,"No",IF(AND(COUNT(INDEX('Staff Review'!$D$8:$D$507,I2390))=1,INDEX('Staff Review'!$D$8:$D$507,I2390)&gt;=0,COUNT(INDEX('Staff Review'!$E$8:$E$507,I2390))=1,INDEX('Staff Review'!$E$8:$E$507,I2390)&gt;0,INDEX('Staff Review'!$E$8:$E$507,I2390)&lt;='Top 25'!$E$5,'Top 25'!$E$5-INDEX('Staff Review'!$E$8:$E$507,I2390)&lt;='Top 25'!$H$5,LEN(INDEX('Staff Review'!$H$8:$H$507,I2390))&gt;0),"Yes","No"))</f>
        <v>No</v>
      </c>
      <c r="AJ2390" s="1" t="str">
        <f>IF(I2390=0,"No",IF(COUNT(INDEX('Staff Review'!$F$8:$F$507,I2390))&lt;&gt;1,"No",IF(AND(INDEX('Staff Review'!$F$8:$F$507,I2390)&gt;=0,MOD(INDEX('Staff Review'!$F$8:$F$507,I2390),1)=0,COUNT(INDEX('Staff Review'!$G$8:$G$507,I2390))=1,INDEX('Staff Review'!$G$8:$G$507,I2390)&gt;0,INDEX('Staff Review'!$G$8:$G$507,I2390)&lt;='Top 25'!$E$5,'Top 25'!$E$5-INDEX('Staff Review'!$G$8:$G$507,I2390)&lt;='Top 25'!$H$5,LEN(INDEX('Staff Review'!$H$8:$H$507,I2390))&gt;0),"Yes","No")))</f>
        <v>No</v>
      </c>
      <c r="AK2390" s="1">
        <f t="shared" si="175"/>
        <v>0</v>
      </c>
      <c r="AL2390" s="1">
        <f t="shared" si="176"/>
        <v>0</v>
      </c>
      <c r="AM2390" s="1">
        <f t="shared" si="177"/>
        <v>0</v>
      </c>
      <c r="AN2390" s="1">
        <f t="shared" si="178"/>
        <v>0</v>
      </c>
      <c r="AO2390">
        <f t="shared" si="179"/>
        <v>10000</v>
      </c>
      <c r="AP2390" s="105">
        <f>IF(AND(AL2390=1,OR('Top 25'!$A$10="All",C2390='Top 25'!$A$10),OR('Top 25'!$D$10="All",D2390='Top 25'!$D$10)),1,0)</f>
        <v>0</v>
      </c>
      <c r="AQ2390" s="105" t="str">
        <f>IF(AP2390=0,"",CHOOSE(MATCH('Top 25'!$G$10,{"Priority score","Economic need","Enrollment","Fresh miles","Nearby resources"},0),T2390,G2390,F2390,K2390,L2390))</f>
        <v/>
      </c>
      <c r="AR2390" s="105" t="str">
        <f>IF(AP2390=0,"",1+COUNTIFS($AP$2051:$AP$2550,1,$AQ$2051:$AQ$2550,IF('Top 25'!$J$10="Ascending","&lt;","&gt;")&amp;AQ2390)+COUNTIFS($AP$2051:$AP$2550,1,$AQ$2051:$AQ$2550,AQ2390,$W$2051:$W$2550,"&lt;"&amp;W2390))</f>
        <v/>
      </c>
      <c r="AT2390" s="105">
        <f>IF(AND(AL2390=1,OR(Master_rankableSchools!$A$10="All",C2390=Master_rankableSchools!$A$10),OR(Master_rankableSchools!$D$10="All",D2390=Master_rankableSchools!$D$10)),1,0)</f>
        <v>0</v>
      </c>
      <c r="AU2390" s="105" t="str">
        <f>IF(AT2390=0,"",CHOOSE(MATCH(Master_rankableSchools!$G$10,{"Priority score","Economic need","Enrollment","Fresh miles","Nearby resources"},0),T2390,G2390,F2390,K2390,L2390))</f>
        <v/>
      </c>
      <c r="AV2390" s="105" t="str">
        <f>IF(AT2390=0,"",1+COUNTIFS($AT$2051:$AT$2550,1,$AU$2051:$AU$2550,IF(Master_rankableSchools!$J$10="Ascending","&lt;","&gt;")&amp;AU2390)+COUNTIFS($AT$2051:$AT$2550,1,$AU$2051:$AU$2550,AU2390,$W$2051:$W$2550,"&lt;"&amp;W2390))</f>
        <v/>
      </c>
    </row>
    <row r="2391" spans="1:48" ht="22" customHeight="1">
      <c r="A2391" s="1" t="str">
        <f t="shared" si="150"/>
        <v/>
      </c>
      <c r="B2391" s="1" t="str">
        <f t="shared" si="151"/>
        <v/>
      </c>
      <c r="C2391" s="1" t="str">
        <f t="shared" si="152"/>
        <v/>
      </c>
      <c r="D2391" s="1" t="str">
        <f t="shared" si="153"/>
        <v/>
      </c>
      <c r="E2391" s="1" t="str">
        <f t="shared" si="154"/>
        <v/>
      </c>
      <c r="F2391" s="1" t="str">
        <f t="shared" si="155"/>
        <v/>
      </c>
      <c r="G2391" s="1" t="str">
        <f t="shared" si="156"/>
        <v/>
      </c>
      <c r="H2391" s="1" t="str">
        <f t="shared" si="157"/>
        <v/>
      </c>
      <c r="I2391" s="1">
        <f>IF(OR(A2391="",COUNTIFS('Staff Review'!$A$8:$A$507,A2391)&lt;&gt;1),0,MATCH(A2391,'Staff Review'!$A$8:$A$507,0))</f>
        <v>0</v>
      </c>
      <c r="J2391" s="1" t="str">
        <f>IF(I2391=0,"No",IF(INDEX('Staff Review'!$C$8:$C$507,I2391)="Yes","Yes","No"))</f>
        <v>No</v>
      </c>
      <c r="K2391" s="1" t="str">
        <f>IF(AI2391="Yes",INDEX('Staff Review'!$D$8:$D$507,I2391),IF(AB2391=0,"",IF(COUNT(INDEX($C$1531:$C$2030,AB2391))=1,INDEX($C$1531:$C$2030,AB2391),"")))</f>
        <v/>
      </c>
      <c r="L2391" s="1" t="str">
        <f>IF(AJ2391="Yes",INDEX('Staff Review'!$F$8:$F$507,I2391),IF(AB2391=0,"",IF(COUNT(INDEX($G$1531:$G$2030,AB2391))=1,INDEX($G$1531:$G$2030,AB2391),"")))</f>
        <v/>
      </c>
      <c r="M2391" s="1" t="str">
        <f t="shared" si="158"/>
        <v/>
      </c>
      <c r="N2391" s="1" t="str">
        <f t="shared" si="159"/>
        <v/>
      </c>
      <c r="O2391" s="1" t="str">
        <f t="shared" si="160"/>
        <v/>
      </c>
      <c r="P2391" s="1" t="str">
        <f t="shared" si="161"/>
        <v/>
      </c>
      <c r="Q2391" s="1" t="str">
        <f t="shared" si="162"/>
        <v/>
      </c>
      <c r="R2391" s="1" t="str">
        <f t="shared" si="163"/>
        <v/>
      </c>
      <c r="S2391" s="1" t="str">
        <f t="shared" si="164"/>
        <v/>
      </c>
      <c r="T2391" s="1" t="str">
        <f>IF(OR(COUNT(O2391:R2391)&lt;&gt;4,COUNT('Top 25'!$B$45:$E$45)&lt;&gt;4,MIN('Top 25'!$B$45:$E$45)&lt;0,SUM('Top 25'!$B$45:$E$45)&lt;=0),"",ROUND(85*(O2391/30*'Top 25'!$B$45+P2391/25*'Top 25'!$C$45+Q2391/25*'Top 25'!$D$45+R2391/5*'Top 25'!$E$45)/SUM('Top 25'!$B$45:$E$45),6))</f>
        <v/>
      </c>
      <c r="U2391" s="1" t="str">
        <f t="shared" si="165"/>
        <v/>
      </c>
      <c r="V2391" s="1" t="str">
        <f>IF(A2391="","",IF(AK2391&lt;&gt;1,"Duplicate source ID",IF(COUNTIFS('Staff Review'!$A$8:$A$507,A2391)&gt;1,"Duplicate review ID",IF(H2391&lt;&gt;"Yes","Outside scope",IF(J2391="Yes","Already served",IF(NOT(ISNUMBER(T2391)),"Missing data","Candidate"))))))</f>
        <v/>
      </c>
      <c r="W2391" s="1" t="str">
        <f t="shared" si="166"/>
        <v/>
      </c>
      <c r="X2391" s="1" t="str">
        <f t="shared" si="167"/>
        <v/>
      </c>
      <c r="Y2391" s="1">
        <f>IF(AND(H2391="Yes",OR(LEN('School Search'!$B$5)=0,ISNUMBER(SEARCH('School Search'!$B$5,B2391&amp;" "&amp;E2391&amp;" "&amp;A2391))),OR('School Search'!$D$5="All",C2391='School Search'!$D$5),OR('School Search'!$G$5="All eligible",AND('School Search'!$G$5="Not marked served",J2391&lt;&gt;"Yes"),AND('School Search'!$G$5="Missing data",V2391="Missing data"),AND('School Search'!$G$5="Marked served",J2391="Yes"))),1,0)</f>
        <v>0</v>
      </c>
      <c r="Z2391" s="1" t="str">
        <f>IF(Y2391=0,"",COUNTIFS($Y$2051:$Y$2550,1,$AO$2051:$AO$2550,"&lt;"&amp;AO2391)+COUNTIFS($Y$2051:Y2391,1,$AO$2051:AO2391,AO2391))</f>
        <v/>
      </c>
      <c r="AA2391" s="1" t="str">
        <f t="shared" si="168"/>
        <v>Missing demographic or access input</v>
      </c>
      <c r="AB2391" s="1">
        <f t="shared" si="169"/>
        <v>0</v>
      </c>
      <c r="AC2391" s="1" t="str">
        <f t="shared" si="170"/>
        <v/>
      </c>
      <c r="AD2391" s="1" t="str">
        <f t="shared" si="171"/>
        <v/>
      </c>
      <c r="AE2391" s="1" t="str">
        <f t="shared" si="172"/>
        <v/>
      </c>
      <c r="AF2391" s="1" t="str">
        <f t="shared" si="173"/>
        <v/>
      </c>
      <c r="AG2391" s="1" t="str">
        <f t="shared" si="174"/>
        <v/>
      </c>
      <c r="AH2391" s="1" t="str">
        <f>IF(I2391=0,"Not contacted",IF(INDEX('Staff Review'!$J$8:$J$507,I2391)="","Not contacted",INDEX('Staff Review'!$J$8:$J$507,I2391)))</f>
        <v>Not contacted</v>
      </c>
      <c r="AI2391" s="1" t="str">
        <f>IF(I2391=0,"No",IF(AND(COUNT(INDEX('Staff Review'!$D$8:$D$507,I2391))=1,INDEX('Staff Review'!$D$8:$D$507,I2391)&gt;=0,COUNT(INDEX('Staff Review'!$E$8:$E$507,I2391))=1,INDEX('Staff Review'!$E$8:$E$507,I2391)&gt;0,INDEX('Staff Review'!$E$8:$E$507,I2391)&lt;='Top 25'!$E$5,'Top 25'!$E$5-INDEX('Staff Review'!$E$8:$E$507,I2391)&lt;='Top 25'!$H$5,LEN(INDEX('Staff Review'!$H$8:$H$507,I2391))&gt;0),"Yes","No"))</f>
        <v>No</v>
      </c>
      <c r="AJ2391" s="1" t="str">
        <f>IF(I2391=0,"No",IF(COUNT(INDEX('Staff Review'!$F$8:$F$507,I2391))&lt;&gt;1,"No",IF(AND(INDEX('Staff Review'!$F$8:$F$507,I2391)&gt;=0,MOD(INDEX('Staff Review'!$F$8:$F$507,I2391),1)=0,COUNT(INDEX('Staff Review'!$G$8:$G$507,I2391))=1,INDEX('Staff Review'!$G$8:$G$507,I2391)&gt;0,INDEX('Staff Review'!$G$8:$G$507,I2391)&lt;='Top 25'!$E$5,'Top 25'!$E$5-INDEX('Staff Review'!$G$8:$G$507,I2391)&lt;='Top 25'!$H$5,LEN(INDEX('Staff Review'!$H$8:$H$507,I2391))&gt;0),"Yes","No")))</f>
        <v>No</v>
      </c>
      <c r="AK2391" s="1">
        <f t="shared" si="175"/>
        <v>0</v>
      </c>
      <c r="AL2391" s="1">
        <f t="shared" si="176"/>
        <v>0</v>
      </c>
      <c r="AM2391" s="1">
        <f t="shared" si="177"/>
        <v>0</v>
      </c>
      <c r="AN2391" s="1">
        <f t="shared" si="178"/>
        <v>0</v>
      </c>
      <c r="AO2391">
        <f t="shared" si="179"/>
        <v>10000</v>
      </c>
      <c r="AP2391" s="105">
        <f>IF(AND(AL2391=1,OR('Top 25'!$A$10="All",C2391='Top 25'!$A$10),OR('Top 25'!$D$10="All",D2391='Top 25'!$D$10)),1,0)</f>
        <v>0</v>
      </c>
      <c r="AQ2391" s="105" t="str">
        <f>IF(AP2391=0,"",CHOOSE(MATCH('Top 25'!$G$10,{"Priority score","Economic need","Enrollment","Fresh miles","Nearby resources"},0),T2391,G2391,F2391,K2391,L2391))</f>
        <v/>
      </c>
      <c r="AR2391" s="105" t="str">
        <f>IF(AP2391=0,"",1+COUNTIFS($AP$2051:$AP$2550,1,$AQ$2051:$AQ$2550,IF('Top 25'!$J$10="Ascending","&lt;","&gt;")&amp;AQ2391)+COUNTIFS($AP$2051:$AP$2550,1,$AQ$2051:$AQ$2550,AQ2391,$W$2051:$W$2550,"&lt;"&amp;W2391))</f>
        <v/>
      </c>
      <c r="AT2391" s="105">
        <f>IF(AND(AL2391=1,OR(Master_rankableSchools!$A$10="All",C2391=Master_rankableSchools!$A$10),OR(Master_rankableSchools!$D$10="All",D2391=Master_rankableSchools!$D$10)),1,0)</f>
        <v>0</v>
      </c>
      <c r="AU2391" s="105" t="str">
        <f>IF(AT2391=0,"",CHOOSE(MATCH(Master_rankableSchools!$G$10,{"Priority score","Economic need","Enrollment","Fresh miles","Nearby resources"},0),T2391,G2391,F2391,K2391,L2391))</f>
        <v/>
      </c>
      <c r="AV2391" s="105" t="str">
        <f>IF(AT2391=0,"",1+COUNTIFS($AT$2051:$AT$2550,1,$AU$2051:$AU$2550,IF(Master_rankableSchools!$J$10="Ascending","&lt;","&gt;")&amp;AU2391)+COUNTIFS($AT$2051:$AT$2550,1,$AU$2051:$AU$2550,AU2391,$W$2051:$W$2550,"&lt;"&amp;W2391))</f>
        <v/>
      </c>
    </row>
    <row r="2392" spans="1:48" ht="22" customHeight="1">
      <c r="A2392" s="1" t="str">
        <f t="shared" si="150"/>
        <v/>
      </c>
      <c r="B2392" s="1" t="str">
        <f t="shared" si="151"/>
        <v/>
      </c>
      <c r="C2392" s="1" t="str">
        <f t="shared" si="152"/>
        <v/>
      </c>
      <c r="D2392" s="1" t="str">
        <f t="shared" si="153"/>
        <v/>
      </c>
      <c r="E2392" s="1" t="str">
        <f t="shared" si="154"/>
        <v/>
      </c>
      <c r="F2392" s="1" t="str">
        <f t="shared" si="155"/>
        <v/>
      </c>
      <c r="G2392" s="1" t="str">
        <f t="shared" si="156"/>
        <v/>
      </c>
      <c r="H2392" s="1" t="str">
        <f t="shared" si="157"/>
        <v/>
      </c>
      <c r="I2392" s="1">
        <f>IF(OR(A2392="",COUNTIFS('Staff Review'!$A$8:$A$507,A2392)&lt;&gt;1),0,MATCH(A2392,'Staff Review'!$A$8:$A$507,0))</f>
        <v>0</v>
      </c>
      <c r="J2392" s="1" t="str">
        <f>IF(I2392=0,"No",IF(INDEX('Staff Review'!$C$8:$C$507,I2392)="Yes","Yes","No"))</f>
        <v>No</v>
      </c>
      <c r="K2392" s="1" t="str">
        <f>IF(AI2392="Yes",INDEX('Staff Review'!$D$8:$D$507,I2392),IF(AB2392=0,"",IF(COUNT(INDEX($C$1531:$C$2030,AB2392))=1,INDEX($C$1531:$C$2030,AB2392),"")))</f>
        <v/>
      </c>
      <c r="L2392" s="1" t="str">
        <f>IF(AJ2392="Yes",INDEX('Staff Review'!$F$8:$F$507,I2392),IF(AB2392=0,"",IF(COUNT(INDEX($G$1531:$G$2030,AB2392))=1,INDEX($G$1531:$G$2030,AB2392),"")))</f>
        <v/>
      </c>
      <c r="M2392" s="1" t="str">
        <f t="shared" si="158"/>
        <v/>
      </c>
      <c r="N2392" s="1" t="str">
        <f t="shared" si="159"/>
        <v/>
      </c>
      <c r="O2392" s="1" t="str">
        <f t="shared" si="160"/>
        <v/>
      </c>
      <c r="P2392" s="1" t="str">
        <f t="shared" si="161"/>
        <v/>
      </c>
      <c r="Q2392" s="1" t="str">
        <f t="shared" si="162"/>
        <v/>
      </c>
      <c r="R2392" s="1" t="str">
        <f t="shared" si="163"/>
        <v/>
      </c>
      <c r="S2392" s="1" t="str">
        <f t="shared" si="164"/>
        <v/>
      </c>
      <c r="T2392" s="1" t="str">
        <f>IF(OR(COUNT(O2392:R2392)&lt;&gt;4,COUNT('Top 25'!$B$45:$E$45)&lt;&gt;4,MIN('Top 25'!$B$45:$E$45)&lt;0,SUM('Top 25'!$B$45:$E$45)&lt;=0),"",ROUND(85*(O2392/30*'Top 25'!$B$45+P2392/25*'Top 25'!$C$45+Q2392/25*'Top 25'!$D$45+R2392/5*'Top 25'!$E$45)/SUM('Top 25'!$B$45:$E$45),6))</f>
        <v/>
      </c>
      <c r="U2392" s="1" t="str">
        <f t="shared" si="165"/>
        <v/>
      </c>
      <c r="V2392" s="1" t="str">
        <f>IF(A2392="","",IF(AK2392&lt;&gt;1,"Duplicate source ID",IF(COUNTIFS('Staff Review'!$A$8:$A$507,A2392)&gt;1,"Duplicate review ID",IF(H2392&lt;&gt;"Yes","Outside scope",IF(J2392="Yes","Already served",IF(NOT(ISNUMBER(T2392)),"Missing data","Candidate"))))))</f>
        <v/>
      </c>
      <c r="W2392" s="1" t="str">
        <f t="shared" si="166"/>
        <v/>
      </c>
      <c r="X2392" s="1" t="str">
        <f t="shared" si="167"/>
        <v/>
      </c>
      <c r="Y2392" s="1">
        <f>IF(AND(H2392="Yes",OR(LEN('School Search'!$B$5)=0,ISNUMBER(SEARCH('School Search'!$B$5,B2392&amp;" "&amp;E2392&amp;" "&amp;A2392))),OR('School Search'!$D$5="All",C2392='School Search'!$D$5),OR('School Search'!$G$5="All eligible",AND('School Search'!$G$5="Not marked served",J2392&lt;&gt;"Yes"),AND('School Search'!$G$5="Missing data",V2392="Missing data"),AND('School Search'!$G$5="Marked served",J2392="Yes"))),1,0)</f>
        <v>0</v>
      </c>
      <c r="Z2392" s="1" t="str">
        <f>IF(Y2392=0,"",COUNTIFS($Y$2051:$Y$2550,1,$AO$2051:$AO$2550,"&lt;"&amp;AO2392)+COUNTIFS($Y$2051:Y2392,1,$AO$2051:AO2392,AO2392))</f>
        <v/>
      </c>
      <c r="AA2392" s="1" t="str">
        <f t="shared" si="168"/>
        <v>Missing demographic or access input</v>
      </c>
      <c r="AB2392" s="1">
        <f t="shared" si="169"/>
        <v>0</v>
      </c>
      <c r="AC2392" s="1" t="str">
        <f t="shared" si="170"/>
        <v/>
      </c>
      <c r="AD2392" s="1" t="str">
        <f t="shared" si="171"/>
        <v/>
      </c>
      <c r="AE2392" s="1" t="str">
        <f t="shared" si="172"/>
        <v/>
      </c>
      <c r="AF2392" s="1" t="str">
        <f t="shared" si="173"/>
        <v/>
      </c>
      <c r="AG2392" s="1" t="str">
        <f t="shared" si="174"/>
        <v/>
      </c>
      <c r="AH2392" s="1" t="str">
        <f>IF(I2392=0,"Not contacted",IF(INDEX('Staff Review'!$J$8:$J$507,I2392)="","Not contacted",INDEX('Staff Review'!$J$8:$J$507,I2392)))</f>
        <v>Not contacted</v>
      </c>
      <c r="AI2392" s="1" t="str">
        <f>IF(I2392=0,"No",IF(AND(COUNT(INDEX('Staff Review'!$D$8:$D$507,I2392))=1,INDEX('Staff Review'!$D$8:$D$507,I2392)&gt;=0,COUNT(INDEX('Staff Review'!$E$8:$E$507,I2392))=1,INDEX('Staff Review'!$E$8:$E$507,I2392)&gt;0,INDEX('Staff Review'!$E$8:$E$507,I2392)&lt;='Top 25'!$E$5,'Top 25'!$E$5-INDEX('Staff Review'!$E$8:$E$507,I2392)&lt;='Top 25'!$H$5,LEN(INDEX('Staff Review'!$H$8:$H$507,I2392))&gt;0),"Yes","No"))</f>
        <v>No</v>
      </c>
      <c r="AJ2392" s="1" t="str">
        <f>IF(I2392=0,"No",IF(COUNT(INDEX('Staff Review'!$F$8:$F$507,I2392))&lt;&gt;1,"No",IF(AND(INDEX('Staff Review'!$F$8:$F$507,I2392)&gt;=0,MOD(INDEX('Staff Review'!$F$8:$F$507,I2392),1)=0,COUNT(INDEX('Staff Review'!$G$8:$G$507,I2392))=1,INDEX('Staff Review'!$G$8:$G$507,I2392)&gt;0,INDEX('Staff Review'!$G$8:$G$507,I2392)&lt;='Top 25'!$E$5,'Top 25'!$E$5-INDEX('Staff Review'!$G$8:$G$507,I2392)&lt;='Top 25'!$H$5,LEN(INDEX('Staff Review'!$H$8:$H$507,I2392))&gt;0),"Yes","No")))</f>
        <v>No</v>
      </c>
      <c r="AK2392" s="1">
        <f t="shared" si="175"/>
        <v>0</v>
      </c>
      <c r="AL2392" s="1">
        <f t="shared" si="176"/>
        <v>0</v>
      </c>
      <c r="AM2392" s="1">
        <f t="shared" si="177"/>
        <v>0</v>
      </c>
      <c r="AN2392" s="1">
        <f t="shared" si="178"/>
        <v>0</v>
      </c>
      <c r="AO2392">
        <f t="shared" si="179"/>
        <v>10000</v>
      </c>
      <c r="AP2392" s="105">
        <f>IF(AND(AL2392=1,OR('Top 25'!$A$10="All",C2392='Top 25'!$A$10),OR('Top 25'!$D$10="All",D2392='Top 25'!$D$10)),1,0)</f>
        <v>0</v>
      </c>
      <c r="AQ2392" s="105" t="str">
        <f>IF(AP2392=0,"",CHOOSE(MATCH('Top 25'!$G$10,{"Priority score","Economic need","Enrollment","Fresh miles","Nearby resources"},0),T2392,G2392,F2392,K2392,L2392))</f>
        <v/>
      </c>
      <c r="AR2392" s="105" t="str">
        <f>IF(AP2392=0,"",1+COUNTIFS($AP$2051:$AP$2550,1,$AQ$2051:$AQ$2550,IF('Top 25'!$J$10="Ascending","&lt;","&gt;")&amp;AQ2392)+COUNTIFS($AP$2051:$AP$2550,1,$AQ$2051:$AQ$2550,AQ2392,$W$2051:$W$2550,"&lt;"&amp;W2392))</f>
        <v/>
      </c>
      <c r="AT2392" s="105">
        <f>IF(AND(AL2392=1,OR(Master_rankableSchools!$A$10="All",C2392=Master_rankableSchools!$A$10),OR(Master_rankableSchools!$D$10="All",D2392=Master_rankableSchools!$D$10)),1,0)</f>
        <v>0</v>
      </c>
      <c r="AU2392" s="105" t="str">
        <f>IF(AT2392=0,"",CHOOSE(MATCH(Master_rankableSchools!$G$10,{"Priority score","Economic need","Enrollment","Fresh miles","Nearby resources"},0),T2392,G2392,F2392,K2392,L2392))</f>
        <v/>
      </c>
      <c r="AV2392" s="105" t="str">
        <f>IF(AT2392=0,"",1+COUNTIFS($AT$2051:$AT$2550,1,$AU$2051:$AU$2550,IF(Master_rankableSchools!$J$10="Ascending","&lt;","&gt;")&amp;AU2392)+COUNTIFS($AT$2051:$AT$2550,1,$AU$2051:$AU$2550,AU2392,$W$2051:$W$2550,"&lt;"&amp;W2392))</f>
        <v/>
      </c>
    </row>
    <row r="2393" spans="1:48" ht="22" customHeight="1">
      <c r="A2393" s="1" t="str">
        <f t="shared" si="150"/>
        <v/>
      </c>
      <c r="B2393" s="1" t="str">
        <f t="shared" si="151"/>
        <v/>
      </c>
      <c r="C2393" s="1" t="str">
        <f t="shared" si="152"/>
        <v/>
      </c>
      <c r="D2393" s="1" t="str">
        <f t="shared" si="153"/>
        <v/>
      </c>
      <c r="E2393" s="1" t="str">
        <f t="shared" si="154"/>
        <v/>
      </c>
      <c r="F2393" s="1" t="str">
        <f t="shared" si="155"/>
        <v/>
      </c>
      <c r="G2393" s="1" t="str">
        <f t="shared" si="156"/>
        <v/>
      </c>
      <c r="H2393" s="1" t="str">
        <f t="shared" si="157"/>
        <v/>
      </c>
      <c r="I2393" s="1">
        <f>IF(OR(A2393="",COUNTIFS('Staff Review'!$A$8:$A$507,A2393)&lt;&gt;1),0,MATCH(A2393,'Staff Review'!$A$8:$A$507,0))</f>
        <v>0</v>
      </c>
      <c r="J2393" s="1" t="str">
        <f>IF(I2393=0,"No",IF(INDEX('Staff Review'!$C$8:$C$507,I2393)="Yes","Yes","No"))</f>
        <v>No</v>
      </c>
      <c r="K2393" s="1" t="str">
        <f>IF(AI2393="Yes",INDEX('Staff Review'!$D$8:$D$507,I2393),IF(AB2393=0,"",IF(COUNT(INDEX($C$1531:$C$2030,AB2393))=1,INDEX($C$1531:$C$2030,AB2393),"")))</f>
        <v/>
      </c>
      <c r="L2393" s="1" t="str">
        <f>IF(AJ2393="Yes",INDEX('Staff Review'!$F$8:$F$507,I2393),IF(AB2393=0,"",IF(COUNT(INDEX($G$1531:$G$2030,AB2393))=1,INDEX($G$1531:$G$2030,AB2393),"")))</f>
        <v/>
      </c>
      <c r="M2393" s="1" t="str">
        <f t="shared" si="158"/>
        <v/>
      </c>
      <c r="N2393" s="1" t="str">
        <f t="shared" si="159"/>
        <v/>
      </c>
      <c r="O2393" s="1" t="str">
        <f t="shared" si="160"/>
        <v/>
      </c>
      <c r="P2393" s="1" t="str">
        <f t="shared" si="161"/>
        <v/>
      </c>
      <c r="Q2393" s="1" t="str">
        <f t="shared" si="162"/>
        <v/>
      </c>
      <c r="R2393" s="1" t="str">
        <f t="shared" si="163"/>
        <v/>
      </c>
      <c r="S2393" s="1" t="str">
        <f t="shared" si="164"/>
        <v/>
      </c>
      <c r="T2393" s="1" t="str">
        <f>IF(OR(COUNT(O2393:R2393)&lt;&gt;4,COUNT('Top 25'!$B$45:$E$45)&lt;&gt;4,MIN('Top 25'!$B$45:$E$45)&lt;0,SUM('Top 25'!$B$45:$E$45)&lt;=0),"",ROUND(85*(O2393/30*'Top 25'!$B$45+P2393/25*'Top 25'!$C$45+Q2393/25*'Top 25'!$D$45+R2393/5*'Top 25'!$E$45)/SUM('Top 25'!$B$45:$E$45),6))</f>
        <v/>
      </c>
      <c r="U2393" s="1" t="str">
        <f t="shared" si="165"/>
        <v/>
      </c>
      <c r="V2393" s="1" t="str">
        <f>IF(A2393="","",IF(AK2393&lt;&gt;1,"Duplicate source ID",IF(COUNTIFS('Staff Review'!$A$8:$A$507,A2393)&gt;1,"Duplicate review ID",IF(H2393&lt;&gt;"Yes","Outside scope",IF(J2393="Yes","Already served",IF(NOT(ISNUMBER(T2393)),"Missing data","Candidate"))))))</f>
        <v/>
      </c>
      <c r="W2393" s="1" t="str">
        <f t="shared" si="166"/>
        <v/>
      </c>
      <c r="X2393" s="1" t="str">
        <f t="shared" si="167"/>
        <v/>
      </c>
      <c r="Y2393" s="1">
        <f>IF(AND(H2393="Yes",OR(LEN('School Search'!$B$5)=0,ISNUMBER(SEARCH('School Search'!$B$5,B2393&amp;" "&amp;E2393&amp;" "&amp;A2393))),OR('School Search'!$D$5="All",C2393='School Search'!$D$5),OR('School Search'!$G$5="All eligible",AND('School Search'!$G$5="Not marked served",J2393&lt;&gt;"Yes"),AND('School Search'!$G$5="Missing data",V2393="Missing data"),AND('School Search'!$G$5="Marked served",J2393="Yes"))),1,0)</f>
        <v>0</v>
      </c>
      <c r="Z2393" s="1" t="str">
        <f>IF(Y2393=0,"",COUNTIFS($Y$2051:$Y$2550,1,$AO$2051:$AO$2550,"&lt;"&amp;AO2393)+COUNTIFS($Y$2051:Y2393,1,$AO$2051:AO2393,AO2393))</f>
        <v/>
      </c>
      <c r="AA2393" s="1" t="str">
        <f t="shared" si="168"/>
        <v>Missing demographic or access input</v>
      </c>
      <c r="AB2393" s="1">
        <f t="shared" si="169"/>
        <v>0</v>
      </c>
      <c r="AC2393" s="1" t="str">
        <f t="shared" si="170"/>
        <v/>
      </c>
      <c r="AD2393" s="1" t="str">
        <f t="shared" si="171"/>
        <v/>
      </c>
      <c r="AE2393" s="1" t="str">
        <f t="shared" si="172"/>
        <v/>
      </c>
      <c r="AF2393" s="1" t="str">
        <f t="shared" si="173"/>
        <v/>
      </c>
      <c r="AG2393" s="1" t="str">
        <f t="shared" si="174"/>
        <v/>
      </c>
      <c r="AH2393" s="1" t="str">
        <f>IF(I2393=0,"Not contacted",IF(INDEX('Staff Review'!$J$8:$J$507,I2393)="","Not contacted",INDEX('Staff Review'!$J$8:$J$507,I2393)))</f>
        <v>Not contacted</v>
      </c>
      <c r="AI2393" s="1" t="str">
        <f>IF(I2393=0,"No",IF(AND(COUNT(INDEX('Staff Review'!$D$8:$D$507,I2393))=1,INDEX('Staff Review'!$D$8:$D$507,I2393)&gt;=0,COUNT(INDEX('Staff Review'!$E$8:$E$507,I2393))=1,INDEX('Staff Review'!$E$8:$E$507,I2393)&gt;0,INDEX('Staff Review'!$E$8:$E$507,I2393)&lt;='Top 25'!$E$5,'Top 25'!$E$5-INDEX('Staff Review'!$E$8:$E$507,I2393)&lt;='Top 25'!$H$5,LEN(INDEX('Staff Review'!$H$8:$H$507,I2393))&gt;0),"Yes","No"))</f>
        <v>No</v>
      </c>
      <c r="AJ2393" s="1" t="str">
        <f>IF(I2393=0,"No",IF(COUNT(INDEX('Staff Review'!$F$8:$F$507,I2393))&lt;&gt;1,"No",IF(AND(INDEX('Staff Review'!$F$8:$F$507,I2393)&gt;=0,MOD(INDEX('Staff Review'!$F$8:$F$507,I2393),1)=0,COUNT(INDEX('Staff Review'!$G$8:$G$507,I2393))=1,INDEX('Staff Review'!$G$8:$G$507,I2393)&gt;0,INDEX('Staff Review'!$G$8:$G$507,I2393)&lt;='Top 25'!$E$5,'Top 25'!$E$5-INDEX('Staff Review'!$G$8:$G$507,I2393)&lt;='Top 25'!$H$5,LEN(INDEX('Staff Review'!$H$8:$H$507,I2393))&gt;0),"Yes","No")))</f>
        <v>No</v>
      </c>
      <c r="AK2393" s="1">
        <f t="shared" si="175"/>
        <v>0</v>
      </c>
      <c r="AL2393" s="1">
        <f t="shared" si="176"/>
        <v>0</v>
      </c>
      <c r="AM2393" s="1">
        <f t="shared" si="177"/>
        <v>0</v>
      </c>
      <c r="AN2393" s="1">
        <f t="shared" si="178"/>
        <v>0</v>
      </c>
      <c r="AO2393">
        <f t="shared" si="179"/>
        <v>10000</v>
      </c>
      <c r="AP2393" s="105">
        <f>IF(AND(AL2393=1,OR('Top 25'!$A$10="All",C2393='Top 25'!$A$10),OR('Top 25'!$D$10="All",D2393='Top 25'!$D$10)),1,0)</f>
        <v>0</v>
      </c>
      <c r="AQ2393" s="105" t="str">
        <f>IF(AP2393=0,"",CHOOSE(MATCH('Top 25'!$G$10,{"Priority score","Economic need","Enrollment","Fresh miles","Nearby resources"},0),T2393,G2393,F2393,K2393,L2393))</f>
        <v/>
      </c>
      <c r="AR2393" s="105" t="str">
        <f>IF(AP2393=0,"",1+COUNTIFS($AP$2051:$AP$2550,1,$AQ$2051:$AQ$2550,IF('Top 25'!$J$10="Ascending","&lt;","&gt;")&amp;AQ2393)+COUNTIFS($AP$2051:$AP$2550,1,$AQ$2051:$AQ$2550,AQ2393,$W$2051:$W$2550,"&lt;"&amp;W2393))</f>
        <v/>
      </c>
      <c r="AT2393" s="105">
        <f>IF(AND(AL2393=1,OR(Master_rankableSchools!$A$10="All",C2393=Master_rankableSchools!$A$10),OR(Master_rankableSchools!$D$10="All",D2393=Master_rankableSchools!$D$10)),1,0)</f>
        <v>0</v>
      </c>
      <c r="AU2393" s="105" t="str">
        <f>IF(AT2393=0,"",CHOOSE(MATCH(Master_rankableSchools!$G$10,{"Priority score","Economic need","Enrollment","Fresh miles","Nearby resources"},0),T2393,G2393,F2393,K2393,L2393))</f>
        <v/>
      </c>
      <c r="AV2393" s="105" t="str">
        <f>IF(AT2393=0,"",1+COUNTIFS($AT$2051:$AT$2550,1,$AU$2051:$AU$2550,IF(Master_rankableSchools!$J$10="Ascending","&lt;","&gt;")&amp;AU2393)+COUNTIFS($AT$2051:$AT$2550,1,$AU$2051:$AU$2550,AU2393,$W$2051:$W$2550,"&lt;"&amp;W2393))</f>
        <v/>
      </c>
    </row>
    <row r="2394" spans="1:48" ht="22" customHeight="1">
      <c r="A2394" s="1" t="str">
        <f t="shared" si="150"/>
        <v/>
      </c>
      <c r="B2394" s="1" t="str">
        <f t="shared" si="151"/>
        <v/>
      </c>
      <c r="C2394" s="1" t="str">
        <f t="shared" si="152"/>
        <v/>
      </c>
      <c r="D2394" s="1" t="str">
        <f t="shared" si="153"/>
        <v/>
      </c>
      <c r="E2394" s="1" t="str">
        <f t="shared" si="154"/>
        <v/>
      </c>
      <c r="F2394" s="1" t="str">
        <f t="shared" si="155"/>
        <v/>
      </c>
      <c r="G2394" s="1" t="str">
        <f t="shared" si="156"/>
        <v/>
      </c>
      <c r="H2394" s="1" t="str">
        <f t="shared" si="157"/>
        <v/>
      </c>
      <c r="I2394" s="1">
        <f>IF(OR(A2394="",COUNTIFS('Staff Review'!$A$8:$A$507,A2394)&lt;&gt;1),0,MATCH(A2394,'Staff Review'!$A$8:$A$507,0))</f>
        <v>0</v>
      </c>
      <c r="J2394" s="1" t="str">
        <f>IF(I2394=0,"No",IF(INDEX('Staff Review'!$C$8:$C$507,I2394)="Yes","Yes","No"))</f>
        <v>No</v>
      </c>
      <c r="K2394" s="1" t="str">
        <f>IF(AI2394="Yes",INDEX('Staff Review'!$D$8:$D$507,I2394),IF(AB2394=0,"",IF(COUNT(INDEX($C$1531:$C$2030,AB2394))=1,INDEX($C$1531:$C$2030,AB2394),"")))</f>
        <v/>
      </c>
      <c r="L2394" s="1" t="str">
        <f>IF(AJ2394="Yes",INDEX('Staff Review'!$F$8:$F$507,I2394),IF(AB2394=0,"",IF(COUNT(INDEX($G$1531:$G$2030,AB2394))=1,INDEX($G$1531:$G$2030,AB2394),"")))</f>
        <v/>
      </c>
      <c r="M2394" s="1" t="str">
        <f t="shared" si="158"/>
        <v/>
      </c>
      <c r="N2394" s="1" t="str">
        <f t="shared" si="159"/>
        <v/>
      </c>
      <c r="O2394" s="1" t="str">
        <f t="shared" si="160"/>
        <v/>
      </c>
      <c r="P2394" s="1" t="str">
        <f t="shared" si="161"/>
        <v/>
      </c>
      <c r="Q2394" s="1" t="str">
        <f t="shared" si="162"/>
        <v/>
      </c>
      <c r="R2394" s="1" t="str">
        <f t="shared" si="163"/>
        <v/>
      </c>
      <c r="S2394" s="1" t="str">
        <f t="shared" si="164"/>
        <v/>
      </c>
      <c r="T2394" s="1" t="str">
        <f>IF(OR(COUNT(O2394:R2394)&lt;&gt;4,COUNT('Top 25'!$B$45:$E$45)&lt;&gt;4,MIN('Top 25'!$B$45:$E$45)&lt;0,SUM('Top 25'!$B$45:$E$45)&lt;=0),"",ROUND(85*(O2394/30*'Top 25'!$B$45+P2394/25*'Top 25'!$C$45+Q2394/25*'Top 25'!$D$45+R2394/5*'Top 25'!$E$45)/SUM('Top 25'!$B$45:$E$45),6))</f>
        <v/>
      </c>
      <c r="U2394" s="1" t="str">
        <f t="shared" si="165"/>
        <v/>
      </c>
      <c r="V2394" s="1" t="str">
        <f>IF(A2394="","",IF(AK2394&lt;&gt;1,"Duplicate source ID",IF(COUNTIFS('Staff Review'!$A$8:$A$507,A2394)&gt;1,"Duplicate review ID",IF(H2394&lt;&gt;"Yes","Outside scope",IF(J2394="Yes","Already served",IF(NOT(ISNUMBER(T2394)),"Missing data","Candidate"))))))</f>
        <v/>
      </c>
      <c r="W2394" s="1" t="str">
        <f t="shared" si="166"/>
        <v/>
      </c>
      <c r="X2394" s="1" t="str">
        <f t="shared" si="167"/>
        <v/>
      </c>
      <c r="Y2394" s="1">
        <f>IF(AND(H2394="Yes",OR(LEN('School Search'!$B$5)=0,ISNUMBER(SEARCH('School Search'!$B$5,B2394&amp;" "&amp;E2394&amp;" "&amp;A2394))),OR('School Search'!$D$5="All",C2394='School Search'!$D$5),OR('School Search'!$G$5="All eligible",AND('School Search'!$G$5="Not marked served",J2394&lt;&gt;"Yes"),AND('School Search'!$G$5="Missing data",V2394="Missing data"),AND('School Search'!$G$5="Marked served",J2394="Yes"))),1,0)</f>
        <v>0</v>
      </c>
      <c r="Z2394" s="1" t="str">
        <f>IF(Y2394=0,"",COUNTIFS($Y$2051:$Y$2550,1,$AO$2051:$AO$2550,"&lt;"&amp;AO2394)+COUNTIFS($Y$2051:Y2394,1,$AO$2051:AO2394,AO2394))</f>
        <v/>
      </c>
      <c r="AA2394" s="1" t="str">
        <f t="shared" si="168"/>
        <v>Missing demographic or access input</v>
      </c>
      <c r="AB2394" s="1">
        <f t="shared" si="169"/>
        <v>0</v>
      </c>
      <c r="AC2394" s="1" t="str">
        <f t="shared" si="170"/>
        <v/>
      </c>
      <c r="AD2394" s="1" t="str">
        <f t="shared" si="171"/>
        <v/>
      </c>
      <c r="AE2394" s="1" t="str">
        <f t="shared" si="172"/>
        <v/>
      </c>
      <c r="AF2394" s="1" t="str">
        <f t="shared" si="173"/>
        <v/>
      </c>
      <c r="AG2394" s="1" t="str">
        <f t="shared" si="174"/>
        <v/>
      </c>
      <c r="AH2394" s="1" t="str">
        <f>IF(I2394=0,"Not contacted",IF(INDEX('Staff Review'!$J$8:$J$507,I2394)="","Not contacted",INDEX('Staff Review'!$J$8:$J$507,I2394)))</f>
        <v>Not contacted</v>
      </c>
      <c r="AI2394" s="1" t="str">
        <f>IF(I2394=0,"No",IF(AND(COUNT(INDEX('Staff Review'!$D$8:$D$507,I2394))=1,INDEX('Staff Review'!$D$8:$D$507,I2394)&gt;=0,COUNT(INDEX('Staff Review'!$E$8:$E$507,I2394))=1,INDEX('Staff Review'!$E$8:$E$507,I2394)&gt;0,INDEX('Staff Review'!$E$8:$E$507,I2394)&lt;='Top 25'!$E$5,'Top 25'!$E$5-INDEX('Staff Review'!$E$8:$E$507,I2394)&lt;='Top 25'!$H$5,LEN(INDEX('Staff Review'!$H$8:$H$507,I2394))&gt;0),"Yes","No"))</f>
        <v>No</v>
      </c>
      <c r="AJ2394" s="1" t="str">
        <f>IF(I2394=0,"No",IF(COUNT(INDEX('Staff Review'!$F$8:$F$507,I2394))&lt;&gt;1,"No",IF(AND(INDEX('Staff Review'!$F$8:$F$507,I2394)&gt;=0,MOD(INDEX('Staff Review'!$F$8:$F$507,I2394),1)=0,COUNT(INDEX('Staff Review'!$G$8:$G$507,I2394))=1,INDEX('Staff Review'!$G$8:$G$507,I2394)&gt;0,INDEX('Staff Review'!$G$8:$G$507,I2394)&lt;='Top 25'!$E$5,'Top 25'!$E$5-INDEX('Staff Review'!$G$8:$G$507,I2394)&lt;='Top 25'!$H$5,LEN(INDEX('Staff Review'!$H$8:$H$507,I2394))&gt;0),"Yes","No")))</f>
        <v>No</v>
      </c>
      <c r="AK2394" s="1">
        <f t="shared" si="175"/>
        <v>0</v>
      </c>
      <c r="AL2394" s="1">
        <f t="shared" si="176"/>
        <v>0</v>
      </c>
      <c r="AM2394" s="1">
        <f t="shared" si="177"/>
        <v>0</v>
      </c>
      <c r="AN2394" s="1">
        <f t="shared" si="178"/>
        <v>0</v>
      </c>
      <c r="AO2394">
        <f t="shared" si="179"/>
        <v>10000</v>
      </c>
      <c r="AP2394" s="105">
        <f>IF(AND(AL2394=1,OR('Top 25'!$A$10="All",C2394='Top 25'!$A$10),OR('Top 25'!$D$10="All",D2394='Top 25'!$D$10)),1,0)</f>
        <v>0</v>
      </c>
      <c r="AQ2394" s="105" t="str">
        <f>IF(AP2394=0,"",CHOOSE(MATCH('Top 25'!$G$10,{"Priority score","Economic need","Enrollment","Fresh miles","Nearby resources"},0),T2394,G2394,F2394,K2394,L2394))</f>
        <v/>
      </c>
      <c r="AR2394" s="105" t="str">
        <f>IF(AP2394=0,"",1+COUNTIFS($AP$2051:$AP$2550,1,$AQ$2051:$AQ$2550,IF('Top 25'!$J$10="Ascending","&lt;","&gt;")&amp;AQ2394)+COUNTIFS($AP$2051:$AP$2550,1,$AQ$2051:$AQ$2550,AQ2394,$W$2051:$W$2550,"&lt;"&amp;W2394))</f>
        <v/>
      </c>
      <c r="AT2394" s="105">
        <f>IF(AND(AL2394=1,OR(Master_rankableSchools!$A$10="All",C2394=Master_rankableSchools!$A$10),OR(Master_rankableSchools!$D$10="All",D2394=Master_rankableSchools!$D$10)),1,0)</f>
        <v>0</v>
      </c>
      <c r="AU2394" s="105" t="str">
        <f>IF(AT2394=0,"",CHOOSE(MATCH(Master_rankableSchools!$G$10,{"Priority score","Economic need","Enrollment","Fresh miles","Nearby resources"},0),T2394,G2394,F2394,K2394,L2394))</f>
        <v/>
      </c>
      <c r="AV2394" s="105" t="str">
        <f>IF(AT2394=0,"",1+COUNTIFS($AT$2051:$AT$2550,1,$AU$2051:$AU$2550,IF(Master_rankableSchools!$J$10="Ascending","&lt;","&gt;")&amp;AU2394)+COUNTIFS($AT$2051:$AT$2550,1,$AU$2051:$AU$2550,AU2394,$W$2051:$W$2550,"&lt;"&amp;W2394))</f>
        <v/>
      </c>
    </row>
    <row r="2395" spans="1:48" ht="22" customHeight="1">
      <c r="A2395" s="1" t="str">
        <f t="shared" si="150"/>
        <v/>
      </c>
      <c r="B2395" s="1" t="str">
        <f t="shared" si="151"/>
        <v/>
      </c>
      <c r="C2395" s="1" t="str">
        <f t="shared" si="152"/>
        <v/>
      </c>
      <c r="D2395" s="1" t="str">
        <f t="shared" si="153"/>
        <v/>
      </c>
      <c r="E2395" s="1" t="str">
        <f t="shared" si="154"/>
        <v/>
      </c>
      <c r="F2395" s="1" t="str">
        <f t="shared" si="155"/>
        <v/>
      </c>
      <c r="G2395" s="1" t="str">
        <f t="shared" si="156"/>
        <v/>
      </c>
      <c r="H2395" s="1" t="str">
        <f t="shared" si="157"/>
        <v/>
      </c>
      <c r="I2395" s="1">
        <f>IF(OR(A2395="",COUNTIFS('Staff Review'!$A$8:$A$507,A2395)&lt;&gt;1),0,MATCH(A2395,'Staff Review'!$A$8:$A$507,0))</f>
        <v>0</v>
      </c>
      <c r="J2395" s="1" t="str">
        <f>IF(I2395=0,"No",IF(INDEX('Staff Review'!$C$8:$C$507,I2395)="Yes","Yes","No"))</f>
        <v>No</v>
      </c>
      <c r="K2395" s="1" t="str">
        <f>IF(AI2395="Yes",INDEX('Staff Review'!$D$8:$D$507,I2395),IF(AB2395=0,"",IF(COUNT(INDEX($C$1531:$C$2030,AB2395))=1,INDEX($C$1531:$C$2030,AB2395),"")))</f>
        <v/>
      </c>
      <c r="L2395" s="1" t="str">
        <f>IF(AJ2395="Yes",INDEX('Staff Review'!$F$8:$F$507,I2395),IF(AB2395=0,"",IF(COUNT(INDEX($G$1531:$G$2030,AB2395))=1,INDEX($G$1531:$G$2030,AB2395),"")))</f>
        <v/>
      </c>
      <c r="M2395" s="1" t="str">
        <f t="shared" si="158"/>
        <v/>
      </c>
      <c r="N2395" s="1" t="str">
        <f t="shared" si="159"/>
        <v/>
      </c>
      <c r="O2395" s="1" t="str">
        <f t="shared" si="160"/>
        <v/>
      </c>
      <c r="P2395" s="1" t="str">
        <f t="shared" si="161"/>
        <v/>
      </c>
      <c r="Q2395" s="1" t="str">
        <f t="shared" si="162"/>
        <v/>
      </c>
      <c r="R2395" s="1" t="str">
        <f t="shared" si="163"/>
        <v/>
      </c>
      <c r="S2395" s="1" t="str">
        <f t="shared" si="164"/>
        <v/>
      </c>
      <c r="T2395" s="1" t="str">
        <f>IF(OR(COUNT(O2395:R2395)&lt;&gt;4,COUNT('Top 25'!$B$45:$E$45)&lt;&gt;4,MIN('Top 25'!$B$45:$E$45)&lt;0,SUM('Top 25'!$B$45:$E$45)&lt;=0),"",ROUND(85*(O2395/30*'Top 25'!$B$45+P2395/25*'Top 25'!$C$45+Q2395/25*'Top 25'!$D$45+R2395/5*'Top 25'!$E$45)/SUM('Top 25'!$B$45:$E$45),6))</f>
        <v/>
      </c>
      <c r="U2395" s="1" t="str">
        <f t="shared" si="165"/>
        <v/>
      </c>
      <c r="V2395" s="1" t="str">
        <f>IF(A2395="","",IF(AK2395&lt;&gt;1,"Duplicate source ID",IF(COUNTIFS('Staff Review'!$A$8:$A$507,A2395)&gt;1,"Duplicate review ID",IF(H2395&lt;&gt;"Yes","Outside scope",IF(J2395="Yes","Already served",IF(NOT(ISNUMBER(T2395)),"Missing data","Candidate"))))))</f>
        <v/>
      </c>
      <c r="W2395" s="1" t="str">
        <f t="shared" si="166"/>
        <v/>
      </c>
      <c r="X2395" s="1" t="str">
        <f t="shared" si="167"/>
        <v/>
      </c>
      <c r="Y2395" s="1">
        <f>IF(AND(H2395="Yes",OR(LEN('School Search'!$B$5)=0,ISNUMBER(SEARCH('School Search'!$B$5,B2395&amp;" "&amp;E2395&amp;" "&amp;A2395))),OR('School Search'!$D$5="All",C2395='School Search'!$D$5),OR('School Search'!$G$5="All eligible",AND('School Search'!$G$5="Not marked served",J2395&lt;&gt;"Yes"),AND('School Search'!$G$5="Missing data",V2395="Missing data"),AND('School Search'!$G$5="Marked served",J2395="Yes"))),1,0)</f>
        <v>0</v>
      </c>
      <c r="Z2395" s="1" t="str">
        <f>IF(Y2395=0,"",COUNTIFS($Y$2051:$Y$2550,1,$AO$2051:$AO$2550,"&lt;"&amp;AO2395)+COUNTIFS($Y$2051:Y2395,1,$AO$2051:AO2395,AO2395))</f>
        <v/>
      </c>
      <c r="AA2395" s="1" t="str">
        <f t="shared" si="168"/>
        <v>Missing demographic or access input</v>
      </c>
      <c r="AB2395" s="1">
        <f t="shared" si="169"/>
        <v>0</v>
      </c>
      <c r="AC2395" s="1" t="str">
        <f t="shared" si="170"/>
        <v/>
      </c>
      <c r="AD2395" s="1" t="str">
        <f t="shared" si="171"/>
        <v/>
      </c>
      <c r="AE2395" s="1" t="str">
        <f t="shared" si="172"/>
        <v/>
      </c>
      <c r="AF2395" s="1" t="str">
        <f t="shared" si="173"/>
        <v/>
      </c>
      <c r="AG2395" s="1" t="str">
        <f t="shared" si="174"/>
        <v/>
      </c>
      <c r="AH2395" s="1" t="str">
        <f>IF(I2395=0,"Not contacted",IF(INDEX('Staff Review'!$J$8:$J$507,I2395)="","Not contacted",INDEX('Staff Review'!$J$8:$J$507,I2395)))</f>
        <v>Not contacted</v>
      </c>
      <c r="AI2395" s="1" t="str">
        <f>IF(I2395=0,"No",IF(AND(COUNT(INDEX('Staff Review'!$D$8:$D$507,I2395))=1,INDEX('Staff Review'!$D$8:$D$507,I2395)&gt;=0,COUNT(INDEX('Staff Review'!$E$8:$E$507,I2395))=1,INDEX('Staff Review'!$E$8:$E$507,I2395)&gt;0,INDEX('Staff Review'!$E$8:$E$507,I2395)&lt;='Top 25'!$E$5,'Top 25'!$E$5-INDEX('Staff Review'!$E$8:$E$507,I2395)&lt;='Top 25'!$H$5,LEN(INDEX('Staff Review'!$H$8:$H$507,I2395))&gt;0),"Yes","No"))</f>
        <v>No</v>
      </c>
      <c r="AJ2395" s="1" t="str">
        <f>IF(I2395=0,"No",IF(COUNT(INDEX('Staff Review'!$F$8:$F$507,I2395))&lt;&gt;1,"No",IF(AND(INDEX('Staff Review'!$F$8:$F$507,I2395)&gt;=0,MOD(INDEX('Staff Review'!$F$8:$F$507,I2395),1)=0,COUNT(INDEX('Staff Review'!$G$8:$G$507,I2395))=1,INDEX('Staff Review'!$G$8:$G$507,I2395)&gt;0,INDEX('Staff Review'!$G$8:$G$507,I2395)&lt;='Top 25'!$E$5,'Top 25'!$E$5-INDEX('Staff Review'!$G$8:$G$507,I2395)&lt;='Top 25'!$H$5,LEN(INDEX('Staff Review'!$H$8:$H$507,I2395))&gt;0),"Yes","No")))</f>
        <v>No</v>
      </c>
      <c r="AK2395" s="1">
        <f t="shared" si="175"/>
        <v>0</v>
      </c>
      <c r="AL2395" s="1">
        <f t="shared" si="176"/>
        <v>0</v>
      </c>
      <c r="AM2395" s="1">
        <f t="shared" si="177"/>
        <v>0</v>
      </c>
      <c r="AN2395" s="1">
        <f t="shared" si="178"/>
        <v>0</v>
      </c>
      <c r="AO2395">
        <f t="shared" si="179"/>
        <v>10000</v>
      </c>
      <c r="AP2395" s="105">
        <f>IF(AND(AL2395=1,OR('Top 25'!$A$10="All",C2395='Top 25'!$A$10),OR('Top 25'!$D$10="All",D2395='Top 25'!$D$10)),1,0)</f>
        <v>0</v>
      </c>
      <c r="AQ2395" s="105" t="str">
        <f>IF(AP2395=0,"",CHOOSE(MATCH('Top 25'!$G$10,{"Priority score","Economic need","Enrollment","Fresh miles","Nearby resources"},0),T2395,G2395,F2395,K2395,L2395))</f>
        <v/>
      </c>
      <c r="AR2395" s="105" t="str">
        <f>IF(AP2395=0,"",1+COUNTIFS($AP$2051:$AP$2550,1,$AQ$2051:$AQ$2550,IF('Top 25'!$J$10="Ascending","&lt;","&gt;")&amp;AQ2395)+COUNTIFS($AP$2051:$AP$2550,1,$AQ$2051:$AQ$2550,AQ2395,$W$2051:$W$2550,"&lt;"&amp;W2395))</f>
        <v/>
      </c>
      <c r="AT2395" s="105">
        <f>IF(AND(AL2395=1,OR(Master_rankableSchools!$A$10="All",C2395=Master_rankableSchools!$A$10),OR(Master_rankableSchools!$D$10="All",D2395=Master_rankableSchools!$D$10)),1,0)</f>
        <v>0</v>
      </c>
      <c r="AU2395" s="105" t="str">
        <f>IF(AT2395=0,"",CHOOSE(MATCH(Master_rankableSchools!$G$10,{"Priority score","Economic need","Enrollment","Fresh miles","Nearby resources"},0),T2395,G2395,F2395,K2395,L2395))</f>
        <v/>
      </c>
      <c r="AV2395" s="105" t="str">
        <f>IF(AT2395=0,"",1+COUNTIFS($AT$2051:$AT$2550,1,$AU$2051:$AU$2550,IF(Master_rankableSchools!$J$10="Ascending","&lt;","&gt;")&amp;AU2395)+COUNTIFS($AT$2051:$AT$2550,1,$AU$2051:$AU$2550,AU2395,$W$2051:$W$2550,"&lt;"&amp;W2395))</f>
        <v/>
      </c>
    </row>
    <row r="2396" spans="1:48" ht="22" customHeight="1">
      <c r="A2396" s="1" t="str">
        <f t="shared" si="150"/>
        <v/>
      </c>
      <c r="B2396" s="1" t="str">
        <f t="shared" si="151"/>
        <v/>
      </c>
      <c r="C2396" s="1" t="str">
        <f t="shared" si="152"/>
        <v/>
      </c>
      <c r="D2396" s="1" t="str">
        <f t="shared" si="153"/>
        <v/>
      </c>
      <c r="E2396" s="1" t="str">
        <f t="shared" si="154"/>
        <v/>
      </c>
      <c r="F2396" s="1" t="str">
        <f t="shared" si="155"/>
        <v/>
      </c>
      <c r="G2396" s="1" t="str">
        <f t="shared" si="156"/>
        <v/>
      </c>
      <c r="H2396" s="1" t="str">
        <f t="shared" si="157"/>
        <v/>
      </c>
      <c r="I2396" s="1">
        <f>IF(OR(A2396="",COUNTIFS('Staff Review'!$A$8:$A$507,A2396)&lt;&gt;1),0,MATCH(A2396,'Staff Review'!$A$8:$A$507,0))</f>
        <v>0</v>
      </c>
      <c r="J2396" s="1" t="str">
        <f>IF(I2396=0,"No",IF(INDEX('Staff Review'!$C$8:$C$507,I2396)="Yes","Yes","No"))</f>
        <v>No</v>
      </c>
      <c r="K2396" s="1" t="str">
        <f>IF(AI2396="Yes",INDEX('Staff Review'!$D$8:$D$507,I2396),IF(AB2396=0,"",IF(COUNT(INDEX($C$1531:$C$2030,AB2396))=1,INDEX($C$1531:$C$2030,AB2396),"")))</f>
        <v/>
      </c>
      <c r="L2396" s="1" t="str">
        <f>IF(AJ2396="Yes",INDEX('Staff Review'!$F$8:$F$507,I2396),IF(AB2396=0,"",IF(COUNT(INDEX($G$1531:$G$2030,AB2396))=1,INDEX($G$1531:$G$2030,AB2396),"")))</f>
        <v/>
      </c>
      <c r="M2396" s="1" t="str">
        <f t="shared" si="158"/>
        <v/>
      </c>
      <c r="N2396" s="1" t="str">
        <f t="shared" si="159"/>
        <v/>
      </c>
      <c r="O2396" s="1" t="str">
        <f t="shared" si="160"/>
        <v/>
      </c>
      <c r="P2396" s="1" t="str">
        <f t="shared" si="161"/>
        <v/>
      </c>
      <c r="Q2396" s="1" t="str">
        <f t="shared" si="162"/>
        <v/>
      </c>
      <c r="R2396" s="1" t="str">
        <f t="shared" si="163"/>
        <v/>
      </c>
      <c r="S2396" s="1" t="str">
        <f t="shared" si="164"/>
        <v/>
      </c>
      <c r="T2396" s="1" t="str">
        <f>IF(OR(COUNT(O2396:R2396)&lt;&gt;4,COUNT('Top 25'!$B$45:$E$45)&lt;&gt;4,MIN('Top 25'!$B$45:$E$45)&lt;0,SUM('Top 25'!$B$45:$E$45)&lt;=0),"",ROUND(85*(O2396/30*'Top 25'!$B$45+P2396/25*'Top 25'!$C$45+Q2396/25*'Top 25'!$D$45+R2396/5*'Top 25'!$E$45)/SUM('Top 25'!$B$45:$E$45),6))</f>
        <v/>
      </c>
      <c r="U2396" s="1" t="str">
        <f t="shared" si="165"/>
        <v/>
      </c>
      <c r="V2396" s="1" t="str">
        <f>IF(A2396="","",IF(AK2396&lt;&gt;1,"Duplicate source ID",IF(COUNTIFS('Staff Review'!$A$8:$A$507,A2396)&gt;1,"Duplicate review ID",IF(H2396&lt;&gt;"Yes","Outside scope",IF(J2396="Yes","Already served",IF(NOT(ISNUMBER(T2396)),"Missing data","Candidate"))))))</f>
        <v/>
      </c>
      <c r="W2396" s="1" t="str">
        <f t="shared" si="166"/>
        <v/>
      </c>
      <c r="X2396" s="1" t="str">
        <f t="shared" si="167"/>
        <v/>
      </c>
      <c r="Y2396" s="1">
        <f>IF(AND(H2396="Yes",OR(LEN('School Search'!$B$5)=0,ISNUMBER(SEARCH('School Search'!$B$5,B2396&amp;" "&amp;E2396&amp;" "&amp;A2396))),OR('School Search'!$D$5="All",C2396='School Search'!$D$5),OR('School Search'!$G$5="All eligible",AND('School Search'!$G$5="Not marked served",J2396&lt;&gt;"Yes"),AND('School Search'!$G$5="Missing data",V2396="Missing data"),AND('School Search'!$G$5="Marked served",J2396="Yes"))),1,0)</f>
        <v>0</v>
      </c>
      <c r="Z2396" s="1" t="str">
        <f>IF(Y2396=0,"",COUNTIFS($Y$2051:$Y$2550,1,$AO$2051:$AO$2550,"&lt;"&amp;AO2396)+COUNTIFS($Y$2051:Y2396,1,$AO$2051:AO2396,AO2396))</f>
        <v/>
      </c>
      <c r="AA2396" s="1" t="str">
        <f t="shared" si="168"/>
        <v>Missing demographic or access input</v>
      </c>
      <c r="AB2396" s="1">
        <f t="shared" si="169"/>
        <v>0</v>
      </c>
      <c r="AC2396" s="1" t="str">
        <f t="shared" si="170"/>
        <v/>
      </c>
      <c r="AD2396" s="1" t="str">
        <f t="shared" si="171"/>
        <v/>
      </c>
      <c r="AE2396" s="1" t="str">
        <f t="shared" si="172"/>
        <v/>
      </c>
      <c r="AF2396" s="1" t="str">
        <f t="shared" si="173"/>
        <v/>
      </c>
      <c r="AG2396" s="1" t="str">
        <f t="shared" si="174"/>
        <v/>
      </c>
      <c r="AH2396" s="1" t="str">
        <f>IF(I2396=0,"Not contacted",IF(INDEX('Staff Review'!$J$8:$J$507,I2396)="","Not contacted",INDEX('Staff Review'!$J$8:$J$507,I2396)))</f>
        <v>Not contacted</v>
      </c>
      <c r="AI2396" s="1" t="str">
        <f>IF(I2396=0,"No",IF(AND(COUNT(INDEX('Staff Review'!$D$8:$D$507,I2396))=1,INDEX('Staff Review'!$D$8:$D$507,I2396)&gt;=0,COUNT(INDEX('Staff Review'!$E$8:$E$507,I2396))=1,INDEX('Staff Review'!$E$8:$E$507,I2396)&gt;0,INDEX('Staff Review'!$E$8:$E$507,I2396)&lt;='Top 25'!$E$5,'Top 25'!$E$5-INDEX('Staff Review'!$E$8:$E$507,I2396)&lt;='Top 25'!$H$5,LEN(INDEX('Staff Review'!$H$8:$H$507,I2396))&gt;0),"Yes","No"))</f>
        <v>No</v>
      </c>
      <c r="AJ2396" s="1" t="str">
        <f>IF(I2396=0,"No",IF(COUNT(INDEX('Staff Review'!$F$8:$F$507,I2396))&lt;&gt;1,"No",IF(AND(INDEX('Staff Review'!$F$8:$F$507,I2396)&gt;=0,MOD(INDEX('Staff Review'!$F$8:$F$507,I2396),1)=0,COUNT(INDEX('Staff Review'!$G$8:$G$507,I2396))=1,INDEX('Staff Review'!$G$8:$G$507,I2396)&gt;0,INDEX('Staff Review'!$G$8:$G$507,I2396)&lt;='Top 25'!$E$5,'Top 25'!$E$5-INDEX('Staff Review'!$G$8:$G$507,I2396)&lt;='Top 25'!$H$5,LEN(INDEX('Staff Review'!$H$8:$H$507,I2396))&gt;0),"Yes","No")))</f>
        <v>No</v>
      </c>
      <c r="AK2396" s="1">
        <f t="shared" si="175"/>
        <v>0</v>
      </c>
      <c r="AL2396" s="1">
        <f t="shared" si="176"/>
        <v>0</v>
      </c>
      <c r="AM2396" s="1">
        <f t="shared" si="177"/>
        <v>0</v>
      </c>
      <c r="AN2396" s="1">
        <f t="shared" si="178"/>
        <v>0</v>
      </c>
      <c r="AO2396">
        <f t="shared" si="179"/>
        <v>10000</v>
      </c>
      <c r="AP2396" s="105">
        <f>IF(AND(AL2396=1,OR('Top 25'!$A$10="All",C2396='Top 25'!$A$10),OR('Top 25'!$D$10="All",D2396='Top 25'!$D$10)),1,0)</f>
        <v>0</v>
      </c>
      <c r="AQ2396" s="105" t="str">
        <f>IF(AP2396=0,"",CHOOSE(MATCH('Top 25'!$G$10,{"Priority score","Economic need","Enrollment","Fresh miles","Nearby resources"},0),T2396,G2396,F2396,K2396,L2396))</f>
        <v/>
      </c>
      <c r="AR2396" s="105" t="str">
        <f>IF(AP2396=0,"",1+COUNTIFS($AP$2051:$AP$2550,1,$AQ$2051:$AQ$2550,IF('Top 25'!$J$10="Ascending","&lt;","&gt;")&amp;AQ2396)+COUNTIFS($AP$2051:$AP$2550,1,$AQ$2051:$AQ$2550,AQ2396,$W$2051:$W$2550,"&lt;"&amp;W2396))</f>
        <v/>
      </c>
      <c r="AT2396" s="105">
        <f>IF(AND(AL2396=1,OR(Master_rankableSchools!$A$10="All",C2396=Master_rankableSchools!$A$10),OR(Master_rankableSchools!$D$10="All",D2396=Master_rankableSchools!$D$10)),1,0)</f>
        <v>0</v>
      </c>
      <c r="AU2396" s="105" t="str">
        <f>IF(AT2396=0,"",CHOOSE(MATCH(Master_rankableSchools!$G$10,{"Priority score","Economic need","Enrollment","Fresh miles","Nearby resources"},0),T2396,G2396,F2396,K2396,L2396))</f>
        <v/>
      </c>
      <c r="AV2396" s="105" t="str">
        <f>IF(AT2396=0,"",1+COUNTIFS($AT$2051:$AT$2550,1,$AU$2051:$AU$2550,IF(Master_rankableSchools!$J$10="Ascending","&lt;","&gt;")&amp;AU2396)+COUNTIFS($AT$2051:$AT$2550,1,$AU$2051:$AU$2550,AU2396,$W$2051:$W$2550,"&lt;"&amp;W2396))</f>
        <v/>
      </c>
    </row>
    <row r="2397" spans="1:48" ht="22" customHeight="1">
      <c r="A2397" s="1" t="str">
        <f t="shared" si="150"/>
        <v/>
      </c>
      <c r="B2397" s="1" t="str">
        <f t="shared" si="151"/>
        <v/>
      </c>
      <c r="C2397" s="1" t="str">
        <f t="shared" si="152"/>
        <v/>
      </c>
      <c r="D2397" s="1" t="str">
        <f t="shared" si="153"/>
        <v/>
      </c>
      <c r="E2397" s="1" t="str">
        <f t="shared" si="154"/>
        <v/>
      </c>
      <c r="F2397" s="1" t="str">
        <f t="shared" si="155"/>
        <v/>
      </c>
      <c r="G2397" s="1" t="str">
        <f t="shared" si="156"/>
        <v/>
      </c>
      <c r="H2397" s="1" t="str">
        <f t="shared" si="157"/>
        <v/>
      </c>
      <c r="I2397" s="1">
        <f>IF(OR(A2397="",COUNTIFS('Staff Review'!$A$8:$A$507,A2397)&lt;&gt;1),0,MATCH(A2397,'Staff Review'!$A$8:$A$507,0))</f>
        <v>0</v>
      </c>
      <c r="J2397" s="1" t="str">
        <f>IF(I2397=0,"No",IF(INDEX('Staff Review'!$C$8:$C$507,I2397)="Yes","Yes","No"))</f>
        <v>No</v>
      </c>
      <c r="K2397" s="1" t="str">
        <f>IF(AI2397="Yes",INDEX('Staff Review'!$D$8:$D$507,I2397),IF(AB2397=0,"",IF(COUNT(INDEX($C$1531:$C$2030,AB2397))=1,INDEX($C$1531:$C$2030,AB2397),"")))</f>
        <v/>
      </c>
      <c r="L2397" s="1" t="str">
        <f>IF(AJ2397="Yes",INDEX('Staff Review'!$F$8:$F$507,I2397),IF(AB2397=0,"",IF(COUNT(INDEX($G$1531:$G$2030,AB2397))=1,INDEX($G$1531:$G$2030,AB2397),"")))</f>
        <v/>
      </c>
      <c r="M2397" s="1" t="str">
        <f t="shared" si="158"/>
        <v/>
      </c>
      <c r="N2397" s="1" t="str">
        <f t="shared" si="159"/>
        <v/>
      </c>
      <c r="O2397" s="1" t="str">
        <f t="shared" si="160"/>
        <v/>
      </c>
      <c r="P2397" s="1" t="str">
        <f t="shared" si="161"/>
        <v/>
      </c>
      <c r="Q2397" s="1" t="str">
        <f t="shared" si="162"/>
        <v/>
      </c>
      <c r="R2397" s="1" t="str">
        <f t="shared" si="163"/>
        <v/>
      </c>
      <c r="S2397" s="1" t="str">
        <f t="shared" si="164"/>
        <v/>
      </c>
      <c r="T2397" s="1" t="str">
        <f>IF(OR(COUNT(O2397:R2397)&lt;&gt;4,COUNT('Top 25'!$B$45:$E$45)&lt;&gt;4,MIN('Top 25'!$B$45:$E$45)&lt;0,SUM('Top 25'!$B$45:$E$45)&lt;=0),"",ROUND(85*(O2397/30*'Top 25'!$B$45+P2397/25*'Top 25'!$C$45+Q2397/25*'Top 25'!$D$45+R2397/5*'Top 25'!$E$45)/SUM('Top 25'!$B$45:$E$45),6))</f>
        <v/>
      </c>
      <c r="U2397" s="1" t="str">
        <f t="shared" si="165"/>
        <v/>
      </c>
      <c r="V2397" s="1" t="str">
        <f>IF(A2397="","",IF(AK2397&lt;&gt;1,"Duplicate source ID",IF(COUNTIFS('Staff Review'!$A$8:$A$507,A2397)&gt;1,"Duplicate review ID",IF(H2397&lt;&gt;"Yes","Outside scope",IF(J2397="Yes","Already served",IF(NOT(ISNUMBER(T2397)),"Missing data","Candidate"))))))</f>
        <v/>
      </c>
      <c r="W2397" s="1" t="str">
        <f t="shared" si="166"/>
        <v/>
      </c>
      <c r="X2397" s="1" t="str">
        <f t="shared" si="167"/>
        <v/>
      </c>
      <c r="Y2397" s="1">
        <f>IF(AND(H2397="Yes",OR(LEN('School Search'!$B$5)=0,ISNUMBER(SEARCH('School Search'!$B$5,B2397&amp;" "&amp;E2397&amp;" "&amp;A2397))),OR('School Search'!$D$5="All",C2397='School Search'!$D$5),OR('School Search'!$G$5="All eligible",AND('School Search'!$G$5="Not marked served",J2397&lt;&gt;"Yes"),AND('School Search'!$G$5="Missing data",V2397="Missing data"),AND('School Search'!$G$5="Marked served",J2397="Yes"))),1,0)</f>
        <v>0</v>
      </c>
      <c r="Z2397" s="1" t="str">
        <f>IF(Y2397=0,"",COUNTIFS($Y$2051:$Y$2550,1,$AO$2051:$AO$2550,"&lt;"&amp;AO2397)+COUNTIFS($Y$2051:Y2397,1,$AO$2051:AO2397,AO2397))</f>
        <v/>
      </c>
      <c r="AA2397" s="1" t="str">
        <f t="shared" si="168"/>
        <v>Missing demographic or access input</v>
      </c>
      <c r="AB2397" s="1">
        <f t="shared" si="169"/>
        <v>0</v>
      </c>
      <c r="AC2397" s="1" t="str">
        <f t="shared" si="170"/>
        <v/>
      </c>
      <c r="AD2397" s="1" t="str">
        <f t="shared" si="171"/>
        <v/>
      </c>
      <c r="AE2397" s="1" t="str">
        <f t="shared" si="172"/>
        <v/>
      </c>
      <c r="AF2397" s="1" t="str">
        <f t="shared" si="173"/>
        <v/>
      </c>
      <c r="AG2397" s="1" t="str">
        <f t="shared" si="174"/>
        <v/>
      </c>
      <c r="AH2397" s="1" t="str">
        <f>IF(I2397=0,"Not contacted",IF(INDEX('Staff Review'!$J$8:$J$507,I2397)="","Not contacted",INDEX('Staff Review'!$J$8:$J$507,I2397)))</f>
        <v>Not contacted</v>
      </c>
      <c r="AI2397" s="1" t="str">
        <f>IF(I2397=0,"No",IF(AND(COUNT(INDEX('Staff Review'!$D$8:$D$507,I2397))=1,INDEX('Staff Review'!$D$8:$D$507,I2397)&gt;=0,COUNT(INDEX('Staff Review'!$E$8:$E$507,I2397))=1,INDEX('Staff Review'!$E$8:$E$507,I2397)&gt;0,INDEX('Staff Review'!$E$8:$E$507,I2397)&lt;='Top 25'!$E$5,'Top 25'!$E$5-INDEX('Staff Review'!$E$8:$E$507,I2397)&lt;='Top 25'!$H$5,LEN(INDEX('Staff Review'!$H$8:$H$507,I2397))&gt;0),"Yes","No"))</f>
        <v>No</v>
      </c>
      <c r="AJ2397" s="1" t="str">
        <f>IF(I2397=0,"No",IF(COUNT(INDEX('Staff Review'!$F$8:$F$507,I2397))&lt;&gt;1,"No",IF(AND(INDEX('Staff Review'!$F$8:$F$507,I2397)&gt;=0,MOD(INDEX('Staff Review'!$F$8:$F$507,I2397),1)=0,COUNT(INDEX('Staff Review'!$G$8:$G$507,I2397))=1,INDEX('Staff Review'!$G$8:$G$507,I2397)&gt;0,INDEX('Staff Review'!$G$8:$G$507,I2397)&lt;='Top 25'!$E$5,'Top 25'!$E$5-INDEX('Staff Review'!$G$8:$G$507,I2397)&lt;='Top 25'!$H$5,LEN(INDEX('Staff Review'!$H$8:$H$507,I2397))&gt;0),"Yes","No")))</f>
        <v>No</v>
      </c>
      <c r="AK2397" s="1">
        <f t="shared" si="175"/>
        <v>0</v>
      </c>
      <c r="AL2397" s="1">
        <f t="shared" si="176"/>
        <v>0</v>
      </c>
      <c r="AM2397" s="1">
        <f t="shared" si="177"/>
        <v>0</v>
      </c>
      <c r="AN2397" s="1">
        <f t="shared" si="178"/>
        <v>0</v>
      </c>
      <c r="AO2397">
        <f t="shared" si="179"/>
        <v>10000</v>
      </c>
      <c r="AP2397" s="105">
        <f>IF(AND(AL2397=1,OR('Top 25'!$A$10="All",C2397='Top 25'!$A$10),OR('Top 25'!$D$10="All",D2397='Top 25'!$D$10)),1,0)</f>
        <v>0</v>
      </c>
      <c r="AQ2397" s="105" t="str">
        <f>IF(AP2397=0,"",CHOOSE(MATCH('Top 25'!$G$10,{"Priority score","Economic need","Enrollment","Fresh miles","Nearby resources"},0),T2397,G2397,F2397,K2397,L2397))</f>
        <v/>
      </c>
      <c r="AR2397" s="105" t="str">
        <f>IF(AP2397=0,"",1+COUNTIFS($AP$2051:$AP$2550,1,$AQ$2051:$AQ$2550,IF('Top 25'!$J$10="Ascending","&lt;","&gt;")&amp;AQ2397)+COUNTIFS($AP$2051:$AP$2550,1,$AQ$2051:$AQ$2550,AQ2397,$W$2051:$W$2550,"&lt;"&amp;W2397))</f>
        <v/>
      </c>
      <c r="AT2397" s="105">
        <f>IF(AND(AL2397=1,OR(Master_rankableSchools!$A$10="All",C2397=Master_rankableSchools!$A$10),OR(Master_rankableSchools!$D$10="All",D2397=Master_rankableSchools!$D$10)),1,0)</f>
        <v>0</v>
      </c>
      <c r="AU2397" s="105" t="str">
        <f>IF(AT2397=0,"",CHOOSE(MATCH(Master_rankableSchools!$G$10,{"Priority score","Economic need","Enrollment","Fresh miles","Nearby resources"},0),T2397,G2397,F2397,K2397,L2397))</f>
        <v/>
      </c>
      <c r="AV2397" s="105" t="str">
        <f>IF(AT2397=0,"",1+COUNTIFS($AT$2051:$AT$2550,1,$AU$2051:$AU$2550,IF(Master_rankableSchools!$J$10="Ascending","&lt;","&gt;")&amp;AU2397)+COUNTIFS($AT$2051:$AT$2550,1,$AU$2051:$AU$2550,AU2397,$W$2051:$W$2550,"&lt;"&amp;W2397))</f>
        <v/>
      </c>
    </row>
    <row r="2398" spans="1:48" ht="22" customHeight="1">
      <c r="A2398" s="1" t="str">
        <f t="shared" si="150"/>
        <v/>
      </c>
      <c r="B2398" s="1" t="str">
        <f t="shared" si="151"/>
        <v/>
      </c>
      <c r="C2398" s="1" t="str">
        <f t="shared" si="152"/>
        <v/>
      </c>
      <c r="D2398" s="1" t="str">
        <f t="shared" si="153"/>
        <v/>
      </c>
      <c r="E2398" s="1" t="str">
        <f t="shared" si="154"/>
        <v/>
      </c>
      <c r="F2398" s="1" t="str">
        <f t="shared" si="155"/>
        <v/>
      </c>
      <c r="G2398" s="1" t="str">
        <f t="shared" si="156"/>
        <v/>
      </c>
      <c r="H2398" s="1" t="str">
        <f t="shared" si="157"/>
        <v/>
      </c>
      <c r="I2398" s="1">
        <f>IF(OR(A2398="",COUNTIFS('Staff Review'!$A$8:$A$507,A2398)&lt;&gt;1),0,MATCH(A2398,'Staff Review'!$A$8:$A$507,0))</f>
        <v>0</v>
      </c>
      <c r="J2398" s="1" t="str">
        <f>IF(I2398=0,"No",IF(INDEX('Staff Review'!$C$8:$C$507,I2398)="Yes","Yes","No"))</f>
        <v>No</v>
      </c>
      <c r="K2398" s="1" t="str">
        <f>IF(AI2398="Yes",INDEX('Staff Review'!$D$8:$D$507,I2398),IF(AB2398=0,"",IF(COUNT(INDEX($C$1531:$C$2030,AB2398))=1,INDEX($C$1531:$C$2030,AB2398),"")))</f>
        <v/>
      </c>
      <c r="L2398" s="1" t="str">
        <f>IF(AJ2398="Yes",INDEX('Staff Review'!$F$8:$F$507,I2398),IF(AB2398=0,"",IF(COUNT(INDEX($G$1531:$G$2030,AB2398))=1,INDEX($G$1531:$G$2030,AB2398),"")))</f>
        <v/>
      </c>
      <c r="M2398" s="1" t="str">
        <f t="shared" si="158"/>
        <v/>
      </c>
      <c r="N2398" s="1" t="str">
        <f t="shared" si="159"/>
        <v/>
      </c>
      <c r="O2398" s="1" t="str">
        <f t="shared" si="160"/>
        <v/>
      </c>
      <c r="P2398" s="1" t="str">
        <f t="shared" si="161"/>
        <v/>
      </c>
      <c r="Q2398" s="1" t="str">
        <f t="shared" si="162"/>
        <v/>
      </c>
      <c r="R2398" s="1" t="str">
        <f t="shared" si="163"/>
        <v/>
      </c>
      <c r="S2398" s="1" t="str">
        <f t="shared" si="164"/>
        <v/>
      </c>
      <c r="T2398" s="1" t="str">
        <f>IF(OR(COUNT(O2398:R2398)&lt;&gt;4,COUNT('Top 25'!$B$45:$E$45)&lt;&gt;4,MIN('Top 25'!$B$45:$E$45)&lt;0,SUM('Top 25'!$B$45:$E$45)&lt;=0),"",ROUND(85*(O2398/30*'Top 25'!$B$45+P2398/25*'Top 25'!$C$45+Q2398/25*'Top 25'!$D$45+R2398/5*'Top 25'!$E$45)/SUM('Top 25'!$B$45:$E$45),6))</f>
        <v/>
      </c>
      <c r="U2398" s="1" t="str">
        <f t="shared" si="165"/>
        <v/>
      </c>
      <c r="V2398" s="1" t="str">
        <f>IF(A2398="","",IF(AK2398&lt;&gt;1,"Duplicate source ID",IF(COUNTIFS('Staff Review'!$A$8:$A$507,A2398)&gt;1,"Duplicate review ID",IF(H2398&lt;&gt;"Yes","Outside scope",IF(J2398="Yes","Already served",IF(NOT(ISNUMBER(T2398)),"Missing data","Candidate"))))))</f>
        <v/>
      </c>
      <c r="W2398" s="1" t="str">
        <f t="shared" si="166"/>
        <v/>
      </c>
      <c r="X2398" s="1" t="str">
        <f t="shared" si="167"/>
        <v/>
      </c>
      <c r="Y2398" s="1">
        <f>IF(AND(H2398="Yes",OR(LEN('School Search'!$B$5)=0,ISNUMBER(SEARCH('School Search'!$B$5,B2398&amp;" "&amp;E2398&amp;" "&amp;A2398))),OR('School Search'!$D$5="All",C2398='School Search'!$D$5),OR('School Search'!$G$5="All eligible",AND('School Search'!$G$5="Not marked served",J2398&lt;&gt;"Yes"),AND('School Search'!$G$5="Missing data",V2398="Missing data"),AND('School Search'!$G$5="Marked served",J2398="Yes"))),1,0)</f>
        <v>0</v>
      </c>
      <c r="Z2398" s="1" t="str">
        <f>IF(Y2398=0,"",COUNTIFS($Y$2051:$Y$2550,1,$AO$2051:$AO$2550,"&lt;"&amp;AO2398)+COUNTIFS($Y$2051:Y2398,1,$AO$2051:AO2398,AO2398))</f>
        <v/>
      </c>
      <c r="AA2398" s="1" t="str">
        <f t="shared" si="168"/>
        <v>Missing demographic or access input</v>
      </c>
      <c r="AB2398" s="1">
        <f t="shared" si="169"/>
        <v>0</v>
      </c>
      <c r="AC2398" s="1" t="str">
        <f t="shared" si="170"/>
        <v/>
      </c>
      <c r="AD2398" s="1" t="str">
        <f t="shared" si="171"/>
        <v/>
      </c>
      <c r="AE2398" s="1" t="str">
        <f t="shared" si="172"/>
        <v/>
      </c>
      <c r="AF2398" s="1" t="str">
        <f t="shared" si="173"/>
        <v/>
      </c>
      <c r="AG2398" s="1" t="str">
        <f t="shared" si="174"/>
        <v/>
      </c>
      <c r="AH2398" s="1" t="str">
        <f>IF(I2398=0,"Not contacted",IF(INDEX('Staff Review'!$J$8:$J$507,I2398)="","Not contacted",INDEX('Staff Review'!$J$8:$J$507,I2398)))</f>
        <v>Not contacted</v>
      </c>
      <c r="AI2398" s="1" t="str">
        <f>IF(I2398=0,"No",IF(AND(COUNT(INDEX('Staff Review'!$D$8:$D$507,I2398))=1,INDEX('Staff Review'!$D$8:$D$507,I2398)&gt;=0,COUNT(INDEX('Staff Review'!$E$8:$E$507,I2398))=1,INDEX('Staff Review'!$E$8:$E$507,I2398)&gt;0,INDEX('Staff Review'!$E$8:$E$507,I2398)&lt;='Top 25'!$E$5,'Top 25'!$E$5-INDEX('Staff Review'!$E$8:$E$507,I2398)&lt;='Top 25'!$H$5,LEN(INDEX('Staff Review'!$H$8:$H$507,I2398))&gt;0),"Yes","No"))</f>
        <v>No</v>
      </c>
      <c r="AJ2398" s="1" t="str">
        <f>IF(I2398=0,"No",IF(COUNT(INDEX('Staff Review'!$F$8:$F$507,I2398))&lt;&gt;1,"No",IF(AND(INDEX('Staff Review'!$F$8:$F$507,I2398)&gt;=0,MOD(INDEX('Staff Review'!$F$8:$F$507,I2398),1)=0,COUNT(INDEX('Staff Review'!$G$8:$G$507,I2398))=1,INDEX('Staff Review'!$G$8:$G$507,I2398)&gt;0,INDEX('Staff Review'!$G$8:$G$507,I2398)&lt;='Top 25'!$E$5,'Top 25'!$E$5-INDEX('Staff Review'!$G$8:$G$507,I2398)&lt;='Top 25'!$H$5,LEN(INDEX('Staff Review'!$H$8:$H$507,I2398))&gt;0),"Yes","No")))</f>
        <v>No</v>
      </c>
      <c r="AK2398" s="1">
        <f t="shared" si="175"/>
        <v>0</v>
      </c>
      <c r="AL2398" s="1">
        <f t="shared" si="176"/>
        <v>0</v>
      </c>
      <c r="AM2398" s="1">
        <f t="shared" si="177"/>
        <v>0</v>
      </c>
      <c r="AN2398" s="1">
        <f t="shared" si="178"/>
        <v>0</v>
      </c>
      <c r="AO2398">
        <f t="shared" si="179"/>
        <v>10000</v>
      </c>
      <c r="AP2398" s="105">
        <f>IF(AND(AL2398=1,OR('Top 25'!$A$10="All",C2398='Top 25'!$A$10),OR('Top 25'!$D$10="All",D2398='Top 25'!$D$10)),1,0)</f>
        <v>0</v>
      </c>
      <c r="AQ2398" s="105" t="str">
        <f>IF(AP2398=0,"",CHOOSE(MATCH('Top 25'!$G$10,{"Priority score","Economic need","Enrollment","Fresh miles","Nearby resources"},0),T2398,G2398,F2398,K2398,L2398))</f>
        <v/>
      </c>
      <c r="AR2398" s="105" t="str">
        <f>IF(AP2398=0,"",1+COUNTIFS($AP$2051:$AP$2550,1,$AQ$2051:$AQ$2550,IF('Top 25'!$J$10="Ascending","&lt;","&gt;")&amp;AQ2398)+COUNTIFS($AP$2051:$AP$2550,1,$AQ$2051:$AQ$2550,AQ2398,$W$2051:$W$2550,"&lt;"&amp;W2398))</f>
        <v/>
      </c>
      <c r="AT2398" s="105">
        <f>IF(AND(AL2398=1,OR(Master_rankableSchools!$A$10="All",C2398=Master_rankableSchools!$A$10),OR(Master_rankableSchools!$D$10="All",D2398=Master_rankableSchools!$D$10)),1,0)</f>
        <v>0</v>
      </c>
      <c r="AU2398" s="105" t="str">
        <f>IF(AT2398=0,"",CHOOSE(MATCH(Master_rankableSchools!$G$10,{"Priority score","Economic need","Enrollment","Fresh miles","Nearby resources"},0),T2398,G2398,F2398,K2398,L2398))</f>
        <v/>
      </c>
      <c r="AV2398" s="105" t="str">
        <f>IF(AT2398=0,"",1+COUNTIFS($AT$2051:$AT$2550,1,$AU$2051:$AU$2550,IF(Master_rankableSchools!$J$10="Ascending","&lt;","&gt;")&amp;AU2398)+COUNTIFS($AT$2051:$AT$2550,1,$AU$2051:$AU$2550,AU2398,$W$2051:$W$2550,"&lt;"&amp;W2398))</f>
        <v/>
      </c>
    </row>
    <row r="2399" spans="1:48" ht="22" customHeight="1">
      <c r="A2399" s="1" t="str">
        <f t="shared" si="150"/>
        <v/>
      </c>
      <c r="B2399" s="1" t="str">
        <f t="shared" si="151"/>
        <v/>
      </c>
      <c r="C2399" s="1" t="str">
        <f t="shared" si="152"/>
        <v/>
      </c>
      <c r="D2399" s="1" t="str">
        <f t="shared" si="153"/>
        <v/>
      </c>
      <c r="E2399" s="1" t="str">
        <f t="shared" si="154"/>
        <v/>
      </c>
      <c r="F2399" s="1" t="str">
        <f t="shared" si="155"/>
        <v/>
      </c>
      <c r="G2399" s="1" t="str">
        <f t="shared" si="156"/>
        <v/>
      </c>
      <c r="H2399" s="1" t="str">
        <f t="shared" si="157"/>
        <v/>
      </c>
      <c r="I2399" s="1">
        <f>IF(OR(A2399="",COUNTIFS('Staff Review'!$A$8:$A$507,A2399)&lt;&gt;1),0,MATCH(A2399,'Staff Review'!$A$8:$A$507,0))</f>
        <v>0</v>
      </c>
      <c r="J2399" s="1" t="str">
        <f>IF(I2399=0,"No",IF(INDEX('Staff Review'!$C$8:$C$507,I2399)="Yes","Yes","No"))</f>
        <v>No</v>
      </c>
      <c r="K2399" s="1" t="str">
        <f>IF(AI2399="Yes",INDEX('Staff Review'!$D$8:$D$507,I2399),IF(AB2399=0,"",IF(COUNT(INDEX($C$1531:$C$2030,AB2399))=1,INDEX($C$1531:$C$2030,AB2399),"")))</f>
        <v/>
      </c>
      <c r="L2399" s="1" t="str">
        <f>IF(AJ2399="Yes",INDEX('Staff Review'!$F$8:$F$507,I2399),IF(AB2399=0,"",IF(COUNT(INDEX($G$1531:$G$2030,AB2399))=1,INDEX($G$1531:$G$2030,AB2399),"")))</f>
        <v/>
      </c>
      <c r="M2399" s="1" t="str">
        <f t="shared" si="158"/>
        <v/>
      </c>
      <c r="N2399" s="1" t="str">
        <f t="shared" si="159"/>
        <v/>
      </c>
      <c r="O2399" s="1" t="str">
        <f t="shared" si="160"/>
        <v/>
      </c>
      <c r="P2399" s="1" t="str">
        <f t="shared" si="161"/>
        <v/>
      </c>
      <c r="Q2399" s="1" t="str">
        <f t="shared" si="162"/>
        <v/>
      </c>
      <c r="R2399" s="1" t="str">
        <f t="shared" si="163"/>
        <v/>
      </c>
      <c r="S2399" s="1" t="str">
        <f t="shared" si="164"/>
        <v/>
      </c>
      <c r="T2399" s="1" t="str">
        <f>IF(OR(COUNT(O2399:R2399)&lt;&gt;4,COUNT('Top 25'!$B$45:$E$45)&lt;&gt;4,MIN('Top 25'!$B$45:$E$45)&lt;0,SUM('Top 25'!$B$45:$E$45)&lt;=0),"",ROUND(85*(O2399/30*'Top 25'!$B$45+P2399/25*'Top 25'!$C$45+Q2399/25*'Top 25'!$D$45+R2399/5*'Top 25'!$E$45)/SUM('Top 25'!$B$45:$E$45),6))</f>
        <v/>
      </c>
      <c r="U2399" s="1" t="str">
        <f t="shared" si="165"/>
        <v/>
      </c>
      <c r="V2399" s="1" t="str">
        <f>IF(A2399="","",IF(AK2399&lt;&gt;1,"Duplicate source ID",IF(COUNTIFS('Staff Review'!$A$8:$A$507,A2399)&gt;1,"Duplicate review ID",IF(H2399&lt;&gt;"Yes","Outside scope",IF(J2399="Yes","Already served",IF(NOT(ISNUMBER(T2399)),"Missing data","Candidate"))))))</f>
        <v/>
      </c>
      <c r="W2399" s="1" t="str">
        <f t="shared" si="166"/>
        <v/>
      </c>
      <c r="X2399" s="1" t="str">
        <f t="shared" si="167"/>
        <v/>
      </c>
      <c r="Y2399" s="1">
        <f>IF(AND(H2399="Yes",OR(LEN('School Search'!$B$5)=0,ISNUMBER(SEARCH('School Search'!$B$5,B2399&amp;" "&amp;E2399&amp;" "&amp;A2399))),OR('School Search'!$D$5="All",C2399='School Search'!$D$5),OR('School Search'!$G$5="All eligible",AND('School Search'!$G$5="Not marked served",J2399&lt;&gt;"Yes"),AND('School Search'!$G$5="Missing data",V2399="Missing data"),AND('School Search'!$G$5="Marked served",J2399="Yes"))),1,0)</f>
        <v>0</v>
      </c>
      <c r="Z2399" s="1" t="str">
        <f>IF(Y2399=0,"",COUNTIFS($Y$2051:$Y$2550,1,$AO$2051:$AO$2550,"&lt;"&amp;AO2399)+COUNTIFS($Y$2051:Y2399,1,$AO$2051:AO2399,AO2399))</f>
        <v/>
      </c>
      <c r="AA2399" s="1" t="str">
        <f t="shared" si="168"/>
        <v>Missing demographic or access input</v>
      </c>
      <c r="AB2399" s="1">
        <f t="shared" si="169"/>
        <v>0</v>
      </c>
      <c r="AC2399" s="1" t="str">
        <f t="shared" si="170"/>
        <v/>
      </c>
      <c r="AD2399" s="1" t="str">
        <f t="shared" si="171"/>
        <v/>
      </c>
      <c r="AE2399" s="1" t="str">
        <f t="shared" si="172"/>
        <v/>
      </c>
      <c r="AF2399" s="1" t="str">
        <f t="shared" si="173"/>
        <v/>
      </c>
      <c r="AG2399" s="1" t="str">
        <f t="shared" si="174"/>
        <v/>
      </c>
      <c r="AH2399" s="1" t="str">
        <f>IF(I2399=0,"Not contacted",IF(INDEX('Staff Review'!$J$8:$J$507,I2399)="","Not contacted",INDEX('Staff Review'!$J$8:$J$507,I2399)))</f>
        <v>Not contacted</v>
      </c>
      <c r="AI2399" s="1" t="str">
        <f>IF(I2399=0,"No",IF(AND(COUNT(INDEX('Staff Review'!$D$8:$D$507,I2399))=1,INDEX('Staff Review'!$D$8:$D$507,I2399)&gt;=0,COUNT(INDEX('Staff Review'!$E$8:$E$507,I2399))=1,INDEX('Staff Review'!$E$8:$E$507,I2399)&gt;0,INDEX('Staff Review'!$E$8:$E$507,I2399)&lt;='Top 25'!$E$5,'Top 25'!$E$5-INDEX('Staff Review'!$E$8:$E$507,I2399)&lt;='Top 25'!$H$5,LEN(INDEX('Staff Review'!$H$8:$H$507,I2399))&gt;0),"Yes","No"))</f>
        <v>No</v>
      </c>
      <c r="AJ2399" s="1" t="str">
        <f>IF(I2399=0,"No",IF(COUNT(INDEX('Staff Review'!$F$8:$F$507,I2399))&lt;&gt;1,"No",IF(AND(INDEX('Staff Review'!$F$8:$F$507,I2399)&gt;=0,MOD(INDEX('Staff Review'!$F$8:$F$507,I2399),1)=0,COUNT(INDEX('Staff Review'!$G$8:$G$507,I2399))=1,INDEX('Staff Review'!$G$8:$G$507,I2399)&gt;0,INDEX('Staff Review'!$G$8:$G$507,I2399)&lt;='Top 25'!$E$5,'Top 25'!$E$5-INDEX('Staff Review'!$G$8:$G$507,I2399)&lt;='Top 25'!$H$5,LEN(INDEX('Staff Review'!$H$8:$H$507,I2399))&gt;0),"Yes","No")))</f>
        <v>No</v>
      </c>
      <c r="AK2399" s="1">
        <f t="shared" si="175"/>
        <v>0</v>
      </c>
      <c r="AL2399" s="1">
        <f t="shared" si="176"/>
        <v>0</v>
      </c>
      <c r="AM2399" s="1">
        <f t="shared" si="177"/>
        <v>0</v>
      </c>
      <c r="AN2399" s="1">
        <f t="shared" si="178"/>
        <v>0</v>
      </c>
      <c r="AO2399">
        <f t="shared" si="179"/>
        <v>10000</v>
      </c>
      <c r="AP2399" s="105">
        <f>IF(AND(AL2399=1,OR('Top 25'!$A$10="All",C2399='Top 25'!$A$10),OR('Top 25'!$D$10="All",D2399='Top 25'!$D$10)),1,0)</f>
        <v>0</v>
      </c>
      <c r="AQ2399" s="105" t="str">
        <f>IF(AP2399=0,"",CHOOSE(MATCH('Top 25'!$G$10,{"Priority score","Economic need","Enrollment","Fresh miles","Nearby resources"},0),T2399,G2399,F2399,K2399,L2399))</f>
        <v/>
      </c>
      <c r="AR2399" s="105" t="str">
        <f>IF(AP2399=0,"",1+COUNTIFS($AP$2051:$AP$2550,1,$AQ$2051:$AQ$2550,IF('Top 25'!$J$10="Ascending","&lt;","&gt;")&amp;AQ2399)+COUNTIFS($AP$2051:$AP$2550,1,$AQ$2051:$AQ$2550,AQ2399,$W$2051:$W$2550,"&lt;"&amp;W2399))</f>
        <v/>
      </c>
      <c r="AT2399" s="105">
        <f>IF(AND(AL2399=1,OR(Master_rankableSchools!$A$10="All",C2399=Master_rankableSchools!$A$10),OR(Master_rankableSchools!$D$10="All",D2399=Master_rankableSchools!$D$10)),1,0)</f>
        <v>0</v>
      </c>
      <c r="AU2399" s="105" t="str">
        <f>IF(AT2399=0,"",CHOOSE(MATCH(Master_rankableSchools!$G$10,{"Priority score","Economic need","Enrollment","Fresh miles","Nearby resources"},0),T2399,G2399,F2399,K2399,L2399))</f>
        <v/>
      </c>
      <c r="AV2399" s="105" t="str">
        <f>IF(AT2399=0,"",1+COUNTIFS($AT$2051:$AT$2550,1,$AU$2051:$AU$2550,IF(Master_rankableSchools!$J$10="Ascending","&lt;","&gt;")&amp;AU2399)+COUNTIFS($AT$2051:$AT$2550,1,$AU$2051:$AU$2550,AU2399,$W$2051:$W$2550,"&lt;"&amp;W2399))</f>
        <v/>
      </c>
    </row>
    <row r="2400" spans="1:48" ht="22" customHeight="1">
      <c r="A2400" s="1" t="str">
        <f t="shared" si="150"/>
        <v/>
      </c>
      <c r="B2400" s="1" t="str">
        <f t="shared" si="151"/>
        <v/>
      </c>
      <c r="C2400" s="1" t="str">
        <f t="shared" si="152"/>
        <v/>
      </c>
      <c r="D2400" s="1" t="str">
        <f t="shared" si="153"/>
        <v/>
      </c>
      <c r="E2400" s="1" t="str">
        <f t="shared" si="154"/>
        <v/>
      </c>
      <c r="F2400" s="1" t="str">
        <f t="shared" si="155"/>
        <v/>
      </c>
      <c r="G2400" s="1" t="str">
        <f t="shared" si="156"/>
        <v/>
      </c>
      <c r="H2400" s="1" t="str">
        <f t="shared" si="157"/>
        <v/>
      </c>
      <c r="I2400" s="1">
        <f>IF(OR(A2400="",COUNTIFS('Staff Review'!$A$8:$A$507,A2400)&lt;&gt;1),0,MATCH(A2400,'Staff Review'!$A$8:$A$507,0))</f>
        <v>0</v>
      </c>
      <c r="J2400" s="1" t="str">
        <f>IF(I2400=0,"No",IF(INDEX('Staff Review'!$C$8:$C$507,I2400)="Yes","Yes","No"))</f>
        <v>No</v>
      </c>
      <c r="K2400" s="1" t="str">
        <f>IF(AI2400="Yes",INDEX('Staff Review'!$D$8:$D$507,I2400),IF(AB2400=0,"",IF(COUNT(INDEX($C$1531:$C$2030,AB2400))=1,INDEX($C$1531:$C$2030,AB2400),"")))</f>
        <v/>
      </c>
      <c r="L2400" s="1" t="str">
        <f>IF(AJ2400="Yes",INDEX('Staff Review'!$F$8:$F$507,I2400),IF(AB2400=0,"",IF(COUNT(INDEX($G$1531:$G$2030,AB2400))=1,INDEX($G$1531:$G$2030,AB2400),"")))</f>
        <v/>
      </c>
      <c r="M2400" s="1" t="str">
        <f t="shared" si="158"/>
        <v/>
      </c>
      <c r="N2400" s="1" t="str">
        <f t="shared" si="159"/>
        <v/>
      </c>
      <c r="O2400" s="1" t="str">
        <f t="shared" si="160"/>
        <v/>
      </c>
      <c r="P2400" s="1" t="str">
        <f t="shared" si="161"/>
        <v/>
      </c>
      <c r="Q2400" s="1" t="str">
        <f t="shared" si="162"/>
        <v/>
      </c>
      <c r="R2400" s="1" t="str">
        <f t="shared" si="163"/>
        <v/>
      </c>
      <c r="S2400" s="1" t="str">
        <f t="shared" si="164"/>
        <v/>
      </c>
      <c r="T2400" s="1" t="str">
        <f>IF(OR(COUNT(O2400:R2400)&lt;&gt;4,COUNT('Top 25'!$B$45:$E$45)&lt;&gt;4,MIN('Top 25'!$B$45:$E$45)&lt;0,SUM('Top 25'!$B$45:$E$45)&lt;=0),"",ROUND(85*(O2400/30*'Top 25'!$B$45+P2400/25*'Top 25'!$C$45+Q2400/25*'Top 25'!$D$45+R2400/5*'Top 25'!$E$45)/SUM('Top 25'!$B$45:$E$45),6))</f>
        <v/>
      </c>
      <c r="U2400" s="1" t="str">
        <f t="shared" si="165"/>
        <v/>
      </c>
      <c r="V2400" s="1" t="str">
        <f>IF(A2400="","",IF(AK2400&lt;&gt;1,"Duplicate source ID",IF(COUNTIFS('Staff Review'!$A$8:$A$507,A2400)&gt;1,"Duplicate review ID",IF(H2400&lt;&gt;"Yes","Outside scope",IF(J2400="Yes","Already served",IF(NOT(ISNUMBER(T2400)),"Missing data","Candidate"))))))</f>
        <v/>
      </c>
      <c r="W2400" s="1" t="str">
        <f t="shared" si="166"/>
        <v/>
      </c>
      <c r="X2400" s="1" t="str">
        <f t="shared" si="167"/>
        <v/>
      </c>
      <c r="Y2400" s="1">
        <f>IF(AND(H2400="Yes",OR(LEN('School Search'!$B$5)=0,ISNUMBER(SEARCH('School Search'!$B$5,B2400&amp;" "&amp;E2400&amp;" "&amp;A2400))),OR('School Search'!$D$5="All",C2400='School Search'!$D$5),OR('School Search'!$G$5="All eligible",AND('School Search'!$G$5="Not marked served",J2400&lt;&gt;"Yes"),AND('School Search'!$G$5="Missing data",V2400="Missing data"),AND('School Search'!$G$5="Marked served",J2400="Yes"))),1,0)</f>
        <v>0</v>
      </c>
      <c r="Z2400" s="1" t="str">
        <f>IF(Y2400=0,"",COUNTIFS($Y$2051:$Y$2550,1,$AO$2051:$AO$2550,"&lt;"&amp;AO2400)+COUNTIFS($Y$2051:Y2400,1,$AO$2051:AO2400,AO2400))</f>
        <v/>
      </c>
      <c r="AA2400" s="1" t="str">
        <f t="shared" si="168"/>
        <v>Missing demographic or access input</v>
      </c>
      <c r="AB2400" s="1">
        <f t="shared" si="169"/>
        <v>0</v>
      </c>
      <c r="AC2400" s="1" t="str">
        <f t="shared" si="170"/>
        <v/>
      </c>
      <c r="AD2400" s="1" t="str">
        <f t="shared" si="171"/>
        <v/>
      </c>
      <c r="AE2400" s="1" t="str">
        <f t="shared" si="172"/>
        <v/>
      </c>
      <c r="AF2400" s="1" t="str">
        <f t="shared" si="173"/>
        <v/>
      </c>
      <c r="AG2400" s="1" t="str">
        <f t="shared" si="174"/>
        <v/>
      </c>
      <c r="AH2400" s="1" t="str">
        <f>IF(I2400=0,"Not contacted",IF(INDEX('Staff Review'!$J$8:$J$507,I2400)="","Not contacted",INDEX('Staff Review'!$J$8:$J$507,I2400)))</f>
        <v>Not contacted</v>
      </c>
      <c r="AI2400" s="1" t="str">
        <f>IF(I2400=0,"No",IF(AND(COUNT(INDEX('Staff Review'!$D$8:$D$507,I2400))=1,INDEX('Staff Review'!$D$8:$D$507,I2400)&gt;=0,COUNT(INDEX('Staff Review'!$E$8:$E$507,I2400))=1,INDEX('Staff Review'!$E$8:$E$507,I2400)&gt;0,INDEX('Staff Review'!$E$8:$E$507,I2400)&lt;='Top 25'!$E$5,'Top 25'!$E$5-INDEX('Staff Review'!$E$8:$E$507,I2400)&lt;='Top 25'!$H$5,LEN(INDEX('Staff Review'!$H$8:$H$507,I2400))&gt;0),"Yes","No"))</f>
        <v>No</v>
      </c>
      <c r="AJ2400" s="1" t="str">
        <f>IF(I2400=0,"No",IF(COUNT(INDEX('Staff Review'!$F$8:$F$507,I2400))&lt;&gt;1,"No",IF(AND(INDEX('Staff Review'!$F$8:$F$507,I2400)&gt;=0,MOD(INDEX('Staff Review'!$F$8:$F$507,I2400),1)=0,COUNT(INDEX('Staff Review'!$G$8:$G$507,I2400))=1,INDEX('Staff Review'!$G$8:$G$507,I2400)&gt;0,INDEX('Staff Review'!$G$8:$G$507,I2400)&lt;='Top 25'!$E$5,'Top 25'!$E$5-INDEX('Staff Review'!$G$8:$G$507,I2400)&lt;='Top 25'!$H$5,LEN(INDEX('Staff Review'!$H$8:$H$507,I2400))&gt;0),"Yes","No")))</f>
        <v>No</v>
      </c>
      <c r="AK2400" s="1">
        <f t="shared" si="175"/>
        <v>0</v>
      </c>
      <c r="AL2400" s="1">
        <f t="shared" si="176"/>
        <v>0</v>
      </c>
      <c r="AM2400" s="1">
        <f t="shared" si="177"/>
        <v>0</v>
      </c>
      <c r="AN2400" s="1">
        <f t="shared" si="178"/>
        <v>0</v>
      </c>
      <c r="AO2400">
        <f t="shared" si="179"/>
        <v>10000</v>
      </c>
      <c r="AP2400" s="105">
        <f>IF(AND(AL2400=1,OR('Top 25'!$A$10="All",C2400='Top 25'!$A$10),OR('Top 25'!$D$10="All",D2400='Top 25'!$D$10)),1,0)</f>
        <v>0</v>
      </c>
      <c r="AQ2400" s="105" t="str">
        <f>IF(AP2400=0,"",CHOOSE(MATCH('Top 25'!$G$10,{"Priority score","Economic need","Enrollment","Fresh miles","Nearby resources"},0),T2400,G2400,F2400,K2400,L2400))</f>
        <v/>
      </c>
      <c r="AR2400" s="105" t="str">
        <f>IF(AP2400=0,"",1+COUNTIFS($AP$2051:$AP$2550,1,$AQ$2051:$AQ$2550,IF('Top 25'!$J$10="Ascending","&lt;","&gt;")&amp;AQ2400)+COUNTIFS($AP$2051:$AP$2550,1,$AQ$2051:$AQ$2550,AQ2400,$W$2051:$W$2550,"&lt;"&amp;W2400))</f>
        <v/>
      </c>
      <c r="AT2400" s="105">
        <f>IF(AND(AL2400=1,OR(Master_rankableSchools!$A$10="All",C2400=Master_rankableSchools!$A$10),OR(Master_rankableSchools!$D$10="All",D2400=Master_rankableSchools!$D$10)),1,0)</f>
        <v>0</v>
      </c>
      <c r="AU2400" s="105" t="str">
        <f>IF(AT2400=0,"",CHOOSE(MATCH(Master_rankableSchools!$G$10,{"Priority score","Economic need","Enrollment","Fresh miles","Nearby resources"},0),T2400,G2400,F2400,K2400,L2400))</f>
        <v/>
      </c>
      <c r="AV2400" s="105" t="str">
        <f>IF(AT2400=0,"",1+COUNTIFS($AT$2051:$AT$2550,1,$AU$2051:$AU$2550,IF(Master_rankableSchools!$J$10="Ascending","&lt;","&gt;")&amp;AU2400)+COUNTIFS($AT$2051:$AT$2550,1,$AU$2051:$AU$2550,AU2400,$W$2051:$W$2550,"&lt;"&amp;W2400))</f>
        <v/>
      </c>
    </row>
    <row r="2401" spans="1:48" ht="22" customHeight="1">
      <c r="A2401" s="1" t="str">
        <f t="shared" si="150"/>
        <v/>
      </c>
      <c r="B2401" s="1" t="str">
        <f t="shared" si="151"/>
        <v/>
      </c>
      <c r="C2401" s="1" t="str">
        <f t="shared" si="152"/>
        <v/>
      </c>
      <c r="D2401" s="1" t="str">
        <f t="shared" si="153"/>
        <v/>
      </c>
      <c r="E2401" s="1" t="str">
        <f t="shared" si="154"/>
        <v/>
      </c>
      <c r="F2401" s="1" t="str">
        <f t="shared" si="155"/>
        <v/>
      </c>
      <c r="G2401" s="1" t="str">
        <f t="shared" si="156"/>
        <v/>
      </c>
      <c r="H2401" s="1" t="str">
        <f t="shared" si="157"/>
        <v/>
      </c>
      <c r="I2401" s="1">
        <f>IF(OR(A2401="",COUNTIFS('Staff Review'!$A$8:$A$507,A2401)&lt;&gt;1),0,MATCH(A2401,'Staff Review'!$A$8:$A$507,0))</f>
        <v>0</v>
      </c>
      <c r="J2401" s="1" t="str">
        <f>IF(I2401=0,"No",IF(INDEX('Staff Review'!$C$8:$C$507,I2401)="Yes","Yes","No"))</f>
        <v>No</v>
      </c>
      <c r="K2401" s="1" t="str">
        <f>IF(AI2401="Yes",INDEX('Staff Review'!$D$8:$D$507,I2401),IF(AB2401=0,"",IF(COUNT(INDEX($C$1531:$C$2030,AB2401))=1,INDEX($C$1531:$C$2030,AB2401),"")))</f>
        <v/>
      </c>
      <c r="L2401" s="1" t="str">
        <f>IF(AJ2401="Yes",INDEX('Staff Review'!$F$8:$F$507,I2401),IF(AB2401=0,"",IF(COUNT(INDEX($G$1531:$G$2030,AB2401))=1,INDEX($G$1531:$G$2030,AB2401),"")))</f>
        <v/>
      </c>
      <c r="M2401" s="1" t="str">
        <f t="shared" si="158"/>
        <v/>
      </c>
      <c r="N2401" s="1" t="str">
        <f t="shared" si="159"/>
        <v/>
      </c>
      <c r="O2401" s="1" t="str">
        <f t="shared" si="160"/>
        <v/>
      </c>
      <c r="P2401" s="1" t="str">
        <f t="shared" si="161"/>
        <v/>
      </c>
      <c r="Q2401" s="1" t="str">
        <f t="shared" si="162"/>
        <v/>
      </c>
      <c r="R2401" s="1" t="str">
        <f t="shared" si="163"/>
        <v/>
      </c>
      <c r="S2401" s="1" t="str">
        <f t="shared" si="164"/>
        <v/>
      </c>
      <c r="T2401" s="1" t="str">
        <f>IF(OR(COUNT(O2401:R2401)&lt;&gt;4,COUNT('Top 25'!$B$45:$E$45)&lt;&gt;4,MIN('Top 25'!$B$45:$E$45)&lt;0,SUM('Top 25'!$B$45:$E$45)&lt;=0),"",ROUND(85*(O2401/30*'Top 25'!$B$45+P2401/25*'Top 25'!$C$45+Q2401/25*'Top 25'!$D$45+R2401/5*'Top 25'!$E$45)/SUM('Top 25'!$B$45:$E$45),6))</f>
        <v/>
      </c>
      <c r="U2401" s="1" t="str">
        <f t="shared" si="165"/>
        <v/>
      </c>
      <c r="V2401" s="1" t="str">
        <f>IF(A2401="","",IF(AK2401&lt;&gt;1,"Duplicate source ID",IF(COUNTIFS('Staff Review'!$A$8:$A$507,A2401)&gt;1,"Duplicate review ID",IF(H2401&lt;&gt;"Yes","Outside scope",IF(J2401="Yes","Already served",IF(NOT(ISNUMBER(T2401)),"Missing data","Candidate"))))))</f>
        <v/>
      </c>
      <c r="W2401" s="1" t="str">
        <f t="shared" si="166"/>
        <v/>
      </c>
      <c r="X2401" s="1" t="str">
        <f t="shared" si="167"/>
        <v/>
      </c>
      <c r="Y2401" s="1">
        <f>IF(AND(H2401="Yes",OR(LEN('School Search'!$B$5)=0,ISNUMBER(SEARCH('School Search'!$B$5,B2401&amp;" "&amp;E2401&amp;" "&amp;A2401))),OR('School Search'!$D$5="All",C2401='School Search'!$D$5),OR('School Search'!$G$5="All eligible",AND('School Search'!$G$5="Not marked served",J2401&lt;&gt;"Yes"),AND('School Search'!$G$5="Missing data",V2401="Missing data"),AND('School Search'!$G$5="Marked served",J2401="Yes"))),1,0)</f>
        <v>0</v>
      </c>
      <c r="Z2401" s="1" t="str">
        <f>IF(Y2401=0,"",COUNTIFS($Y$2051:$Y$2550,1,$AO$2051:$AO$2550,"&lt;"&amp;AO2401)+COUNTIFS($Y$2051:Y2401,1,$AO$2051:AO2401,AO2401))</f>
        <v/>
      </c>
      <c r="AA2401" s="1" t="str">
        <f t="shared" si="168"/>
        <v>Missing demographic or access input</v>
      </c>
      <c r="AB2401" s="1">
        <f t="shared" si="169"/>
        <v>0</v>
      </c>
      <c r="AC2401" s="1" t="str">
        <f t="shared" si="170"/>
        <v/>
      </c>
      <c r="AD2401" s="1" t="str">
        <f t="shared" si="171"/>
        <v/>
      </c>
      <c r="AE2401" s="1" t="str">
        <f t="shared" si="172"/>
        <v/>
      </c>
      <c r="AF2401" s="1" t="str">
        <f t="shared" si="173"/>
        <v/>
      </c>
      <c r="AG2401" s="1" t="str">
        <f t="shared" si="174"/>
        <v/>
      </c>
      <c r="AH2401" s="1" t="str">
        <f>IF(I2401=0,"Not contacted",IF(INDEX('Staff Review'!$J$8:$J$507,I2401)="","Not contacted",INDEX('Staff Review'!$J$8:$J$507,I2401)))</f>
        <v>Not contacted</v>
      </c>
      <c r="AI2401" s="1" t="str">
        <f>IF(I2401=0,"No",IF(AND(COUNT(INDEX('Staff Review'!$D$8:$D$507,I2401))=1,INDEX('Staff Review'!$D$8:$D$507,I2401)&gt;=0,COUNT(INDEX('Staff Review'!$E$8:$E$507,I2401))=1,INDEX('Staff Review'!$E$8:$E$507,I2401)&gt;0,INDEX('Staff Review'!$E$8:$E$507,I2401)&lt;='Top 25'!$E$5,'Top 25'!$E$5-INDEX('Staff Review'!$E$8:$E$507,I2401)&lt;='Top 25'!$H$5,LEN(INDEX('Staff Review'!$H$8:$H$507,I2401))&gt;0),"Yes","No"))</f>
        <v>No</v>
      </c>
      <c r="AJ2401" s="1" t="str">
        <f>IF(I2401=0,"No",IF(COUNT(INDEX('Staff Review'!$F$8:$F$507,I2401))&lt;&gt;1,"No",IF(AND(INDEX('Staff Review'!$F$8:$F$507,I2401)&gt;=0,MOD(INDEX('Staff Review'!$F$8:$F$507,I2401),1)=0,COUNT(INDEX('Staff Review'!$G$8:$G$507,I2401))=1,INDEX('Staff Review'!$G$8:$G$507,I2401)&gt;0,INDEX('Staff Review'!$G$8:$G$507,I2401)&lt;='Top 25'!$E$5,'Top 25'!$E$5-INDEX('Staff Review'!$G$8:$G$507,I2401)&lt;='Top 25'!$H$5,LEN(INDEX('Staff Review'!$H$8:$H$507,I2401))&gt;0),"Yes","No")))</f>
        <v>No</v>
      </c>
      <c r="AK2401" s="1">
        <f t="shared" si="175"/>
        <v>0</v>
      </c>
      <c r="AL2401" s="1">
        <f t="shared" si="176"/>
        <v>0</v>
      </c>
      <c r="AM2401" s="1">
        <f t="shared" si="177"/>
        <v>0</v>
      </c>
      <c r="AN2401" s="1">
        <f t="shared" si="178"/>
        <v>0</v>
      </c>
      <c r="AO2401">
        <f t="shared" si="179"/>
        <v>10000</v>
      </c>
      <c r="AP2401" s="105">
        <f>IF(AND(AL2401=1,OR('Top 25'!$A$10="All",C2401='Top 25'!$A$10),OR('Top 25'!$D$10="All",D2401='Top 25'!$D$10)),1,0)</f>
        <v>0</v>
      </c>
      <c r="AQ2401" s="105" t="str">
        <f>IF(AP2401=0,"",CHOOSE(MATCH('Top 25'!$G$10,{"Priority score","Economic need","Enrollment","Fresh miles","Nearby resources"},0),T2401,G2401,F2401,K2401,L2401))</f>
        <v/>
      </c>
      <c r="AR2401" s="105" t="str">
        <f>IF(AP2401=0,"",1+COUNTIFS($AP$2051:$AP$2550,1,$AQ$2051:$AQ$2550,IF('Top 25'!$J$10="Ascending","&lt;","&gt;")&amp;AQ2401)+COUNTIFS($AP$2051:$AP$2550,1,$AQ$2051:$AQ$2550,AQ2401,$W$2051:$W$2550,"&lt;"&amp;W2401))</f>
        <v/>
      </c>
      <c r="AT2401" s="105">
        <f>IF(AND(AL2401=1,OR(Master_rankableSchools!$A$10="All",C2401=Master_rankableSchools!$A$10),OR(Master_rankableSchools!$D$10="All",D2401=Master_rankableSchools!$D$10)),1,0)</f>
        <v>0</v>
      </c>
      <c r="AU2401" s="105" t="str">
        <f>IF(AT2401=0,"",CHOOSE(MATCH(Master_rankableSchools!$G$10,{"Priority score","Economic need","Enrollment","Fresh miles","Nearby resources"},0),T2401,G2401,F2401,K2401,L2401))</f>
        <v/>
      </c>
      <c r="AV2401" s="105" t="str">
        <f>IF(AT2401=0,"",1+COUNTIFS($AT$2051:$AT$2550,1,$AU$2051:$AU$2550,IF(Master_rankableSchools!$J$10="Ascending","&lt;","&gt;")&amp;AU2401)+COUNTIFS($AT$2051:$AT$2550,1,$AU$2051:$AU$2550,AU2401,$W$2051:$W$2550,"&lt;"&amp;W2401))</f>
        <v/>
      </c>
    </row>
    <row r="2402" spans="1:48" ht="22" customHeight="1">
      <c r="A2402" s="1" t="str">
        <f t="shared" si="150"/>
        <v/>
      </c>
      <c r="B2402" s="1" t="str">
        <f t="shared" si="151"/>
        <v/>
      </c>
      <c r="C2402" s="1" t="str">
        <f t="shared" si="152"/>
        <v/>
      </c>
      <c r="D2402" s="1" t="str">
        <f t="shared" si="153"/>
        <v/>
      </c>
      <c r="E2402" s="1" t="str">
        <f t="shared" si="154"/>
        <v/>
      </c>
      <c r="F2402" s="1" t="str">
        <f t="shared" si="155"/>
        <v/>
      </c>
      <c r="G2402" s="1" t="str">
        <f t="shared" si="156"/>
        <v/>
      </c>
      <c r="H2402" s="1" t="str">
        <f t="shared" si="157"/>
        <v/>
      </c>
      <c r="I2402" s="1">
        <f>IF(OR(A2402="",COUNTIFS('Staff Review'!$A$8:$A$507,A2402)&lt;&gt;1),0,MATCH(A2402,'Staff Review'!$A$8:$A$507,0))</f>
        <v>0</v>
      </c>
      <c r="J2402" s="1" t="str">
        <f>IF(I2402=0,"No",IF(INDEX('Staff Review'!$C$8:$C$507,I2402)="Yes","Yes","No"))</f>
        <v>No</v>
      </c>
      <c r="K2402" s="1" t="str">
        <f>IF(AI2402="Yes",INDEX('Staff Review'!$D$8:$D$507,I2402),IF(AB2402=0,"",IF(COUNT(INDEX($C$1531:$C$2030,AB2402))=1,INDEX($C$1531:$C$2030,AB2402),"")))</f>
        <v/>
      </c>
      <c r="L2402" s="1" t="str">
        <f>IF(AJ2402="Yes",INDEX('Staff Review'!$F$8:$F$507,I2402),IF(AB2402=0,"",IF(COUNT(INDEX($G$1531:$G$2030,AB2402))=1,INDEX($G$1531:$G$2030,AB2402),"")))</f>
        <v/>
      </c>
      <c r="M2402" s="1" t="str">
        <f t="shared" si="158"/>
        <v/>
      </c>
      <c r="N2402" s="1" t="str">
        <f t="shared" si="159"/>
        <v/>
      </c>
      <c r="O2402" s="1" t="str">
        <f t="shared" si="160"/>
        <v/>
      </c>
      <c r="P2402" s="1" t="str">
        <f t="shared" si="161"/>
        <v/>
      </c>
      <c r="Q2402" s="1" t="str">
        <f t="shared" si="162"/>
        <v/>
      </c>
      <c r="R2402" s="1" t="str">
        <f t="shared" si="163"/>
        <v/>
      </c>
      <c r="S2402" s="1" t="str">
        <f t="shared" si="164"/>
        <v/>
      </c>
      <c r="T2402" s="1" t="str">
        <f>IF(OR(COUNT(O2402:R2402)&lt;&gt;4,COUNT('Top 25'!$B$45:$E$45)&lt;&gt;4,MIN('Top 25'!$B$45:$E$45)&lt;0,SUM('Top 25'!$B$45:$E$45)&lt;=0),"",ROUND(85*(O2402/30*'Top 25'!$B$45+P2402/25*'Top 25'!$C$45+Q2402/25*'Top 25'!$D$45+R2402/5*'Top 25'!$E$45)/SUM('Top 25'!$B$45:$E$45),6))</f>
        <v/>
      </c>
      <c r="U2402" s="1" t="str">
        <f t="shared" si="165"/>
        <v/>
      </c>
      <c r="V2402" s="1" t="str">
        <f>IF(A2402="","",IF(AK2402&lt;&gt;1,"Duplicate source ID",IF(COUNTIFS('Staff Review'!$A$8:$A$507,A2402)&gt;1,"Duplicate review ID",IF(H2402&lt;&gt;"Yes","Outside scope",IF(J2402="Yes","Already served",IF(NOT(ISNUMBER(T2402)),"Missing data","Candidate"))))))</f>
        <v/>
      </c>
      <c r="W2402" s="1" t="str">
        <f t="shared" si="166"/>
        <v/>
      </c>
      <c r="X2402" s="1" t="str">
        <f t="shared" si="167"/>
        <v/>
      </c>
      <c r="Y2402" s="1">
        <f>IF(AND(H2402="Yes",OR(LEN('School Search'!$B$5)=0,ISNUMBER(SEARCH('School Search'!$B$5,B2402&amp;" "&amp;E2402&amp;" "&amp;A2402))),OR('School Search'!$D$5="All",C2402='School Search'!$D$5),OR('School Search'!$G$5="All eligible",AND('School Search'!$G$5="Not marked served",J2402&lt;&gt;"Yes"),AND('School Search'!$G$5="Missing data",V2402="Missing data"),AND('School Search'!$G$5="Marked served",J2402="Yes"))),1,0)</f>
        <v>0</v>
      </c>
      <c r="Z2402" s="1" t="str">
        <f>IF(Y2402=0,"",COUNTIFS($Y$2051:$Y$2550,1,$AO$2051:$AO$2550,"&lt;"&amp;AO2402)+COUNTIFS($Y$2051:Y2402,1,$AO$2051:AO2402,AO2402))</f>
        <v/>
      </c>
      <c r="AA2402" s="1" t="str">
        <f t="shared" si="168"/>
        <v>Missing demographic or access input</v>
      </c>
      <c r="AB2402" s="1">
        <f t="shared" si="169"/>
        <v>0</v>
      </c>
      <c r="AC2402" s="1" t="str">
        <f t="shared" si="170"/>
        <v/>
      </c>
      <c r="AD2402" s="1" t="str">
        <f t="shared" si="171"/>
        <v/>
      </c>
      <c r="AE2402" s="1" t="str">
        <f t="shared" si="172"/>
        <v/>
      </c>
      <c r="AF2402" s="1" t="str">
        <f t="shared" si="173"/>
        <v/>
      </c>
      <c r="AG2402" s="1" t="str">
        <f t="shared" si="174"/>
        <v/>
      </c>
      <c r="AH2402" s="1" t="str">
        <f>IF(I2402=0,"Not contacted",IF(INDEX('Staff Review'!$J$8:$J$507,I2402)="","Not contacted",INDEX('Staff Review'!$J$8:$J$507,I2402)))</f>
        <v>Not contacted</v>
      </c>
      <c r="AI2402" s="1" t="str">
        <f>IF(I2402=0,"No",IF(AND(COUNT(INDEX('Staff Review'!$D$8:$D$507,I2402))=1,INDEX('Staff Review'!$D$8:$D$507,I2402)&gt;=0,COUNT(INDEX('Staff Review'!$E$8:$E$507,I2402))=1,INDEX('Staff Review'!$E$8:$E$507,I2402)&gt;0,INDEX('Staff Review'!$E$8:$E$507,I2402)&lt;='Top 25'!$E$5,'Top 25'!$E$5-INDEX('Staff Review'!$E$8:$E$507,I2402)&lt;='Top 25'!$H$5,LEN(INDEX('Staff Review'!$H$8:$H$507,I2402))&gt;0),"Yes","No"))</f>
        <v>No</v>
      </c>
      <c r="AJ2402" s="1" t="str">
        <f>IF(I2402=0,"No",IF(COUNT(INDEX('Staff Review'!$F$8:$F$507,I2402))&lt;&gt;1,"No",IF(AND(INDEX('Staff Review'!$F$8:$F$507,I2402)&gt;=0,MOD(INDEX('Staff Review'!$F$8:$F$507,I2402),1)=0,COUNT(INDEX('Staff Review'!$G$8:$G$507,I2402))=1,INDEX('Staff Review'!$G$8:$G$507,I2402)&gt;0,INDEX('Staff Review'!$G$8:$G$507,I2402)&lt;='Top 25'!$E$5,'Top 25'!$E$5-INDEX('Staff Review'!$G$8:$G$507,I2402)&lt;='Top 25'!$H$5,LEN(INDEX('Staff Review'!$H$8:$H$507,I2402))&gt;0),"Yes","No")))</f>
        <v>No</v>
      </c>
      <c r="AK2402" s="1">
        <f t="shared" si="175"/>
        <v>0</v>
      </c>
      <c r="AL2402" s="1">
        <f t="shared" si="176"/>
        <v>0</v>
      </c>
      <c r="AM2402" s="1">
        <f t="shared" si="177"/>
        <v>0</v>
      </c>
      <c r="AN2402" s="1">
        <f t="shared" si="178"/>
        <v>0</v>
      </c>
      <c r="AO2402">
        <f t="shared" si="179"/>
        <v>10000</v>
      </c>
      <c r="AP2402" s="105">
        <f>IF(AND(AL2402=1,OR('Top 25'!$A$10="All",C2402='Top 25'!$A$10),OR('Top 25'!$D$10="All",D2402='Top 25'!$D$10)),1,0)</f>
        <v>0</v>
      </c>
      <c r="AQ2402" s="105" t="str">
        <f>IF(AP2402=0,"",CHOOSE(MATCH('Top 25'!$G$10,{"Priority score","Economic need","Enrollment","Fresh miles","Nearby resources"},0),T2402,G2402,F2402,K2402,L2402))</f>
        <v/>
      </c>
      <c r="AR2402" s="105" t="str">
        <f>IF(AP2402=0,"",1+COUNTIFS($AP$2051:$AP$2550,1,$AQ$2051:$AQ$2550,IF('Top 25'!$J$10="Ascending","&lt;","&gt;")&amp;AQ2402)+COUNTIFS($AP$2051:$AP$2550,1,$AQ$2051:$AQ$2550,AQ2402,$W$2051:$W$2550,"&lt;"&amp;W2402))</f>
        <v/>
      </c>
      <c r="AT2402" s="105">
        <f>IF(AND(AL2402=1,OR(Master_rankableSchools!$A$10="All",C2402=Master_rankableSchools!$A$10),OR(Master_rankableSchools!$D$10="All",D2402=Master_rankableSchools!$D$10)),1,0)</f>
        <v>0</v>
      </c>
      <c r="AU2402" s="105" t="str">
        <f>IF(AT2402=0,"",CHOOSE(MATCH(Master_rankableSchools!$G$10,{"Priority score","Economic need","Enrollment","Fresh miles","Nearby resources"},0),T2402,G2402,F2402,K2402,L2402))</f>
        <v/>
      </c>
      <c r="AV2402" s="105" t="str">
        <f>IF(AT2402=0,"",1+COUNTIFS($AT$2051:$AT$2550,1,$AU$2051:$AU$2550,IF(Master_rankableSchools!$J$10="Ascending","&lt;","&gt;")&amp;AU2402)+COUNTIFS($AT$2051:$AT$2550,1,$AU$2051:$AU$2550,AU2402,$W$2051:$W$2550,"&lt;"&amp;W2402))</f>
        <v/>
      </c>
    </row>
    <row r="2403" spans="1:48" ht="22" customHeight="1">
      <c r="A2403" s="1" t="str">
        <f t="shared" si="150"/>
        <v/>
      </c>
      <c r="B2403" s="1" t="str">
        <f t="shared" si="151"/>
        <v/>
      </c>
      <c r="C2403" s="1" t="str">
        <f t="shared" si="152"/>
        <v/>
      </c>
      <c r="D2403" s="1" t="str">
        <f t="shared" si="153"/>
        <v/>
      </c>
      <c r="E2403" s="1" t="str">
        <f t="shared" si="154"/>
        <v/>
      </c>
      <c r="F2403" s="1" t="str">
        <f t="shared" si="155"/>
        <v/>
      </c>
      <c r="G2403" s="1" t="str">
        <f t="shared" si="156"/>
        <v/>
      </c>
      <c r="H2403" s="1" t="str">
        <f t="shared" si="157"/>
        <v/>
      </c>
      <c r="I2403" s="1">
        <f>IF(OR(A2403="",COUNTIFS('Staff Review'!$A$8:$A$507,A2403)&lt;&gt;1),0,MATCH(A2403,'Staff Review'!$A$8:$A$507,0))</f>
        <v>0</v>
      </c>
      <c r="J2403" s="1" t="str">
        <f>IF(I2403=0,"No",IF(INDEX('Staff Review'!$C$8:$C$507,I2403)="Yes","Yes","No"))</f>
        <v>No</v>
      </c>
      <c r="K2403" s="1" t="str">
        <f>IF(AI2403="Yes",INDEX('Staff Review'!$D$8:$D$507,I2403),IF(AB2403=0,"",IF(COUNT(INDEX($C$1531:$C$2030,AB2403))=1,INDEX($C$1531:$C$2030,AB2403),"")))</f>
        <v/>
      </c>
      <c r="L2403" s="1" t="str">
        <f>IF(AJ2403="Yes",INDEX('Staff Review'!$F$8:$F$507,I2403),IF(AB2403=0,"",IF(COUNT(INDEX($G$1531:$G$2030,AB2403))=1,INDEX($G$1531:$G$2030,AB2403),"")))</f>
        <v/>
      </c>
      <c r="M2403" s="1" t="str">
        <f t="shared" si="158"/>
        <v/>
      </c>
      <c r="N2403" s="1" t="str">
        <f t="shared" si="159"/>
        <v/>
      </c>
      <c r="O2403" s="1" t="str">
        <f t="shared" si="160"/>
        <v/>
      </c>
      <c r="P2403" s="1" t="str">
        <f t="shared" si="161"/>
        <v/>
      </c>
      <c r="Q2403" s="1" t="str">
        <f t="shared" si="162"/>
        <v/>
      </c>
      <c r="R2403" s="1" t="str">
        <f t="shared" si="163"/>
        <v/>
      </c>
      <c r="S2403" s="1" t="str">
        <f t="shared" si="164"/>
        <v/>
      </c>
      <c r="T2403" s="1" t="str">
        <f>IF(OR(COUNT(O2403:R2403)&lt;&gt;4,COUNT('Top 25'!$B$45:$E$45)&lt;&gt;4,MIN('Top 25'!$B$45:$E$45)&lt;0,SUM('Top 25'!$B$45:$E$45)&lt;=0),"",ROUND(85*(O2403/30*'Top 25'!$B$45+P2403/25*'Top 25'!$C$45+Q2403/25*'Top 25'!$D$45+R2403/5*'Top 25'!$E$45)/SUM('Top 25'!$B$45:$E$45),6))</f>
        <v/>
      </c>
      <c r="U2403" s="1" t="str">
        <f t="shared" si="165"/>
        <v/>
      </c>
      <c r="V2403" s="1" t="str">
        <f>IF(A2403="","",IF(AK2403&lt;&gt;1,"Duplicate source ID",IF(COUNTIFS('Staff Review'!$A$8:$A$507,A2403)&gt;1,"Duplicate review ID",IF(H2403&lt;&gt;"Yes","Outside scope",IF(J2403="Yes","Already served",IF(NOT(ISNUMBER(T2403)),"Missing data","Candidate"))))))</f>
        <v/>
      </c>
      <c r="W2403" s="1" t="str">
        <f t="shared" si="166"/>
        <v/>
      </c>
      <c r="X2403" s="1" t="str">
        <f t="shared" si="167"/>
        <v/>
      </c>
      <c r="Y2403" s="1">
        <f>IF(AND(H2403="Yes",OR(LEN('School Search'!$B$5)=0,ISNUMBER(SEARCH('School Search'!$B$5,B2403&amp;" "&amp;E2403&amp;" "&amp;A2403))),OR('School Search'!$D$5="All",C2403='School Search'!$D$5),OR('School Search'!$G$5="All eligible",AND('School Search'!$G$5="Not marked served",J2403&lt;&gt;"Yes"),AND('School Search'!$G$5="Missing data",V2403="Missing data"),AND('School Search'!$G$5="Marked served",J2403="Yes"))),1,0)</f>
        <v>0</v>
      </c>
      <c r="Z2403" s="1" t="str">
        <f>IF(Y2403=0,"",COUNTIFS($Y$2051:$Y$2550,1,$AO$2051:$AO$2550,"&lt;"&amp;AO2403)+COUNTIFS($Y$2051:Y2403,1,$AO$2051:AO2403,AO2403))</f>
        <v/>
      </c>
      <c r="AA2403" s="1" t="str">
        <f t="shared" si="168"/>
        <v>Missing demographic or access input</v>
      </c>
      <c r="AB2403" s="1">
        <f t="shared" si="169"/>
        <v>0</v>
      </c>
      <c r="AC2403" s="1" t="str">
        <f t="shared" si="170"/>
        <v/>
      </c>
      <c r="AD2403" s="1" t="str">
        <f t="shared" si="171"/>
        <v/>
      </c>
      <c r="AE2403" s="1" t="str">
        <f t="shared" si="172"/>
        <v/>
      </c>
      <c r="AF2403" s="1" t="str">
        <f t="shared" si="173"/>
        <v/>
      </c>
      <c r="AG2403" s="1" t="str">
        <f t="shared" si="174"/>
        <v/>
      </c>
      <c r="AH2403" s="1" t="str">
        <f>IF(I2403=0,"Not contacted",IF(INDEX('Staff Review'!$J$8:$J$507,I2403)="","Not contacted",INDEX('Staff Review'!$J$8:$J$507,I2403)))</f>
        <v>Not contacted</v>
      </c>
      <c r="AI2403" s="1" t="str">
        <f>IF(I2403=0,"No",IF(AND(COUNT(INDEX('Staff Review'!$D$8:$D$507,I2403))=1,INDEX('Staff Review'!$D$8:$D$507,I2403)&gt;=0,COUNT(INDEX('Staff Review'!$E$8:$E$507,I2403))=1,INDEX('Staff Review'!$E$8:$E$507,I2403)&gt;0,INDEX('Staff Review'!$E$8:$E$507,I2403)&lt;='Top 25'!$E$5,'Top 25'!$E$5-INDEX('Staff Review'!$E$8:$E$507,I2403)&lt;='Top 25'!$H$5,LEN(INDEX('Staff Review'!$H$8:$H$507,I2403))&gt;0),"Yes","No"))</f>
        <v>No</v>
      </c>
      <c r="AJ2403" s="1" t="str">
        <f>IF(I2403=0,"No",IF(COUNT(INDEX('Staff Review'!$F$8:$F$507,I2403))&lt;&gt;1,"No",IF(AND(INDEX('Staff Review'!$F$8:$F$507,I2403)&gt;=0,MOD(INDEX('Staff Review'!$F$8:$F$507,I2403),1)=0,COUNT(INDEX('Staff Review'!$G$8:$G$507,I2403))=1,INDEX('Staff Review'!$G$8:$G$507,I2403)&gt;0,INDEX('Staff Review'!$G$8:$G$507,I2403)&lt;='Top 25'!$E$5,'Top 25'!$E$5-INDEX('Staff Review'!$G$8:$G$507,I2403)&lt;='Top 25'!$H$5,LEN(INDEX('Staff Review'!$H$8:$H$507,I2403))&gt;0),"Yes","No")))</f>
        <v>No</v>
      </c>
      <c r="AK2403" s="1">
        <f t="shared" si="175"/>
        <v>0</v>
      </c>
      <c r="AL2403" s="1">
        <f t="shared" si="176"/>
        <v>0</v>
      </c>
      <c r="AM2403" s="1">
        <f t="shared" si="177"/>
        <v>0</v>
      </c>
      <c r="AN2403" s="1">
        <f t="shared" si="178"/>
        <v>0</v>
      </c>
      <c r="AO2403">
        <f t="shared" si="179"/>
        <v>10000</v>
      </c>
      <c r="AP2403" s="105">
        <f>IF(AND(AL2403=1,OR('Top 25'!$A$10="All",C2403='Top 25'!$A$10),OR('Top 25'!$D$10="All",D2403='Top 25'!$D$10)),1,0)</f>
        <v>0</v>
      </c>
      <c r="AQ2403" s="105" t="str">
        <f>IF(AP2403=0,"",CHOOSE(MATCH('Top 25'!$G$10,{"Priority score","Economic need","Enrollment","Fresh miles","Nearby resources"},0),T2403,G2403,F2403,K2403,L2403))</f>
        <v/>
      </c>
      <c r="AR2403" s="105" t="str">
        <f>IF(AP2403=0,"",1+COUNTIFS($AP$2051:$AP$2550,1,$AQ$2051:$AQ$2550,IF('Top 25'!$J$10="Ascending","&lt;","&gt;")&amp;AQ2403)+COUNTIFS($AP$2051:$AP$2550,1,$AQ$2051:$AQ$2550,AQ2403,$W$2051:$W$2550,"&lt;"&amp;W2403))</f>
        <v/>
      </c>
      <c r="AT2403" s="105">
        <f>IF(AND(AL2403=1,OR(Master_rankableSchools!$A$10="All",C2403=Master_rankableSchools!$A$10),OR(Master_rankableSchools!$D$10="All",D2403=Master_rankableSchools!$D$10)),1,0)</f>
        <v>0</v>
      </c>
      <c r="AU2403" s="105" t="str">
        <f>IF(AT2403=0,"",CHOOSE(MATCH(Master_rankableSchools!$G$10,{"Priority score","Economic need","Enrollment","Fresh miles","Nearby resources"},0),T2403,G2403,F2403,K2403,L2403))</f>
        <v/>
      </c>
      <c r="AV2403" s="105" t="str">
        <f>IF(AT2403=0,"",1+COUNTIFS($AT$2051:$AT$2550,1,$AU$2051:$AU$2550,IF(Master_rankableSchools!$J$10="Ascending","&lt;","&gt;")&amp;AU2403)+COUNTIFS($AT$2051:$AT$2550,1,$AU$2051:$AU$2550,AU2403,$W$2051:$W$2550,"&lt;"&amp;W2403))</f>
        <v/>
      </c>
    </row>
    <row r="2404" spans="1:48" ht="22" customHeight="1">
      <c r="A2404" s="1" t="str">
        <f t="shared" si="150"/>
        <v/>
      </c>
      <c r="B2404" s="1" t="str">
        <f t="shared" si="151"/>
        <v/>
      </c>
      <c r="C2404" s="1" t="str">
        <f t="shared" si="152"/>
        <v/>
      </c>
      <c r="D2404" s="1" t="str">
        <f t="shared" si="153"/>
        <v/>
      </c>
      <c r="E2404" s="1" t="str">
        <f t="shared" si="154"/>
        <v/>
      </c>
      <c r="F2404" s="1" t="str">
        <f t="shared" si="155"/>
        <v/>
      </c>
      <c r="G2404" s="1" t="str">
        <f t="shared" si="156"/>
        <v/>
      </c>
      <c r="H2404" s="1" t="str">
        <f t="shared" si="157"/>
        <v/>
      </c>
      <c r="I2404" s="1">
        <f>IF(OR(A2404="",COUNTIFS('Staff Review'!$A$8:$A$507,A2404)&lt;&gt;1),0,MATCH(A2404,'Staff Review'!$A$8:$A$507,0))</f>
        <v>0</v>
      </c>
      <c r="J2404" s="1" t="str">
        <f>IF(I2404=0,"No",IF(INDEX('Staff Review'!$C$8:$C$507,I2404)="Yes","Yes","No"))</f>
        <v>No</v>
      </c>
      <c r="K2404" s="1" t="str">
        <f>IF(AI2404="Yes",INDEX('Staff Review'!$D$8:$D$507,I2404),IF(AB2404=0,"",IF(COUNT(INDEX($C$1531:$C$2030,AB2404))=1,INDEX($C$1531:$C$2030,AB2404),"")))</f>
        <v/>
      </c>
      <c r="L2404" s="1" t="str">
        <f>IF(AJ2404="Yes",INDEX('Staff Review'!$F$8:$F$507,I2404),IF(AB2404=0,"",IF(COUNT(INDEX($G$1531:$G$2030,AB2404))=1,INDEX($G$1531:$G$2030,AB2404),"")))</f>
        <v/>
      </c>
      <c r="M2404" s="1" t="str">
        <f t="shared" si="158"/>
        <v/>
      </c>
      <c r="N2404" s="1" t="str">
        <f t="shared" si="159"/>
        <v/>
      </c>
      <c r="O2404" s="1" t="str">
        <f t="shared" si="160"/>
        <v/>
      </c>
      <c r="P2404" s="1" t="str">
        <f t="shared" si="161"/>
        <v/>
      </c>
      <c r="Q2404" s="1" t="str">
        <f t="shared" si="162"/>
        <v/>
      </c>
      <c r="R2404" s="1" t="str">
        <f t="shared" si="163"/>
        <v/>
      </c>
      <c r="S2404" s="1" t="str">
        <f t="shared" si="164"/>
        <v/>
      </c>
      <c r="T2404" s="1" t="str">
        <f>IF(OR(COUNT(O2404:R2404)&lt;&gt;4,COUNT('Top 25'!$B$45:$E$45)&lt;&gt;4,MIN('Top 25'!$B$45:$E$45)&lt;0,SUM('Top 25'!$B$45:$E$45)&lt;=0),"",ROUND(85*(O2404/30*'Top 25'!$B$45+P2404/25*'Top 25'!$C$45+Q2404/25*'Top 25'!$D$45+R2404/5*'Top 25'!$E$45)/SUM('Top 25'!$B$45:$E$45),6))</f>
        <v/>
      </c>
      <c r="U2404" s="1" t="str">
        <f t="shared" si="165"/>
        <v/>
      </c>
      <c r="V2404" s="1" t="str">
        <f>IF(A2404="","",IF(AK2404&lt;&gt;1,"Duplicate source ID",IF(COUNTIFS('Staff Review'!$A$8:$A$507,A2404)&gt;1,"Duplicate review ID",IF(H2404&lt;&gt;"Yes","Outside scope",IF(J2404="Yes","Already served",IF(NOT(ISNUMBER(T2404)),"Missing data","Candidate"))))))</f>
        <v/>
      </c>
      <c r="W2404" s="1" t="str">
        <f t="shared" si="166"/>
        <v/>
      </c>
      <c r="X2404" s="1" t="str">
        <f t="shared" si="167"/>
        <v/>
      </c>
      <c r="Y2404" s="1">
        <f>IF(AND(H2404="Yes",OR(LEN('School Search'!$B$5)=0,ISNUMBER(SEARCH('School Search'!$B$5,B2404&amp;" "&amp;E2404&amp;" "&amp;A2404))),OR('School Search'!$D$5="All",C2404='School Search'!$D$5),OR('School Search'!$G$5="All eligible",AND('School Search'!$G$5="Not marked served",J2404&lt;&gt;"Yes"),AND('School Search'!$G$5="Missing data",V2404="Missing data"),AND('School Search'!$G$5="Marked served",J2404="Yes"))),1,0)</f>
        <v>0</v>
      </c>
      <c r="Z2404" s="1" t="str">
        <f>IF(Y2404=0,"",COUNTIFS($Y$2051:$Y$2550,1,$AO$2051:$AO$2550,"&lt;"&amp;AO2404)+COUNTIFS($Y$2051:Y2404,1,$AO$2051:AO2404,AO2404))</f>
        <v/>
      </c>
      <c r="AA2404" s="1" t="str">
        <f t="shared" si="168"/>
        <v>Missing demographic or access input</v>
      </c>
      <c r="AB2404" s="1">
        <f t="shared" si="169"/>
        <v>0</v>
      </c>
      <c r="AC2404" s="1" t="str">
        <f t="shared" si="170"/>
        <v/>
      </c>
      <c r="AD2404" s="1" t="str">
        <f t="shared" si="171"/>
        <v/>
      </c>
      <c r="AE2404" s="1" t="str">
        <f t="shared" si="172"/>
        <v/>
      </c>
      <c r="AF2404" s="1" t="str">
        <f t="shared" si="173"/>
        <v/>
      </c>
      <c r="AG2404" s="1" t="str">
        <f t="shared" si="174"/>
        <v/>
      </c>
      <c r="AH2404" s="1" t="str">
        <f>IF(I2404=0,"Not contacted",IF(INDEX('Staff Review'!$J$8:$J$507,I2404)="","Not contacted",INDEX('Staff Review'!$J$8:$J$507,I2404)))</f>
        <v>Not contacted</v>
      </c>
      <c r="AI2404" s="1" t="str">
        <f>IF(I2404=0,"No",IF(AND(COUNT(INDEX('Staff Review'!$D$8:$D$507,I2404))=1,INDEX('Staff Review'!$D$8:$D$507,I2404)&gt;=0,COUNT(INDEX('Staff Review'!$E$8:$E$507,I2404))=1,INDEX('Staff Review'!$E$8:$E$507,I2404)&gt;0,INDEX('Staff Review'!$E$8:$E$507,I2404)&lt;='Top 25'!$E$5,'Top 25'!$E$5-INDEX('Staff Review'!$E$8:$E$507,I2404)&lt;='Top 25'!$H$5,LEN(INDEX('Staff Review'!$H$8:$H$507,I2404))&gt;0),"Yes","No"))</f>
        <v>No</v>
      </c>
      <c r="AJ2404" s="1" t="str">
        <f>IF(I2404=0,"No",IF(COUNT(INDEX('Staff Review'!$F$8:$F$507,I2404))&lt;&gt;1,"No",IF(AND(INDEX('Staff Review'!$F$8:$F$507,I2404)&gt;=0,MOD(INDEX('Staff Review'!$F$8:$F$507,I2404),1)=0,COUNT(INDEX('Staff Review'!$G$8:$G$507,I2404))=1,INDEX('Staff Review'!$G$8:$G$507,I2404)&gt;0,INDEX('Staff Review'!$G$8:$G$507,I2404)&lt;='Top 25'!$E$5,'Top 25'!$E$5-INDEX('Staff Review'!$G$8:$G$507,I2404)&lt;='Top 25'!$H$5,LEN(INDEX('Staff Review'!$H$8:$H$507,I2404))&gt;0),"Yes","No")))</f>
        <v>No</v>
      </c>
      <c r="AK2404" s="1">
        <f t="shared" si="175"/>
        <v>0</v>
      </c>
      <c r="AL2404" s="1">
        <f t="shared" si="176"/>
        <v>0</v>
      </c>
      <c r="AM2404" s="1">
        <f t="shared" si="177"/>
        <v>0</v>
      </c>
      <c r="AN2404" s="1">
        <f t="shared" si="178"/>
        <v>0</v>
      </c>
      <c r="AO2404">
        <f t="shared" si="179"/>
        <v>10000</v>
      </c>
      <c r="AP2404" s="105">
        <f>IF(AND(AL2404=1,OR('Top 25'!$A$10="All",C2404='Top 25'!$A$10),OR('Top 25'!$D$10="All",D2404='Top 25'!$D$10)),1,0)</f>
        <v>0</v>
      </c>
      <c r="AQ2404" s="105" t="str">
        <f>IF(AP2404=0,"",CHOOSE(MATCH('Top 25'!$G$10,{"Priority score","Economic need","Enrollment","Fresh miles","Nearby resources"},0),T2404,G2404,F2404,K2404,L2404))</f>
        <v/>
      </c>
      <c r="AR2404" s="105" t="str">
        <f>IF(AP2404=0,"",1+COUNTIFS($AP$2051:$AP$2550,1,$AQ$2051:$AQ$2550,IF('Top 25'!$J$10="Ascending","&lt;","&gt;")&amp;AQ2404)+COUNTIFS($AP$2051:$AP$2550,1,$AQ$2051:$AQ$2550,AQ2404,$W$2051:$W$2550,"&lt;"&amp;W2404))</f>
        <v/>
      </c>
      <c r="AT2404" s="105">
        <f>IF(AND(AL2404=1,OR(Master_rankableSchools!$A$10="All",C2404=Master_rankableSchools!$A$10),OR(Master_rankableSchools!$D$10="All",D2404=Master_rankableSchools!$D$10)),1,0)</f>
        <v>0</v>
      </c>
      <c r="AU2404" s="105" t="str">
        <f>IF(AT2404=0,"",CHOOSE(MATCH(Master_rankableSchools!$G$10,{"Priority score","Economic need","Enrollment","Fresh miles","Nearby resources"},0),T2404,G2404,F2404,K2404,L2404))</f>
        <v/>
      </c>
      <c r="AV2404" s="105" t="str">
        <f>IF(AT2404=0,"",1+COUNTIFS($AT$2051:$AT$2550,1,$AU$2051:$AU$2550,IF(Master_rankableSchools!$J$10="Ascending","&lt;","&gt;")&amp;AU2404)+COUNTIFS($AT$2051:$AT$2550,1,$AU$2051:$AU$2550,AU2404,$W$2051:$W$2550,"&lt;"&amp;W2404))</f>
        <v/>
      </c>
    </row>
    <row r="2405" spans="1:48" ht="22" customHeight="1">
      <c r="A2405" s="1" t="str">
        <f t="shared" si="150"/>
        <v/>
      </c>
      <c r="B2405" s="1" t="str">
        <f t="shared" si="151"/>
        <v/>
      </c>
      <c r="C2405" s="1" t="str">
        <f t="shared" si="152"/>
        <v/>
      </c>
      <c r="D2405" s="1" t="str">
        <f t="shared" si="153"/>
        <v/>
      </c>
      <c r="E2405" s="1" t="str">
        <f t="shared" si="154"/>
        <v/>
      </c>
      <c r="F2405" s="1" t="str">
        <f t="shared" si="155"/>
        <v/>
      </c>
      <c r="G2405" s="1" t="str">
        <f t="shared" si="156"/>
        <v/>
      </c>
      <c r="H2405" s="1" t="str">
        <f t="shared" si="157"/>
        <v/>
      </c>
      <c r="I2405" s="1">
        <f>IF(OR(A2405="",COUNTIFS('Staff Review'!$A$8:$A$507,A2405)&lt;&gt;1),0,MATCH(A2405,'Staff Review'!$A$8:$A$507,0))</f>
        <v>0</v>
      </c>
      <c r="J2405" s="1" t="str">
        <f>IF(I2405=0,"No",IF(INDEX('Staff Review'!$C$8:$C$507,I2405)="Yes","Yes","No"))</f>
        <v>No</v>
      </c>
      <c r="K2405" s="1" t="str">
        <f>IF(AI2405="Yes",INDEX('Staff Review'!$D$8:$D$507,I2405),IF(AB2405=0,"",IF(COUNT(INDEX($C$1531:$C$2030,AB2405))=1,INDEX($C$1531:$C$2030,AB2405),"")))</f>
        <v/>
      </c>
      <c r="L2405" s="1" t="str">
        <f>IF(AJ2405="Yes",INDEX('Staff Review'!$F$8:$F$507,I2405),IF(AB2405=0,"",IF(COUNT(INDEX($G$1531:$G$2030,AB2405))=1,INDEX($G$1531:$G$2030,AB2405),"")))</f>
        <v/>
      </c>
      <c r="M2405" s="1" t="str">
        <f t="shared" si="158"/>
        <v/>
      </c>
      <c r="N2405" s="1" t="str">
        <f t="shared" si="159"/>
        <v/>
      </c>
      <c r="O2405" s="1" t="str">
        <f t="shared" si="160"/>
        <v/>
      </c>
      <c r="P2405" s="1" t="str">
        <f t="shared" si="161"/>
        <v/>
      </c>
      <c r="Q2405" s="1" t="str">
        <f t="shared" si="162"/>
        <v/>
      </c>
      <c r="R2405" s="1" t="str">
        <f t="shared" si="163"/>
        <v/>
      </c>
      <c r="S2405" s="1" t="str">
        <f t="shared" si="164"/>
        <v/>
      </c>
      <c r="T2405" s="1" t="str">
        <f>IF(OR(COUNT(O2405:R2405)&lt;&gt;4,COUNT('Top 25'!$B$45:$E$45)&lt;&gt;4,MIN('Top 25'!$B$45:$E$45)&lt;0,SUM('Top 25'!$B$45:$E$45)&lt;=0),"",ROUND(85*(O2405/30*'Top 25'!$B$45+P2405/25*'Top 25'!$C$45+Q2405/25*'Top 25'!$D$45+R2405/5*'Top 25'!$E$45)/SUM('Top 25'!$B$45:$E$45),6))</f>
        <v/>
      </c>
      <c r="U2405" s="1" t="str">
        <f t="shared" si="165"/>
        <v/>
      </c>
      <c r="V2405" s="1" t="str">
        <f>IF(A2405="","",IF(AK2405&lt;&gt;1,"Duplicate source ID",IF(COUNTIFS('Staff Review'!$A$8:$A$507,A2405)&gt;1,"Duplicate review ID",IF(H2405&lt;&gt;"Yes","Outside scope",IF(J2405="Yes","Already served",IF(NOT(ISNUMBER(T2405)),"Missing data","Candidate"))))))</f>
        <v/>
      </c>
      <c r="W2405" s="1" t="str">
        <f t="shared" si="166"/>
        <v/>
      </c>
      <c r="X2405" s="1" t="str">
        <f t="shared" si="167"/>
        <v/>
      </c>
      <c r="Y2405" s="1">
        <f>IF(AND(H2405="Yes",OR(LEN('School Search'!$B$5)=0,ISNUMBER(SEARCH('School Search'!$B$5,B2405&amp;" "&amp;E2405&amp;" "&amp;A2405))),OR('School Search'!$D$5="All",C2405='School Search'!$D$5),OR('School Search'!$G$5="All eligible",AND('School Search'!$G$5="Not marked served",J2405&lt;&gt;"Yes"),AND('School Search'!$G$5="Missing data",V2405="Missing data"),AND('School Search'!$G$5="Marked served",J2405="Yes"))),1,0)</f>
        <v>0</v>
      </c>
      <c r="Z2405" s="1" t="str">
        <f>IF(Y2405=0,"",COUNTIFS($Y$2051:$Y$2550,1,$AO$2051:$AO$2550,"&lt;"&amp;AO2405)+COUNTIFS($Y$2051:Y2405,1,$AO$2051:AO2405,AO2405))</f>
        <v/>
      </c>
      <c r="AA2405" s="1" t="str">
        <f t="shared" si="168"/>
        <v>Missing demographic or access input</v>
      </c>
      <c r="AB2405" s="1">
        <f t="shared" si="169"/>
        <v>0</v>
      </c>
      <c r="AC2405" s="1" t="str">
        <f t="shared" si="170"/>
        <v/>
      </c>
      <c r="AD2405" s="1" t="str">
        <f t="shared" si="171"/>
        <v/>
      </c>
      <c r="AE2405" s="1" t="str">
        <f t="shared" si="172"/>
        <v/>
      </c>
      <c r="AF2405" s="1" t="str">
        <f t="shared" si="173"/>
        <v/>
      </c>
      <c r="AG2405" s="1" t="str">
        <f t="shared" si="174"/>
        <v/>
      </c>
      <c r="AH2405" s="1" t="str">
        <f>IF(I2405=0,"Not contacted",IF(INDEX('Staff Review'!$J$8:$J$507,I2405)="","Not contacted",INDEX('Staff Review'!$J$8:$J$507,I2405)))</f>
        <v>Not contacted</v>
      </c>
      <c r="AI2405" s="1" t="str">
        <f>IF(I2405=0,"No",IF(AND(COUNT(INDEX('Staff Review'!$D$8:$D$507,I2405))=1,INDEX('Staff Review'!$D$8:$D$507,I2405)&gt;=0,COUNT(INDEX('Staff Review'!$E$8:$E$507,I2405))=1,INDEX('Staff Review'!$E$8:$E$507,I2405)&gt;0,INDEX('Staff Review'!$E$8:$E$507,I2405)&lt;='Top 25'!$E$5,'Top 25'!$E$5-INDEX('Staff Review'!$E$8:$E$507,I2405)&lt;='Top 25'!$H$5,LEN(INDEX('Staff Review'!$H$8:$H$507,I2405))&gt;0),"Yes","No"))</f>
        <v>No</v>
      </c>
      <c r="AJ2405" s="1" t="str">
        <f>IF(I2405=0,"No",IF(COUNT(INDEX('Staff Review'!$F$8:$F$507,I2405))&lt;&gt;1,"No",IF(AND(INDEX('Staff Review'!$F$8:$F$507,I2405)&gt;=0,MOD(INDEX('Staff Review'!$F$8:$F$507,I2405),1)=0,COUNT(INDEX('Staff Review'!$G$8:$G$507,I2405))=1,INDEX('Staff Review'!$G$8:$G$507,I2405)&gt;0,INDEX('Staff Review'!$G$8:$G$507,I2405)&lt;='Top 25'!$E$5,'Top 25'!$E$5-INDEX('Staff Review'!$G$8:$G$507,I2405)&lt;='Top 25'!$H$5,LEN(INDEX('Staff Review'!$H$8:$H$507,I2405))&gt;0),"Yes","No")))</f>
        <v>No</v>
      </c>
      <c r="AK2405" s="1">
        <f t="shared" si="175"/>
        <v>0</v>
      </c>
      <c r="AL2405" s="1">
        <f t="shared" si="176"/>
        <v>0</v>
      </c>
      <c r="AM2405" s="1">
        <f t="shared" si="177"/>
        <v>0</v>
      </c>
      <c r="AN2405" s="1">
        <f t="shared" si="178"/>
        <v>0</v>
      </c>
      <c r="AO2405">
        <f t="shared" si="179"/>
        <v>10000</v>
      </c>
      <c r="AP2405" s="105">
        <f>IF(AND(AL2405=1,OR('Top 25'!$A$10="All",C2405='Top 25'!$A$10),OR('Top 25'!$D$10="All",D2405='Top 25'!$D$10)),1,0)</f>
        <v>0</v>
      </c>
      <c r="AQ2405" s="105" t="str">
        <f>IF(AP2405=0,"",CHOOSE(MATCH('Top 25'!$G$10,{"Priority score","Economic need","Enrollment","Fresh miles","Nearby resources"},0),T2405,G2405,F2405,K2405,L2405))</f>
        <v/>
      </c>
      <c r="AR2405" s="105" t="str">
        <f>IF(AP2405=0,"",1+COUNTIFS($AP$2051:$AP$2550,1,$AQ$2051:$AQ$2550,IF('Top 25'!$J$10="Ascending","&lt;","&gt;")&amp;AQ2405)+COUNTIFS($AP$2051:$AP$2550,1,$AQ$2051:$AQ$2550,AQ2405,$W$2051:$W$2550,"&lt;"&amp;W2405))</f>
        <v/>
      </c>
      <c r="AT2405" s="105">
        <f>IF(AND(AL2405=1,OR(Master_rankableSchools!$A$10="All",C2405=Master_rankableSchools!$A$10),OR(Master_rankableSchools!$D$10="All",D2405=Master_rankableSchools!$D$10)),1,0)</f>
        <v>0</v>
      </c>
      <c r="AU2405" s="105" t="str">
        <f>IF(AT2405=0,"",CHOOSE(MATCH(Master_rankableSchools!$G$10,{"Priority score","Economic need","Enrollment","Fresh miles","Nearby resources"},0),T2405,G2405,F2405,K2405,L2405))</f>
        <v/>
      </c>
      <c r="AV2405" s="105" t="str">
        <f>IF(AT2405=0,"",1+COUNTIFS($AT$2051:$AT$2550,1,$AU$2051:$AU$2550,IF(Master_rankableSchools!$J$10="Ascending","&lt;","&gt;")&amp;AU2405)+COUNTIFS($AT$2051:$AT$2550,1,$AU$2051:$AU$2550,AU2405,$W$2051:$W$2550,"&lt;"&amp;W2405))</f>
        <v/>
      </c>
    </row>
    <row r="2406" spans="1:48" ht="22" customHeight="1">
      <c r="A2406" s="1" t="str">
        <f t="shared" si="150"/>
        <v/>
      </c>
      <c r="B2406" s="1" t="str">
        <f t="shared" si="151"/>
        <v/>
      </c>
      <c r="C2406" s="1" t="str">
        <f t="shared" si="152"/>
        <v/>
      </c>
      <c r="D2406" s="1" t="str">
        <f t="shared" si="153"/>
        <v/>
      </c>
      <c r="E2406" s="1" t="str">
        <f t="shared" si="154"/>
        <v/>
      </c>
      <c r="F2406" s="1" t="str">
        <f t="shared" si="155"/>
        <v/>
      </c>
      <c r="G2406" s="1" t="str">
        <f t="shared" si="156"/>
        <v/>
      </c>
      <c r="H2406" s="1" t="str">
        <f t="shared" si="157"/>
        <v/>
      </c>
      <c r="I2406" s="1">
        <f>IF(OR(A2406="",COUNTIFS('Staff Review'!$A$8:$A$507,A2406)&lt;&gt;1),0,MATCH(A2406,'Staff Review'!$A$8:$A$507,0))</f>
        <v>0</v>
      </c>
      <c r="J2406" s="1" t="str">
        <f>IF(I2406=0,"No",IF(INDEX('Staff Review'!$C$8:$C$507,I2406)="Yes","Yes","No"))</f>
        <v>No</v>
      </c>
      <c r="K2406" s="1" t="str">
        <f>IF(AI2406="Yes",INDEX('Staff Review'!$D$8:$D$507,I2406),IF(AB2406=0,"",IF(COUNT(INDEX($C$1531:$C$2030,AB2406))=1,INDEX($C$1531:$C$2030,AB2406),"")))</f>
        <v/>
      </c>
      <c r="L2406" s="1" t="str">
        <f>IF(AJ2406="Yes",INDEX('Staff Review'!$F$8:$F$507,I2406),IF(AB2406=0,"",IF(COUNT(INDEX($G$1531:$G$2030,AB2406))=1,INDEX($G$1531:$G$2030,AB2406),"")))</f>
        <v/>
      </c>
      <c r="M2406" s="1" t="str">
        <f t="shared" si="158"/>
        <v/>
      </c>
      <c r="N2406" s="1" t="str">
        <f t="shared" si="159"/>
        <v/>
      </c>
      <c r="O2406" s="1" t="str">
        <f t="shared" si="160"/>
        <v/>
      </c>
      <c r="P2406" s="1" t="str">
        <f t="shared" si="161"/>
        <v/>
      </c>
      <c r="Q2406" s="1" t="str">
        <f t="shared" si="162"/>
        <v/>
      </c>
      <c r="R2406" s="1" t="str">
        <f t="shared" si="163"/>
        <v/>
      </c>
      <c r="S2406" s="1" t="str">
        <f t="shared" si="164"/>
        <v/>
      </c>
      <c r="T2406" s="1" t="str">
        <f>IF(OR(COUNT(O2406:R2406)&lt;&gt;4,COUNT('Top 25'!$B$45:$E$45)&lt;&gt;4,MIN('Top 25'!$B$45:$E$45)&lt;0,SUM('Top 25'!$B$45:$E$45)&lt;=0),"",ROUND(85*(O2406/30*'Top 25'!$B$45+P2406/25*'Top 25'!$C$45+Q2406/25*'Top 25'!$D$45+R2406/5*'Top 25'!$E$45)/SUM('Top 25'!$B$45:$E$45),6))</f>
        <v/>
      </c>
      <c r="U2406" s="1" t="str">
        <f t="shared" si="165"/>
        <v/>
      </c>
      <c r="V2406" s="1" t="str">
        <f>IF(A2406="","",IF(AK2406&lt;&gt;1,"Duplicate source ID",IF(COUNTIFS('Staff Review'!$A$8:$A$507,A2406)&gt;1,"Duplicate review ID",IF(H2406&lt;&gt;"Yes","Outside scope",IF(J2406="Yes","Already served",IF(NOT(ISNUMBER(T2406)),"Missing data","Candidate"))))))</f>
        <v/>
      </c>
      <c r="W2406" s="1" t="str">
        <f t="shared" si="166"/>
        <v/>
      </c>
      <c r="X2406" s="1" t="str">
        <f t="shared" si="167"/>
        <v/>
      </c>
      <c r="Y2406" s="1">
        <f>IF(AND(H2406="Yes",OR(LEN('School Search'!$B$5)=0,ISNUMBER(SEARCH('School Search'!$B$5,B2406&amp;" "&amp;E2406&amp;" "&amp;A2406))),OR('School Search'!$D$5="All",C2406='School Search'!$D$5),OR('School Search'!$G$5="All eligible",AND('School Search'!$G$5="Not marked served",J2406&lt;&gt;"Yes"),AND('School Search'!$G$5="Missing data",V2406="Missing data"),AND('School Search'!$G$5="Marked served",J2406="Yes"))),1,0)</f>
        <v>0</v>
      </c>
      <c r="Z2406" s="1" t="str">
        <f>IF(Y2406=0,"",COUNTIFS($Y$2051:$Y$2550,1,$AO$2051:$AO$2550,"&lt;"&amp;AO2406)+COUNTIFS($Y$2051:Y2406,1,$AO$2051:AO2406,AO2406))</f>
        <v/>
      </c>
      <c r="AA2406" s="1" t="str">
        <f t="shared" si="168"/>
        <v>Missing demographic or access input</v>
      </c>
      <c r="AB2406" s="1">
        <f t="shared" si="169"/>
        <v>0</v>
      </c>
      <c r="AC2406" s="1" t="str">
        <f t="shared" si="170"/>
        <v/>
      </c>
      <c r="AD2406" s="1" t="str">
        <f t="shared" si="171"/>
        <v/>
      </c>
      <c r="AE2406" s="1" t="str">
        <f t="shared" si="172"/>
        <v/>
      </c>
      <c r="AF2406" s="1" t="str">
        <f t="shared" si="173"/>
        <v/>
      </c>
      <c r="AG2406" s="1" t="str">
        <f t="shared" si="174"/>
        <v/>
      </c>
      <c r="AH2406" s="1" t="str">
        <f>IF(I2406=0,"Not contacted",IF(INDEX('Staff Review'!$J$8:$J$507,I2406)="","Not contacted",INDEX('Staff Review'!$J$8:$J$507,I2406)))</f>
        <v>Not contacted</v>
      </c>
      <c r="AI2406" s="1" t="str">
        <f>IF(I2406=0,"No",IF(AND(COUNT(INDEX('Staff Review'!$D$8:$D$507,I2406))=1,INDEX('Staff Review'!$D$8:$D$507,I2406)&gt;=0,COUNT(INDEX('Staff Review'!$E$8:$E$507,I2406))=1,INDEX('Staff Review'!$E$8:$E$507,I2406)&gt;0,INDEX('Staff Review'!$E$8:$E$507,I2406)&lt;='Top 25'!$E$5,'Top 25'!$E$5-INDEX('Staff Review'!$E$8:$E$507,I2406)&lt;='Top 25'!$H$5,LEN(INDEX('Staff Review'!$H$8:$H$507,I2406))&gt;0),"Yes","No"))</f>
        <v>No</v>
      </c>
      <c r="AJ2406" s="1" t="str">
        <f>IF(I2406=0,"No",IF(COUNT(INDEX('Staff Review'!$F$8:$F$507,I2406))&lt;&gt;1,"No",IF(AND(INDEX('Staff Review'!$F$8:$F$507,I2406)&gt;=0,MOD(INDEX('Staff Review'!$F$8:$F$507,I2406),1)=0,COUNT(INDEX('Staff Review'!$G$8:$G$507,I2406))=1,INDEX('Staff Review'!$G$8:$G$507,I2406)&gt;0,INDEX('Staff Review'!$G$8:$G$507,I2406)&lt;='Top 25'!$E$5,'Top 25'!$E$5-INDEX('Staff Review'!$G$8:$G$507,I2406)&lt;='Top 25'!$H$5,LEN(INDEX('Staff Review'!$H$8:$H$507,I2406))&gt;0),"Yes","No")))</f>
        <v>No</v>
      </c>
      <c r="AK2406" s="1">
        <f t="shared" si="175"/>
        <v>0</v>
      </c>
      <c r="AL2406" s="1">
        <f t="shared" si="176"/>
        <v>0</v>
      </c>
      <c r="AM2406" s="1">
        <f t="shared" si="177"/>
        <v>0</v>
      </c>
      <c r="AN2406" s="1">
        <f t="shared" si="178"/>
        <v>0</v>
      </c>
      <c r="AO2406">
        <f t="shared" si="179"/>
        <v>10000</v>
      </c>
      <c r="AP2406" s="105">
        <f>IF(AND(AL2406=1,OR('Top 25'!$A$10="All",C2406='Top 25'!$A$10),OR('Top 25'!$D$10="All",D2406='Top 25'!$D$10)),1,0)</f>
        <v>0</v>
      </c>
      <c r="AQ2406" s="105" t="str">
        <f>IF(AP2406=0,"",CHOOSE(MATCH('Top 25'!$G$10,{"Priority score","Economic need","Enrollment","Fresh miles","Nearby resources"},0),T2406,G2406,F2406,K2406,L2406))</f>
        <v/>
      </c>
      <c r="AR2406" s="105" t="str">
        <f>IF(AP2406=0,"",1+COUNTIFS($AP$2051:$AP$2550,1,$AQ$2051:$AQ$2550,IF('Top 25'!$J$10="Ascending","&lt;","&gt;")&amp;AQ2406)+COUNTIFS($AP$2051:$AP$2550,1,$AQ$2051:$AQ$2550,AQ2406,$W$2051:$W$2550,"&lt;"&amp;W2406))</f>
        <v/>
      </c>
      <c r="AT2406" s="105">
        <f>IF(AND(AL2406=1,OR(Master_rankableSchools!$A$10="All",C2406=Master_rankableSchools!$A$10),OR(Master_rankableSchools!$D$10="All",D2406=Master_rankableSchools!$D$10)),1,0)</f>
        <v>0</v>
      </c>
      <c r="AU2406" s="105" t="str">
        <f>IF(AT2406=0,"",CHOOSE(MATCH(Master_rankableSchools!$G$10,{"Priority score","Economic need","Enrollment","Fresh miles","Nearby resources"},0),T2406,G2406,F2406,K2406,L2406))</f>
        <v/>
      </c>
      <c r="AV2406" s="105" t="str">
        <f>IF(AT2406=0,"",1+COUNTIFS($AT$2051:$AT$2550,1,$AU$2051:$AU$2550,IF(Master_rankableSchools!$J$10="Ascending","&lt;","&gt;")&amp;AU2406)+COUNTIFS($AT$2051:$AT$2550,1,$AU$2051:$AU$2550,AU2406,$W$2051:$W$2550,"&lt;"&amp;W2406))</f>
        <v/>
      </c>
    </row>
    <row r="2407" spans="1:48" ht="22" customHeight="1">
      <c r="A2407" s="1" t="str">
        <f t="shared" si="150"/>
        <v/>
      </c>
      <c r="B2407" s="1" t="str">
        <f t="shared" si="151"/>
        <v/>
      </c>
      <c r="C2407" s="1" t="str">
        <f t="shared" si="152"/>
        <v/>
      </c>
      <c r="D2407" s="1" t="str">
        <f t="shared" si="153"/>
        <v/>
      </c>
      <c r="E2407" s="1" t="str">
        <f t="shared" si="154"/>
        <v/>
      </c>
      <c r="F2407" s="1" t="str">
        <f t="shared" si="155"/>
        <v/>
      </c>
      <c r="G2407" s="1" t="str">
        <f t="shared" si="156"/>
        <v/>
      </c>
      <c r="H2407" s="1" t="str">
        <f t="shared" si="157"/>
        <v/>
      </c>
      <c r="I2407" s="1">
        <f>IF(OR(A2407="",COUNTIFS('Staff Review'!$A$8:$A$507,A2407)&lt;&gt;1),0,MATCH(A2407,'Staff Review'!$A$8:$A$507,0))</f>
        <v>0</v>
      </c>
      <c r="J2407" s="1" t="str">
        <f>IF(I2407=0,"No",IF(INDEX('Staff Review'!$C$8:$C$507,I2407)="Yes","Yes","No"))</f>
        <v>No</v>
      </c>
      <c r="K2407" s="1" t="str">
        <f>IF(AI2407="Yes",INDEX('Staff Review'!$D$8:$D$507,I2407),IF(AB2407=0,"",IF(COUNT(INDEX($C$1531:$C$2030,AB2407))=1,INDEX($C$1531:$C$2030,AB2407),"")))</f>
        <v/>
      </c>
      <c r="L2407" s="1" t="str">
        <f>IF(AJ2407="Yes",INDEX('Staff Review'!$F$8:$F$507,I2407),IF(AB2407=0,"",IF(COUNT(INDEX($G$1531:$G$2030,AB2407))=1,INDEX($G$1531:$G$2030,AB2407),"")))</f>
        <v/>
      </c>
      <c r="M2407" s="1" t="str">
        <f t="shared" si="158"/>
        <v/>
      </c>
      <c r="N2407" s="1" t="str">
        <f t="shared" si="159"/>
        <v/>
      </c>
      <c r="O2407" s="1" t="str">
        <f t="shared" si="160"/>
        <v/>
      </c>
      <c r="P2407" s="1" t="str">
        <f t="shared" si="161"/>
        <v/>
      </c>
      <c r="Q2407" s="1" t="str">
        <f t="shared" si="162"/>
        <v/>
      </c>
      <c r="R2407" s="1" t="str">
        <f t="shared" si="163"/>
        <v/>
      </c>
      <c r="S2407" s="1" t="str">
        <f t="shared" si="164"/>
        <v/>
      </c>
      <c r="T2407" s="1" t="str">
        <f>IF(OR(COUNT(O2407:R2407)&lt;&gt;4,COUNT('Top 25'!$B$45:$E$45)&lt;&gt;4,MIN('Top 25'!$B$45:$E$45)&lt;0,SUM('Top 25'!$B$45:$E$45)&lt;=0),"",ROUND(85*(O2407/30*'Top 25'!$B$45+P2407/25*'Top 25'!$C$45+Q2407/25*'Top 25'!$D$45+R2407/5*'Top 25'!$E$45)/SUM('Top 25'!$B$45:$E$45),6))</f>
        <v/>
      </c>
      <c r="U2407" s="1" t="str">
        <f t="shared" si="165"/>
        <v/>
      </c>
      <c r="V2407" s="1" t="str">
        <f>IF(A2407="","",IF(AK2407&lt;&gt;1,"Duplicate source ID",IF(COUNTIFS('Staff Review'!$A$8:$A$507,A2407)&gt;1,"Duplicate review ID",IF(H2407&lt;&gt;"Yes","Outside scope",IF(J2407="Yes","Already served",IF(NOT(ISNUMBER(T2407)),"Missing data","Candidate"))))))</f>
        <v/>
      </c>
      <c r="W2407" s="1" t="str">
        <f t="shared" si="166"/>
        <v/>
      </c>
      <c r="X2407" s="1" t="str">
        <f t="shared" si="167"/>
        <v/>
      </c>
      <c r="Y2407" s="1">
        <f>IF(AND(H2407="Yes",OR(LEN('School Search'!$B$5)=0,ISNUMBER(SEARCH('School Search'!$B$5,B2407&amp;" "&amp;E2407&amp;" "&amp;A2407))),OR('School Search'!$D$5="All",C2407='School Search'!$D$5),OR('School Search'!$G$5="All eligible",AND('School Search'!$G$5="Not marked served",J2407&lt;&gt;"Yes"),AND('School Search'!$G$5="Missing data",V2407="Missing data"),AND('School Search'!$G$5="Marked served",J2407="Yes"))),1,0)</f>
        <v>0</v>
      </c>
      <c r="Z2407" s="1" t="str">
        <f>IF(Y2407=0,"",COUNTIFS($Y$2051:$Y$2550,1,$AO$2051:$AO$2550,"&lt;"&amp;AO2407)+COUNTIFS($Y$2051:Y2407,1,$AO$2051:AO2407,AO2407))</f>
        <v/>
      </c>
      <c r="AA2407" s="1" t="str">
        <f t="shared" si="168"/>
        <v>Missing demographic or access input</v>
      </c>
      <c r="AB2407" s="1">
        <f t="shared" si="169"/>
        <v>0</v>
      </c>
      <c r="AC2407" s="1" t="str">
        <f t="shared" si="170"/>
        <v/>
      </c>
      <c r="AD2407" s="1" t="str">
        <f t="shared" si="171"/>
        <v/>
      </c>
      <c r="AE2407" s="1" t="str">
        <f t="shared" si="172"/>
        <v/>
      </c>
      <c r="AF2407" s="1" t="str">
        <f t="shared" si="173"/>
        <v/>
      </c>
      <c r="AG2407" s="1" t="str">
        <f t="shared" si="174"/>
        <v/>
      </c>
      <c r="AH2407" s="1" t="str">
        <f>IF(I2407=0,"Not contacted",IF(INDEX('Staff Review'!$J$8:$J$507,I2407)="","Not contacted",INDEX('Staff Review'!$J$8:$J$507,I2407)))</f>
        <v>Not contacted</v>
      </c>
      <c r="AI2407" s="1" t="str">
        <f>IF(I2407=0,"No",IF(AND(COUNT(INDEX('Staff Review'!$D$8:$D$507,I2407))=1,INDEX('Staff Review'!$D$8:$D$507,I2407)&gt;=0,COUNT(INDEX('Staff Review'!$E$8:$E$507,I2407))=1,INDEX('Staff Review'!$E$8:$E$507,I2407)&gt;0,INDEX('Staff Review'!$E$8:$E$507,I2407)&lt;='Top 25'!$E$5,'Top 25'!$E$5-INDEX('Staff Review'!$E$8:$E$507,I2407)&lt;='Top 25'!$H$5,LEN(INDEX('Staff Review'!$H$8:$H$507,I2407))&gt;0),"Yes","No"))</f>
        <v>No</v>
      </c>
      <c r="AJ2407" s="1" t="str">
        <f>IF(I2407=0,"No",IF(COUNT(INDEX('Staff Review'!$F$8:$F$507,I2407))&lt;&gt;1,"No",IF(AND(INDEX('Staff Review'!$F$8:$F$507,I2407)&gt;=0,MOD(INDEX('Staff Review'!$F$8:$F$507,I2407),1)=0,COUNT(INDEX('Staff Review'!$G$8:$G$507,I2407))=1,INDEX('Staff Review'!$G$8:$G$507,I2407)&gt;0,INDEX('Staff Review'!$G$8:$G$507,I2407)&lt;='Top 25'!$E$5,'Top 25'!$E$5-INDEX('Staff Review'!$G$8:$G$507,I2407)&lt;='Top 25'!$H$5,LEN(INDEX('Staff Review'!$H$8:$H$507,I2407))&gt;0),"Yes","No")))</f>
        <v>No</v>
      </c>
      <c r="AK2407" s="1">
        <f t="shared" si="175"/>
        <v>0</v>
      </c>
      <c r="AL2407" s="1">
        <f t="shared" si="176"/>
        <v>0</v>
      </c>
      <c r="AM2407" s="1">
        <f t="shared" si="177"/>
        <v>0</v>
      </c>
      <c r="AN2407" s="1">
        <f t="shared" si="178"/>
        <v>0</v>
      </c>
      <c r="AO2407">
        <f t="shared" si="179"/>
        <v>10000</v>
      </c>
      <c r="AP2407" s="105">
        <f>IF(AND(AL2407=1,OR('Top 25'!$A$10="All",C2407='Top 25'!$A$10),OR('Top 25'!$D$10="All",D2407='Top 25'!$D$10)),1,0)</f>
        <v>0</v>
      </c>
      <c r="AQ2407" s="105" t="str">
        <f>IF(AP2407=0,"",CHOOSE(MATCH('Top 25'!$G$10,{"Priority score","Economic need","Enrollment","Fresh miles","Nearby resources"},0),T2407,G2407,F2407,K2407,L2407))</f>
        <v/>
      </c>
      <c r="AR2407" s="105" t="str">
        <f>IF(AP2407=0,"",1+COUNTIFS($AP$2051:$AP$2550,1,$AQ$2051:$AQ$2550,IF('Top 25'!$J$10="Ascending","&lt;","&gt;")&amp;AQ2407)+COUNTIFS($AP$2051:$AP$2550,1,$AQ$2051:$AQ$2550,AQ2407,$W$2051:$W$2550,"&lt;"&amp;W2407))</f>
        <v/>
      </c>
      <c r="AT2407" s="105">
        <f>IF(AND(AL2407=1,OR(Master_rankableSchools!$A$10="All",C2407=Master_rankableSchools!$A$10),OR(Master_rankableSchools!$D$10="All",D2407=Master_rankableSchools!$D$10)),1,0)</f>
        <v>0</v>
      </c>
      <c r="AU2407" s="105" t="str">
        <f>IF(AT2407=0,"",CHOOSE(MATCH(Master_rankableSchools!$G$10,{"Priority score","Economic need","Enrollment","Fresh miles","Nearby resources"},0),T2407,G2407,F2407,K2407,L2407))</f>
        <v/>
      </c>
      <c r="AV2407" s="105" t="str">
        <f>IF(AT2407=0,"",1+COUNTIFS($AT$2051:$AT$2550,1,$AU$2051:$AU$2550,IF(Master_rankableSchools!$J$10="Ascending","&lt;","&gt;")&amp;AU2407)+COUNTIFS($AT$2051:$AT$2550,1,$AU$2051:$AU$2550,AU2407,$W$2051:$W$2550,"&lt;"&amp;W2407))</f>
        <v/>
      </c>
    </row>
    <row r="2408" spans="1:48" ht="22" customHeight="1">
      <c r="A2408" s="1" t="str">
        <f t="shared" si="150"/>
        <v/>
      </c>
      <c r="B2408" s="1" t="str">
        <f t="shared" si="151"/>
        <v/>
      </c>
      <c r="C2408" s="1" t="str">
        <f t="shared" si="152"/>
        <v/>
      </c>
      <c r="D2408" s="1" t="str">
        <f t="shared" si="153"/>
        <v/>
      </c>
      <c r="E2408" s="1" t="str">
        <f t="shared" si="154"/>
        <v/>
      </c>
      <c r="F2408" s="1" t="str">
        <f t="shared" si="155"/>
        <v/>
      </c>
      <c r="G2408" s="1" t="str">
        <f t="shared" si="156"/>
        <v/>
      </c>
      <c r="H2408" s="1" t="str">
        <f t="shared" si="157"/>
        <v/>
      </c>
      <c r="I2408" s="1">
        <f>IF(OR(A2408="",COUNTIFS('Staff Review'!$A$8:$A$507,A2408)&lt;&gt;1),0,MATCH(A2408,'Staff Review'!$A$8:$A$507,0))</f>
        <v>0</v>
      </c>
      <c r="J2408" s="1" t="str">
        <f>IF(I2408=0,"No",IF(INDEX('Staff Review'!$C$8:$C$507,I2408)="Yes","Yes","No"))</f>
        <v>No</v>
      </c>
      <c r="K2408" s="1" t="str">
        <f>IF(AI2408="Yes",INDEX('Staff Review'!$D$8:$D$507,I2408),IF(AB2408=0,"",IF(COUNT(INDEX($C$1531:$C$2030,AB2408))=1,INDEX($C$1531:$C$2030,AB2408),"")))</f>
        <v/>
      </c>
      <c r="L2408" s="1" t="str">
        <f>IF(AJ2408="Yes",INDEX('Staff Review'!$F$8:$F$507,I2408),IF(AB2408=0,"",IF(COUNT(INDEX($G$1531:$G$2030,AB2408))=1,INDEX($G$1531:$G$2030,AB2408),"")))</f>
        <v/>
      </c>
      <c r="M2408" s="1" t="str">
        <f t="shared" si="158"/>
        <v/>
      </c>
      <c r="N2408" s="1" t="str">
        <f t="shared" si="159"/>
        <v/>
      </c>
      <c r="O2408" s="1" t="str">
        <f t="shared" si="160"/>
        <v/>
      </c>
      <c r="P2408" s="1" t="str">
        <f t="shared" si="161"/>
        <v/>
      </c>
      <c r="Q2408" s="1" t="str">
        <f t="shared" si="162"/>
        <v/>
      </c>
      <c r="R2408" s="1" t="str">
        <f t="shared" si="163"/>
        <v/>
      </c>
      <c r="S2408" s="1" t="str">
        <f t="shared" si="164"/>
        <v/>
      </c>
      <c r="T2408" s="1" t="str">
        <f>IF(OR(COUNT(O2408:R2408)&lt;&gt;4,COUNT('Top 25'!$B$45:$E$45)&lt;&gt;4,MIN('Top 25'!$B$45:$E$45)&lt;0,SUM('Top 25'!$B$45:$E$45)&lt;=0),"",ROUND(85*(O2408/30*'Top 25'!$B$45+P2408/25*'Top 25'!$C$45+Q2408/25*'Top 25'!$D$45+R2408/5*'Top 25'!$E$45)/SUM('Top 25'!$B$45:$E$45),6))</f>
        <v/>
      </c>
      <c r="U2408" s="1" t="str">
        <f t="shared" si="165"/>
        <v/>
      </c>
      <c r="V2408" s="1" t="str">
        <f>IF(A2408="","",IF(AK2408&lt;&gt;1,"Duplicate source ID",IF(COUNTIFS('Staff Review'!$A$8:$A$507,A2408)&gt;1,"Duplicate review ID",IF(H2408&lt;&gt;"Yes","Outside scope",IF(J2408="Yes","Already served",IF(NOT(ISNUMBER(T2408)),"Missing data","Candidate"))))))</f>
        <v/>
      </c>
      <c r="W2408" s="1" t="str">
        <f t="shared" si="166"/>
        <v/>
      </c>
      <c r="X2408" s="1" t="str">
        <f t="shared" si="167"/>
        <v/>
      </c>
      <c r="Y2408" s="1">
        <f>IF(AND(H2408="Yes",OR(LEN('School Search'!$B$5)=0,ISNUMBER(SEARCH('School Search'!$B$5,B2408&amp;" "&amp;E2408&amp;" "&amp;A2408))),OR('School Search'!$D$5="All",C2408='School Search'!$D$5),OR('School Search'!$G$5="All eligible",AND('School Search'!$G$5="Not marked served",J2408&lt;&gt;"Yes"),AND('School Search'!$G$5="Missing data",V2408="Missing data"),AND('School Search'!$G$5="Marked served",J2408="Yes"))),1,0)</f>
        <v>0</v>
      </c>
      <c r="Z2408" s="1" t="str">
        <f>IF(Y2408=0,"",COUNTIFS($Y$2051:$Y$2550,1,$AO$2051:$AO$2550,"&lt;"&amp;AO2408)+COUNTIFS($Y$2051:Y2408,1,$AO$2051:AO2408,AO2408))</f>
        <v/>
      </c>
      <c r="AA2408" s="1" t="str">
        <f t="shared" si="168"/>
        <v>Missing demographic or access input</v>
      </c>
      <c r="AB2408" s="1">
        <f t="shared" si="169"/>
        <v>0</v>
      </c>
      <c r="AC2408" s="1" t="str">
        <f t="shared" si="170"/>
        <v/>
      </c>
      <c r="AD2408" s="1" t="str">
        <f t="shared" si="171"/>
        <v/>
      </c>
      <c r="AE2408" s="1" t="str">
        <f t="shared" si="172"/>
        <v/>
      </c>
      <c r="AF2408" s="1" t="str">
        <f t="shared" si="173"/>
        <v/>
      </c>
      <c r="AG2408" s="1" t="str">
        <f t="shared" si="174"/>
        <v/>
      </c>
      <c r="AH2408" s="1" t="str">
        <f>IF(I2408=0,"Not contacted",IF(INDEX('Staff Review'!$J$8:$J$507,I2408)="","Not contacted",INDEX('Staff Review'!$J$8:$J$507,I2408)))</f>
        <v>Not contacted</v>
      </c>
      <c r="AI2408" s="1" t="str">
        <f>IF(I2408=0,"No",IF(AND(COUNT(INDEX('Staff Review'!$D$8:$D$507,I2408))=1,INDEX('Staff Review'!$D$8:$D$507,I2408)&gt;=0,COUNT(INDEX('Staff Review'!$E$8:$E$507,I2408))=1,INDEX('Staff Review'!$E$8:$E$507,I2408)&gt;0,INDEX('Staff Review'!$E$8:$E$507,I2408)&lt;='Top 25'!$E$5,'Top 25'!$E$5-INDEX('Staff Review'!$E$8:$E$507,I2408)&lt;='Top 25'!$H$5,LEN(INDEX('Staff Review'!$H$8:$H$507,I2408))&gt;0),"Yes","No"))</f>
        <v>No</v>
      </c>
      <c r="AJ2408" s="1" t="str">
        <f>IF(I2408=0,"No",IF(COUNT(INDEX('Staff Review'!$F$8:$F$507,I2408))&lt;&gt;1,"No",IF(AND(INDEX('Staff Review'!$F$8:$F$507,I2408)&gt;=0,MOD(INDEX('Staff Review'!$F$8:$F$507,I2408),1)=0,COUNT(INDEX('Staff Review'!$G$8:$G$507,I2408))=1,INDEX('Staff Review'!$G$8:$G$507,I2408)&gt;0,INDEX('Staff Review'!$G$8:$G$507,I2408)&lt;='Top 25'!$E$5,'Top 25'!$E$5-INDEX('Staff Review'!$G$8:$G$507,I2408)&lt;='Top 25'!$H$5,LEN(INDEX('Staff Review'!$H$8:$H$507,I2408))&gt;0),"Yes","No")))</f>
        <v>No</v>
      </c>
      <c r="AK2408" s="1">
        <f t="shared" si="175"/>
        <v>0</v>
      </c>
      <c r="AL2408" s="1">
        <f t="shared" si="176"/>
        <v>0</v>
      </c>
      <c r="AM2408" s="1">
        <f t="shared" si="177"/>
        <v>0</v>
      </c>
      <c r="AN2408" s="1">
        <f t="shared" si="178"/>
        <v>0</v>
      </c>
      <c r="AO2408">
        <f t="shared" si="179"/>
        <v>10000</v>
      </c>
      <c r="AP2408" s="105">
        <f>IF(AND(AL2408=1,OR('Top 25'!$A$10="All",C2408='Top 25'!$A$10),OR('Top 25'!$D$10="All",D2408='Top 25'!$D$10)),1,0)</f>
        <v>0</v>
      </c>
      <c r="AQ2408" s="105" t="str">
        <f>IF(AP2408=0,"",CHOOSE(MATCH('Top 25'!$G$10,{"Priority score","Economic need","Enrollment","Fresh miles","Nearby resources"},0),T2408,G2408,F2408,K2408,L2408))</f>
        <v/>
      </c>
      <c r="AR2408" s="105" t="str">
        <f>IF(AP2408=0,"",1+COUNTIFS($AP$2051:$AP$2550,1,$AQ$2051:$AQ$2550,IF('Top 25'!$J$10="Ascending","&lt;","&gt;")&amp;AQ2408)+COUNTIFS($AP$2051:$AP$2550,1,$AQ$2051:$AQ$2550,AQ2408,$W$2051:$W$2550,"&lt;"&amp;W2408))</f>
        <v/>
      </c>
      <c r="AT2408" s="105">
        <f>IF(AND(AL2408=1,OR(Master_rankableSchools!$A$10="All",C2408=Master_rankableSchools!$A$10),OR(Master_rankableSchools!$D$10="All",D2408=Master_rankableSchools!$D$10)),1,0)</f>
        <v>0</v>
      </c>
      <c r="AU2408" s="105" t="str">
        <f>IF(AT2408=0,"",CHOOSE(MATCH(Master_rankableSchools!$G$10,{"Priority score","Economic need","Enrollment","Fresh miles","Nearby resources"},0),T2408,G2408,F2408,K2408,L2408))</f>
        <v/>
      </c>
      <c r="AV2408" s="105" t="str">
        <f>IF(AT2408=0,"",1+COUNTIFS($AT$2051:$AT$2550,1,$AU$2051:$AU$2550,IF(Master_rankableSchools!$J$10="Ascending","&lt;","&gt;")&amp;AU2408)+COUNTIFS($AT$2051:$AT$2550,1,$AU$2051:$AU$2550,AU2408,$W$2051:$W$2550,"&lt;"&amp;W2408))</f>
        <v/>
      </c>
    </row>
    <row r="2409" spans="1:48" ht="22" customHeight="1">
      <c r="A2409" s="1" t="str">
        <f t="shared" si="150"/>
        <v/>
      </c>
      <c r="B2409" s="1" t="str">
        <f t="shared" si="151"/>
        <v/>
      </c>
      <c r="C2409" s="1" t="str">
        <f t="shared" si="152"/>
        <v/>
      </c>
      <c r="D2409" s="1" t="str">
        <f t="shared" si="153"/>
        <v/>
      </c>
      <c r="E2409" s="1" t="str">
        <f t="shared" si="154"/>
        <v/>
      </c>
      <c r="F2409" s="1" t="str">
        <f t="shared" si="155"/>
        <v/>
      </c>
      <c r="G2409" s="1" t="str">
        <f t="shared" si="156"/>
        <v/>
      </c>
      <c r="H2409" s="1" t="str">
        <f t="shared" si="157"/>
        <v/>
      </c>
      <c r="I2409" s="1">
        <f>IF(OR(A2409="",COUNTIFS('Staff Review'!$A$8:$A$507,A2409)&lt;&gt;1),0,MATCH(A2409,'Staff Review'!$A$8:$A$507,0))</f>
        <v>0</v>
      </c>
      <c r="J2409" s="1" t="str">
        <f>IF(I2409=0,"No",IF(INDEX('Staff Review'!$C$8:$C$507,I2409)="Yes","Yes","No"))</f>
        <v>No</v>
      </c>
      <c r="K2409" s="1" t="str">
        <f>IF(AI2409="Yes",INDEX('Staff Review'!$D$8:$D$507,I2409),IF(AB2409=0,"",IF(COUNT(INDEX($C$1531:$C$2030,AB2409))=1,INDEX($C$1531:$C$2030,AB2409),"")))</f>
        <v/>
      </c>
      <c r="L2409" s="1" t="str">
        <f>IF(AJ2409="Yes",INDEX('Staff Review'!$F$8:$F$507,I2409),IF(AB2409=0,"",IF(COUNT(INDEX($G$1531:$G$2030,AB2409))=1,INDEX($G$1531:$G$2030,AB2409),"")))</f>
        <v/>
      </c>
      <c r="M2409" s="1" t="str">
        <f t="shared" si="158"/>
        <v/>
      </c>
      <c r="N2409" s="1" t="str">
        <f t="shared" si="159"/>
        <v/>
      </c>
      <c r="O2409" s="1" t="str">
        <f t="shared" si="160"/>
        <v/>
      </c>
      <c r="P2409" s="1" t="str">
        <f t="shared" si="161"/>
        <v/>
      </c>
      <c r="Q2409" s="1" t="str">
        <f t="shared" si="162"/>
        <v/>
      </c>
      <c r="R2409" s="1" t="str">
        <f t="shared" si="163"/>
        <v/>
      </c>
      <c r="S2409" s="1" t="str">
        <f t="shared" si="164"/>
        <v/>
      </c>
      <c r="T2409" s="1" t="str">
        <f>IF(OR(COUNT(O2409:R2409)&lt;&gt;4,COUNT('Top 25'!$B$45:$E$45)&lt;&gt;4,MIN('Top 25'!$B$45:$E$45)&lt;0,SUM('Top 25'!$B$45:$E$45)&lt;=0),"",ROUND(85*(O2409/30*'Top 25'!$B$45+P2409/25*'Top 25'!$C$45+Q2409/25*'Top 25'!$D$45+R2409/5*'Top 25'!$E$45)/SUM('Top 25'!$B$45:$E$45),6))</f>
        <v/>
      </c>
      <c r="U2409" s="1" t="str">
        <f t="shared" si="165"/>
        <v/>
      </c>
      <c r="V2409" s="1" t="str">
        <f>IF(A2409="","",IF(AK2409&lt;&gt;1,"Duplicate source ID",IF(COUNTIFS('Staff Review'!$A$8:$A$507,A2409)&gt;1,"Duplicate review ID",IF(H2409&lt;&gt;"Yes","Outside scope",IF(J2409="Yes","Already served",IF(NOT(ISNUMBER(T2409)),"Missing data","Candidate"))))))</f>
        <v/>
      </c>
      <c r="W2409" s="1" t="str">
        <f t="shared" si="166"/>
        <v/>
      </c>
      <c r="X2409" s="1" t="str">
        <f t="shared" si="167"/>
        <v/>
      </c>
      <c r="Y2409" s="1">
        <f>IF(AND(H2409="Yes",OR(LEN('School Search'!$B$5)=0,ISNUMBER(SEARCH('School Search'!$B$5,B2409&amp;" "&amp;E2409&amp;" "&amp;A2409))),OR('School Search'!$D$5="All",C2409='School Search'!$D$5),OR('School Search'!$G$5="All eligible",AND('School Search'!$G$5="Not marked served",J2409&lt;&gt;"Yes"),AND('School Search'!$G$5="Missing data",V2409="Missing data"),AND('School Search'!$G$5="Marked served",J2409="Yes"))),1,0)</f>
        <v>0</v>
      </c>
      <c r="Z2409" s="1" t="str">
        <f>IF(Y2409=0,"",COUNTIFS($Y$2051:$Y$2550,1,$AO$2051:$AO$2550,"&lt;"&amp;AO2409)+COUNTIFS($Y$2051:Y2409,1,$AO$2051:AO2409,AO2409))</f>
        <v/>
      </c>
      <c r="AA2409" s="1" t="str">
        <f t="shared" si="168"/>
        <v>Missing demographic or access input</v>
      </c>
      <c r="AB2409" s="1">
        <f t="shared" si="169"/>
        <v>0</v>
      </c>
      <c r="AC2409" s="1" t="str">
        <f t="shared" si="170"/>
        <v/>
      </c>
      <c r="AD2409" s="1" t="str">
        <f t="shared" si="171"/>
        <v/>
      </c>
      <c r="AE2409" s="1" t="str">
        <f t="shared" si="172"/>
        <v/>
      </c>
      <c r="AF2409" s="1" t="str">
        <f t="shared" si="173"/>
        <v/>
      </c>
      <c r="AG2409" s="1" t="str">
        <f t="shared" si="174"/>
        <v/>
      </c>
      <c r="AH2409" s="1" t="str">
        <f>IF(I2409=0,"Not contacted",IF(INDEX('Staff Review'!$J$8:$J$507,I2409)="","Not contacted",INDEX('Staff Review'!$J$8:$J$507,I2409)))</f>
        <v>Not contacted</v>
      </c>
      <c r="AI2409" s="1" t="str">
        <f>IF(I2409=0,"No",IF(AND(COUNT(INDEX('Staff Review'!$D$8:$D$507,I2409))=1,INDEX('Staff Review'!$D$8:$D$507,I2409)&gt;=0,COUNT(INDEX('Staff Review'!$E$8:$E$507,I2409))=1,INDEX('Staff Review'!$E$8:$E$507,I2409)&gt;0,INDEX('Staff Review'!$E$8:$E$507,I2409)&lt;='Top 25'!$E$5,'Top 25'!$E$5-INDEX('Staff Review'!$E$8:$E$507,I2409)&lt;='Top 25'!$H$5,LEN(INDEX('Staff Review'!$H$8:$H$507,I2409))&gt;0),"Yes","No"))</f>
        <v>No</v>
      </c>
      <c r="AJ2409" s="1" t="str">
        <f>IF(I2409=0,"No",IF(COUNT(INDEX('Staff Review'!$F$8:$F$507,I2409))&lt;&gt;1,"No",IF(AND(INDEX('Staff Review'!$F$8:$F$507,I2409)&gt;=0,MOD(INDEX('Staff Review'!$F$8:$F$507,I2409),1)=0,COUNT(INDEX('Staff Review'!$G$8:$G$507,I2409))=1,INDEX('Staff Review'!$G$8:$G$507,I2409)&gt;0,INDEX('Staff Review'!$G$8:$G$507,I2409)&lt;='Top 25'!$E$5,'Top 25'!$E$5-INDEX('Staff Review'!$G$8:$G$507,I2409)&lt;='Top 25'!$H$5,LEN(INDEX('Staff Review'!$H$8:$H$507,I2409))&gt;0),"Yes","No")))</f>
        <v>No</v>
      </c>
      <c r="AK2409" s="1">
        <f t="shared" si="175"/>
        <v>0</v>
      </c>
      <c r="AL2409" s="1">
        <f t="shared" si="176"/>
        <v>0</v>
      </c>
      <c r="AM2409" s="1">
        <f t="shared" si="177"/>
        <v>0</v>
      </c>
      <c r="AN2409" s="1">
        <f t="shared" si="178"/>
        <v>0</v>
      </c>
      <c r="AO2409">
        <f t="shared" si="179"/>
        <v>10000</v>
      </c>
      <c r="AP2409" s="105">
        <f>IF(AND(AL2409=1,OR('Top 25'!$A$10="All",C2409='Top 25'!$A$10),OR('Top 25'!$D$10="All",D2409='Top 25'!$D$10)),1,0)</f>
        <v>0</v>
      </c>
      <c r="AQ2409" s="105" t="str">
        <f>IF(AP2409=0,"",CHOOSE(MATCH('Top 25'!$G$10,{"Priority score","Economic need","Enrollment","Fresh miles","Nearby resources"},0),T2409,G2409,F2409,K2409,L2409))</f>
        <v/>
      </c>
      <c r="AR2409" s="105" t="str">
        <f>IF(AP2409=0,"",1+COUNTIFS($AP$2051:$AP$2550,1,$AQ$2051:$AQ$2550,IF('Top 25'!$J$10="Ascending","&lt;","&gt;")&amp;AQ2409)+COUNTIFS($AP$2051:$AP$2550,1,$AQ$2051:$AQ$2550,AQ2409,$W$2051:$W$2550,"&lt;"&amp;W2409))</f>
        <v/>
      </c>
      <c r="AT2409" s="105">
        <f>IF(AND(AL2409=1,OR(Master_rankableSchools!$A$10="All",C2409=Master_rankableSchools!$A$10),OR(Master_rankableSchools!$D$10="All",D2409=Master_rankableSchools!$D$10)),1,0)</f>
        <v>0</v>
      </c>
      <c r="AU2409" s="105" t="str">
        <f>IF(AT2409=0,"",CHOOSE(MATCH(Master_rankableSchools!$G$10,{"Priority score","Economic need","Enrollment","Fresh miles","Nearby resources"},0),T2409,G2409,F2409,K2409,L2409))</f>
        <v/>
      </c>
      <c r="AV2409" s="105" t="str">
        <f>IF(AT2409=0,"",1+COUNTIFS($AT$2051:$AT$2550,1,$AU$2051:$AU$2550,IF(Master_rankableSchools!$J$10="Ascending","&lt;","&gt;")&amp;AU2409)+COUNTIFS($AT$2051:$AT$2550,1,$AU$2051:$AU$2550,AU2409,$W$2051:$W$2550,"&lt;"&amp;W2409))</f>
        <v/>
      </c>
    </row>
    <row r="2410" spans="1:48" ht="22" customHeight="1">
      <c r="A2410" s="1" t="str">
        <f t="shared" si="150"/>
        <v/>
      </c>
      <c r="B2410" s="1" t="str">
        <f t="shared" si="151"/>
        <v/>
      </c>
      <c r="C2410" s="1" t="str">
        <f t="shared" si="152"/>
        <v/>
      </c>
      <c r="D2410" s="1" t="str">
        <f t="shared" si="153"/>
        <v/>
      </c>
      <c r="E2410" s="1" t="str">
        <f t="shared" si="154"/>
        <v/>
      </c>
      <c r="F2410" s="1" t="str">
        <f t="shared" si="155"/>
        <v/>
      </c>
      <c r="G2410" s="1" t="str">
        <f t="shared" si="156"/>
        <v/>
      </c>
      <c r="H2410" s="1" t="str">
        <f t="shared" si="157"/>
        <v/>
      </c>
      <c r="I2410" s="1">
        <f>IF(OR(A2410="",COUNTIFS('Staff Review'!$A$8:$A$507,A2410)&lt;&gt;1),0,MATCH(A2410,'Staff Review'!$A$8:$A$507,0))</f>
        <v>0</v>
      </c>
      <c r="J2410" s="1" t="str">
        <f>IF(I2410=0,"No",IF(INDEX('Staff Review'!$C$8:$C$507,I2410)="Yes","Yes","No"))</f>
        <v>No</v>
      </c>
      <c r="K2410" s="1" t="str">
        <f>IF(AI2410="Yes",INDEX('Staff Review'!$D$8:$D$507,I2410),IF(AB2410=0,"",IF(COUNT(INDEX($C$1531:$C$2030,AB2410))=1,INDEX($C$1531:$C$2030,AB2410),"")))</f>
        <v/>
      </c>
      <c r="L2410" s="1" t="str">
        <f>IF(AJ2410="Yes",INDEX('Staff Review'!$F$8:$F$507,I2410),IF(AB2410=0,"",IF(COUNT(INDEX($G$1531:$G$2030,AB2410))=1,INDEX($G$1531:$G$2030,AB2410),"")))</f>
        <v/>
      </c>
      <c r="M2410" s="1" t="str">
        <f t="shared" si="158"/>
        <v/>
      </c>
      <c r="N2410" s="1" t="str">
        <f t="shared" si="159"/>
        <v/>
      </c>
      <c r="O2410" s="1" t="str">
        <f t="shared" si="160"/>
        <v/>
      </c>
      <c r="P2410" s="1" t="str">
        <f t="shared" si="161"/>
        <v/>
      </c>
      <c r="Q2410" s="1" t="str">
        <f t="shared" si="162"/>
        <v/>
      </c>
      <c r="R2410" s="1" t="str">
        <f t="shared" si="163"/>
        <v/>
      </c>
      <c r="S2410" s="1" t="str">
        <f t="shared" si="164"/>
        <v/>
      </c>
      <c r="T2410" s="1" t="str">
        <f>IF(OR(COUNT(O2410:R2410)&lt;&gt;4,COUNT('Top 25'!$B$45:$E$45)&lt;&gt;4,MIN('Top 25'!$B$45:$E$45)&lt;0,SUM('Top 25'!$B$45:$E$45)&lt;=0),"",ROUND(85*(O2410/30*'Top 25'!$B$45+P2410/25*'Top 25'!$C$45+Q2410/25*'Top 25'!$D$45+R2410/5*'Top 25'!$E$45)/SUM('Top 25'!$B$45:$E$45),6))</f>
        <v/>
      </c>
      <c r="U2410" s="1" t="str">
        <f t="shared" si="165"/>
        <v/>
      </c>
      <c r="V2410" s="1" t="str">
        <f>IF(A2410="","",IF(AK2410&lt;&gt;1,"Duplicate source ID",IF(COUNTIFS('Staff Review'!$A$8:$A$507,A2410)&gt;1,"Duplicate review ID",IF(H2410&lt;&gt;"Yes","Outside scope",IF(J2410="Yes","Already served",IF(NOT(ISNUMBER(T2410)),"Missing data","Candidate"))))))</f>
        <v/>
      </c>
      <c r="W2410" s="1" t="str">
        <f t="shared" si="166"/>
        <v/>
      </c>
      <c r="X2410" s="1" t="str">
        <f t="shared" si="167"/>
        <v/>
      </c>
      <c r="Y2410" s="1">
        <f>IF(AND(H2410="Yes",OR(LEN('School Search'!$B$5)=0,ISNUMBER(SEARCH('School Search'!$B$5,B2410&amp;" "&amp;E2410&amp;" "&amp;A2410))),OR('School Search'!$D$5="All",C2410='School Search'!$D$5),OR('School Search'!$G$5="All eligible",AND('School Search'!$G$5="Not marked served",J2410&lt;&gt;"Yes"),AND('School Search'!$G$5="Missing data",V2410="Missing data"),AND('School Search'!$G$5="Marked served",J2410="Yes"))),1,0)</f>
        <v>0</v>
      </c>
      <c r="Z2410" s="1" t="str">
        <f>IF(Y2410=0,"",COUNTIFS($Y$2051:$Y$2550,1,$AO$2051:$AO$2550,"&lt;"&amp;AO2410)+COUNTIFS($Y$2051:Y2410,1,$AO$2051:AO2410,AO2410))</f>
        <v/>
      </c>
      <c r="AA2410" s="1" t="str">
        <f t="shared" si="168"/>
        <v>Missing demographic or access input</v>
      </c>
      <c r="AB2410" s="1">
        <f t="shared" si="169"/>
        <v>0</v>
      </c>
      <c r="AC2410" s="1" t="str">
        <f t="shared" si="170"/>
        <v/>
      </c>
      <c r="AD2410" s="1" t="str">
        <f t="shared" si="171"/>
        <v/>
      </c>
      <c r="AE2410" s="1" t="str">
        <f t="shared" si="172"/>
        <v/>
      </c>
      <c r="AF2410" s="1" t="str">
        <f t="shared" si="173"/>
        <v/>
      </c>
      <c r="AG2410" s="1" t="str">
        <f t="shared" si="174"/>
        <v/>
      </c>
      <c r="AH2410" s="1" t="str">
        <f>IF(I2410=0,"Not contacted",IF(INDEX('Staff Review'!$J$8:$J$507,I2410)="","Not contacted",INDEX('Staff Review'!$J$8:$J$507,I2410)))</f>
        <v>Not contacted</v>
      </c>
      <c r="AI2410" s="1" t="str">
        <f>IF(I2410=0,"No",IF(AND(COUNT(INDEX('Staff Review'!$D$8:$D$507,I2410))=1,INDEX('Staff Review'!$D$8:$D$507,I2410)&gt;=0,COUNT(INDEX('Staff Review'!$E$8:$E$507,I2410))=1,INDEX('Staff Review'!$E$8:$E$507,I2410)&gt;0,INDEX('Staff Review'!$E$8:$E$507,I2410)&lt;='Top 25'!$E$5,'Top 25'!$E$5-INDEX('Staff Review'!$E$8:$E$507,I2410)&lt;='Top 25'!$H$5,LEN(INDEX('Staff Review'!$H$8:$H$507,I2410))&gt;0),"Yes","No"))</f>
        <v>No</v>
      </c>
      <c r="AJ2410" s="1" t="str">
        <f>IF(I2410=0,"No",IF(COUNT(INDEX('Staff Review'!$F$8:$F$507,I2410))&lt;&gt;1,"No",IF(AND(INDEX('Staff Review'!$F$8:$F$507,I2410)&gt;=0,MOD(INDEX('Staff Review'!$F$8:$F$507,I2410),1)=0,COUNT(INDEX('Staff Review'!$G$8:$G$507,I2410))=1,INDEX('Staff Review'!$G$8:$G$507,I2410)&gt;0,INDEX('Staff Review'!$G$8:$G$507,I2410)&lt;='Top 25'!$E$5,'Top 25'!$E$5-INDEX('Staff Review'!$G$8:$G$507,I2410)&lt;='Top 25'!$H$5,LEN(INDEX('Staff Review'!$H$8:$H$507,I2410))&gt;0),"Yes","No")))</f>
        <v>No</v>
      </c>
      <c r="AK2410" s="1">
        <f t="shared" si="175"/>
        <v>0</v>
      </c>
      <c r="AL2410" s="1">
        <f t="shared" si="176"/>
        <v>0</v>
      </c>
      <c r="AM2410" s="1">
        <f t="shared" si="177"/>
        <v>0</v>
      </c>
      <c r="AN2410" s="1">
        <f t="shared" si="178"/>
        <v>0</v>
      </c>
      <c r="AO2410">
        <f t="shared" si="179"/>
        <v>10000</v>
      </c>
      <c r="AP2410" s="105">
        <f>IF(AND(AL2410=1,OR('Top 25'!$A$10="All",C2410='Top 25'!$A$10),OR('Top 25'!$D$10="All",D2410='Top 25'!$D$10)),1,0)</f>
        <v>0</v>
      </c>
      <c r="AQ2410" s="105" t="str">
        <f>IF(AP2410=0,"",CHOOSE(MATCH('Top 25'!$G$10,{"Priority score","Economic need","Enrollment","Fresh miles","Nearby resources"},0),T2410,G2410,F2410,K2410,L2410))</f>
        <v/>
      </c>
      <c r="AR2410" s="105" t="str">
        <f>IF(AP2410=0,"",1+COUNTIFS($AP$2051:$AP$2550,1,$AQ$2051:$AQ$2550,IF('Top 25'!$J$10="Ascending","&lt;","&gt;")&amp;AQ2410)+COUNTIFS($AP$2051:$AP$2550,1,$AQ$2051:$AQ$2550,AQ2410,$W$2051:$W$2550,"&lt;"&amp;W2410))</f>
        <v/>
      </c>
      <c r="AT2410" s="105">
        <f>IF(AND(AL2410=1,OR(Master_rankableSchools!$A$10="All",C2410=Master_rankableSchools!$A$10),OR(Master_rankableSchools!$D$10="All",D2410=Master_rankableSchools!$D$10)),1,0)</f>
        <v>0</v>
      </c>
      <c r="AU2410" s="105" t="str">
        <f>IF(AT2410=0,"",CHOOSE(MATCH(Master_rankableSchools!$G$10,{"Priority score","Economic need","Enrollment","Fresh miles","Nearby resources"},0),T2410,G2410,F2410,K2410,L2410))</f>
        <v/>
      </c>
      <c r="AV2410" s="105" t="str">
        <f>IF(AT2410=0,"",1+COUNTIFS($AT$2051:$AT$2550,1,$AU$2051:$AU$2550,IF(Master_rankableSchools!$J$10="Ascending","&lt;","&gt;")&amp;AU2410)+COUNTIFS($AT$2051:$AT$2550,1,$AU$2051:$AU$2550,AU2410,$W$2051:$W$2550,"&lt;"&amp;W2410))</f>
        <v/>
      </c>
    </row>
    <row r="2411" spans="1:48" ht="22" customHeight="1">
      <c r="A2411" s="1" t="str">
        <f t="shared" si="150"/>
        <v/>
      </c>
      <c r="B2411" s="1" t="str">
        <f t="shared" si="151"/>
        <v/>
      </c>
      <c r="C2411" s="1" t="str">
        <f t="shared" si="152"/>
        <v/>
      </c>
      <c r="D2411" s="1" t="str">
        <f t="shared" si="153"/>
        <v/>
      </c>
      <c r="E2411" s="1" t="str">
        <f t="shared" si="154"/>
        <v/>
      </c>
      <c r="F2411" s="1" t="str">
        <f t="shared" si="155"/>
        <v/>
      </c>
      <c r="G2411" s="1" t="str">
        <f t="shared" si="156"/>
        <v/>
      </c>
      <c r="H2411" s="1" t="str">
        <f t="shared" si="157"/>
        <v/>
      </c>
      <c r="I2411" s="1">
        <f>IF(OR(A2411="",COUNTIFS('Staff Review'!$A$8:$A$507,A2411)&lt;&gt;1),0,MATCH(A2411,'Staff Review'!$A$8:$A$507,0))</f>
        <v>0</v>
      </c>
      <c r="J2411" s="1" t="str">
        <f>IF(I2411=0,"No",IF(INDEX('Staff Review'!$C$8:$C$507,I2411)="Yes","Yes","No"))</f>
        <v>No</v>
      </c>
      <c r="K2411" s="1" t="str">
        <f>IF(AI2411="Yes",INDEX('Staff Review'!$D$8:$D$507,I2411),IF(AB2411=0,"",IF(COUNT(INDEX($C$1531:$C$2030,AB2411))=1,INDEX($C$1531:$C$2030,AB2411),"")))</f>
        <v/>
      </c>
      <c r="L2411" s="1" t="str">
        <f>IF(AJ2411="Yes",INDEX('Staff Review'!$F$8:$F$507,I2411),IF(AB2411=0,"",IF(COUNT(INDEX($G$1531:$G$2030,AB2411))=1,INDEX($G$1531:$G$2030,AB2411),"")))</f>
        <v/>
      </c>
      <c r="M2411" s="1" t="str">
        <f t="shared" si="158"/>
        <v/>
      </c>
      <c r="N2411" s="1" t="str">
        <f t="shared" si="159"/>
        <v/>
      </c>
      <c r="O2411" s="1" t="str">
        <f t="shared" si="160"/>
        <v/>
      </c>
      <c r="P2411" s="1" t="str">
        <f t="shared" si="161"/>
        <v/>
      </c>
      <c r="Q2411" s="1" t="str">
        <f t="shared" si="162"/>
        <v/>
      </c>
      <c r="R2411" s="1" t="str">
        <f t="shared" si="163"/>
        <v/>
      </c>
      <c r="S2411" s="1" t="str">
        <f t="shared" si="164"/>
        <v/>
      </c>
      <c r="T2411" s="1" t="str">
        <f>IF(OR(COUNT(O2411:R2411)&lt;&gt;4,COUNT('Top 25'!$B$45:$E$45)&lt;&gt;4,MIN('Top 25'!$B$45:$E$45)&lt;0,SUM('Top 25'!$B$45:$E$45)&lt;=0),"",ROUND(85*(O2411/30*'Top 25'!$B$45+P2411/25*'Top 25'!$C$45+Q2411/25*'Top 25'!$D$45+R2411/5*'Top 25'!$E$45)/SUM('Top 25'!$B$45:$E$45),6))</f>
        <v/>
      </c>
      <c r="U2411" s="1" t="str">
        <f t="shared" si="165"/>
        <v/>
      </c>
      <c r="V2411" s="1" t="str">
        <f>IF(A2411="","",IF(AK2411&lt;&gt;1,"Duplicate source ID",IF(COUNTIFS('Staff Review'!$A$8:$A$507,A2411)&gt;1,"Duplicate review ID",IF(H2411&lt;&gt;"Yes","Outside scope",IF(J2411="Yes","Already served",IF(NOT(ISNUMBER(T2411)),"Missing data","Candidate"))))))</f>
        <v/>
      </c>
      <c r="W2411" s="1" t="str">
        <f t="shared" si="166"/>
        <v/>
      </c>
      <c r="X2411" s="1" t="str">
        <f t="shared" si="167"/>
        <v/>
      </c>
      <c r="Y2411" s="1">
        <f>IF(AND(H2411="Yes",OR(LEN('School Search'!$B$5)=0,ISNUMBER(SEARCH('School Search'!$B$5,B2411&amp;" "&amp;E2411&amp;" "&amp;A2411))),OR('School Search'!$D$5="All",C2411='School Search'!$D$5),OR('School Search'!$G$5="All eligible",AND('School Search'!$G$5="Not marked served",J2411&lt;&gt;"Yes"),AND('School Search'!$G$5="Missing data",V2411="Missing data"),AND('School Search'!$G$5="Marked served",J2411="Yes"))),1,0)</f>
        <v>0</v>
      </c>
      <c r="Z2411" s="1" t="str">
        <f>IF(Y2411=0,"",COUNTIFS($Y$2051:$Y$2550,1,$AO$2051:$AO$2550,"&lt;"&amp;AO2411)+COUNTIFS($Y$2051:Y2411,1,$AO$2051:AO2411,AO2411))</f>
        <v/>
      </c>
      <c r="AA2411" s="1" t="str">
        <f t="shared" si="168"/>
        <v>Missing demographic or access input</v>
      </c>
      <c r="AB2411" s="1">
        <f t="shared" si="169"/>
        <v>0</v>
      </c>
      <c r="AC2411" s="1" t="str">
        <f t="shared" si="170"/>
        <v/>
      </c>
      <c r="AD2411" s="1" t="str">
        <f t="shared" si="171"/>
        <v/>
      </c>
      <c r="AE2411" s="1" t="str">
        <f t="shared" si="172"/>
        <v/>
      </c>
      <c r="AF2411" s="1" t="str">
        <f t="shared" si="173"/>
        <v/>
      </c>
      <c r="AG2411" s="1" t="str">
        <f t="shared" si="174"/>
        <v/>
      </c>
      <c r="AH2411" s="1" t="str">
        <f>IF(I2411=0,"Not contacted",IF(INDEX('Staff Review'!$J$8:$J$507,I2411)="","Not contacted",INDEX('Staff Review'!$J$8:$J$507,I2411)))</f>
        <v>Not contacted</v>
      </c>
      <c r="AI2411" s="1" t="str">
        <f>IF(I2411=0,"No",IF(AND(COUNT(INDEX('Staff Review'!$D$8:$D$507,I2411))=1,INDEX('Staff Review'!$D$8:$D$507,I2411)&gt;=0,COUNT(INDEX('Staff Review'!$E$8:$E$507,I2411))=1,INDEX('Staff Review'!$E$8:$E$507,I2411)&gt;0,INDEX('Staff Review'!$E$8:$E$507,I2411)&lt;='Top 25'!$E$5,'Top 25'!$E$5-INDEX('Staff Review'!$E$8:$E$507,I2411)&lt;='Top 25'!$H$5,LEN(INDEX('Staff Review'!$H$8:$H$507,I2411))&gt;0),"Yes","No"))</f>
        <v>No</v>
      </c>
      <c r="AJ2411" s="1" t="str">
        <f>IF(I2411=0,"No",IF(COUNT(INDEX('Staff Review'!$F$8:$F$507,I2411))&lt;&gt;1,"No",IF(AND(INDEX('Staff Review'!$F$8:$F$507,I2411)&gt;=0,MOD(INDEX('Staff Review'!$F$8:$F$507,I2411),1)=0,COUNT(INDEX('Staff Review'!$G$8:$G$507,I2411))=1,INDEX('Staff Review'!$G$8:$G$507,I2411)&gt;0,INDEX('Staff Review'!$G$8:$G$507,I2411)&lt;='Top 25'!$E$5,'Top 25'!$E$5-INDEX('Staff Review'!$G$8:$G$507,I2411)&lt;='Top 25'!$H$5,LEN(INDEX('Staff Review'!$H$8:$H$507,I2411))&gt;0),"Yes","No")))</f>
        <v>No</v>
      </c>
      <c r="AK2411" s="1">
        <f t="shared" si="175"/>
        <v>0</v>
      </c>
      <c r="AL2411" s="1">
        <f t="shared" si="176"/>
        <v>0</v>
      </c>
      <c r="AM2411" s="1">
        <f t="shared" si="177"/>
        <v>0</v>
      </c>
      <c r="AN2411" s="1">
        <f t="shared" si="178"/>
        <v>0</v>
      </c>
      <c r="AO2411">
        <f t="shared" si="179"/>
        <v>10000</v>
      </c>
      <c r="AP2411" s="105">
        <f>IF(AND(AL2411=1,OR('Top 25'!$A$10="All",C2411='Top 25'!$A$10),OR('Top 25'!$D$10="All",D2411='Top 25'!$D$10)),1,0)</f>
        <v>0</v>
      </c>
      <c r="AQ2411" s="105" t="str">
        <f>IF(AP2411=0,"",CHOOSE(MATCH('Top 25'!$G$10,{"Priority score","Economic need","Enrollment","Fresh miles","Nearby resources"},0),T2411,G2411,F2411,K2411,L2411))</f>
        <v/>
      </c>
      <c r="AR2411" s="105" t="str">
        <f>IF(AP2411=0,"",1+COUNTIFS($AP$2051:$AP$2550,1,$AQ$2051:$AQ$2550,IF('Top 25'!$J$10="Ascending","&lt;","&gt;")&amp;AQ2411)+COUNTIFS($AP$2051:$AP$2550,1,$AQ$2051:$AQ$2550,AQ2411,$W$2051:$W$2550,"&lt;"&amp;W2411))</f>
        <v/>
      </c>
      <c r="AT2411" s="105">
        <f>IF(AND(AL2411=1,OR(Master_rankableSchools!$A$10="All",C2411=Master_rankableSchools!$A$10),OR(Master_rankableSchools!$D$10="All",D2411=Master_rankableSchools!$D$10)),1,0)</f>
        <v>0</v>
      </c>
      <c r="AU2411" s="105" t="str">
        <f>IF(AT2411=0,"",CHOOSE(MATCH(Master_rankableSchools!$G$10,{"Priority score","Economic need","Enrollment","Fresh miles","Nearby resources"},0),T2411,G2411,F2411,K2411,L2411))</f>
        <v/>
      </c>
      <c r="AV2411" s="105" t="str">
        <f>IF(AT2411=0,"",1+COUNTIFS($AT$2051:$AT$2550,1,$AU$2051:$AU$2550,IF(Master_rankableSchools!$J$10="Ascending","&lt;","&gt;")&amp;AU2411)+COUNTIFS($AT$2051:$AT$2550,1,$AU$2051:$AU$2550,AU2411,$W$2051:$W$2550,"&lt;"&amp;W2411))</f>
        <v/>
      </c>
    </row>
    <row r="2412" spans="1:48" ht="22" customHeight="1">
      <c r="A2412" s="1" t="str">
        <f t="shared" si="150"/>
        <v/>
      </c>
      <c r="B2412" s="1" t="str">
        <f t="shared" si="151"/>
        <v/>
      </c>
      <c r="C2412" s="1" t="str">
        <f t="shared" si="152"/>
        <v/>
      </c>
      <c r="D2412" s="1" t="str">
        <f t="shared" si="153"/>
        <v/>
      </c>
      <c r="E2412" s="1" t="str">
        <f t="shared" si="154"/>
        <v/>
      </c>
      <c r="F2412" s="1" t="str">
        <f t="shared" si="155"/>
        <v/>
      </c>
      <c r="G2412" s="1" t="str">
        <f t="shared" si="156"/>
        <v/>
      </c>
      <c r="H2412" s="1" t="str">
        <f t="shared" si="157"/>
        <v/>
      </c>
      <c r="I2412" s="1">
        <f>IF(OR(A2412="",COUNTIFS('Staff Review'!$A$8:$A$507,A2412)&lt;&gt;1),0,MATCH(A2412,'Staff Review'!$A$8:$A$507,0))</f>
        <v>0</v>
      </c>
      <c r="J2412" s="1" t="str">
        <f>IF(I2412=0,"No",IF(INDEX('Staff Review'!$C$8:$C$507,I2412)="Yes","Yes","No"))</f>
        <v>No</v>
      </c>
      <c r="K2412" s="1" t="str">
        <f>IF(AI2412="Yes",INDEX('Staff Review'!$D$8:$D$507,I2412),IF(AB2412=0,"",IF(COUNT(INDEX($C$1531:$C$2030,AB2412))=1,INDEX($C$1531:$C$2030,AB2412),"")))</f>
        <v/>
      </c>
      <c r="L2412" s="1" t="str">
        <f>IF(AJ2412="Yes",INDEX('Staff Review'!$F$8:$F$507,I2412),IF(AB2412=0,"",IF(COUNT(INDEX($G$1531:$G$2030,AB2412))=1,INDEX($G$1531:$G$2030,AB2412),"")))</f>
        <v/>
      </c>
      <c r="M2412" s="1" t="str">
        <f t="shared" si="158"/>
        <v/>
      </c>
      <c r="N2412" s="1" t="str">
        <f t="shared" si="159"/>
        <v/>
      </c>
      <c r="O2412" s="1" t="str">
        <f t="shared" si="160"/>
        <v/>
      </c>
      <c r="P2412" s="1" t="str">
        <f t="shared" si="161"/>
        <v/>
      </c>
      <c r="Q2412" s="1" t="str">
        <f t="shared" si="162"/>
        <v/>
      </c>
      <c r="R2412" s="1" t="str">
        <f t="shared" si="163"/>
        <v/>
      </c>
      <c r="S2412" s="1" t="str">
        <f t="shared" si="164"/>
        <v/>
      </c>
      <c r="T2412" s="1" t="str">
        <f>IF(OR(COUNT(O2412:R2412)&lt;&gt;4,COUNT('Top 25'!$B$45:$E$45)&lt;&gt;4,MIN('Top 25'!$B$45:$E$45)&lt;0,SUM('Top 25'!$B$45:$E$45)&lt;=0),"",ROUND(85*(O2412/30*'Top 25'!$B$45+P2412/25*'Top 25'!$C$45+Q2412/25*'Top 25'!$D$45+R2412/5*'Top 25'!$E$45)/SUM('Top 25'!$B$45:$E$45),6))</f>
        <v/>
      </c>
      <c r="U2412" s="1" t="str">
        <f t="shared" si="165"/>
        <v/>
      </c>
      <c r="V2412" s="1" t="str">
        <f>IF(A2412="","",IF(AK2412&lt;&gt;1,"Duplicate source ID",IF(COUNTIFS('Staff Review'!$A$8:$A$507,A2412)&gt;1,"Duplicate review ID",IF(H2412&lt;&gt;"Yes","Outside scope",IF(J2412="Yes","Already served",IF(NOT(ISNUMBER(T2412)),"Missing data","Candidate"))))))</f>
        <v/>
      </c>
      <c r="W2412" s="1" t="str">
        <f t="shared" si="166"/>
        <v/>
      </c>
      <c r="X2412" s="1" t="str">
        <f t="shared" si="167"/>
        <v/>
      </c>
      <c r="Y2412" s="1">
        <f>IF(AND(H2412="Yes",OR(LEN('School Search'!$B$5)=0,ISNUMBER(SEARCH('School Search'!$B$5,B2412&amp;" "&amp;E2412&amp;" "&amp;A2412))),OR('School Search'!$D$5="All",C2412='School Search'!$D$5),OR('School Search'!$G$5="All eligible",AND('School Search'!$G$5="Not marked served",J2412&lt;&gt;"Yes"),AND('School Search'!$G$5="Missing data",V2412="Missing data"),AND('School Search'!$G$5="Marked served",J2412="Yes"))),1,0)</f>
        <v>0</v>
      </c>
      <c r="Z2412" s="1" t="str">
        <f>IF(Y2412=0,"",COUNTIFS($Y$2051:$Y$2550,1,$AO$2051:$AO$2550,"&lt;"&amp;AO2412)+COUNTIFS($Y$2051:Y2412,1,$AO$2051:AO2412,AO2412))</f>
        <v/>
      </c>
      <c r="AA2412" s="1" t="str">
        <f t="shared" si="168"/>
        <v>Missing demographic or access input</v>
      </c>
      <c r="AB2412" s="1">
        <f t="shared" si="169"/>
        <v>0</v>
      </c>
      <c r="AC2412" s="1" t="str">
        <f t="shared" si="170"/>
        <v/>
      </c>
      <c r="AD2412" s="1" t="str">
        <f t="shared" si="171"/>
        <v/>
      </c>
      <c r="AE2412" s="1" t="str">
        <f t="shared" si="172"/>
        <v/>
      </c>
      <c r="AF2412" s="1" t="str">
        <f t="shared" si="173"/>
        <v/>
      </c>
      <c r="AG2412" s="1" t="str">
        <f t="shared" si="174"/>
        <v/>
      </c>
      <c r="AH2412" s="1" t="str">
        <f>IF(I2412=0,"Not contacted",IF(INDEX('Staff Review'!$J$8:$J$507,I2412)="","Not contacted",INDEX('Staff Review'!$J$8:$J$507,I2412)))</f>
        <v>Not contacted</v>
      </c>
      <c r="AI2412" s="1" t="str">
        <f>IF(I2412=0,"No",IF(AND(COUNT(INDEX('Staff Review'!$D$8:$D$507,I2412))=1,INDEX('Staff Review'!$D$8:$D$507,I2412)&gt;=0,COUNT(INDEX('Staff Review'!$E$8:$E$507,I2412))=1,INDEX('Staff Review'!$E$8:$E$507,I2412)&gt;0,INDEX('Staff Review'!$E$8:$E$507,I2412)&lt;='Top 25'!$E$5,'Top 25'!$E$5-INDEX('Staff Review'!$E$8:$E$507,I2412)&lt;='Top 25'!$H$5,LEN(INDEX('Staff Review'!$H$8:$H$507,I2412))&gt;0),"Yes","No"))</f>
        <v>No</v>
      </c>
      <c r="AJ2412" s="1" t="str">
        <f>IF(I2412=0,"No",IF(COUNT(INDEX('Staff Review'!$F$8:$F$507,I2412))&lt;&gt;1,"No",IF(AND(INDEX('Staff Review'!$F$8:$F$507,I2412)&gt;=0,MOD(INDEX('Staff Review'!$F$8:$F$507,I2412),1)=0,COUNT(INDEX('Staff Review'!$G$8:$G$507,I2412))=1,INDEX('Staff Review'!$G$8:$G$507,I2412)&gt;0,INDEX('Staff Review'!$G$8:$G$507,I2412)&lt;='Top 25'!$E$5,'Top 25'!$E$5-INDEX('Staff Review'!$G$8:$G$507,I2412)&lt;='Top 25'!$H$5,LEN(INDEX('Staff Review'!$H$8:$H$507,I2412))&gt;0),"Yes","No")))</f>
        <v>No</v>
      </c>
      <c r="AK2412" s="1">
        <f t="shared" si="175"/>
        <v>0</v>
      </c>
      <c r="AL2412" s="1">
        <f t="shared" si="176"/>
        <v>0</v>
      </c>
      <c r="AM2412" s="1">
        <f t="shared" si="177"/>
        <v>0</v>
      </c>
      <c r="AN2412" s="1">
        <f t="shared" si="178"/>
        <v>0</v>
      </c>
      <c r="AO2412">
        <f t="shared" si="179"/>
        <v>10000</v>
      </c>
      <c r="AP2412" s="105">
        <f>IF(AND(AL2412=1,OR('Top 25'!$A$10="All",C2412='Top 25'!$A$10),OR('Top 25'!$D$10="All",D2412='Top 25'!$D$10)),1,0)</f>
        <v>0</v>
      </c>
      <c r="AQ2412" s="105" t="str">
        <f>IF(AP2412=0,"",CHOOSE(MATCH('Top 25'!$G$10,{"Priority score","Economic need","Enrollment","Fresh miles","Nearby resources"},0),T2412,G2412,F2412,K2412,L2412))</f>
        <v/>
      </c>
      <c r="AR2412" s="105" t="str">
        <f>IF(AP2412=0,"",1+COUNTIFS($AP$2051:$AP$2550,1,$AQ$2051:$AQ$2550,IF('Top 25'!$J$10="Ascending","&lt;","&gt;")&amp;AQ2412)+COUNTIFS($AP$2051:$AP$2550,1,$AQ$2051:$AQ$2550,AQ2412,$W$2051:$W$2550,"&lt;"&amp;W2412))</f>
        <v/>
      </c>
      <c r="AT2412" s="105">
        <f>IF(AND(AL2412=1,OR(Master_rankableSchools!$A$10="All",C2412=Master_rankableSchools!$A$10),OR(Master_rankableSchools!$D$10="All",D2412=Master_rankableSchools!$D$10)),1,0)</f>
        <v>0</v>
      </c>
      <c r="AU2412" s="105" t="str">
        <f>IF(AT2412=0,"",CHOOSE(MATCH(Master_rankableSchools!$G$10,{"Priority score","Economic need","Enrollment","Fresh miles","Nearby resources"},0),T2412,G2412,F2412,K2412,L2412))</f>
        <v/>
      </c>
      <c r="AV2412" s="105" t="str">
        <f>IF(AT2412=0,"",1+COUNTIFS($AT$2051:$AT$2550,1,$AU$2051:$AU$2550,IF(Master_rankableSchools!$J$10="Ascending","&lt;","&gt;")&amp;AU2412)+COUNTIFS($AT$2051:$AT$2550,1,$AU$2051:$AU$2550,AU2412,$W$2051:$W$2550,"&lt;"&amp;W2412))</f>
        <v/>
      </c>
    </row>
    <row r="2413" spans="1:48" ht="22" customHeight="1">
      <c r="A2413" s="1" t="str">
        <f t="shared" si="150"/>
        <v/>
      </c>
      <c r="B2413" s="1" t="str">
        <f t="shared" si="151"/>
        <v/>
      </c>
      <c r="C2413" s="1" t="str">
        <f t="shared" si="152"/>
        <v/>
      </c>
      <c r="D2413" s="1" t="str">
        <f t="shared" si="153"/>
        <v/>
      </c>
      <c r="E2413" s="1" t="str">
        <f t="shared" si="154"/>
        <v/>
      </c>
      <c r="F2413" s="1" t="str">
        <f t="shared" si="155"/>
        <v/>
      </c>
      <c r="G2413" s="1" t="str">
        <f t="shared" si="156"/>
        <v/>
      </c>
      <c r="H2413" s="1" t="str">
        <f t="shared" si="157"/>
        <v/>
      </c>
      <c r="I2413" s="1">
        <f>IF(OR(A2413="",COUNTIFS('Staff Review'!$A$8:$A$507,A2413)&lt;&gt;1),0,MATCH(A2413,'Staff Review'!$A$8:$A$507,0))</f>
        <v>0</v>
      </c>
      <c r="J2413" s="1" t="str">
        <f>IF(I2413=0,"No",IF(INDEX('Staff Review'!$C$8:$C$507,I2413)="Yes","Yes","No"))</f>
        <v>No</v>
      </c>
      <c r="K2413" s="1" t="str">
        <f>IF(AI2413="Yes",INDEX('Staff Review'!$D$8:$D$507,I2413),IF(AB2413=0,"",IF(COUNT(INDEX($C$1531:$C$2030,AB2413))=1,INDEX($C$1531:$C$2030,AB2413),"")))</f>
        <v/>
      </c>
      <c r="L2413" s="1" t="str">
        <f>IF(AJ2413="Yes",INDEX('Staff Review'!$F$8:$F$507,I2413),IF(AB2413=0,"",IF(COUNT(INDEX($G$1531:$G$2030,AB2413))=1,INDEX($G$1531:$G$2030,AB2413),"")))</f>
        <v/>
      </c>
      <c r="M2413" s="1" t="str">
        <f t="shared" si="158"/>
        <v/>
      </c>
      <c r="N2413" s="1" t="str">
        <f t="shared" si="159"/>
        <v/>
      </c>
      <c r="O2413" s="1" t="str">
        <f t="shared" si="160"/>
        <v/>
      </c>
      <c r="P2413" s="1" t="str">
        <f t="shared" si="161"/>
        <v/>
      </c>
      <c r="Q2413" s="1" t="str">
        <f t="shared" si="162"/>
        <v/>
      </c>
      <c r="R2413" s="1" t="str">
        <f t="shared" si="163"/>
        <v/>
      </c>
      <c r="S2413" s="1" t="str">
        <f t="shared" si="164"/>
        <v/>
      </c>
      <c r="T2413" s="1" t="str">
        <f>IF(OR(COUNT(O2413:R2413)&lt;&gt;4,COUNT('Top 25'!$B$45:$E$45)&lt;&gt;4,MIN('Top 25'!$B$45:$E$45)&lt;0,SUM('Top 25'!$B$45:$E$45)&lt;=0),"",ROUND(85*(O2413/30*'Top 25'!$B$45+P2413/25*'Top 25'!$C$45+Q2413/25*'Top 25'!$D$45+R2413/5*'Top 25'!$E$45)/SUM('Top 25'!$B$45:$E$45),6))</f>
        <v/>
      </c>
      <c r="U2413" s="1" t="str">
        <f t="shared" si="165"/>
        <v/>
      </c>
      <c r="V2413" s="1" t="str">
        <f>IF(A2413="","",IF(AK2413&lt;&gt;1,"Duplicate source ID",IF(COUNTIFS('Staff Review'!$A$8:$A$507,A2413)&gt;1,"Duplicate review ID",IF(H2413&lt;&gt;"Yes","Outside scope",IF(J2413="Yes","Already served",IF(NOT(ISNUMBER(T2413)),"Missing data","Candidate"))))))</f>
        <v/>
      </c>
      <c r="W2413" s="1" t="str">
        <f t="shared" si="166"/>
        <v/>
      </c>
      <c r="X2413" s="1" t="str">
        <f t="shared" si="167"/>
        <v/>
      </c>
      <c r="Y2413" s="1">
        <f>IF(AND(H2413="Yes",OR(LEN('School Search'!$B$5)=0,ISNUMBER(SEARCH('School Search'!$B$5,B2413&amp;" "&amp;E2413&amp;" "&amp;A2413))),OR('School Search'!$D$5="All",C2413='School Search'!$D$5),OR('School Search'!$G$5="All eligible",AND('School Search'!$G$5="Not marked served",J2413&lt;&gt;"Yes"),AND('School Search'!$G$5="Missing data",V2413="Missing data"),AND('School Search'!$G$5="Marked served",J2413="Yes"))),1,0)</f>
        <v>0</v>
      </c>
      <c r="Z2413" s="1" t="str">
        <f>IF(Y2413=0,"",COUNTIFS($Y$2051:$Y$2550,1,$AO$2051:$AO$2550,"&lt;"&amp;AO2413)+COUNTIFS($Y$2051:Y2413,1,$AO$2051:AO2413,AO2413))</f>
        <v/>
      </c>
      <c r="AA2413" s="1" t="str">
        <f t="shared" si="168"/>
        <v>Missing demographic or access input</v>
      </c>
      <c r="AB2413" s="1">
        <f t="shared" si="169"/>
        <v>0</v>
      </c>
      <c r="AC2413" s="1" t="str">
        <f t="shared" si="170"/>
        <v/>
      </c>
      <c r="AD2413" s="1" t="str">
        <f t="shared" si="171"/>
        <v/>
      </c>
      <c r="AE2413" s="1" t="str">
        <f t="shared" si="172"/>
        <v/>
      </c>
      <c r="AF2413" s="1" t="str">
        <f t="shared" si="173"/>
        <v/>
      </c>
      <c r="AG2413" s="1" t="str">
        <f t="shared" si="174"/>
        <v/>
      </c>
      <c r="AH2413" s="1" t="str">
        <f>IF(I2413=0,"Not contacted",IF(INDEX('Staff Review'!$J$8:$J$507,I2413)="","Not contacted",INDEX('Staff Review'!$J$8:$J$507,I2413)))</f>
        <v>Not contacted</v>
      </c>
      <c r="AI2413" s="1" t="str">
        <f>IF(I2413=0,"No",IF(AND(COUNT(INDEX('Staff Review'!$D$8:$D$507,I2413))=1,INDEX('Staff Review'!$D$8:$D$507,I2413)&gt;=0,COUNT(INDEX('Staff Review'!$E$8:$E$507,I2413))=1,INDEX('Staff Review'!$E$8:$E$507,I2413)&gt;0,INDEX('Staff Review'!$E$8:$E$507,I2413)&lt;='Top 25'!$E$5,'Top 25'!$E$5-INDEX('Staff Review'!$E$8:$E$507,I2413)&lt;='Top 25'!$H$5,LEN(INDEX('Staff Review'!$H$8:$H$507,I2413))&gt;0),"Yes","No"))</f>
        <v>No</v>
      </c>
      <c r="AJ2413" s="1" t="str">
        <f>IF(I2413=0,"No",IF(COUNT(INDEX('Staff Review'!$F$8:$F$507,I2413))&lt;&gt;1,"No",IF(AND(INDEX('Staff Review'!$F$8:$F$507,I2413)&gt;=0,MOD(INDEX('Staff Review'!$F$8:$F$507,I2413),1)=0,COUNT(INDEX('Staff Review'!$G$8:$G$507,I2413))=1,INDEX('Staff Review'!$G$8:$G$507,I2413)&gt;0,INDEX('Staff Review'!$G$8:$G$507,I2413)&lt;='Top 25'!$E$5,'Top 25'!$E$5-INDEX('Staff Review'!$G$8:$G$507,I2413)&lt;='Top 25'!$H$5,LEN(INDEX('Staff Review'!$H$8:$H$507,I2413))&gt;0),"Yes","No")))</f>
        <v>No</v>
      </c>
      <c r="AK2413" s="1">
        <f t="shared" si="175"/>
        <v>0</v>
      </c>
      <c r="AL2413" s="1">
        <f t="shared" si="176"/>
        <v>0</v>
      </c>
      <c r="AM2413" s="1">
        <f t="shared" si="177"/>
        <v>0</v>
      </c>
      <c r="AN2413" s="1">
        <f t="shared" si="178"/>
        <v>0</v>
      </c>
      <c r="AO2413">
        <f t="shared" si="179"/>
        <v>10000</v>
      </c>
      <c r="AP2413" s="105">
        <f>IF(AND(AL2413=1,OR('Top 25'!$A$10="All",C2413='Top 25'!$A$10),OR('Top 25'!$D$10="All",D2413='Top 25'!$D$10)),1,0)</f>
        <v>0</v>
      </c>
      <c r="AQ2413" s="105" t="str">
        <f>IF(AP2413=0,"",CHOOSE(MATCH('Top 25'!$G$10,{"Priority score","Economic need","Enrollment","Fresh miles","Nearby resources"},0),T2413,G2413,F2413,K2413,L2413))</f>
        <v/>
      </c>
      <c r="AR2413" s="105" t="str">
        <f>IF(AP2413=0,"",1+COUNTIFS($AP$2051:$AP$2550,1,$AQ$2051:$AQ$2550,IF('Top 25'!$J$10="Ascending","&lt;","&gt;")&amp;AQ2413)+COUNTIFS($AP$2051:$AP$2550,1,$AQ$2051:$AQ$2550,AQ2413,$W$2051:$W$2550,"&lt;"&amp;W2413))</f>
        <v/>
      </c>
      <c r="AT2413" s="105">
        <f>IF(AND(AL2413=1,OR(Master_rankableSchools!$A$10="All",C2413=Master_rankableSchools!$A$10),OR(Master_rankableSchools!$D$10="All",D2413=Master_rankableSchools!$D$10)),1,0)</f>
        <v>0</v>
      </c>
      <c r="AU2413" s="105" t="str">
        <f>IF(AT2413=0,"",CHOOSE(MATCH(Master_rankableSchools!$G$10,{"Priority score","Economic need","Enrollment","Fresh miles","Nearby resources"},0),T2413,G2413,F2413,K2413,L2413))</f>
        <v/>
      </c>
      <c r="AV2413" s="105" t="str">
        <f>IF(AT2413=0,"",1+COUNTIFS($AT$2051:$AT$2550,1,$AU$2051:$AU$2550,IF(Master_rankableSchools!$J$10="Ascending","&lt;","&gt;")&amp;AU2413)+COUNTIFS($AT$2051:$AT$2550,1,$AU$2051:$AU$2550,AU2413,$W$2051:$W$2550,"&lt;"&amp;W2413))</f>
        <v/>
      </c>
    </row>
    <row r="2414" spans="1:48" ht="22" customHeight="1">
      <c r="A2414" s="1" t="str">
        <f t="shared" si="150"/>
        <v/>
      </c>
      <c r="B2414" s="1" t="str">
        <f t="shared" si="151"/>
        <v/>
      </c>
      <c r="C2414" s="1" t="str">
        <f t="shared" si="152"/>
        <v/>
      </c>
      <c r="D2414" s="1" t="str">
        <f t="shared" si="153"/>
        <v/>
      </c>
      <c r="E2414" s="1" t="str">
        <f t="shared" si="154"/>
        <v/>
      </c>
      <c r="F2414" s="1" t="str">
        <f t="shared" si="155"/>
        <v/>
      </c>
      <c r="G2414" s="1" t="str">
        <f t="shared" si="156"/>
        <v/>
      </c>
      <c r="H2414" s="1" t="str">
        <f t="shared" si="157"/>
        <v/>
      </c>
      <c r="I2414" s="1">
        <f>IF(OR(A2414="",COUNTIFS('Staff Review'!$A$8:$A$507,A2414)&lt;&gt;1),0,MATCH(A2414,'Staff Review'!$A$8:$A$507,0))</f>
        <v>0</v>
      </c>
      <c r="J2414" s="1" t="str">
        <f>IF(I2414=0,"No",IF(INDEX('Staff Review'!$C$8:$C$507,I2414)="Yes","Yes","No"))</f>
        <v>No</v>
      </c>
      <c r="K2414" s="1" t="str">
        <f>IF(AI2414="Yes",INDEX('Staff Review'!$D$8:$D$507,I2414),IF(AB2414=0,"",IF(COUNT(INDEX($C$1531:$C$2030,AB2414))=1,INDEX($C$1531:$C$2030,AB2414),"")))</f>
        <v/>
      </c>
      <c r="L2414" s="1" t="str">
        <f>IF(AJ2414="Yes",INDEX('Staff Review'!$F$8:$F$507,I2414),IF(AB2414=0,"",IF(COUNT(INDEX($G$1531:$G$2030,AB2414))=1,INDEX($G$1531:$G$2030,AB2414),"")))</f>
        <v/>
      </c>
      <c r="M2414" s="1" t="str">
        <f t="shared" si="158"/>
        <v/>
      </c>
      <c r="N2414" s="1" t="str">
        <f t="shared" si="159"/>
        <v/>
      </c>
      <c r="O2414" s="1" t="str">
        <f t="shared" si="160"/>
        <v/>
      </c>
      <c r="P2414" s="1" t="str">
        <f t="shared" si="161"/>
        <v/>
      </c>
      <c r="Q2414" s="1" t="str">
        <f t="shared" si="162"/>
        <v/>
      </c>
      <c r="R2414" s="1" t="str">
        <f t="shared" si="163"/>
        <v/>
      </c>
      <c r="S2414" s="1" t="str">
        <f t="shared" si="164"/>
        <v/>
      </c>
      <c r="T2414" s="1" t="str">
        <f>IF(OR(COUNT(O2414:R2414)&lt;&gt;4,COUNT('Top 25'!$B$45:$E$45)&lt;&gt;4,MIN('Top 25'!$B$45:$E$45)&lt;0,SUM('Top 25'!$B$45:$E$45)&lt;=0),"",ROUND(85*(O2414/30*'Top 25'!$B$45+P2414/25*'Top 25'!$C$45+Q2414/25*'Top 25'!$D$45+R2414/5*'Top 25'!$E$45)/SUM('Top 25'!$B$45:$E$45),6))</f>
        <v/>
      </c>
      <c r="U2414" s="1" t="str">
        <f t="shared" si="165"/>
        <v/>
      </c>
      <c r="V2414" s="1" t="str">
        <f>IF(A2414="","",IF(AK2414&lt;&gt;1,"Duplicate source ID",IF(COUNTIFS('Staff Review'!$A$8:$A$507,A2414)&gt;1,"Duplicate review ID",IF(H2414&lt;&gt;"Yes","Outside scope",IF(J2414="Yes","Already served",IF(NOT(ISNUMBER(T2414)),"Missing data","Candidate"))))))</f>
        <v/>
      </c>
      <c r="W2414" s="1" t="str">
        <f t="shared" si="166"/>
        <v/>
      </c>
      <c r="X2414" s="1" t="str">
        <f t="shared" si="167"/>
        <v/>
      </c>
      <c r="Y2414" s="1">
        <f>IF(AND(H2414="Yes",OR(LEN('School Search'!$B$5)=0,ISNUMBER(SEARCH('School Search'!$B$5,B2414&amp;" "&amp;E2414&amp;" "&amp;A2414))),OR('School Search'!$D$5="All",C2414='School Search'!$D$5),OR('School Search'!$G$5="All eligible",AND('School Search'!$G$5="Not marked served",J2414&lt;&gt;"Yes"),AND('School Search'!$G$5="Missing data",V2414="Missing data"),AND('School Search'!$G$5="Marked served",J2414="Yes"))),1,0)</f>
        <v>0</v>
      </c>
      <c r="Z2414" s="1" t="str">
        <f>IF(Y2414=0,"",COUNTIFS($Y$2051:$Y$2550,1,$AO$2051:$AO$2550,"&lt;"&amp;AO2414)+COUNTIFS($Y$2051:Y2414,1,$AO$2051:AO2414,AO2414))</f>
        <v/>
      </c>
      <c r="AA2414" s="1" t="str">
        <f t="shared" si="168"/>
        <v>Missing demographic or access input</v>
      </c>
      <c r="AB2414" s="1">
        <f t="shared" si="169"/>
        <v>0</v>
      </c>
      <c r="AC2414" s="1" t="str">
        <f t="shared" si="170"/>
        <v/>
      </c>
      <c r="AD2414" s="1" t="str">
        <f t="shared" si="171"/>
        <v/>
      </c>
      <c r="AE2414" s="1" t="str">
        <f t="shared" si="172"/>
        <v/>
      </c>
      <c r="AF2414" s="1" t="str">
        <f t="shared" si="173"/>
        <v/>
      </c>
      <c r="AG2414" s="1" t="str">
        <f t="shared" si="174"/>
        <v/>
      </c>
      <c r="AH2414" s="1" t="str">
        <f>IF(I2414=0,"Not contacted",IF(INDEX('Staff Review'!$J$8:$J$507,I2414)="","Not contacted",INDEX('Staff Review'!$J$8:$J$507,I2414)))</f>
        <v>Not contacted</v>
      </c>
      <c r="AI2414" s="1" t="str">
        <f>IF(I2414=0,"No",IF(AND(COUNT(INDEX('Staff Review'!$D$8:$D$507,I2414))=1,INDEX('Staff Review'!$D$8:$D$507,I2414)&gt;=0,COUNT(INDEX('Staff Review'!$E$8:$E$507,I2414))=1,INDEX('Staff Review'!$E$8:$E$507,I2414)&gt;0,INDEX('Staff Review'!$E$8:$E$507,I2414)&lt;='Top 25'!$E$5,'Top 25'!$E$5-INDEX('Staff Review'!$E$8:$E$507,I2414)&lt;='Top 25'!$H$5,LEN(INDEX('Staff Review'!$H$8:$H$507,I2414))&gt;0),"Yes","No"))</f>
        <v>No</v>
      </c>
      <c r="AJ2414" s="1" t="str">
        <f>IF(I2414=0,"No",IF(COUNT(INDEX('Staff Review'!$F$8:$F$507,I2414))&lt;&gt;1,"No",IF(AND(INDEX('Staff Review'!$F$8:$F$507,I2414)&gt;=0,MOD(INDEX('Staff Review'!$F$8:$F$507,I2414),1)=0,COUNT(INDEX('Staff Review'!$G$8:$G$507,I2414))=1,INDEX('Staff Review'!$G$8:$G$507,I2414)&gt;0,INDEX('Staff Review'!$G$8:$G$507,I2414)&lt;='Top 25'!$E$5,'Top 25'!$E$5-INDEX('Staff Review'!$G$8:$G$507,I2414)&lt;='Top 25'!$H$5,LEN(INDEX('Staff Review'!$H$8:$H$507,I2414))&gt;0),"Yes","No")))</f>
        <v>No</v>
      </c>
      <c r="AK2414" s="1">
        <f t="shared" si="175"/>
        <v>0</v>
      </c>
      <c r="AL2414" s="1">
        <f t="shared" si="176"/>
        <v>0</v>
      </c>
      <c r="AM2414" s="1">
        <f t="shared" si="177"/>
        <v>0</v>
      </c>
      <c r="AN2414" s="1">
        <f t="shared" si="178"/>
        <v>0</v>
      </c>
      <c r="AO2414">
        <f t="shared" si="179"/>
        <v>10000</v>
      </c>
      <c r="AP2414" s="105">
        <f>IF(AND(AL2414=1,OR('Top 25'!$A$10="All",C2414='Top 25'!$A$10),OR('Top 25'!$D$10="All",D2414='Top 25'!$D$10)),1,0)</f>
        <v>0</v>
      </c>
      <c r="AQ2414" s="105" t="str">
        <f>IF(AP2414=0,"",CHOOSE(MATCH('Top 25'!$G$10,{"Priority score","Economic need","Enrollment","Fresh miles","Nearby resources"},0),T2414,G2414,F2414,K2414,L2414))</f>
        <v/>
      </c>
      <c r="AR2414" s="105" t="str">
        <f>IF(AP2414=0,"",1+COUNTIFS($AP$2051:$AP$2550,1,$AQ$2051:$AQ$2550,IF('Top 25'!$J$10="Ascending","&lt;","&gt;")&amp;AQ2414)+COUNTIFS($AP$2051:$AP$2550,1,$AQ$2051:$AQ$2550,AQ2414,$W$2051:$W$2550,"&lt;"&amp;W2414))</f>
        <v/>
      </c>
      <c r="AT2414" s="105">
        <f>IF(AND(AL2414=1,OR(Master_rankableSchools!$A$10="All",C2414=Master_rankableSchools!$A$10),OR(Master_rankableSchools!$D$10="All",D2414=Master_rankableSchools!$D$10)),1,0)</f>
        <v>0</v>
      </c>
      <c r="AU2414" s="105" t="str">
        <f>IF(AT2414=0,"",CHOOSE(MATCH(Master_rankableSchools!$G$10,{"Priority score","Economic need","Enrollment","Fresh miles","Nearby resources"},0),T2414,G2414,F2414,K2414,L2414))</f>
        <v/>
      </c>
      <c r="AV2414" s="105" t="str">
        <f>IF(AT2414=0,"",1+COUNTIFS($AT$2051:$AT$2550,1,$AU$2051:$AU$2550,IF(Master_rankableSchools!$J$10="Ascending","&lt;","&gt;")&amp;AU2414)+COUNTIFS($AT$2051:$AT$2550,1,$AU$2051:$AU$2550,AU2414,$W$2051:$W$2550,"&lt;"&amp;W2414))</f>
        <v/>
      </c>
    </row>
    <row r="2415" spans="1:48" ht="22" customHeight="1">
      <c r="A2415" s="1" t="str">
        <f t="shared" si="150"/>
        <v/>
      </c>
      <c r="B2415" s="1" t="str">
        <f t="shared" si="151"/>
        <v/>
      </c>
      <c r="C2415" s="1" t="str">
        <f t="shared" si="152"/>
        <v/>
      </c>
      <c r="D2415" s="1" t="str">
        <f t="shared" si="153"/>
        <v/>
      </c>
      <c r="E2415" s="1" t="str">
        <f t="shared" si="154"/>
        <v/>
      </c>
      <c r="F2415" s="1" t="str">
        <f t="shared" si="155"/>
        <v/>
      </c>
      <c r="G2415" s="1" t="str">
        <f t="shared" si="156"/>
        <v/>
      </c>
      <c r="H2415" s="1" t="str">
        <f t="shared" si="157"/>
        <v/>
      </c>
      <c r="I2415" s="1">
        <f>IF(OR(A2415="",COUNTIFS('Staff Review'!$A$8:$A$507,A2415)&lt;&gt;1),0,MATCH(A2415,'Staff Review'!$A$8:$A$507,0))</f>
        <v>0</v>
      </c>
      <c r="J2415" s="1" t="str">
        <f>IF(I2415=0,"No",IF(INDEX('Staff Review'!$C$8:$C$507,I2415)="Yes","Yes","No"))</f>
        <v>No</v>
      </c>
      <c r="K2415" s="1" t="str">
        <f>IF(AI2415="Yes",INDEX('Staff Review'!$D$8:$D$507,I2415),IF(AB2415=0,"",IF(COUNT(INDEX($C$1531:$C$2030,AB2415))=1,INDEX($C$1531:$C$2030,AB2415),"")))</f>
        <v/>
      </c>
      <c r="L2415" s="1" t="str">
        <f>IF(AJ2415="Yes",INDEX('Staff Review'!$F$8:$F$507,I2415),IF(AB2415=0,"",IF(COUNT(INDEX($G$1531:$G$2030,AB2415))=1,INDEX($G$1531:$G$2030,AB2415),"")))</f>
        <v/>
      </c>
      <c r="M2415" s="1" t="str">
        <f t="shared" si="158"/>
        <v/>
      </c>
      <c r="N2415" s="1" t="str">
        <f t="shared" si="159"/>
        <v/>
      </c>
      <c r="O2415" s="1" t="str">
        <f t="shared" si="160"/>
        <v/>
      </c>
      <c r="P2415" s="1" t="str">
        <f t="shared" si="161"/>
        <v/>
      </c>
      <c r="Q2415" s="1" t="str">
        <f t="shared" si="162"/>
        <v/>
      </c>
      <c r="R2415" s="1" t="str">
        <f t="shared" si="163"/>
        <v/>
      </c>
      <c r="S2415" s="1" t="str">
        <f t="shared" si="164"/>
        <v/>
      </c>
      <c r="T2415" s="1" t="str">
        <f>IF(OR(COUNT(O2415:R2415)&lt;&gt;4,COUNT('Top 25'!$B$45:$E$45)&lt;&gt;4,MIN('Top 25'!$B$45:$E$45)&lt;0,SUM('Top 25'!$B$45:$E$45)&lt;=0),"",ROUND(85*(O2415/30*'Top 25'!$B$45+P2415/25*'Top 25'!$C$45+Q2415/25*'Top 25'!$D$45+R2415/5*'Top 25'!$E$45)/SUM('Top 25'!$B$45:$E$45),6))</f>
        <v/>
      </c>
      <c r="U2415" s="1" t="str">
        <f t="shared" si="165"/>
        <v/>
      </c>
      <c r="V2415" s="1" t="str">
        <f>IF(A2415="","",IF(AK2415&lt;&gt;1,"Duplicate source ID",IF(COUNTIFS('Staff Review'!$A$8:$A$507,A2415)&gt;1,"Duplicate review ID",IF(H2415&lt;&gt;"Yes","Outside scope",IF(J2415="Yes","Already served",IF(NOT(ISNUMBER(T2415)),"Missing data","Candidate"))))))</f>
        <v/>
      </c>
      <c r="W2415" s="1" t="str">
        <f t="shared" si="166"/>
        <v/>
      </c>
      <c r="X2415" s="1" t="str">
        <f t="shared" si="167"/>
        <v/>
      </c>
      <c r="Y2415" s="1">
        <f>IF(AND(H2415="Yes",OR(LEN('School Search'!$B$5)=0,ISNUMBER(SEARCH('School Search'!$B$5,B2415&amp;" "&amp;E2415&amp;" "&amp;A2415))),OR('School Search'!$D$5="All",C2415='School Search'!$D$5),OR('School Search'!$G$5="All eligible",AND('School Search'!$G$5="Not marked served",J2415&lt;&gt;"Yes"),AND('School Search'!$G$5="Missing data",V2415="Missing data"),AND('School Search'!$G$5="Marked served",J2415="Yes"))),1,0)</f>
        <v>0</v>
      </c>
      <c r="Z2415" s="1" t="str">
        <f>IF(Y2415=0,"",COUNTIFS($Y$2051:$Y$2550,1,$AO$2051:$AO$2550,"&lt;"&amp;AO2415)+COUNTIFS($Y$2051:Y2415,1,$AO$2051:AO2415,AO2415))</f>
        <v/>
      </c>
      <c r="AA2415" s="1" t="str">
        <f t="shared" si="168"/>
        <v>Missing demographic or access input</v>
      </c>
      <c r="AB2415" s="1">
        <f t="shared" si="169"/>
        <v>0</v>
      </c>
      <c r="AC2415" s="1" t="str">
        <f t="shared" si="170"/>
        <v/>
      </c>
      <c r="AD2415" s="1" t="str">
        <f t="shared" si="171"/>
        <v/>
      </c>
      <c r="AE2415" s="1" t="str">
        <f t="shared" si="172"/>
        <v/>
      </c>
      <c r="AF2415" s="1" t="str">
        <f t="shared" si="173"/>
        <v/>
      </c>
      <c r="AG2415" s="1" t="str">
        <f t="shared" si="174"/>
        <v/>
      </c>
      <c r="AH2415" s="1" t="str">
        <f>IF(I2415=0,"Not contacted",IF(INDEX('Staff Review'!$J$8:$J$507,I2415)="","Not contacted",INDEX('Staff Review'!$J$8:$J$507,I2415)))</f>
        <v>Not contacted</v>
      </c>
      <c r="AI2415" s="1" t="str">
        <f>IF(I2415=0,"No",IF(AND(COUNT(INDEX('Staff Review'!$D$8:$D$507,I2415))=1,INDEX('Staff Review'!$D$8:$D$507,I2415)&gt;=0,COUNT(INDEX('Staff Review'!$E$8:$E$507,I2415))=1,INDEX('Staff Review'!$E$8:$E$507,I2415)&gt;0,INDEX('Staff Review'!$E$8:$E$507,I2415)&lt;='Top 25'!$E$5,'Top 25'!$E$5-INDEX('Staff Review'!$E$8:$E$507,I2415)&lt;='Top 25'!$H$5,LEN(INDEX('Staff Review'!$H$8:$H$507,I2415))&gt;0),"Yes","No"))</f>
        <v>No</v>
      </c>
      <c r="AJ2415" s="1" t="str">
        <f>IF(I2415=0,"No",IF(COUNT(INDEX('Staff Review'!$F$8:$F$507,I2415))&lt;&gt;1,"No",IF(AND(INDEX('Staff Review'!$F$8:$F$507,I2415)&gt;=0,MOD(INDEX('Staff Review'!$F$8:$F$507,I2415),1)=0,COUNT(INDEX('Staff Review'!$G$8:$G$507,I2415))=1,INDEX('Staff Review'!$G$8:$G$507,I2415)&gt;0,INDEX('Staff Review'!$G$8:$G$507,I2415)&lt;='Top 25'!$E$5,'Top 25'!$E$5-INDEX('Staff Review'!$G$8:$G$507,I2415)&lt;='Top 25'!$H$5,LEN(INDEX('Staff Review'!$H$8:$H$507,I2415))&gt;0),"Yes","No")))</f>
        <v>No</v>
      </c>
      <c r="AK2415" s="1">
        <f t="shared" si="175"/>
        <v>0</v>
      </c>
      <c r="AL2415" s="1">
        <f t="shared" si="176"/>
        <v>0</v>
      </c>
      <c r="AM2415" s="1">
        <f t="shared" si="177"/>
        <v>0</v>
      </c>
      <c r="AN2415" s="1">
        <f t="shared" si="178"/>
        <v>0</v>
      </c>
      <c r="AO2415">
        <f t="shared" si="179"/>
        <v>10000</v>
      </c>
      <c r="AP2415" s="105">
        <f>IF(AND(AL2415=1,OR('Top 25'!$A$10="All",C2415='Top 25'!$A$10),OR('Top 25'!$D$10="All",D2415='Top 25'!$D$10)),1,0)</f>
        <v>0</v>
      </c>
      <c r="AQ2415" s="105" t="str">
        <f>IF(AP2415=0,"",CHOOSE(MATCH('Top 25'!$G$10,{"Priority score","Economic need","Enrollment","Fresh miles","Nearby resources"},0),T2415,G2415,F2415,K2415,L2415))</f>
        <v/>
      </c>
      <c r="AR2415" s="105" t="str">
        <f>IF(AP2415=0,"",1+COUNTIFS($AP$2051:$AP$2550,1,$AQ$2051:$AQ$2550,IF('Top 25'!$J$10="Ascending","&lt;","&gt;")&amp;AQ2415)+COUNTIFS($AP$2051:$AP$2550,1,$AQ$2051:$AQ$2550,AQ2415,$W$2051:$W$2550,"&lt;"&amp;W2415))</f>
        <v/>
      </c>
      <c r="AT2415" s="105">
        <f>IF(AND(AL2415=1,OR(Master_rankableSchools!$A$10="All",C2415=Master_rankableSchools!$A$10),OR(Master_rankableSchools!$D$10="All",D2415=Master_rankableSchools!$D$10)),1,0)</f>
        <v>0</v>
      </c>
      <c r="AU2415" s="105" t="str">
        <f>IF(AT2415=0,"",CHOOSE(MATCH(Master_rankableSchools!$G$10,{"Priority score","Economic need","Enrollment","Fresh miles","Nearby resources"},0),T2415,G2415,F2415,K2415,L2415))</f>
        <v/>
      </c>
      <c r="AV2415" s="105" t="str">
        <f>IF(AT2415=0,"",1+COUNTIFS($AT$2051:$AT$2550,1,$AU$2051:$AU$2550,IF(Master_rankableSchools!$J$10="Ascending","&lt;","&gt;")&amp;AU2415)+COUNTIFS($AT$2051:$AT$2550,1,$AU$2051:$AU$2550,AU2415,$W$2051:$W$2550,"&lt;"&amp;W2415))</f>
        <v/>
      </c>
    </row>
    <row r="2416" spans="1:48" ht="22" customHeight="1">
      <c r="A2416" s="1" t="str">
        <f t="shared" si="150"/>
        <v/>
      </c>
      <c r="B2416" s="1" t="str">
        <f t="shared" si="151"/>
        <v/>
      </c>
      <c r="C2416" s="1" t="str">
        <f t="shared" si="152"/>
        <v/>
      </c>
      <c r="D2416" s="1" t="str">
        <f t="shared" si="153"/>
        <v/>
      </c>
      <c r="E2416" s="1" t="str">
        <f t="shared" si="154"/>
        <v/>
      </c>
      <c r="F2416" s="1" t="str">
        <f t="shared" si="155"/>
        <v/>
      </c>
      <c r="G2416" s="1" t="str">
        <f t="shared" si="156"/>
        <v/>
      </c>
      <c r="H2416" s="1" t="str">
        <f t="shared" si="157"/>
        <v/>
      </c>
      <c r="I2416" s="1">
        <f>IF(OR(A2416="",COUNTIFS('Staff Review'!$A$8:$A$507,A2416)&lt;&gt;1),0,MATCH(A2416,'Staff Review'!$A$8:$A$507,0))</f>
        <v>0</v>
      </c>
      <c r="J2416" s="1" t="str">
        <f>IF(I2416=0,"No",IF(INDEX('Staff Review'!$C$8:$C$507,I2416)="Yes","Yes","No"))</f>
        <v>No</v>
      </c>
      <c r="K2416" s="1" t="str">
        <f>IF(AI2416="Yes",INDEX('Staff Review'!$D$8:$D$507,I2416),IF(AB2416=0,"",IF(COUNT(INDEX($C$1531:$C$2030,AB2416))=1,INDEX($C$1531:$C$2030,AB2416),"")))</f>
        <v/>
      </c>
      <c r="L2416" s="1" t="str">
        <f>IF(AJ2416="Yes",INDEX('Staff Review'!$F$8:$F$507,I2416),IF(AB2416=0,"",IF(COUNT(INDEX($G$1531:$G$2030,AB2416))=1,INDEX($G$1531:$G$2030,AB2416),"")))</f>
        <v/>
      </c>
      <c r="M2416" s="1" t="str">
        <f t="shared" si="158"/>
        <v/>
      </c>
      <c r="N2416" s="1" t="str">
        <f t="shared" si="159"/>
        <v/>
      </c>
      <c r="O2416" s="1" t="str">
        <f t="shared" si="160"/>
        <v/>
      </c>
      <c r="P2416" s="1" t="str">
        <f t="shared" si="161"/>
        <v/>
      </c>
      <c r="Q2416" s="1" t="str">
        <f t="shared" si="162"/>
        <v/>
      </c>
      <c r="R2416" s="1" t="str">
        <f t="shared" si="163"/>
        <v/>
      </c>
      <c r="S2416" s="1" t="str">
        <f t="shared" si="164"/>
        <v/>
      </c>
      <c r="T2416" s="1" t="str">
        <f>IF(OR(COUNT(O2416:R2416)&lt;&gt;4,COUNT('Top 25'!$B$45:$E$45)&lt;&gt;4,MIN('Top 25'!$B$45:$E$45)&lt;0,SUM('Top 25'!$B$45:$E$45)&lt;=0),"",ROUND(85*(O2416/30*'Top 25'!$B$45+P2416/25*'Top 25'!$C$45+Q2416/25*'Top 25'!$D$45+R2416/5*'Top 25'!$E$45)/SUM('Top 25'!$B$45:$E$45),6))</f>
        <v/>
      </c>
      <c r="U2416" s="1" t="str">
        <f t="shared" si="165"/>
        <v/>
      </c>
      <c r="V2416" s="1" t="str">
        <f>IF(A2416="","",IF(AK2416&lt;&gt;1,"Duplicate source ID",IF(COUNTIFS('Staff Review'!$A$8:$A$507,A2416)&gt;1,"Duplicate review ID",IF(H2416&lt;&gt;"Yes","Outside scope",IF(J2416="Yes","Already served",IF(NOT(ISNUMBER(T2416)),"Missing data","Candidate"))))))</f>
        <v/>
      </c>
      <c r="W2416" s="1" t="str">
        <f t="shared" si="166"/>
        <v/>
      </c>
      <c r="X2416" s="1" t="str">
        <f t="shared" si="167"/>
        <v/>
      </c>
      <c r="Y2416" s="1">
        <f>IF(AND(H2416="Yes",OR(LEN('School Search'!$B$5)=0,ISNUMBER(SEARCH('School Search'!$B$5,B2416&amp;" "&amp;E2416&amp;" "&amp;A2416))),OR('School Search'!$D$5="All",C2416='School Search'!$D$5),OR('School Search'!$G$5="All eligible",AND('School Search'!$G$5="Not marked served",J2416&lt;&gt;"Yes"),AND('School Search'!$G$5="Missing data",V2416="Missing data"),AND('School Search'!$G$5="Marked served",J2416="Yes"))),1,0)</f>
        <v>0</v>
      </c>
      <c r="Z2416" s="1" t="str">
        <f>IF(Y2416=0,"",COUNTIFS($Y$2051:$Y$2550,1,$AO$2051:$AO$2550,"&lt;"&amp;AO2416)+COUNTIFS($Y$2051:Y2416,1,$AO$2051:AO2416,AO2416))</f>
        <v/>
      </c>
      <c r="AA2416" s="1" t="str">
        <f t="shared" si="168"/>
        <v>Missing demographic or access input</v>
      </c>
      <c r="AB2416" s="1">
        <f t="shared" si="169"/>
        <v>0</v>
      </c>
      <c r="AC2416" s="1" t="str">
        <f t="shared" si="170"/>
        <v/>
      </c>
      <c r="AD2416" s="1" t="str">
        <f t="shared" si="171"/>
        <v/>
      </c>
      <c r="AE2416" s="1" t="str">
        <f t="shared" si="172"/>
        <v/>
      </c>
      <c r="AF2416" s="1" t="str">
        <f t="shared" si="173"/>
        <v/>
      </c>
      <c r="AG2416" s="1" t="str">
        <f t="shared" si="174"/>
        <v/>
      </c>
      <c r="AH2416" s="1" t="str">
        <f>IF(I2416=0,"Not contacted",IF(INDEX('Staff Review'!$J$8:$J$507,I2416)="","Not contacted",INDEX('Staff Review'!$J$8:$J$507,I2416)))</f>
        <v>Not contacted</v>
      </c>
      <c r="AI2416" s="1" t="str">
        <f>IF(I2416=0,"No",IF(AND(COUNT(INDEX('Staff Review'!$D$8:$D$507,I2416))=1,INDEX('Staff Review'!$D$8:$D$507,I2416)&gt;=0,COUNT(INDEX('Staff Review'!$E$8:$E$507,I2416))=1,INDEX('Staff Review'!$E$8:$E$507,I2416)&gt;0,INDEX('Staff Review'!$E$8:$E$507,I2416)&lt;='Top 25'!$E$5,'Top 25'!$E$5-INDEX('Staff Review'!$E$8:$E$507,I2416)&lt;='Top 25'!$H$5,LEN(INDEX('Staff Review'!$H$8:$H$507,I2416))&gt;0),"Yes","No"))</f>
        <v>No</v>
      </c>
      <c r="AJ2416" s="1" t="str">
        <f>IF(I2416=0,"No",IF(COUNT(INDEX('Staff Review'!$F$8:$F$507,I2416))&lt;&gt;1,"No",IF(AND(INDEX('Staff Review'!$F$8:$F$507,I2416)&gt;=0,MOD(INDEX('Staff Review'!$F$8:$F$507,I2416),1)=0,COUNT(INDEX('Staff Review'!$G$8:$G$507,I2416))=1,INDEX('Staff Review'!$G$8:$G$507,I2416)&gt;0,INDEX('Staff Review'!$G$8:$G$507,I2416)&lt;='Top 25'!$E$5,'Top 25'!$E$5-INDEX('Staff Review'!$G$8:$G$507,I2416)&lt;='Top 25'!$H$5,LEN(INDEX('Staff Review'!$H$8:$H$507,I2416))&gt;0),"Yes","No")))</f>
        <v>No</v>
      </c>
      <c r="AK2416" s="1">
        <f t="shared" si="175"/>
        <v>0</v>
      </c>
      <c r="AL2416" s="1">
        <f t="shared" si="176"/>
        <v>0</v>
      </c>
      <c r="AM2416" s="1">
        <f t="shared" si="177"/>
        <v>0</v>
      </c>
      <c r="AN2416" s="1">
        <f t="shared" si="178"/>
        <v>0</v>
      </c>
      <c r="AO2416">
        <f t="shared" si="179"/>
        <v>10000</v>
      </c>
      <c r="AP2416" s="105">
        <f>IF(AND(AL2416=1,OR('Top 25'!$A$10="All",C2416='Top 25'!$A$10),OR('Top 25'!$D$10="All",D2416='Top 25'!$D$10)),1,0)</f>
        <v>0</v>
      </c>
      <c r="AQ2416" s="105" t="str">
        <f>IF(AP2416=0,"",CHOOSE(MATCH('Top 25'!$G$10,{"Priority score","Economic need","Enrollment","Fresh miles","Nearby resources"},0),T2416,G2416,F2416,K2416,L2416))</f>
        <v/>
      </c>
      <c r="AR2416" s="105" t="str">
        <f>IF(AP2416=0,"",1+COUNTIFS($AP$2051:$AP$2550,1,$AQ$2051:$AQ$2550,IF('Top 25'!$J$10="Ascending","&lt;","&gt;")&amp;AQ2416)+COUNTIFS($AP$2051:$AP$2550,1,$AQ$2051:$AQ$2550,AQ2416,$W$2051:$W$2550,"&lt;"&amp;W2416))</f>
        <v/>
      </c>
      <c r="AT2416" s="105">
        <f>IF(AND(AL2416=1,OR(Master_rankableSchools!$A$10="All",C2416=Master_rankableSchools!$A$10),OR(Master_rankableSchools!$D$10="All",D2416=Master_rankableSchools!$D$10)),1,0)</f>
        <v>0</v>
      </c>
      <c r="AU2416" s="105" t="str">
        <f>IF(AT2416=0,"",CHOOSE(MATCH(Master_rankableSchools!$G$10,{"Priority score","Economic need","Enrollment","Fresh miles","Nearby resources"},0),T2416,G2416,F2416,K2416,L2416))</f>
        <v/>
      </c>
      <c r="AV2416" s="105" t="str">
        <f>IF(AT2416=0,"",1+COUNTIFS($AT$2051:$AT$2550,1,$AU$2051:$AU$2550,IF(Master_rankableSchools!$J$10="Ascending","&lt;","&gt;")&amp;AU2416)+COUNTIFS($AT$2051:$AT$2550,1,$AU$2051:$AU$2550,AU2416,$W$2051:$W$2550,"&lt;"&amp;W2416))</f>
        <v/>
      </c>
    </row>
    <row r="2417" spans="1:48" ht="22" customHeight="1">
      <c r="A2417" s="1" t="str">
        <f t="shared" si="150"/>
        <v/>
      </c>
      <c r="B2417" s="1" t="str">
        <f t="shared" si="151"/>
        <v/>
      </c>
      <c r="C2417" s="1" t="str">
        <f t="shared" si="152"/>
        <v/>
      </c>
      <c r="D2417" s="1" t="str">
        <f t="shared" si="153"/>
        <v/>
      </c>
      <c r="E2417" s="1" t="str">
        <f t="shared" si="154"/>
        <v/>
      </c>
      <c r="F2417" s="1" t="str">
        <f t="shared" si="155"/>
        <v/>
      </c>
      <c r="G2417" s="1" t="str">
        <f t="shared" si="156"/>
        <v/>
      </c>
      <c r="H2417" s="1" t="str">
        <f t="shared" si="157"/>
        <v/>
      </c>
      <c r="I2417" s="1">
        <f>IF(OR(A2417="",COUNTIFS('Staff Review'!$A$8:$A$507,A2417)&lt;&gt;1),0,MATCH(A2417,'Staff Review'!$A$8:$A$507,0))</f>
        <v>0</v>
      </c>
      <c r="J2417" s="1" t="str">
        <f>IF(I2417=0,"No",IF(INDEX('Staff Review'!$C$8:$C$507,I2417)="Yes","Yes","No"))</f>
        <v>No</v>
      </c>
      <c r="K2417" s="1" t="str">
        <f>IF(AI2417="Yes",INDEX('Staff Review'!$D$8:$D$507,I2417),IF(AB2417=0,"",IF(COUNT(INDEX($C$1531:$C$2030,AB2417))=1,INDEX($C$1531:$C$2030,AB2417),"")))</f>
        <v/>
      </c>
      <c r="L2417" s="1" t="str">
        <f>IF(AJ2417="Yes",INDEX('Staff Review'!$F$8:$F$507,I2417),IF(AB2417=0,"",IF(COUNT(INDEX($G$1531:$G$2030,AB2417))=1,INDEX($G$1531:$G$2030,AB2417),"")))</f>
        <v/>
      </c>
      <c r="M2417" s="1" t="str">
        <f t="shared" si="158"/>
        <v/>
      </c>
      <c r="N2417" s="1" t="str">
        <f t="shared" si="159"/>
        <v/>
      </c>
      <c r="O2417" s="1" t="str">
        <f t="shared" si="160"/>
        <v/>
      </c>
      <c r="P2417" s="1" t="str">
        <f t="shared" si="161"/>
        <v/>
      </c>
      <c r="Q2417" s="1" t="str">
        <f t="shared" si="162"/>
        <v/>
      </c>
      <c r="R2417" s="1" t="str">
        <f t="shared" si="163"/>
        <v/>
      </c>
      <c r="S2417" s="1" t="str">
        <f t="shared" si="164"/>
        <v/>
      </c>
      <c r="T2417" s="1" t="str">
        <f>IF(OR(COUNT(O2417:R2417)&lt;&gt;4,COUNT('Top 25'!$B$45:$E$45)&lt;&gt;4,MIN('Top 25'!$B$45:$E$45)&lt;0,SUM('Top 25'!$B$45:$E$45)&lt;=0),"",ROUND(85*(O2417/30*'Top 25'!$B$45+P2417/25*'Top 25'!$C$45+Q2417/25*'Top 25'!$D$45+R2417/5*'Top 25'!$E$45)/SUM('Top 25'!$B$45:$E$45),6))</f>
        <v/>
      </c>
      <c r="U2417" s="1" t="str">
        <f t="shared" si="165"/>
        <v/>
      </c>
      <c r="V2417" s="1" t="str">
        <f>IF(A2417="","",IF(AK2417&lt;&gt;1,"Duplicate source ID",IF(COUNTIFS('Staff Review'!$A$8:$A$507,A2417)&gt;1,"Duplicate review ID",IF(H2417&lt;&gt;"Yes","Outside scope",IF(J2417="Yes","Already served",IF(NOT(ISNUMBER(T2417)),"Missing data","Candidate"))))))</f>
        <v/>
      </c>
      <c r="W2417" s="1" t="str">
        <f t="shared" si="166"/>
        <v/>
      </c>
      <c r="X2417" s="1" t="str">
        <f t="shared" si="167"/>
        <v/>
      </c>
      <c r="Y2417" s="1">
        <f>IF(AND(H2417="Yes",OR(LEN('School Search'!$B$5)=0,ISNUMBER(SEARCH('School Search'!$B$5,B2417&amp;" "&amp;E2417&amp;" "&amp;A2417))),OR('School Search'!$D$5="All",C2417='School Search'!$D$5),OR('School Search'!$G$5="All eligible",AND('School Search'!$G$5="Not marked served",J2417&lt;&gt;"Yes"),AND('School Search'!$G$5="Missing data",V2417="Missing data"),AND('School Search'!$G$5="Marked served",J2417="Yes"))),1,0)</f>
        <v>0</v>
      </c>
      <c r="Z2417" s="1" t="str">
        <f>IF(Y2417=0,"",COUNTIFS($Y$2051:$Y$2550,1,$AO$2051:$AO$2550,"&lt;"&amp;AO2417)+COUNTIFS($Y$2051:Y2417,1,$AO$2051:AO2417,AO2417))</f>
        <v/>
      </c>
      <c r="AA2417" s="1" t="str">
        <f t="shared" si="168"/>
        <v>Missing demographic or access input</v>
      </c>
      <c r="AB2417" s="1">
        <f t="shared" si="169"/>
        <v>0</v>
      </c>
      <c r="AC2417" s="1" t="str">
        <f t="shared" si="170"/>
        <v/>
      </c>
      <c r="AD2417" s="1" t="str">
        <f t="shared" si="171"/>
        <v/>
      </c>
      <c r="AE2417" s="1" t="str">
        <f t="shared" si="172"/>
        <v/>
      </c>
      <c r="AF2417" s="1" t="str">
        <f t="shared" si="173"/>
        <v/>
      </c>
      <c r="AG2417" s="1" t="str">
        <f t="shared" si="174"/>
        <v/>
      </c>
      <c r="AH2417" s="1" t="str">
        <f>IF(I2417=0,"Not contacted",IF(INDEX('Staff Review'!$J$8:$J$507,I2417)="","Not contacted",INDEX('Staff Review'!$J$8:$J$507,I2417)))</f>
        <v>Not contacted</v>
      </c>
      <c r="AI2417" s="1" t="str">
        <f>IF(I2417=0,"No",IF(AND(COUNT(INDEX('Staff Review'!$D$8:$D$507,I2417))=1,INDEX('Staff Review'!$D$8:$D$507,I2417)&gt;=0,COUNT(INDEX('Staff Review'!$E$8:$E$507,I2417))=1,INDEX('Staff Review'!$E$8:$E$507,I2417)&gt;0,INDEX('Staff Review'!$E$8:$E$507,I2417)&lt;='Top 25'!$E$5,'Top 25'!$E$5-INDEX('Staff Review'!$E$8:$E$507,I2417)&lt;='Top 25'!$H$5,LEN(INDEX('Staff Review'!$H$8:$H$507,I2417))&gt;0),"Yes","No"))</f>
        <v>No</v>
      </c>
      <c r="AJ2417" s="1" t="str">
        <f>IF(I2417=0,"No",IF(COUNT(INDEX('Staff Review'!$F$8:$F$507,I2417))&lt;&gt;1,"No",IF(AND(INDEX('Staff Review'!$F$8:$F$507,I2417)&gt;=0,MOD(INDEX('Staff Review'!$F$8:$F$507,I2417),1)=0,COUNT(INDEX('Staff Review'!$G$8:$G$507,I2417))=1,INDEX('Staff Review'!$G$8:$G$507,I2417)&gt;0,INDEX('Staff Review'!$G$8:$G$507,I2417)&lt;='Top 25'!$E$5,'Top 25'!$E$5-INDEX('Staff Review'!$G$8:$G$507,I2417)&lt;='Top 25'!$H$5,LEN(INDEX('Staff Review'!$H$8:$H$507,I2417))&gt;0),"Yes","No")))</f>
        <v>No</v>
      </c>
      <c r="AK2417" s="1">
        <f t="shared" si="175"/>
        <v>0</v>
      </c>
      <c r="AL2417" s="1">
        <f t="shared" si="176"/>
        <v>0</v>
      </c>
      <c r="AM2417" s="1">
        <f t="shared" si="177"/>
        <v>0</v>
      </c>
      <c r="AN2417" s="1">
        <f t="shared" si="178"/>
        <v>0</v>
      </c>
      <c r="AO2417">
        <f t="shared" si="179"/>
        <v>10000</v>
      </c>
      <c r="AP2417" s="105">
        <f>IF(AND(AL2417=1,OR('Top 25'!$A$10="All",C2417='Top 25'!$A$10),OR('Top 25'!$D$10="All",D2417='Top 25'!$D$10)),1,0)</f>
        <v>0</v>
      </c>
      <c r="AQ2417" s="105" t="str">
        <f>IF(AP2417=0,"",CHOOSE(MATCH('Top 25'!$G$10,{"Priority score","Economic need","Enrollment","Fresh miles","Nearby resources"},0),T2417,G2417,F2417,K2417,L2417))</f>
        <v/>
      </c>
      <c r="AR2417" s="105" t="str">
        <f>IF(AP2417=0,"",1+COUNTIFS($AP$2051:$AP$2550,1,$AQ$2051:$AQ$2550,IF('Top 25'!$J$10="Ascending","&lt;","&gt;")&amp;AQ2417)+COUNTIFS($AP$2051:$AP$2550,1,$AQ$2051:$AQ$2550,AQ2417,$W$2051:$W$2550,"&lt;"&amp;W2417))</f>
        <v/>
      </c>
      <c r="AT2417" s="105">
        <f>IF(AND(AL2417=1,OR(Master_rankableSchools!$A$10="All",C2417=Master_rankableSchools!$A$10),OR(Master_rankableSchools!$D$10="All",D2417=Master_rankableSchools!$D$10)),1,0)</f>
        <v>0</v>
      </c>
      <c r="AU2417" s="105" t="str">
        <f>IF(AT2417=0,"",CHOOSE(MATCH(Master_rankableSchools!$G$10,{"Priority score","Economic need","Enrollment","Fresh miles","Nearby resources"},0),T2417,G2417,F2417,K2417,L2417))</f>
        <v/>
      </c>
      <c r="AV2417" s="105" t="str">
        <f>IF(AT2417=0,"",1+COUNTIFS($AT$2051:$AT$2550,1,$AU$2051:$AU$2550,IF(Master_rankableSchools!$J$10="Ascending","&lt;","&gt;")&amp;AU2417)+COUNTIFS($AT$2051:$AT$2550,1,$AU$2051:$AU$2550,AU2417,$W$2051:$W$2550,"&lt;"&amp;W2417))</f>
        <v/>
      </c>
    </row>
    <row r="2418" spans="1:48" ht="22" customHeight="1">
      <c r="A2418" s="1" t="str">
        <f t="shared" si="150"/>
        <v/>
      </c>
      <c r="B2418" s="1" t="str">
        <f t="shared" si="151"/>
        <v/>
      </c>
      <c r="C2418" s="1" t="str">
        <f t="shared" si="152"/>
        <v/>
      </c>
      <c r="D2418" s="1" t="str">
        <f t="shared" si="153"/>
        <v/>
      </c>
      <c r="E2418" s="1" t="str">
        <f t="shared" si="154"/>
        <v/>
      </c>
      <c r="F2418" s="1" t="str">
        <f t="shared" si="155"/>
        <v/>
      </c>
      <c r="G2418" s="1" t="str">
        <f t="shared" si="156"/>
        <v/>
      </c>
      <c r="H2418" s="1" t="str">
        <f t="shared" si="157"/>
        <v/>
      </c>
      <c r="I2418" s="1">
        <f>IF(OR(A2418="",COUNTIFS('Staff Review'!$A$8:$A$507,A2418)&lt;&gt;1),0,MATCH(A2418,'Staff Review'!$A$8:$A$507,0))</f>
        <v>0</v>
      </c>
      <c r="J2418" s="1" t="str">
        <f>IF(I2418=0,"No",IF(INDEX('Staff Review'!$C$8:$C$507,I2418)="Yes","Yes","No"))</f>
        <v>No</v>
      </c>
      <c r="K2418" s="1" t="str">
        <f>IF(AI2418="Yes",INDEX('Staff Review'!$D$8:$D$507,I2418),IF(AB2418=0,"",IF(COUNT(INDEX($C$1531:$C$2030,AB2418))=1,INDEX($C$1531:$C$2030,AB2418),"")))</f>
        <v/>
      </c>
      <c r="L2418" s="1" t="str">
        <f>IF(AJ2418="Yes",INDEX('Staff Review'!$F$8:$F$507,I2418),IF(AB2418=0,"",IF(COUNT(INDEX($G$1531:$G$2030,AB2418))=1,INDEX($G$1531:$G$2030,AB2418),"")))</f>
        <v/>
      </c>
      <c r="M2418" s="1" t="str">
        <f t="shared" si="158"/>
        <v/>
      </c>
      <c r="N2418" s="1" t="str">
        <f t="shared" si="159"/>
        <v/>
      </c>
      <c r="O2418" s="1" t="str">
        <f t="shared" si="160"/>
        <v/>
      </c>
      <c r="P2418" s="1" t="str">
        <f t="shared" si="161"/>
        <v/>
      </c>
      <c r="Q2418" s="1" t="str">
        <f t="shared" si="162"/>
        <v/>
      </c>
      <c r="R2418" s="1" t="str">
        <f t="shared" si="163"/>
        <v/>
      </c>
      <c r="S2418" s="1" t="str">
        <f t="shared" si="164"/>
        <v/>
      </c>
      <c r="T2418" s="1" t="str">
        <f>IF(OR(COUNT(O2418:R2418)&lt;&gt;4,COUNT('Top 25'!$B$45:$E$45)&lt;&gt;4,MIN('Top 25'!$B$45:$E$45)&lt;0,SUM('Top 25'!$B$45:$E$45)&lt;=0),"",ROUND(85*(O2418/30*'Top 25'!$B$45+P2418/25*'Top 25'!$C$45+Q2418/25*'Top 25'!$D$45+R2418/5*'Top 25'!$E$45)/SUM('Top 25'!$B$45:$E$45),6))</f>
        <v/>
      </c>
      <c r="U2418" s="1" t="str">
        <f t="shared" si="165"/>
        <v/>
      </c>
      <c r="V2418" s="1" t="str">
        <f>IF(A2418="","",IF(AK2418&lt;&gt;1,"Duplicate source ID",IF(COUNTIFS('Staff Review'!$A$8:$A$507,A2418)&gt;1,"Duplicate review ID",IF(H2418&lt;&gt;"Yes","Outside scope",IF(J2418="Yes","Already served",IF(NOT(ISNUMBER(T2418)),"Missing data","Candidate"))))))</f>
        <v/>
      </c>
      <c r="W2418" s="1" t="str">
        <f t="shared" si="166"/>
        <v/>
      </c>
      <c r="X2418" s="1" t="str">
        <f t="shared" si="167"/>
        <v/>
      </c>
      <c r="Y2418" s="1">
        <f>IF(AND(H2418="Yes",OR(LEN('School Search'!$B$5)=0,ISNUMBER(SEARCH('School Search'!$B$5,B2418&amp;" "&amp;E2418&amp;" "&amp;A2418))),OR('School Search'!$D$5="All",C2418='School Search'!$D$5),OR('School Search'!$G$5="All eligible",AND('School Search'!$G$5="Not marked served",J2418&lt;&gt;"Yes"),AND('School Search'!$G$5="Missing data",V2418="Missing data"),AND('School Search'!$G$5="Marked served",J2418="Yes"))),1,0)</f>
        <v>0</v>
      </c>
      <c r="Z2418" s="1" t="str">
        <f>IF(Y2418=0,"",COUNTIFS($Y$2051:$Y$2550,1,$AO$2051:$AO$2550,"&lt;"&amp;AO2418)+COUNTIFS($Y$2051:Y2418,1,$AO$2051:AO2418,AO2418))</f>
        <v/>
      </c>
      <c r="AA2418" s="1" t="str">
        <f t="shared" si="168"/>
        <v>Missing demographic or access input</v>
      </c>
      <c r="AB2418" s="1">
        <f t="shared" si="169"/>
        <v>0</v>
      </c>
      <c r="AC2418" s="1" t="str">
        <f t="shared" si="170"/>
        <v/>
      </c>
      <c r="AD2418" s="1" t="str">
        <f t="shared" si="171"/>
        <v/>
      </c>
      <c r="AE2418" s="1" t="str">
        <f t="shared" si="172"/>
        <v/>
      </c>
      <c r="AF2418" s="1" t="str">
        <f t="shared" si="173"/>
        <v/>
      </c>
      <c r="AG2418" s="1" t="str">
        <f t="shared" si="174"/>
        <v/>
      </c>
      <c r="AH2418" s="1" t="str">
        <f>IF(I2418=0,"Not contacted",IF(INDEX('Staff Review'!$J$8:$J$507,I2418)="","Not contacted",INDEX('Staff Review'!$J$8:$J$507,I2418)))</f>
        <v>Not contacted</v>
      </c>
      <c r="AI2418" s="1" t="str">
        <f>IF(I2418=0,"No",IF(AND(COUNT(INDEX('Staff Review'!$D$8:$D$507,I2418))=1,INDEX('Staff Review'!$D$8:$D$507,I2418)&gt;=0,COUNT(INDEX('Staff Review'!$E$8:$E$507,I2418))=1,INDEX('Staff Review'!$E$8:$E$507,I2418)&gt;0,INDEX('Staff Review'!$E$8:$E$507,I2418)&lt;='Top 25'!$E$5,'Top 25'!$E$5-INDEX('Staff Review'!$E$8:$E$507,I2418)&lt;='Top 25'!$H$5,LEN(INDEX('Staff Review'!$H$8:$H$507,I2418))&gt;0),"Yes","No"))</f>
        <v>No</v>
      </c>
      <c r="AJ2418" s="1" t="str">
        <f>IF(I2418=0,"No",IF(COUNT(INDEX('Staff Review'!$F$8:$F$507,I2418))&lt;&gt;1,"No",IF(AND(INDEX('Staff Review'!$F$8:$F$507,I2418)&gt;=0,MOD(INDEX('Staff Review'!$F$8:$F$507,I2418),1)=0,COUNT(INDEX('Staff Review'!$G$8:$G$507,I2418))=1,INDEX('Staff Review'!$G$8:$G$507,I2418)&gt;0,INDEX('Staff Review'!$G$8:$G$507,I2418)&lt;='Top 25'!$E$5,'Top 25'!$E$5-INDEX('Staff Review'!$G$8:$G$507,I2418)&lt;='Top 25'!$H$5,LEN(INDEX('Staff Review'!$H$8:$H$507,I2418))&gt;0),"Yes","No")))</f>
        <v>No</v>
      </c>
      <c r="AK2418" s="1">
        <f t="shared" si="175"/>
        <v>0</v>
      </c>
      <c r="AL2418" s="1">
        <f t="shared" si="176"/>
        <v>0</v>
      </c>
      <c r="AM2418" s="1">
        <f t="shared" si="177"/>
        <v>0</v>
      </c>
      <c r="AN2418" s="1">
        <f t="shared" si="178"/>
        <v>0</v>
      </c>
      <c r="AO2418">
        <f t="shared" si="179"/>
        <v>10000</v>
      </c>
      <c r="AP2418" s="105">
        <f>IF(AND(AL2418=1,OR('Top 25'!$A$10="All",C2418='Top 25'!$A$10),OR('Top 25'!$D$10="All",D2418='Top 25'!$D$10)),1,0)</f>
        <v>0</v>
      </c>
      <c r="AQ2418" s="105" t="str">
        <f>IF(AP2418=0,"",CHOOSE(MATCH('Top 25'!$G$10,{"Priority score","Economic need","Enrollment","Fresh miles","Nearby resources"},0),T2418,G2418,F2418,K2418,L2418))</f>
        <v/>
      </c>
      <c r="AR2418" s="105" t="str">
        <f>IF(AP2418=0,"",1+COUNTIFS($AP$2051:$AP$2550,1,$AQ$2051:$AQ$2550,IF('Top 25'!$J$10="Ascending","&lt;","&gt;")&amp;AQ2418)+COUNTIFS($AP$2051:$AP$2550,1,$AQ$2051:$AQ$2550,AQ2418,$W$2051:$W$2550,"&lt;"&amp;W2418))</f>
        <v/>
      </c>
      <c r="AT2418" s="105">
        <f>IF(AND(AL2418=1,OR(Master_rankableSchools!$A$10="All",C2418=Master_rankableSchools!$A$10),OR(Master_rankableSchools!$D$10="All",D2418=Master_rankableSchools!$D$10)),1,0)</f>
        <v>0</v>
      </c>
      <c r="AU2418" s="105" t="str">
        <f>IF(AT2418=0,"",CHOOSE(MATCH(Master_rankableSchools!$G$10,{"Priority score","Economic need","Enrollment","Fresh miles","Nearby resources"},0),T2418,G2418,F2418,K2418,L2418))</f>
        <v/>
      </c>
      <c r="AV2418" s="105" t="str">
        <f>IF(AT2418=0,"",1+COUNTIFS($AT$2051:$AT$2550,1,$AU$2051:$AU$2550,IF(Master_rankableSchools!$J$10="Ascending","&lt;","&gt;")&amp;AU2418)+COUNTIFS($AT$2051:$AT$2550,1,$AU$2051:$AU$2550,AU2418,$W$2051:$W$2550,"&lt;"&amp;W2418))</f>
        <v/>
      </c>
    </row>
    <row r="2419" spans="1:48" ht="22" customHeight="1">
      <c r="A2419" s="1" t="str">
        <f t="shared" si="150"/>
        <v/>
      </c>
      <c r="B2419" s="1" t="str">
        <f t="shared" si="151"/>
        <v/>
      </c>
      <c r="C2419" s="1" t="str">
        <f t="shared" si="152"/>
        <v/>
      </c>
      <c r="D2419" s="1" t="str">
        <f t="shared" si="153"/>
        <v/>
      </c>
      <c r="E2419" s="1" t="str">
        <f t="shared" si="154"/>
        <v/>
      </c>
      <c r="F2419" s="1" t="str">
        <f t="shared" si="155"/>
        <v/>
      </c>
      <c r="G2419" s="1" t="str">
        <f t="shared" si="156"/>
        <v/>
      </c>
      <c r="H2419" s="1" t="str">
        <f t="shared" si="157"/>
        <v/>
      </c>
      <c r="I2419" s="1">
        <f>IF(OR(A2419="",COUNTIFS('Staff Review'!$A$8:$A$507,A2419)&lt;&gt;1),0,MATCH(A2419,'Staff Review'!$A$8:$A$507,0))</f>
        <v>0</v>
      </c>
      <c r="J2419" s="1" t="str">
        <f>IF(I2419=0,"No",IF(INDEX('Staff Review'!$C$8:$C$507,I2419)="Yes","Yes","No"))</f>
        <v>No</v>
      </c>
      <c r="K2419" s="1" t="str">
        <f>IF(AI2419="Yes",INDEX('Staff Review'!$D$8:$D$507,I2419),IF(AB2419=0,"",IF(COUNT(INDEX($C$1531:$C$2030,AB2419))=1,INDEX($C$1531:$C$2030,AB2419),"")))</f>
        <v/>
      </c>
      <c r="L2419" s="1" t="str">
        <f>IF(AJ2419="Yes",INDEX('Staff Review'!$F$8:$F$507,I2419),IF(AB2419=0,"",IF(COUNT(INDEX($G$1531:$G$2030,AB2419))=1,INDEX($G$1531:$G$2030,AB2419),"")))</f>
        <v/>
      </c>
      <c r="M2419" s="1" t="str">
        <f t="shared" si="158"/>
        <v/>
      </c>
      <c r="N2419" s="1" t="str">
        <f t="shared" si="159"/>
        <v/>
      </c>
      <c r="O2419" s="1" t="str">
        <f t="shared" si="160"/>
        <v/>
      </c>
      <c r="P2419" s="1" t="str">
        <f t="shared" si="161"/>
        <v/>
      </c>
      <c r="Q2419" s="1" t="str">
        <f t="shared" si="162"/>
        <v/>
      </c>
      <c r="R2419" s="1" t="str">
        <f t="shared" si="163"/>
        <v/>
      </c>
      <c r="S2419" s="1" t="str">
        <f t="shared" si="164"/>
        <v/>
      </c>
      <c r="T2419" s="1" t="str">
        <f>IF(OR(COUNT(O2419:R2419)&lt;&gt;4,COUNT('Top 25'!$B$45:$E$45)&lt;&gt;4,MIN('Top 25'!$B$45:$E$45)&lt;0,SUM('Top 25'!$B$45:$E$45)&lt;=0),"",ROUND(85*(O2419/30*'Top 25'!$B$45+P2419/25*'Top 25'!$C$45+Q2419/25*'Top 25'!$D$45+R2419/5*'Top 25'!$E$45)/SUM('Top 25'!$B$45:$E$45),6))</f>
        <v/>
      </c>
      <c r="U2419" s="1" t="str">
        <f t="shared" si="165"/>
        <v/>
      </c>
      <c r="V2419" s="1" t="str">
        <f>IF(A2419="","",IF(AK2419&lt;&gt;1,"Duplicate source ID",IF(COUNTIFS('Staff Review'!$A$8:$A$507,A2419)&gt;1,"Duplicate review ID",IF(H2419&lt;&gt;"Yes","Outside scope",IF(J2419="Yes","Already served",IF(NOT(ISNUMBER(T2419)),"Missing data","Candidate"))))))</f>
        <v/>
      </c>
      <c r="W2419" s="1" t="str">
        <f t="shared" si="166"/>
        <v/>
      </c>
      <c r="X2419" s="1" t="str">
        <f t="shared" si="167"/>
        <v/>
      </c>
      <c r="Y2419" s="1">
        <f>IF(AND(H2419="Yes",OR(LEN('School Search'!$B$5)=0,ISNUMBER(SEARCH('School Search'!$B$5,B2419&amp;" "&amp;E2419&amp;" "&amp;A2419))),OR('School Search'!$D$5="All",C2419='School Search'!$D$5),OR('School Search'!$G$5="All eligible",AND('School Search'!$G$5="Not marked served",J2419&lt;&gt;"Yes"),AND('School Search'!$G$5="Missing data",V2419="Missing data"),AND('School Search'!$G$5="Marked served",J2419="Yes"))),1,0)</f>
        <v>0</v>
      </c>
      <c r="Z2419" s="1" t="str">
        <f>IF(Y2419=0,"",COUNTIFS($Y$2051:$Y$2550,1,$AO$2051:$AO$2550,"&lt;"&amp;AO2419)+COUNTIFS($Y$2051:Y2419,1,$AO$2051:AO2419,AO2419))</f>
        <v/>
      </c>
      <c r="AA2419" s="1" t="str">
        <f t="shared" si="168"/>
        <v>Missing demographic or access input</v>
      </c>
      <c r="AB2419" s="1">
        <f t="shared" si="169"/>
        <v>0</v>
      </c>
      <c r="AC2419" s="1" t="str">
        <f t="shared" si="170"/>
        <v/>
      </c>
      <c r="AD2419" s="1" t="str">
        <f t="shared" si="171"/>
        <v/>
      </c>
      <c r="AE2419" s="1" t="str">
        <f t="shared" si="172"/>
        <v/>
      </c>
      <c r="AF2419" s="1" t="str">
        <f t="shared" si="173"/>
        <v/>
      </c>
      <c r="AG2419" s="1" t="str">
        <f t="shared" si="174"/>
        <v/>
      </c>
      <c r="AH2419" s="1" t="str">
        <f>IF(I2419=0,"Not contacted",IF(INDEX('Staff Review'!$J$8:$J$507,I2419)="","Not contacted",INDEX('Staff Review'!$J$8:$J$507,I2419)))</f>
        <v>Not contacted</v>
      </c>
      <c r="AI2419" s="1" t="str">
        <f>IF(I2419=0,"No",IF(AND(COUNT(INDEX('Staff Review'!$D$8:$D$507,I2419))=1,INDEX('Staff Review'!$D$8:$D$507,I2419)&gt;=0,COUNT(INDEX('Staff Review'!$E$8:$E$507,I2419))=1,INDEX('Staff Review'!$E$8:$E$507,I2419)&gt;0,INDEX('Staff Review'!$E$8:$E$507,I2419)&lt;='Top 25'!$E$5,'Top 25'!$E$5-INDEX('Staff Review'!$E$8:$E$507,I2419)&lt;='Top 25'!$H$5,LEN(INDEX('Staff Review'!$H$8:$H$507,I2419))&gt;0),"Yes","No"))</f>
        <v>No</v>
      </c>
      <c r="AJ2419" s="1" t="str">
        <f>IF(I2419=0,"No",IF(COUNT(INDEX('Staff Review'!$F$8:$F$507,I2419))&lt;&gt;1,"No",IF(AND(INDEX('Staff Review'!$F$8:$F$507,I2419)&gt;=0,MOD(INDEX('Staff Review'!$F$8:$F$507,I2419),1)=0,COUNT(INDEX('Staff Review'!$G$8:$G$507,I2419))=1,INDEX('Staff Review'!$G$8:$G$507,I2419)&gt;0,INDEX('Staff Review'!$G$8:$G$507,I2419)&lt;='Top 25'!$E$5,'Top 25'!$E$5-INDEX('Staff Review'!$G$8:$G$507,I2419)&lt;='Top 25'!$H$5,LEN(INDEX('Staff Review'!$H$8:$H$507,I2419))&gt;0),"Yes","No")))</f>
        <v>No</v>
      </c>
      <c r="AK2419" s="1">
        <f t="shared" si="175"/>
        <v>0</v>
      </c>
      <c r="AL2419" s="1">
        <f t="shared" si="176"/>
        <v>0</v>
      </c>
      <c r="AM2419" s="1">
        <f t="shared" si="177"/>
        <v>0</v>
      </c>
      <c r="AN2419" s="1">
        <f t="shared" si="178"/>
        <v>0</v>
      </c>
      <c r="AO2419">
        <f t="shared" si="179"/>
        <v>10000</v>
      </c>
      <c r="AP2419" s="105">
        <f>IF(AND(AL2419=1,OR('Top 25'!$A$10="All",C2419='Top 25'!$A$10),OR('Top 25'!$D$10="All",D2419='Top 25'!$D$10)),1,0)</f>
        <v>0</v>
      </c>
      <c r="AQ2419" s="105" t="str">
        <f>IF(AP2419=0,"",CHOOSE(MATCH('Top 25'!$G$10,{"Priority score","Economic need","Enrollment","Fresh miles","Nearby resources"},0),T2419,G2419,F2419,K2419,L2419))</f>
        <v/>
      </c>
      <c r="AR2419" s="105" t="str">
        <f>IF(AP2419=0,"",1+COUNTIFS($AP$2051:$AP$2550,1,$AQ$2051:$AQ$2550,IF('Top 25'!$J$10="Ascending","&lt;","&gt;")&amp;AQ2419)+COUNTIFS($AP$2051:$AP$2550,1,$AQ$2051:$AQ$2550,AQ2419,$W$2051:$W$2550,"&lt;"&amp;W2419))</f>
        <v/>
      </c>
      <c r="AT2419" s="105">
        <f>IF(AND(AL2419=1,OR(Master_rankableSchools!$A$10="All",C2419=Master_rankableSchools!$A$10),OR(Master_rankableSchools!$D$10="All",D2419=Master_rankableSchools!$D$10)),1,0)</f>
        <v>0</v>
      </c>
      <c r="AU2419" s="105" t="str">
        <f>IF(AT2419=0,"",CHOOSE(MATCH(Master_rankableSchools!$G$10,{"Priority score","Economic need","Enrollment","Fresh miles","Nearby resources"},0),T2419,G2419,F2419,K2419,L2419))</f>
        <v/>
      </c>
      <c r="AV2419" s="105" t="str">
        <f>IF(AT2419=0,"",1+COUNTIFS($AT$2051:$AT$2550,1,$AU$2051:$AU$2550,IF(Master_rankableSchools!$J$10="Ascending","&lt;","&gt;")&amp;AU2419)+COUNTIFS($AT$2051:$AT$2550,1,$AU$2051:$AU$2550,AU2419,$W$2051:$W$2550,"&lt;"&amp;W2419))</f>
        <v/>
      </c>
    </row>
    <row r="2420" spans="1:48" ht="22" customHeight="1">
      <c r="A2420" s="1" t="str">
        <f t="shared" si="150"/>
        <v/>
      </c>
      <c r="B2420" s="1" t="str">
        <f t="shared" si="151"/>
        <v/>
      </c>
      <c r="C2420" s="1" t="str">
        <f t="shared" si="152"/>
        <v/>
      </c>
      <c r="D2420" s="1" t="str">
        <f t="shared" si="153"/>
        <v/>
      </c>
      <c r="E2420" s="1" t="str">
        <f t="shared" si="154"/>
        <v/>
      </c>
      <c r="F2420" s="1" t="str">
        <f t="shared" si="155"/>
        <v/>
      </c>
      <c r="G2420" s="1" t="str">
        <f t="shared" si="156"/>
        <v/>
      </c>
      <c r="H2420" s="1" t="str">
        <f t="shared" si="157"/>
        <v/>
      </c>
      <c r="I2420" s="1">
        <f>IF(OR(A2420="",COUNTIFS('Staff Review'!$A$8:$A$507,A2420)&lt;&gt;1),0,MATCH(A2420,'Staff Review'!$A$8:$A$507,0))</f>
        <v>0</v>
      </c>
      <c r="J2420" s="1" t="str">
        <f>IF(I2420=0,"No",IF(INDEX('Staff Review'!$C$8:$C$507,I2420)="Yes","Yes","No"))</f>
        <v>No</v>
      </c>
      <c r="K2420" s="1" t="str">
        <f>IF(AI2420="Yes",INDEX('Staff Review'!$D$8:$D$507,I2420),IF(AB2420=0,"",IF(COUNT(INDEX($C$1531:$C$2030,AB2420))=1,INDEX($C$1531:$C$2030,AB2420),"")))</f>
        <v/>
      </c>
      <c r="L2420" s="1" t="str">
        <f>IF(AJ2420="Yes",INDEX('Staff Review'!$F$8:$F$507,I2420),IF(AB2420=0,"",IF(COUNT(INDEX($G$1531:$G$2030,AB2420))=1,INDEX($G$1531:$G$2030,AB2420),"")))</f>
        <v/>
      </c>
      <c r="M2420" s="1" t="str">
        <f t="shared" si="158"/>
        <v/>
      </c>
      <c r="N2420" s="1" t="str">
        <f t="shared" si="159"/>
        <v/>
      </c>
      <c r="O2420" s="1" t="str">
        <f t="shared" si="160"/>
        <v/>
      </c>
      <c r="P2420" s="1" t="str">
        <f t="shared" si="161"/>
        <v/>
      </c>
      <c r="Q2420" s="1" t="str">
        <f t="shared" si="162"/>
        <v/>
      </c>
      <c r="R2420" s="1" t="str">
        <f t="shared" si="163"/>
        <v/>
      </c>
      <c r="S2420" s="1" t="str">
        <f t="shared" si="164"/>
        <v/>
      </c>
      <c r="T2420" s="1" t="str">
        <f>IF(OR(COUNT(O2420:R2420)&lt;&gt;4,COUNT('Top 25'!$B$45:$E$45)&lt;&gt;4,MIN('Top 25'!$B$45:$E$45)&lt;0,SUM('Top 25'!$B$45:$E$45)&lt;=0),"",ROUND(85*(O2420/30*'Top 25'!$B$45+P2420/25*'Top 25'!$C$45+Q2420/25*'Top 25'!$D$45+R2420/5*'Top 25'!$E$45)/SUM('Top 25'!$B$45:$E$45),6))</f>
        <v/>
      </c>
      <c r="U2420" s="1" t="str">
        <f t="shared" si="165"/>
        <v/>
      </c>
      <c r="V2420" s="1" t="str">
        <f>IF(A2420="","",IF(AK2420&lt;&gt;1,"Duplicate source ID",IF(COUNTIFS('Staff Review'!$A$8:$A$507,A2420)&gt;1,"Duplicate review ID",IF(H2420&lt;&gt;"Yes","Outside scope",IF(J2420="Yes","Already served",IF(NOT(ISNUMBER(T2420)),"Missing data","Candidate"))))))</f>
        <v/>
      </c>
      <c r="W2420" s="1" t="str">
        <f t="shared" si="166"/>
        <v/>
      </c>
      <c r="X2420" s="1" t="str">
        <f t="shared" si="167"/>
        <v/>
      </c>
      <c r="Y2420" s="1">
        <f>IF(AND(H2420="Yes",OR(LEN('School Search'!$B$5)=0,ISNUMBER(SEARCH('School Search'!$B$5,B2420&amp;" "&amp;E2420&amp;" "&amp;A2420))),OR('School Search'!$D$5="All",C2420='School Search'!$D$5),OR('School Search'!$G$5="All eligible",AND('School Search'!$G$5="Not marked served",J2420&lt;&gt;"Yes"),AND('School Search'!$G$5="Missing data",V2420="Missing data"),AND('School Search'!$G$5="Marked served",J2420="Yes"))),1,0)</f>
        <v>0</v>
      </c>
      <c r="Z2420" s="1" t="str">
        <f>IF(Y2420=0,"",COUNTIFS($Y$2051:$Y$2550,1,$AO$2051:$AO$2550,"&lt;"&amp;AO2420)+COUNTIFS($Y$2051:Y2420,1,$AO$2051:AO2420,AO2420))</f>
        <v/>
      </c>
      <c r="AA2420" s="1" t="str">
        <f t="shared" si="168"/>
        <v>Missing demographic or access input</v>
      </c>
      <c r="AB2420" s="1">
        <f t="shared" si="169"/>
        <v>0</v>
      </c>
      <c r="AC2420" s="1" t="str">
        <f t="shared" si="170"/>
        <v/>
      </c>
      <c r="AD2420" s="1" t="str">
        <f t="shared" si="171"/>
        <v/>
      </c>
      <c r="AE2420" s="1" t="str">
        <f t="shared" si="172"/>
        <v/>
      </c>
      <c r="AF2420" s="1" t="str">
        <f t="shared" si="173"/>
        <v/>
      </c>
      <c r="AG2420" s="1" t="str">
        <f t="shared" si="174"/>
        <v/>
      </c>
      <c r="AH2420" s="1" t="str">
        <f>IF(I2420=0,"Not contacted",IF(INDEX('Staff Review'!$J$8:$J$507,I2420)="","Not contacted",INDEX('Staff Review'!$J$8:$J$507,I2420)))</f>
        <v>Not contacted</v>
      </c>
      <c r="AI2420" s="1" t="str">
        <f>IF(I2420=0,"No",IF(AND(COUNT(INDEX('Staff Review'!$D$8:$D$507,I2420))=1,INDEX('Staff Review'!$D$8:$D$507,I2420)&gt;=0,COUNT(INDEX('Staff Review'!$E$8:$E$507,I2420))=1,INDEX('Staff Review'!$E$8:$E$507,I2420)&gt;0,INDEX('Staff Review'!$E$8:$E$507,I2420)&lt;='Top 25'!$E$5,'Top 25'!$E$5-INDEX('Staff Review'!$E$8:$E$507,I2420)&lt;='Top 25'!$H$5,LEN(INDEX('Staff Review'!$H$8:$H$507,I2420))&gt;0),"Yes","No"))</f>
        <v>No</v>
      </c>
      <c r="AJ2420" s="1" t="str">
        <f>IF(I2420=0,"No",IF(COUNT(INDEX('Staff Review'!$F$8:$F$507,I2420))&lt;&gt;1,"No",IF(AND(INDEX('Staff Review'!$F$8:$F$507,I2420)&gt;=0,MOD(INDEX('Staff Review'!$F$8:$F$507,I2420),1)=0,COUNT(INDEX('Staff Review'!$G$8:$G$507,I2420))=1,INDEX('Staff Review'!$G$8:$G$507,I2420)&gt;0,INDEX('Staff Review'!$G$8:$G$507,I2420)&lt;='Top 25'!$E$5,'Top 25'!$E$5-INDEX('Staff Review'!$G$8:$G$507,I2420)&lt;='Top 25'!$H$5,LEN(INDEX('Staff Review'!$H$8:$H$507,I2420))&gt;0),"Yes","No")))</f>
        <v>No</v>
      </c>
      <c r="AK2420" s="1">
        <f t="shared" si="175"/>
        <v>0</v>
      </c>
      <c r="AL2420" s="1">
        <f t="shared" si="176"/>
        <v>0</v>
      </c>
      <c r="AM2420" s="1">
        <f t="shared" si="177"/>
        <v>0</v>
      </c>
      <c r="AN2420" s="1">
        <f t="shared" si="178"/>
        <v>0</v>
      </c>
      <c r="AO2420">
        <f t="shared" si="179"/>
        <v>10000</v>
      </c>
      <c r="AP2420" s="105">
        <f>IF(AND(AL2420=1,OR('Top 25'!$A$10="All",C2420='Top 25'!$A$10),OR('Top 25'!$D$10="All",D2420='Top 25'!$D$10)),1,0)</f>
        <v>0</v>
      </c>
      <c r="AQ2420" s="105" t="str">
        <f>IF(AP2420=0,"",CHOOSE(MATCH('Top 25'!$G$10,{"Priority score","Economic need","Enrollment","Fresh miles","Nearby resources"},0),T2420,G2420,F2420,K2420,L2420))</f>
        <v/>
      </c>
      <c r="AR2420" s="105" t="str">
        <f>IF(AP2420=0,"",1+COUNTIFS($AP$2051:$AP$2550,1,$AQ$2051:$AQ$2550,IF('Top 25'!$J$10="Ascending","&lt;","&gt;")&amp;AQ2420)+COUNTIFS($AP$2051:$AP$2550,1,$AQ$2051:$AQ$2550,AQ2420,$W$2051:$W$2550,"&lt;"&amp;W2420))</f>
        <v/>
      </c>
      <c r="AT2420" s="105">
        <f>IF(AND(AL2420=1,OR(Master_rankableSchools!$A$10="All",C2420=Master_rankableSchools!$A$10),OR(Master_rankableSchools!$D$10="All",D2420=Master_rankableSchools!$D$10)),1,0)</f>
        <v>0</v>
      </c>
      <c r="AU2420" s="105" t="str">
        <f>IF(AT2420=0,"",CHOOSE(MATCH(Master_rankableSchools!$G$10,{"Priority score","Economic need","Enrollment","Fresh miles","Nearby resources"},0),T2420,G2420,F2420,K2420,L2420))</f>
        <v/>
      </c>
      <c r="AV2420" s="105" t="str">
        <f>IF(AT2420=0,"",1+COUNTIFS($AT$2051:$AT$2550,1,$AU$2051:$AU$2550,IF(Master_rankableSchools!$J$10="Ascending","&lt;","&gt;")&amp;AU2420)+COUNTIFS($AT$2051:$AT$2550,1,$AU$2051:$AU$2550,AU2420,$W$2051:$W$2550,"&lt;"&amp;W2420))</f>
        <v/>
      </c>
    </row>
    <row r="2421" spans="1:48" ht="22" customHeight="1">
      <c r="A2421" s="1" t="str">
        <f t="shared" si="150"/>
        <v/>
      </c>
      <c r="B2421" s="1" t="str">
        <f t="shared" si="151"/>
        <v/>
      </c>
      <c r="C2421" s="1" t="str">
        <f t="shared" si="152"/>
        <v/>
      </c>
      <c r="D2421" s="1" t="str">
        <f t="shared" si="153"/>
        <v/>
      </c>
      <c r="E2421" s="1" t="str">
        <f t="shared" si="154"/>
        <v/>
      </c>
      <c r="F2421" s="1" t="str">
        <f t="shared" si="155"/>
        <v/>
      </c>
      <c r="G2421" s="1" t="str">
        <f t="shared" si="156"/>
        <v/>
      </c>
      <c r="H2421" s="1" t="str">
        <f t="shared" si="157"/>
        <v/>
      </c>
      <c r="I2421" s="1">
        <f>IF(OR(A2421="",COUNTIFS('Staff Review'!$A$8:$A$507,A2421)&lt;&gt;1),0,MATCH(A2421,'Staff Review'!$A$8:$A$507,0))</f>
        <v>0</v>
      </c>
      <c r="J2421" s="1" t="str">
        <f>IF(I2421=0,"No",IF(INDEX('Staff Review'!$C$8:$C$507,I2421)="Yes","Yes","No"))</f>
        <v>No</v>
      </c>
      <c r="K2421" s="1" t="str">
        <f>IF(AI2421="Yes",INDEX('Staff Review'!$D$8:$D$507,I2421),IF(AB2421=0,"",IF(COUNT(INDEX($C$1531:$C$2030,AB2421))=1,INDEX($C$1531:$C$2030,AB2421),"")))</f>
        <v/>
      </c>
      <c r="L2421" s="1" t="str">
        <f>IF(AJ2421="Yes",INDEX('Staff Review'!$F$8:$F$507,I2421),IF(AB2421=0,"",IF(COUNT(INDEX($G$1531:$G$2030,AB2421))=1,INDEX($G$1531:$G$2030,AB2421),"")))</f>
        <v/>
      </c>
      <c r="M2421" s="1" t="str">
        <f t="shared" si="158"/>
        <v/>
      </c>
      <c r="N2421" s="1" t="str">
        <f t="shared" si="159"/>
        <v/>
      </c>
      <c r="O2421" s="1" t="str">
        <f t="shared" si="160"/>
        <v/>
      </c>
      <c r="P2421" s="1" t="str">
        <f t="shared" si="161"/>
        <v/>
      </c>
      <c r="Q2421" s="1" t="str">
        <f t="shared" si="162"/>
        <v/>
      </c>
      <c r="R2421" s="1" t="str">
        <f t="shared" si="163"/>
        <v/>
      </c>
      <c r="S2421" s="1" t="str">
        <f t="shared" si="164"/>
        <v/>
      </c>
      <c r="T2421" s="1" t="str">
        <f>IF(OR(COUNT(O2421:R2421)&lt;&gt;4,COUNT('Top 25'!$B$45:$E$45)&lt;&gt;4,MIN('Top 25'!$B$45:$E$45)&lt;0,SUM('Top 25'!$B$45:$E$45)&lt;=0),"",ROUND(85*(O2421/30*'Top 25'!$B$45+P2421/25*'Top 25'!$C$45+Q2421/25*'Top 25'!$D$45+R2421/5*'Top 25'!$E$45)/SUM('Top 25'!$B$45:$E$45),6))</f>
        <v/>
      </c>
      <c r="U2421" s="1" t="str">
        <f t="shared" si="165"/>
        <v/>
      </c>
      <c r="V2421" s="1" t="str">
        <f>IF(A2421="","",IF(AK2421&lt;&gt;1,"Duplicate source ID",IF(COUNTIFS('Staff Review'!$A$8:$A$507,A2421)&gt;1,"Duplicate review ID",IF(H2421&lt;&gt;"Yes","Outside scope",IF(J2421="Yes","Already served",IF(NOT(ISNUMBER(T2421)),"Missing data","Candidate"))))))</f>
        <v/>
      </c>
      <c r="W2421" s="1" t="str">
        <f t="shared" si="166"/>
        <v/>
      </c>
      <c r="X2421" s="1" t="str">
        <f t="shared" si="167"/>
        <v/>
      </c>
      <c r="Y2421" s="1">
        <f>IF(AND(H2421="Yes",OR(LEN('School Search'!$B$5)=0,ISNUMBER(SEARCH('School Search'!$B$5,B2421&amp;" "&amp;E2421&amp;" "&amp;A2421))),OR('School Search'!$D$5="All",C2421='School Search'!$D$5),OR('School Search'!$G$5="All eligible",AND('School Search'!$G$5="Not marked served",J2421&lt;&gt;"Yes"),AND('School Search'!$G$5="Missing data",V2421="Missing data"),AND('School Search'!$G$5="Marked served",J2421="Yes"))),1,0)</f>
        <v>0</v>
      </c>
      <c r="Z2421" s="1" t="str">
        <f>IF(Y2421=0,"",COUNTIFS($Y$2051:$Y$2550,1,$AO$2051:$AO$2550,"&lt;"&amp;AO2421)+COUNTIFS($Y$2051:Y2421,1,$AO$2051:AO2421,AO2421))</f>
        <v/>
      </c>
      <c r="AA2421" s="1" t="str">
        <f t="shared" si="168"/>
        <v>Missing demographic or access input</v>
      </c>
      <c r="AB2421" s="1">
        <f t="shared" si="169"/>
        <v>0</v>
      </c>
      <c r="AC2421" s="1" t="str">
        <f t="shared" si="170"/>
        <v/>
      </c>
      <c r="AD2421" s="1" t="str">
        <f t="shared" si="171"/>
        <v/>
      </c>
      <c r="AE2421" s="1" t="str">
        <f t="shared" si="172"/>
        <v/>
      </c>
      <c r="AF2421" s="1" t="str">
        <f t="shared" si="173"/>
        <v/>
      </c>
      <c r="AG2421" s="1" t="str">
        <f t="shared" si="174"/>
        <v/>
      </c>
      <c r="AH2421" s="1" t="str">
        <f>IF(I2421=0,"Not contacted",IF(INDEX('Staff Review'!$J$8:$J$507,I2421)="","Not contacted",INDEX('Staff Review'!$J$8:$J$507,I2421)))</f>
        <v>Not contacted</v>
      </c>
      <c r="AI2421" s="1" t="str">
        <f>IF(I2421=0,"No",IF(AND(COUNT(INDEX('Staff Review'!$D$8:$D$507,I2421))=1,INDEX('Staff Review'!$D$8:$D$507,I2421)&gt;=0,COUNT(INDEX('Staff Review'!$E$8:$E$507,I2421))=1,INDEX('Staff Review'!$E$8:$E$507,I2421)&gt;0,INDEX('Staff Review'!$E$8:$E$507,I2421)&lt;='Top 25'!$E$5,'Top 25'!$E$5-INDEX('Staff Review'!$E$8:$E$507,I2421)&lt;='Top 25'!$H$5,LEN(INDEX('Staff Review'!$H$8:$H$507,I2421))&gt;0),"Yes","No"))</f>
        <v>No</v>
      </c>
      <c r="AJ2421" s="1" t="str">
        <f>IF(I2421=0,"No",IF(COUNT(INDEX('Staff Review'!$F$8:$F$507,I2421))&lt;&gt;1,"No",IF(AND(INDEX('Staff Review'!$F$8:$F$507,I2421)&gt;=0,MOD(INDEX('Staff Review'!$F$8:$F$507,I2421),1)=0,COUNT(INDEX('Staff Review'!$G$8:$G$507,I2421))=1,INDEX('Staff Review'!$G$8:$G$507,I2421)&gt;0,INDEX('Staff Review'!$G$8:$G$507,I2421)&lt;='Top 25'!$E$5,'Top 25'!$E$5-INDEX('Staff Review'!$G$8:$G$507,I2421)&lt;='Top 25'!$H$5,LEN(INDEX('Staff Review'!$H$8:$H$507,I2421))&gt;0),"Yes","No")))</f>
        <v>No</v>
      </c>
      <c r="AK2421" s="1">
        <f t="shared" si="175"/>
        <v>0</v>
      </c>
      <c r="AL2421" s="1">
        <f t="shared" si="176"/>
        <v>0</v>
      </c>
      <c r="AM2421" s="1">
        <f t="shared" si="177"/>
        <v>0</v>
      </c>
      <c r="AN2421" s="1">
        <f t="shared" si="178"/>
        <v>0</v>
      </c>
      <c r="AO2421">
        <f t="shared" si="179"/>
        <v>10000</v>
      </c>
      <c r="AP2421" s="105">
        <f>IF(AND(AL2421=1,OR('Top 25'!$A$10="All",C2421='Top 25'!$A$10),OR('Top 25'!$D$10="All",D2421='Top 25'!$D$10)),1,0)</f>
        <v>0</v>
      </c>
      <c r="AQ2421" s="105" t="str">
        <f>IF(AP2421=0,"",CHOOSE(MATCH('Top 25'!$G$10,{"Priority score","Economic need","Enrollment","Fresh miles","Nearby resources"},0),T2421,G2421,F2421,K2421,L2421))</f>
        <v/>
      </c>
      <c r="AR2421" s="105" t="str">
        <f>IF(AP2421=0,"",1+COUNTIFS($AP$2051:$AP$2550,1,$AQ$2051:$AQ$2550,IF('Top 25'!$J$10="Ascending","&lt;","&gt;")&amp;AQ2421)+COUNTIFS($AP$2051:$AP$2550,1,$AQ$2051:$AQ$2550,AQ2421,$W$2051:$W$2550,"&lt;"&amp;W2421))</f>
        <v/>
      </c>
      <c r="AT2421" s="105">
        <f>IF(AND(AL2421=1,OR(Master_rankableSchools!$A$10="All",C2421=Master_rankableSchools!$A$10),OR(Master_rankableSchools!$D$10="All",D2421=Master_rankableSchools!$D$10)),1,0)</f>
        <v>0</v>
      </c>
      <c r="AU2421" s="105" t="str">
        <f>IF(AT2421=0,"",CHOOSE(MATCH(Master_rankableSchools!$G$10,{"Priority score","Economic need","Enrollment","Fresh miles","Nearby resources"},0),T2421,G2421,F2421,K2421,L2421))</f>
        <v/>
      </c>
      <c r="AV2421" s="105" t="str">
        <f>IF(AT2421=0,"",1+COUNTIFS($AT$2051:$AT$2550,1,$AU$2051:$AU$2550,IF(Master_rankableSchools!$J$10="Ascending","&lt;","&gt;")&amp;AU2421)+COUNTIFS($AT$2051:$AT$2550,1,$AU$2051:$AU$2550,AU2421,$W$2051:$W$2550,"&lt;"&amp;W2421))</f>
        <v/>
      </c>
    </row>
    <row r="2422" spans="1:48" ht="22" customHeight="1">
      <c r="A2422" s="1" t="str">
        <f t="shared" si="150"/>
        <v/>
      </c>
      <c r="B2422" s="1" t="str">
        <f t="shared" si="151"/>
        <v/>
      </c>
      <c r="C2422" s="1" t="str">
        <f t="shared" si="152"/>
        <v/>
      </c>
      <c r="D2422" s="1" t="str">
        <f t="shared" si="153"/>
        <v/>
      </c>
      <c r="E2422" s="1" t="str">
        <f t="shared" si="154"/>
        <v/>
      </c>
      <c r="F2422" s="1" t="str">
        <f t="shared" si="155"/>
        <v/>
      </c>
      <c r="G2422" s="1" t="str">
        <f t="shared" si="156"/>
        <v/>
      </c>
      <c r="H2422" s="1" t="str">
        <f t="shared" si="157"/>
        <v/>
      </c>
      <c r="I2422" s="1">
        <f>IF(OR(A2422="",COUNTIFS('Staff Review'!$A$8:$A$507,A2422)&lt;&gt;1),0,MATCH(A2422,'Staff Review'!$A$8:$A$507,0))</f>
        <v>0</v>
      </c>
      <c r="J2422" s="1" t="str">
        <f>IF(I2422=0,"No",IF(INDEX('Staff Review'!$C$8:$C$507,I2422)="Yes","Yes","No"))</f>
        <v>No</v>
      </c>
      <c r="K2422" s="1" t="str">
        <f>IF(AI2422="Yes",INDEX('Staff Review'!$D$8:$D$507,I2422),IF(AB2422=0,"",IF(COUNT(INDEX($C$1531:$C$2030,AB2422))=1,INDEX($C$1531:$C$2030,AB2422),"")))</f>
        <v/>
      </c>
      <c r="L2422" s="1" t="str">
        <f>IF(AJ2422="Yes",INDEX('Staff Review'!$F$8:$F$507,I2422),IF(AB2422=0,"",IF(COUNT(INDEX($G$1531:$G$2030,AB2422))=1,INDEX($G$1531:$G$2030,AB2422),"")))</f>
        <v/>
      </c>
      <c r="M2422" s="1" t="str">
        <f t="shared" si="158"/>
        <v/>
      </c>
      <c r="N2422" s="1" t="str">
        <f t="shared" si="159"/>
        <v/>
      </c>
      <c r="O2422" s="1" t="str">
        <f t="shared" si="160"/>
        <v/>
      </c>
      <c r="P2422" s="1" t="str">
        <f t="shared" si="161"/>
        <v/>
      </c>
      <c r="Q2422" s="1" t="str">
        <f t="shared" si="162"/>
        <v/>
      </c>
      <c r="R2422" s="1" t="str">
        <f t="shared" si="163"/>
        <v/>
      </c>
      <c r="S2422" s="1" t="str">
        <f t="shared" si="164"/>
        <v/>
      </c>
      <c r="T2422" s="1" t="str">
        <f>IF(OR(COUNT(O2422:R2422)&lt;&gt;4,COUNT('Top 25'!$B$45:$E$45)&lt;&gt;4,MIN('Top 25'!$B$45:$E$45)&lt;0,SUM('Top 25'!$B$45:$E$45)&lt;=0),"",ROUND(85*(O2422/30*'Top 25'!$B$45+P2422/25*'Top 25'!$C$45+Q2422/25*'Top 25'!$D$45+R2422/5*'Top 25'!$E$45)/SUM('Top 25'!$B$45:$E$45),6))</f>
        <v/>
      </c>
      <c r="U2422" s="1" t="str">
        <f t="shared" si="165"/>
        <v/>
      </c>
      <c r="V2422" s="1" t="str">
        <f>IF(A2422="","",IF(AK2422&lt;&gt;1,"Duplicate source ID",IF(COUNTIFS('Staff Review'!$A$8:$A$507,A2422)&gt;1,"Duplicate review ID",IF(H2422&lt;&gt;"Yes","Outside scope",IF(J2422="Yes","Already served",IF(NOT(ISNUMBER(T2422)),"Missing data","Candidate"))))))</f>
        <v/>
      </c>
      <c r="W2422" s="1" t="str">
        <f t="shared" si="166"/>
        <v/>
      </c>
      <c r="X2422" s="1" t="str">
        <f t="shared" si="167"/>
        <v/>
      </c>
      <c r="Y2422" s="1">
        <f>IF(AND(H2422="Yes",OR(LEN('School Search'!$B$5)=0,ISNUMBER(SEARCH('School Search'!$B$5,B2422&amp;" "&amp;E2422&amp;" "&amp;A2422))),OR('School Search'!$D$5="All",C2422='School Search'!$D$5),OR('School Search'!$G$5="All eligible",AND('School Search'!$G$5="Not marked served",J2422&lt;&gt;"Yes"),AND('School Search'!$G$5="Missing data",V2422="Missing data"),AND('School Search'!$G$5="Marked served",J2422="Yes"))),1,0)</f>
        <v>0</v>
      </c>
      <c r="Z2422" s="1" t="str">
        <f>IF(Y2422=0,"",COUNTIFS($Y$2051:$Y$2550,1,$AO$2051:$AO$2550,"&lt;"&amp;AO2422)+COUNTIFS($Y$2051:Y2422,1,$AO$2051:AO2422,AO2422))</f>
        <v/>
      </c>
      <c r="AA2422" s="1" t="str">
        <f t="shared" si="168"/>
        <v>Missing demographic or access input</v>
      </c>
      <c r="AB2422" s="1">
        <f t="shared" si="169"/>
        <v>0</v>
      </c>
      <c r="AC2422" s="1" t="str">
        <f t="shared" si="170"/>
        <v/>
      </c>
      <c r="AD2422" s="1" t="str">
        <f t="shared" si="171"/>
        <v/>
      </c>
      <c r="AE2422" s="1" t="str">
        <f t="shared" si="172"/>
        <v/>
      </c>
      <c r="AF2422" s="1" t="str">
        <f t="shared" si="173"/>
        <v/>
      </c>
      <c r="AG2422" s="1" t="str">
        <f t="shared" si="174"/>
        <v/>
      </c>
      <c r="AH2422" s="1" t="str">
        <f>IF(I2422=0,"Not contacted",IF(INDEX('Staff Review'!$J$8:$J$507,I2422)="","Not contacted",INDEX('Staff Review'!$J$8:$J$507,I2422)))</f>
        <v>Not contacted</v>
      </c>
      <c r="AI2422" s="1" t="str">
        <f>IF(I2422=0,"No",IF(AND(COUNT(INDEX('Staff Review'!$D$8:$D$507,I2422))=1,INDEX('Staff Review'!$D$8:$D$507,I2422)&gt;=0,COUNT(INDEX('Staff Review'!$E$8:$E$507,I2422))=1,INDEX('Staff Review'!$E$8:$E$507,I2422)&gt;0,INDEX('Staff Review'!$E$8:$E$507,I2422)&lt;='Top 25'!$E$5,'Top 25'!$E$5-INDEX('Staff Review'!$E$8:$E$507,I2422)&lt;='Top 25'!$H$5,LEN(INDEX('Staff Review'!$H$8:$H$507,I2422))&gt;0),"Yes","No"))</f>
        <v>No</v>
      </c>
      <c r="AJ2422" s="1" t="str">
        <f>IF(I2422=0,"No",IF(COUNT(INDEX('Staff Review'!$F$8:$F$507,I2422))&lt;&gt;1,"No",IF(AND(INDEX('Staff Review'!$F$8:$F$507,I2422)&gt;=0,MOD(INDEX('Staff Review'!$F$8:$F$507,I2422),1)=0,COUNT(INDEX('Staff Review'!$G$8:$G$507,I2422))=1,INDEX('Staff Review'!$G$8:$G$507,I2422)&gt;0,INDEX('Staff Review'!$G$8:$G$507,I2422)&lt;='Top 25'!$E$5,'Top 25'!$E$5-INDEX('Staff Review'!$G$8:$G$507,I2422)&lt;='Top 25'!$H$5,LEN(INDEX('Staff Review'!$H$8:$H$507,I2422))&gt;0),"Yes","No")))</f>
        <v>No</v>
      </c>
      <c r="AK2422" s="1">
        <f t="shared" si="175"/>
        <v>0</v>
      </c>
      <c r="AL2422" s="1">
        <f t="shared" si="176"/>
        <v>0</v>
      </c>
      <c r="AM2422" s="1">
        <f t="shared" si="177"/>
        <v>0</v>
      </c>
      <c r="AN2422" s="1">
        <f t="shared" si="178"/>
        <v>0</v>
      </c>
      <c r="AO2422">
        <f t="shared" si="179"/>
        <v>10000</v>
      </c>
      <c r="AP2422" s="105">
        <f>IF(AND(AL2422=1,OR('Top 25'!$A$10="All",C2422='Top 25'!$A$10),OR('Top 25'!$D$10="All",D2422='Top 25'!$D$10)),1,0)</f>
        <v>0</v>
      </c>
      <c r="AQ2422" s="105" t="str">
        <f>IF(AP2422=0,"",CHOOSE(MATCH('Top 25'!$G$10,{"Priority score","Economic need","Enrollment","Fresh miles","Nearby resources"},0),T2422,G2422,F2422,K2422,L2422))</f>
        <v/>
      </c>
      <c r="AR2422" s="105" t="str">
        <f>IF(AP2422=0,"",1+COUNTIFS($AP$2051:$AP$2550,1,$AQ$2051:$AQ$2550,IF('Top 25'!$J$10="Ascending","&lt;","&gt;")&amp;AQ2422)+COUNTIFS($AP$2051:$AP$2550,1,$AQ$2051:$AQ$2550,AQ2422,$W$2051:$W$2550,"&lt;"&amp;W2422))</f>
        <v/>
      </c>
      <c r="AT2422" s="105">
        <f>IF(AND(AL2422=1,OR(Master_rankableSchools!$A$10="All",C2422=Master_rankableSchools!$A$10),OR(Master_rankableSchools!$D$10="All",D2422=Master_rankableSchools!$D$10)),1,0)</f>
        <v>0</v>
      </c>
      <c r="AU2422" s="105" t="str">
        <f>IF(AT2422=0,"",CHOOSE(MATCH(Master_rankableSchools!$G$10,{"Priority score","Economic need","Enrollment","Fresh miles","Nearby resources"},0),T2422,G2422,F2422,K2422,L2422))</f>
        <v/>
      </c>
      <c r="AV2422" s="105" t="str">
        <f>IF(AT2422=0,"",1+COUNTIFS($AT$2051:$AT$2550,1,$AU$2051:$AU$2550,IF(Master_rankableSchools!$J$10="Ascending","&lt;","&gt;")&amp;AU2422)+COUNTIFS($AT$2051:$AT$2550,1,$AU$2051:$AU$2550,AU2422,$W$2051:$W$2550,"&lt;"&amp;W2422))</f>
        <v/>
      </c>
    </row>
    <row r="2423" spans="1:48" ht="22" customHeight="1">
      <c r="A2423" s="1" t="str">
        <f t="shared" si="150"/>
        <v/>
      </c>
      <c r="B2423" s="1" t="str">
        <f t="shared" si="151"/>
        <v/>
      </c>
      <c r="C2423" s="1" t="str">
        <f t="shared" si="152"/>
        <v/>
      </c>
      <c r="D2423" s="1" t="str">
        <f t="shared" si="153"/>
        <v/>
      </c>
      <c r="E2423" s="1" t="str">
        <f t="shared" si="154"/>
        <v/>
      </c>
      <c r="F2423" s="1" t="str">
        <f t="shared" si="155"/>
        <v/>
      </c>
      <c r="G2423" s="1" t="str">
        <f t="shared" si="156"/>
        <v/>
      </c>
      <c r="H2423" s="1" t="str">
        <f t="shared" si="157"/>
        <v/>
      </c>
      <c r="I2423" s="1">
        <f>IF(OR(A2423="",COUNTIFS('Staff Review'!$A$8:$A$507,A2423)&lt;&gt;1),0,MATCH(A2423,'Staff Review'!$A$8:$A$507,0))</f>
        <v>0</v>
      </c>
      <c r="J2423" s="1" t="str">
        <f>IF(I2423=0,"No",IF(INDEX('Staff Review'!$C$8:$C$507,I2423)="Yes","Yes","No"))</f>
        <v>No</v>
      </c>
      <c r="K2423" s="1" t="str">
        <f>IF(AI2423="Yes",INDEX('Staff Review'!$D$8:$D$507,I2423),IF(AB2423=0,"",IF(COUNT(INDEX($C$1531:$C$2030,AB2423))=1,INDEX($C$1531:$C$2030,AB2423),"")))</f>
        <v/>
      </c>
      <c r="L2423" s="1" t="str">
        <f>IF(AJ2423="Yes",INDEX('Staff Review'!$F$8:$F$507,I2423),IF(AB2423=0,"",IF(COUNT(INDEX($G$1531:$G$2030,AB2423))=1,INDEX($G$1531:$G$2030,AB2423),"")))</f>
        <v/>
      </c>
      <c r="M2423" s="1" t="str">
        <f t="shared" si="158"/>
        <v/>
      </c>
      <c r="N2423" s="1" t="str">
        <f t="shared" si="159"/>
        <v/>
      </c>
      <c r="O2423" s="1" t="str">
        <f t="shared" si="160"/>
        <v/>
      </c>
      <c r="P2423" s="1" t="str">
        <f t="shared" si="161"/>
        <v/>
      </c>
      <c r="Q2423" s="1" t="str">
        <f t="shared" si="162"/>
        <v/>
      </c>
      <c r="R2423" s="1" t="str">
        <f t="shared" si="163"/>
        <v/>
      </c>
      <c r="S2423" s="1" t="str">
        <f t="shared" si="164"/>
        <v/>
      </c>
      <c r="T2423" s="1" t="str">
        <f>IF(OR(COUNT(O2423:R2423)&lt;&gt;4,COUNT('Top 25'!$B$45:$E$45)&lt;&gt;4,MIN('Top 25'!$B$45:$E$45)&lt;0,SUM('Top 25'!$B$45:$E$45)&lt;=0),"",ROUND(85*(O2423/30*'Top 25'!$B$45+P2423/25*'Top 25'!$C$45+Q2423/25*'Top 25'!$D$45+R2423/5*'Top 25'!$E$45)/SUM('Top 25'!$B$45:$E$45),6))</f>
        <v/>
      </c>
      <c r="U2423" s="1" t="str">
        <f t="shared" si="165"/>
        <v/>
      </c>
      <c r="V2423" s="1" t="str">
        <f>IF(A2423="","",IF(AK2423&lt;&gt;1,"Duplicate source ID",IF(COUNTIFS('Staff Review'!$A$8:$A$507,A2423)&gt;1,"Duplicate review ID",IF(H2423&lt;&gt;"Yes","Outside scope",IF(J2423="Yes","Already served",IF(NOT(ISNUMBER(T2423)),"Missing data","Candidate"))))))</f>
        <v/>
      </c>
      <c r="W2423" s="1" t="str">
        <f t="shared" si="166"/>
        <v/>
      </c>
      <c r="X2423" s="1" t="str">
        <f t="shared" si="167"/>
        <v/>
      </c>
      <c r="Y2423" s="1">
        <f>IF(AND(H2423="Yes",OR(LEN('School Search'!$B$5)=0,ISNUMBER(SEARCH('School Search'!$B$5,B2423&amp;" "&amp;E2423&amp;" "&amp;A2423))),OR('School Search'!$D$5="All",C2423='School Search'!$D$5),OR('School Search'!$G$5="All eligible",AND('School Search'!$G$5="Not marked served",J2423&lt;&gt;"Yes"),AND('School Search'!$G$5="Missing data",V2423="Missing data"),AND('School Search'!$G$5="Marked served",J2423="Yes"))),1,0)</f>
        <v>0</v>
      </c>
      <c r="Z2423" s="1" t="str">
        <f>IF(Y2423=0,"",COUNTIFS($Y$2051:$Y$2550,1,$AO$2051:$AO$2550,"&lt;"&amp;AO2423)+COUNTIFS($Y$2051:Y2423,1,$AO$2051:AO2423,AO2423))</f>
        <v/>
      </c>
      <c r="AA2423" s="1" t="str">
        <f t="shared" si="168"/>
        <v>Missing demographic or access input</v>
      </c>
      <c r="AB2423" s="1">
        <f t="shared" si="169"/>
        <v>0</v>
      </c>
      <c r="AC2423" s="1" t="str">
        <f t="shared" si="170"/>
        <v/>
      </c>
      <c r="AD2423" s="1" t="str">
        <f t="shared" si="171"/>
        <v/>
      </c>
      <c r="AE2423" s="1" t="str">
        <f t="shared" si="172"/>
        <v/>
      </c>
      <c r="AF2423" s="1" t="str">
        <f t="shared" si="173"/>
        <v/>
      </c>
      <c r="AG2423" s="1" t="str">
        <f t="shared" si="174"/>
        <v/>
      </c>
      <c r="AH2423" s="1" t="str">
        <f>IF(I2423=0,"Not contacted",IF(INDEX('Staff Review'!$J$8:$J$507,I2423)="","Not contacted",INDEX('Staff Review'!$J$8:$J$507,I2423)))</f>
        <v>Not contacted</v>
      </c>
      <c r="AI2423" s="1" t="str">
        <f>IF(I2423=0,"No",IF(AND(COUNT(INDEX('Staff Review'!$D$8:$D$507,I2423))=1,INDEX('Staff Review'!$D$8:$D$507,I2423)&gt;=0,COUNT(INDEX('Staff Review'!$E$8:$E$507,I2423))=1,INDEX('Staff Review'!$E$8:$E$507,I2423)&gt;0,INDEX('Staff Review'!$E$8:$E$507,I2423)&lt;='Top 25'!$E$5,'Top 25'!$E$5-INDEX('Staff Review'!$E$8:$E$507,I2423)&lt;='Top 25'!$H$5,LEN(INDEX('Staff Review'!$H$8:$H$507,I2423))&gt;0),"Yes","No"))</f>
        <v>No</v>
      </c>
      <c r="AJ2423" s="1" t="str">
        <f>IF(I2423=0,"No",IF(COUNT(INDEX('Staff Review'!$F$8:$F$507,I2423))&lt;&gt;1,"No",IF(AND(INDEX('Staff Review'!$F$8:$F$507,I2423)&gt;=0,MOD(INDEX('Staff Review'!$F$8:$F$507,I2423),1)=0,COUNT(INDEX('Staff Review'!$G$8:$G$507,I2423))=1,INDEX('Staff Review'!$G$8:$G$507,I2423)&gt;0,INDEX('Staff Review'!$G$8:$G$507,I2423)&lt;='Top 25'!$E$5,'Top 25'!$E$5-INDEX('Staff Review'!$G$8:$G$507,I2423)&lt;='Top 25'!$H$5,LEN(INDEX('Staff Review'!$H$8:$H$507,I2423))&gt;0),"Yes","No")))</f>
        <v>No</v>
      </c>
      <c r="AK2423" s="1">
        <f t="shared" si="175"/>
        <v>0</v>
      </c>
      <c r="AL2423" s="1">
        <f t="shared" si="176"/>
        <v>0</v>
      </c>
      <c r="AM2423" s="1">
        <f t="shared" si="177"/>
        <v>0</v>
      </c>
      <c r="AN2423" s="1">
        <f t="shared" si="178"/>
        <v>0</v>
      </c>
      <c r="AO2423">
        <f t="shared" si="179"/>
        <v>10000</v>
      </c>
      <c r="AP2423" s="105">
        <f>IF(AND(AL2423=1,OR('Top 25'!$A$10="All",C2423='Top 25'!$A$10),OR('Top 25'!$D$10="All",D2423='Top 25'!$D$10)),1,0)</f>
        <v>0</v>
      </c>
      <c r="AQ2423" s="105" t="str">
        <f>IF(AP2423=0,"",CHOOSE(MATCH('Top 25'!$G$10,{"Priority score","Economic need","Enrollment","Fresh miles","Nearby resources"},0),T2423,G2423,F2423,K2423,L2423))</f>
        <v/>
      </c>
      <c r="AR2423" s="105" t="str">
        <f>IF(AP2423=0,"",1+COUNTIFS($AP$2051:$AP$2550,1,$AQ$2051:$AQ$2550,IF('Top 25'!$J$10="Ascending","&lt;","&gt;")&amp;AQ2423)+COUNTIFS($AP$2051:$AP$2550,1,$AQ$2051:$AQ$2550,AQ2423,$W$2051:$W$2550,"&lt;"&amp;W2423))</f>
        <v/>
      </c>
      <c r="AT2423" s="105">
        <f>IF(AND(AL2423=1,OR(Master_rankableSchools!$A$10="All",C2423=Master_rankableSchools!$A$10),OR(Master_rankableSchools!$D$10="All",D2423=Master_rankableSchools!$D$10)),1,0)</f>
        <v>0</v>
      </c>
      <c r="AU2423" s="105" t="str">
        <f>IF(AT2423=0,"",CHOOSE(MATCH(Master_rankableSchools!$G$10,{"Priority score","Economic need","Enrollment","Fresh miles","Nearby resources"},0),T2423,G2423,F2423,K2423,L2423))</f>
        <v/>
      </c>
      <c r="AV2423" s="105" t="str">
        <f>IF(AT2423=0,"",1+COUNTIFS($AT$2051:$AT$2550,1,$AU$2051:$AU$2550,IF(Master_rankableSchools!$J$10="Ascending","&lt;","&gt;")&amp;AU2423)+COUNTIFS($AT$2051:$AT$2550,1,$AU$2051:$AU$2550,AU2423,$W$2051:$W$2550,"&lt;"&amp;W2423))</f>
        <v/>
      </c>
    </row>
    <row r="2424" spans="1:48" ht="22" customHeight="1">
      <c r="A2424" s="1" t="str">
        <f t="shared" si="150"/>
        <v/>
      </c>
      <c r="B2424" s="1" t="str">
        <f t="shared" si="151"/>
        <v/>
      </c>
      <c r="C2424" s="1" t="str">
        <f t="shared" si="152"/>
        <v/>
      </c>
      <c r="D2424" s="1" t="str">
        <f t="shared" si="153"/>
        <v/>
      </c>
      <c r="E2424" s="1" t="str">
        <f t="shared" si="154"/>
        <v/>
      </c>
      <c r="F2424" s="1" t="str">
        <f t="shared" si="155"/>
        <v/>
      </c>
      <c r="G2424" s="1" t="str">
        <f t="shared" si="156"/>
        <v/>
      </c>
      <c r="H2424" s="1" t="str">
        <f t="shared" si="157"/>
        <v/>
      </c>
      <c r="I2424" s="1">
        <f>IF(OR(A2424="",COUNTIFS('Staff Review'!$A$8:$A$507,A2424)&lt;&gt;1),0,MATCH(A2424,'Staff Review'!$A$8:$A$507,0))</f>
        <v>0</v>
      </c>
      <c r="J2424" s="1" t="str">
        <f>IF(I2424=0,"No",IF(INDEX('Staff Review'!$C$8:$C$507,I2424)="Yes","Yes","No"))</f>
        <v>No</v>
      </c>
      <c r="K2424" s="1" t="str">
        <f>IF(AI2424="Yes",INDEX('Staff Review'!$D$8:$D$507,I2424),IF(AB2424=0,"",IF(COUNT(INDEX($C$1531:$C$2030,AB2424))=1,INDEX($C$1531:$C$2030,AB2424),"")))</f>
        <v/>
      </c>
      <c r="L2424" s="1" t="str">
        <f>IF(AJ2424="Yes",INDEX('Staff Review'!$F$8:$F$507,I2424),IF(AB2424=0,"",IF(COUNT(INDEX($G$1531:$G$2030,AB2424))=1,INDEX($G$1531:$G$2030,AB2424),"")))</f>
        <v/>
      </c>
      <c r="M2424" s="1" t="str">
        <f t="shared" si="158"/>
        <v/>
      </c>
      <c r="N2424" s="1" t="str">
        <f t="shared" si="159"/>
        <v/>
      </c>
      <c r="O2424" s="1" t="str">
        <f t="shared" si="160"/>
        <v/>
      </c>
      <c r="P2424" s="1" t="str">
        <f t="shared" si="161"/>
        <v/>
      </c>
      <c r="Q2424" s="1" t="str">
        <f t="shared" si="162"/>
        <v/>
      </c>
      <c r="R2424" s="1" t="str">
        <f t="shared" si="163"/>
        <v/>
      </c>
      <c r="S2424" s="1" t="str">
        <f t="shared" si="164"/>
        <v/>
      </c>
      <c r="T2424" s="1" t="str">
        <f>IF(OR(COUNT(O2424:R2424)&lt;&gt;4,COUNT('Top 25'!$B$45:$E$45)&lt;&gt;4,MIN('Top 25'!$B$45:$E$45)&lt;0,SUM('Top 25'!$B$45:$E$45)&lt;=0),"",ROUND(85*(O2424/30*'Top 25'!$B$45+P2424/25*'Top 25'!$C$45+Q2424/25*'Top 25'!$D$45+R2424/5*'Top 25'!$E$45)/SUM('Top 25'!$B$45:$E$45),6))</f>
        <v/>
      </c>
      <c r="U2424" s="1" t="str">
        <f t="shared" si="165"/>
        <v/>
      </c>
      <c r="V2424" s="1" t="str">
        <f>IF(A2424="","",IF(AK2424&lt;&gt;1,"Duplicate source ID",IF(COUNTIFS('Staff Review'!$A$8:$A$507,A2424)&gt;1,"Duplicate review ID",IF(H2424&lt;&gt;"Yes","Outside scope",IF(J2424="Yes","Already served",IF(NOT(ISNUMBER(T2424)),"Missing data","Candidate"))))))</f>
        <v/>
      </c>
      <c r="W2424" s="1" t="str">
        <f t="shared" si="166"/>
        <v/>
      </c>
      <c r="X2424" s="1" t="str">
        <f t="shared" si="167"/>
        <v/>
      </c>
      <c r="Y2424" s="1">
        <f>IF(AND(H2424="Yes",OR(LEN('School Search'!$B$5)=0,ISNUMBER(SEARCH('School Search'!$B$5,B2424&amp;" "&amp;E2424&amp;" "&amp;A2424))),OR('School Search'!$D$5="All",C2424='School Search'!$D$5),OR('School Search'!$G$5="All eligible",AND('School Search'!$G$5="Not marked served",J2424&lt;&gt;"Yes"),AND('School Search'!$G$5="Missing data",V2424="Missing data"),AND('School Search'!$G$5="Marked served",J2424="Yes"))),1,0)</f>
        <v>0</v>
      </c>
      <c r="Z2424" s="1" t="str">
        <f>IF(Y2424=0,"",COUNTIFS($Y$2051:$Y$2550,1,$AO$2051:$AO$2550,"&lt;"&amp;AO2424)+COUNTIFS($Y$2051:Y2424,1,$AO$2051:AO2424,AO2424))</f>
        <v/>
      </c>
      <c r="AA2424" s="1" t="str">
        <f t="shared" si="168"/>
        <v>Missing demographic or access input</v>
      </c>
      <c r="AB2424" s="1">
        <f t="shared" si="169"/>
        <v>0</v>
      </c>
      <c r="AC2424" s="1" t="str">
        <f t="shared" si="170"/>
        <v/>
      </c>
      <c r="AD2424" s="1" t="str">
        <f t="shared" si="171"/>
        <v/>
      </c>
      <c r="AE2424" s="1" t="str">
        <f t="shared" si="172"/>
        <v/>
      </c>
      <c r="AF2424" s="1" t="str">
        <f t="shared" si="173"/>
        <v/>
      </c>
      <c r="AG2424" s="1" t="str">
        <f t="shared" si="174"/>
        <v/>
      </c>
      <c r="AH2424" s="1" t="str">
        <f>IF(I2424=0,"Not contacted",IF(INDEX('Staff Review'!$J$8:$J$507,I2424)="","Not contacted",INDEX('Staff Review'!$J$8:$J$507,I2424)))</f>
        <v>Not contacted</v>
      </c>
      <c r="AI2424" s="1" t="str">
        <f>IF(I2424=0,"No",IF(AND(COUNT(INDEX('Staff Review'!$D$8:$D$507,I2424))=1,INDEX('Staff Review'!$D$8:$D$507,I2424)&gt;=0,COUNT(INDEX('Staff Review'!$E$8:$E$507,I2424))=1,INDEX('Staff Review'!$E$8:$E$507,I2424)&gt;0,INDEX('Staff Review'!$E$8:$E$507,I2424)&lt;='Top 25'!$E$5,'Top 25'!$E$5-INDEX('Staff Review'!$E$8:$E$507,I2424)&lt;='Top 25'!$H$5,LEN(INDEX('Staff Review'!$H$8:$H$507,I2424))&gt;0),"Yes","No"))</f>
        <v>No</v>
      </c>
      <c r="AJ2424" s="1" t="str">
        <f>IF(I2424=0,"No",IF(COUNT(INDEX('Staff Review'!$F$8:$F$507,I2424))&lt;&gt;1,"No",IF(AND(INDEX('Staff Review'!$F$8:$F$507,I2424)&gt;=0,MOD(INDEX('Staff Review'!$F$8:$F$507,I2424),1)=0,COUNT(INDEX('Staff Review'!$G$8:$G$507,I2424))=1,INDEX('Staff Review'!$G$8:$G$507,I2424)&gt;0,INDEX('Staff Review'!$G$8:$G$507,I2424)&lt;='Top 25'!$E$5,'Top 25'!$E$5-INDEX('Staff Review'!$G$8:$G$507,I2424)&lt;='Top 25'!$H$5,LEN(INDEX('Staff Review'!$H$8:$H$507,I2424))&gt;0),"Yes","No")))</f>
        <v>No</v>
      </c>
      <c r="AK2424" s="1">
        <f t="shared" si="175"/>
        <v>0</v>
      </c>
      <c r="AL2424" s="1">
        <f t="shared" si="176"/>
        <v>0</v>
      </c>
      <c r="AM2424" s="1">
        <f t="shared" si="177"/>
        <v>0</v>
      </c>
      <c r="AN2424" s="1">
        <f t="shared" si="178"/>
        <v>0</v>
      </c>
      <c r="AO2424">
        <f t="shared" si="179"/>
        <v>10000</v>
      </c>
      <c r="AP2424" s="105">
        <f>IF(AND(AL2424=1,OR('Top 25'!$A$10="All",C2424='Top 25'!$A$10),OR('Top 25'!$D$10="All",D2424='Top 25'!$D$10)),1,0)</f>
        <v>0</v>
      </c>
      <c r="AQ2424" s="105" t="str">
        <f>IF(AP2424=0,"",CHOOSE(MATCH('Top 25'!$G$10,{"Priority score","Economic need","Enrollment","Fresh miles","Nearby resources"},0),T2424,G2424,F2424,K2424,L2424))</f>
        <v/>
      </c>
      <c r="AR2424" s="105" t="str">
        <f>IF(AP2424=0,"",1+COUNTIFS($AP$2051:$AP$2550,1,$AQ$2051:$AQ$2550,IF('Top 25'!$J$10="Ascending","&lt;","&gt;")&amp;AQ2424)+COUNTIFS($AP$2051:$AP$2550,1,$AQ$2051:$AQ$2550,AQ2424,$W$2051:$W$2550,"&lt;"&amp;W2424))</f>
        <v/>
      </c>
      <c r="AT2424" s="105">
        <f>IF(AND(AL2424=1,OR(Master_rankableSchools!$A$10="All",C2424=Master_rankableSchools!$A$10),OR(Master_rankableSchools!$D$10="All",D2424=Master_rankableSchools!$D$10)),1,0)</f>
        <v>0</v>
      </c>
      <c r="AU2424" s="105" t="str">
        <f>IF(AT2424=0,"",CHOOSE(MATCH(Master_rankableSchools!$G$10,{"Priority score","Economic need","Enrollment","Fresh miles","Nearby resources"},0),T2424,G2424,F2424,K2424,L2424))</f>
        <v/>
      </c>
      <c r="AV2424" s="105" t="str">
        <f>IF(AT2424=0,"",1+COUNTIFS($AT$2051:$AT$2550,1,$AU$2051:$AU$2550,IF(Master_rankableSchools!$J$10="Ascending","&lt;","&gt;")&amp;AU2424)+COUNTIFS($AT$2051:$AT$2550,1,$AU$2051:$AU$2550,AU2424,$W$2051:$W$2550,"&lt;"&amp;W2424))</f>
        <v/>
      </c>
    </row>
    <row r="2425" spans="1:48" ht="22" customHeight="1">
      <c r="A2425" s="1" t="str">
        <f t="shared" si="150"/>
        <v/>
      </c>
      <c r="B2425" s="1" t="str">
        <f t="shared" si="151"/>
        <v/>
      </c>
      <c r="C2425" s="1" t="str">
        <f t="shared" si="152"/>
        <v/>
      </c>
      <c r="D2425" s="1" t="str">
        <f t="shared" si="153"/>
        <v/>
      </c>
      <c r="E2425" s="1" t="str">
        <f t="shared" si="154"/>
        <v/>
      </c>
      <c r="F2425" s="1" t="str">
        <f t="shared" si="155"/>
        <v/>
      </c>
      <c r="G2425" s="1" t="str">
        <f t="shared" si="156"/>
        <v/>
      </c>
      <c r="H2425" s="1" t="str">
        <f t="shared" si="157"/>
        <v/>
      </c>
      <c r="I2425" s="1">
        <f>IF(OR(A2425="",COUNTIFS('Staff Review'!$A$8:$A$507,A2425)&lt;&gt;1),0,MATCH(A2425,'Staff Review'!$A$8:$A$507,0))</f>
        <v>0</v>
      </c>
      <c r="J2425" s="1" t="str">
        <f>IF(I2425=0,"No",IF(INDEX('Staff Review'!$C$8:$C$507,I2425)="Yes","Yes","No"))</f>
        <v>No</v>
      </c>
      <c r="K2425" s="1" t="str">
        <f>IF(AI2425="Yes",INDEX('Staff Review'!$D$8:$D$507,I2425),IF(AB2425=0,"",IF(COUNT(INDEX($C$1531:$C$2030,AB2425))=1,INDEX($C$1531:$C$2030,AB2425),"")))</f>
        <v/>
      </c>
      <c r="L2425" s="1" t="str">
        <f>IF(AJ2425="Yes",INDEX('Staff Review'!$F$8:$F$507,I2425),IF(AB2425=0,"",IF(COUNT(INDEX($G$1531:$G$2030,AB2425))=1,INDEX($G$1531:$G$2030,AB2425),"")))</f>
        <v/>
      </c>
      <c r="M2425" s="1" t="str">
        <f t="shared" si="158"/>
        <v/>
      </c>
      <c r="N2425" s="1" t="str">
        <f t="shared" si="159"/>
        <v/>
      </c>
      <c r="O2425" s="1" t="str">
        <f t="shared" si="160"/>
        <v/>
      </c>
      <c r="P2425" s="1" t="str">
        <f t="shared" si="161"/>
        <v/>
      </c>
      <c r="Q2425" s="1" t="str">
        <f t="shared" si="162"/>
        <v/>
      </c>
      <c r="R2425" s="1" t="str">
        <f t="shared" si="163"/>
        <v/>
      </c>
      <c r="S2425" s="1" t="str">
        <f t="shared" si="164"/>
        <v/>
      </c>
      <c r="T2425" s="1" t="str">
        <f>IF(OR(COUNT(O2425:R2425)&lt;&gt;4,COUNT('Top 25'!$B$45:$E$45)&lt;&gt;4,MIN('Top 25'!$B$45:$E$45)&lt;0,SUM('Top 25'!$B$45:$E$45)&lt;=0),"",ROUND(85*(O2425/30*'Top 25'!$B$45+P2425/25*'Top 25'!$C$45+Q2425/25*'Top 25'!$D$45+R2425/5*'Top 25'!$E$45)/SUM('Top 25'!$B$45:$E$45),6))</f>
        <v/>
      </c>
      <c r="U2425" s="1" t="str">
        <f t="shared" si="165"/>
        <v/>
      </c>
      <c r="V2425" s="1" t="str">
        <f>IF(A2425="","",IF(AK2425&lt;&gt;1,"Duplicate source ID",IF(COUNTIFS('Staff Review'!$A$8:$A$507,A2425)&gt;1,"Duplicate review ID",IF(H2425&lt;&gt;"Yes","Outside scope",IF(J2425="Yes","Already served",IF(NOT(ISNUMBER(T2425)),"Missing data","Candidate"))))))</f>
        <v/>
      </c>
      <c r="W2425" s="1" t="str">
        <f t="shared" si="166"/>
        <v/>
      </c>
      <c r="X2425" s="1" t="str">
        <f t="shared" si="167"/>
        <v/>
      </c>
      <c r="Y2425" s="1">
        <f>IF(AND(H2425="Yes",OR(LEN('School Search'!$B$5)=0,ISNUMBER(SEARCH('School Search'!$B$5,B2425&amp;" "&amp;E2425&amp;" "&amp;A2425))),OR('School Search'!$D$5="All",C2425='School Search'!$D$5),OR('School Search'!$G$5="All eligible",AND('School Search'!$G$5="Not marked served",J2425&lt;&gt;"Yes"),AND('School Search'!$G$5="Missing data",V2425="Missing data"),AND('School Search'!$G$5="Marked served",J2425="Yes"))),1,0)</f>
        <v>0</v>
      </c>
      <c r="Z2425" s="1" t="str">
        <f>IF(Y2425=0,"",COUNTIFS($Y$2051:$Y$2550,1,$AO$2051:$AO$2550,"&lt;"&amp;AO2425)+COUNTIFS($Y$2051:Y2425,1,$AO$2051:AO2425,AO2425))</f>
        <v/>
      </c>
      <c r="AA2425" s="1" t="str">
        <f t="shared" si="168"/>
        <v>Missing demographic or access input</v>
      </c>
      <c r="AB2425" s="1">
        <f t="shared" si="169"/>
        <v>0</v>
      </c>
      <c r="AC2425" s="1" t="str">
        <f t="shared" si="170"/>
        <v/>
      </c>
      <c r="AD2425" s="1" t="str">
        <f t="shared" si="171"/>
        <v/>
      </c>
      <c r="AE2425" s="1" t="str">
        <f t="shared" si="172"/>
        <v/>
      </c>
      <c r="AF2425" s="1" t="str">
        <f t="shared" si="173"/>
        <v/>
      </c>
      <c r="AG2425" s="1" t="str">
        <f t="shared" si="174"/>
        <v/>
      </c>
      <c r="AH2425" s="1" t="str">
        <f>IF(I2425=0,"Not contacted",IF(INDEX('Staff Review'!$J$8:$J$507,I2425)="","Not contacted",INDEX('Staff Review'!$J$8:$J$507,I2425)))</f>
        <v>Not contacted</v>
      </c>
      <c r="AI2425" s="1" t="str">
        <f>IF(I2425=0,"No",IF(AND(COUNT(INDEX('Staff Review'!$D$8:$D$507,I2425))=1,INDEX('Staff Review'!$D$8:$D$507,I2425)&gt;=0,COUNT(INDEX('Staff Review'!$E$8:$E$507,I2425))=1,INDEX('Staff Review'!$E$8:$E$507,I2425)&gt;0,INDEX('Staff Review'!$E$8:$E$507,I2425)&lt;='Top 25'!$E$5,'Top 25'!$E$5-INDEX('Staff Review'!$E$8:$E$507,I2425)&lt;='Top 25'!$H$5,LEN(INDEX('Staff Review'!$H$8:$H$507,I2425))&gt;0),"Yes","No"))</f>
        <v>No</v>
      </c>
      <c r="AJ2425" s="1" t="str">
        <f>IF(I2425=0,"No",IF(COUNT(INDEX('Staff Review'!$F$8:$F$507,I2425))&lt;&gt;1,"No",IF(AND(INDEX('Staff Review'!$F$8:$F$507,I2425)&gt;=0,MOD(INDEX('Staff Review'!$F$8:$F$507,I2425),1)=0,COUNT(INDEX('Staff Review'!$G$8:$G$507,I2425))=1,INDEX('Staff Review'!$G$8:$G$507,I2425)&gt;0,INDEX('Staff Review'!$G$8:$G$507,I2425)&lt;='Top 25'!$E$5,'Top 25'!$E$5-INDEX('Staff Review'!$G$8:$G$507,I2425)&lt;='Top 25'!$H$5,LEN(INDEX('Staff Review'!$H$8:$H$507,I2425))&gt;0),"Yes","No")))</f>
        <v>No</v>
      </c>
      <c r="AK2425" s="1">
        <f t="shared" si="175"/>
        <v>0</v>
      </c>
      <c r="AL2425" s="1">
        <f t="shared" si="176"/>
        <v>0</v>
      </c>
      <c r="AM2425" s="1">
        <f t="shared" si="177"/>
        <v>0</v>
      </c>
      <c r="AN2425" s="1">
        <f t="shared" si="178"/>
        <v>0</v>
      </c>
      <c r="AO2425">
        <f t="shared" si="179"/>
        <v>10000</v>
      </c>
      <c r="AP2425" s="105">
        <f>IF(AND(AL2425=1,OR('Top 25'!$A$10="All",C2425='Top 25'!$A$10),OR('Top 25'!$D$10="All",D2425='Top 25'!$D$10)),1,0)</f>
        <v>0</v>
      </c>
      <c r="AQ2425" s="105" t="str">
        <f>IF(AP2425=0,"",CHOOSE(MATCH('Top 25'!$G$10,{"Priority score","Economic need","Enrollment","Fresh miles","Nearby resources"},0),T2425,G2425,F2425,K2425,L2425))</f>
        <v/>
      </c>
      <c r="AR2425" s="105" t="str">
        <f>IF(AP2425=0,"",1+COUNTIFS($AP$2051:$AP$2550,1,$AQ$2051:$AQ$2550,IF('Top 25'!$J$10="Ascending","&lt;","&gt;")&amp;AQ2425)+COUNTIFS($AP$2051:$AP$2550,1,$AQ$2051:$AQ$2550,AQ2425,$W$2051:$W$2550,"&lt;"&amp;W2425))</f>
        <v/>
      </c>
      <c r="AT2425" s="105">
        <f>IF(AND(AL2425=1,OR(Master_rankableSchools!$A$10="All",C2425=Master_rankableSchools!$A$10),OR(Master_rankableSchools!$D$10="All",D2425=Master_rankableSchools!$D$10)),1,0)</f>
        <v>0</v>
      </c>
      <c r="AU2425" s="105" t="str">
        <f>IF(AT2425=0,"",CHOOSE(MATCH(Master_rankableSchools!$G$10,{"Priority score","Economic need","Enrollment","Fresh miles","Nearby resources"},0),T2425,G2425,F2425,K2425,L2425))</f>
        <v/>
      </c>
      <c r="AV2425" s="105" t="str">
        <f>IF(AT2425=0,"",1+COUNTIFS($AT$2051:$AT$2550,1,$AU$2051:$AU$2550,IF(Master_rankableSchools!$J$10="Ascending","&lt;","&gt;")&amp;AU2425)+COUNTIFS($AT$2051:$AT$2550,1,$AU$2051:$AU$2550,AU2425,$W$2051:$W$2550,"&lt;"&amp;W2425))</f>
        <v/>
      </c>
    </row>
    <row r="2426" spans="1:48" ht="22" customHeight="1">
      <c r="A2426" s="1" t="str">
        <f t="shared" si="150"/>
        <v/>
      </c>
      <c r="B2426" s="1" t="str">
        <f t="shared" si="151"/>
        <v/>
      </c>
      <c r="C2426" s="1" t="str">
        <f t="shared" si="152"/>
        <v/>
      </c>
      <c r="D2426" s="1" t="str">
        <f t="shared" si="153"/>
        <v/>
      </c>
      <c r="E2426" s="1" t="str">
        <f t="shared" si="154"/>
        <v/>
      </c>
      <c r="F2426" s="1" t="str">
        <f t="shared" si="155"/>
        <v/>
      </c>
      <c r="G2426" s="1" t="str">
        <f t="shared" si="156"/>
        <v/>
      </c>
      <c r="H2426" s="1" t="str">
        <f t="shared" si="157"/>
        <v/>
      </c>
      <c r="I2426" s="1">
        <f>IF(OR(A2426="",COUNTIFS('Staff Review'!$A$8:$A$507,A2426)&lt;&gt;1),0,MATCH(A2426,'Staff Review'!$A$8:$A$507,0))</f>
        <v>0</v>
      </c>
      <c r="J2426" s="1" t="str">
        <f>IF(I2426=0,"No",IF(INDEX('Staff Review'!$C$8:$C$507,I2426)="Yes","Yes","No"))</f>
        <v>No</v>
      </c>
      <c r="K2426" s="1" t="str">
        <f>IF(AI2426="Yes",INDEX('Staff Review'!$D$8:$D$507,I2426),IF(AB2426=0,"",IF(COUNT(INDEX($C$1531:$C$2030,AB2426))=1,INDEX($C$1531:$C$2030,AB2426),"")))</f>
        <v/>
      </c>
      <c r="L2426" s="1" t="str">
        <f>IF(AJ2426="Yes",INDEX('Staff Review'!$F$8:$F$507,I2426),IF(AB2426=0,"",IF(COUNT(INDEX($G$1531:$G$2030,AB2426))=1,INDEX($G$1531:$G$2030,AB2426),"")))</f>
        <v/>
      </c>
      <c r="M2426" s="1" t="str">
        <f t="shared" si="158"/>
        <v/>
      </c>
      <c r="N2426" s="1" t="str">
        <f t="shared" si="159"/>
        <v/>
      </c>
      <c r="O2426" s="1" t="str">
        <f t="shared" si="160"/>
        <v/>
      </c>
      <c r="P2426" s="1" t="str">
        <f t="shared" si="161"/>
        <v/>
      </c>
      <c r="Q2426" s="1" t="str">
        <f t="shared" si="162"/>
        <v/>
      </c>
      <c r="R2426" s="1" t="str">
        <f t="shared" si="163"/>
        <v/>
      </c>
      <c r="S2426" s="1" t="str">
        <f t="shared" si="164"/>
        <v/>
      </c>
      <c r="T2426" s="1" t="str">
        <f>IF(OR(COUNT(O2426:R2426)&lt;&gt;4,COUNT('Top 25'!$B$45:$E$45)&lt;&gt;4,MIN('Top 25'!$B$45:$E$45)&lt;0,SUM('Top 25'!$B$45:$E$45)&lt;=0),"",ROUND(85*(O2426/30*'Top 25'!$B$45+P2426/25*'Top 25'!$C$45+Q2426/25*'Top 25'!$D$45+R2426/5*'Top 25'!$E$45)/SUM('Top 25'!$B$45:$E$45),6))</f>
        <v/>
      </c>
      <c r="U2426" s="1" t="str">
        <f t="shared" si="165"/>
        <v/>
      </c>
      <c r="V2426" s="1" t="str">
        <f>IF(A2426="","",IF(AK2426&lt;&gt;1,"Duplicate source ID",IF(COUNTIFS('Staff Review'!$A$8:$A$507,A2426)&gt;1,"Duplicate review ID",IF(H2426&lt;&gt;"Yes","Outside scope",IF(J2426="Yes","Already served",IF(NOT(ISNUMBER(T2426)),"Missing data","Candidate"))))))</f>
        <v/>
      </c>
      <c r="W2426" s="1" t="str">
        <f t="shared" si="166"/>
        <v/>
      </c>
      <c r="X2426" s="1" t="str">
        <f t="shared" si="167"/>
        <v/>
      </c>
      <c r="Y2426" s="1">
        <f>IF(AND(H2426="Yes",OR(LEN('School Search'!$B$5)=0,ISNUMBER(SEARCH('School Search'!$B$5,B2426&amp;" "&amp;E2426&amp;" "&amp;A2426))),OR('School Search'!$D$5="All",C2426='School Search'!$D$5),OR('School Search'!$G$5="All eligible",AND('School Search'!$G$5="Not marked served",J2426&lt;&gt;"Yes"),AND('School Search'!$G$5="Missing data",V2426="Missing data"),AND('School Search'!$G$5="Marked served",J2426="Yes"))),1,0)</f>
        <v>0</v>
      </c>
      <c r="Z2426" s="1" t="str">
        <f>IF(Y2426=0,"",COUNTIFS($Y$2051:$Y$2550,1,$AO$2051:$AO$2550,"&lt;"&amp;AO2426)+COUNTIFS($Y$2051:Y2426,1,$AO$2051:AO2426,AO2426))</f>
        <v/>
      </c>
      <c r="AA2426" s="1" t="str">
        <f t="shared" si="168"/>
        <v>Missing demographic or access input</v>
      </c>
      <c r="AB2426" s="1">
        <f t="shared" si="169"/>
        <v>0</v>
      </c>
      <c r="AC2426" s="1" t="str">
        <f t="shared" si="170"/>
        <v/>
      </c>
      <c r="AD2426" s="1" t="str">
        <f t="shared" si="171"/>
        <v/>
      </c>
      <c r="AE2426" s="1" t="str">
        <f t="shared" si="172"/>
        <v/>
      </c>
      <c r="AF2426" s="1" t="str">
        <f t="shared" si="173"/>
        <v/>
      </c>
      <c r="AG2426" s="1" t="str">
        <f t="shared" si="174"/>
        <v/>
      </c>
      <c r="AH2426" s="1" t="str">
        <f>IF(I2426=0,"Not contacted",IF(INDEX('Staff Review'!$J$8:$J$507,I2426)="","Not contacted",INDEX('Staff Review'!$J$8:$J$507,I2426)))</f>
        <v>Not contacted</v>
      </c>
      <c r="AI2426" s="1" t="str">
        <f>IF(I2426=0,"No",IF(AND(COUNT(INDEX('Staff Review'!$D$8:$D$507,I2426))=1,INDEX('Staff Review'!$D$8:$D$507,I2426)&gt;=0,COUNT(INDEX('Staff Review'!$E$8:$E$507,I2426))=1,INDEX('Staff Review'!$E$8:$E$507,I2426)&gt;0,INDEX('Staff Review'!$E$8:$E$507,I2426)&lt;='Top 25'!$E$5,'Top 25'!$E$5-INDEX('Staff Review'!$E$8:$E$507,I2426)&lt;='Top 25'!$H$5,LEN(INDEX('Staff Review'!$H$8:$H$507,I2426))&gt;0),"Yes","No"))</f>
        <v>No</v>
      </c>
      <c r="AJ2426" s="1" t="str">
        <f>IF(I2426=0,"No",IF(COUNT(INDEX('Staff Review'!$F$8:$F$507,I2426))&lt;&gt;1,"No",IF(AND(INDEX('Staff Review'!$F$8:$F$507,I2426)&gt;=0,MOD(INDEX('Staff Review'!$F$8:$F$507,I2426),1)=0,COUNT(INDEX('Staff Review'!$G$8:$G$507,I2426))=1,INDEX('Staff Review'!$G$8:$G$507,I2426)&gt;0,INDEX('Staff Review'!$G$8:$G$507,I2426)&lt;='Top 25'!$E$5,'Top 25'!$E$5-INDEX('Staff Review'!$G$8:$G$507,I2426)&lt;='Top 25'!$H$5,LEN(INDEX('Staff Review'!$H$8:$H$507,I2426))&gt;0),"Yes","No")))</f>
        <v>No</v>
      </c>
      <c r="AK2426" s="1">
        <f t="shared" si="175"/>
        <v>0</v>
      </c>
      <c r="AL2426" s="1">
        <f t="shared" si="176"/>
        <v>0</v>
      </c>
      <c r="AM2426" s="1">
        <f t="shared" si="177"/>
        <v>0</v>
      </c>
      <c r="AN2426" s="1">
        <f t="shared" si="178"/>
        <v>0</v>
      </c>
      <c r="AO2426">
        <f t="shared" si="179"/>
        <v>10000</v>
      </c>
      <c r="AP2426" s="105">
        <f>IF(AND(AL2426=1,OR('Top 25'!$A$10="All",C2426='Top 25'!$A$10),OR('Top 25'!$D$10="All",D2426='Top 25'!$D$10)),1,0)</f>
        <v>0</v>
      </c>
      <c r="AQ2426" s="105" t="str">
        <f>IF(AP2426=0,"",CHOOSE(MATCH('Top 25'!$G$10,{"Priority score","Economic need","Enrollment","Fresh miles","Nearby resources"},0),T2426,G2426,F2426,K2426,L2426))</f>
        <v/>
      </c>
      <c r="AR2426" s="105" t="str">
        <f>IF(AP2426=0,"",1+COUNTIFS($AP$2051:$AP$2550,1,$AQ$2051:$AQ$2550,IF('Top 25'!$J$10="Ascending","&lt;","&gt;")&amp;AQ2426)+COUNTIFS($AP$2051:$AP$2550,1,$AQ$2051:$AQ$2550,AQ2426,$W$2051:$W$2550,"&lt;"&amp;W2426))</f>
        <v/>
      </c>
      <c r="AT2426" s="105">
        <f>IF(AND(AL2426=1,OR(Master_rankableSchools!$A$10="All",C2426=Master_rankableSchools!$A$10),OR(Master_rankableSchools!$D$10="All",D2426=Master_rankableSchools!$D$10)),1,0)</f>
        <v>0</v>
      </c>
      <c r="AU2426" s="105" t="str">
        <f>IF(AT2426=0,"",CHOOSE(MATCH(Master_rankableSchools!$G$10,{"Priority score","Economic need","Enrollment","Fresh miles","Nearby resources"},0),T2426,G2426,F2426,K2426,L2426))</f>
        <v/>
      </c>
      <c r="AV2426" s="105" t="str">
        <f>IF(AT2426=0,"",1+COUNTIFS($AT$2051:$AT$2550,1,$AU$2051:$AU$2550,IF(Master_rankableSchools!$J$10="Ascending","&lt;","&gt;")&amp;AU2426)+COUNTIFS($AT$2051:$AT$2550,1,$AU$2051:$AU$2550,AU2426,$W$2051:$W$2550,"&lt;"&amp;W2426))</f>
        <v/>
      </c>
    </row>
    <row r="2427" spans="1:48" ht="22" customHeight="1">
      <c r="A2427" s="1" t="str">
        <f t="shared" si="150"/>
        <v/>
      </c>
      <c r="B2427" s="1" t="str">
        <f t="shared" si="151"/>
        <v/>
      </c>
      <c r="C2427" s="1" t="str">
        <f t="shared" si="152"/>
        <v/>
      </c>
      <c r="D2427" s="1" t="str">
        <f t="shared" si="153"/>
        <v/>
      </c>
      <c r="E2427" s="1" t="str">
        <f t="shared" si="154"/>
        <v/>
      </c>
      <c r="F2427" s="1" t="str">
        <f t="shared" si="155"/>
        <v/>
      </c>
      <c r="G2427" s="1" t="str">
        <f t="shared" si="156"/>
        <v/>
      </c>
      <c r="H2427" s="1" t="str">
        <f t="shared" si="157"/>
        <v/>
      </c>
      <c r="I2427" s="1">
        <f>IF(OR(A2427="",COUNTIFS('Staff Review'!$A$8:$A$507,A2427)&lt;&gt;1),0,MATCH(A2427,'Staff Review'!$A$8:$A$507,0))</f>
        <v>0</v>
      </c>
      <c r="J2427" s="1" t="str">
        <f>IF(I2427=0,"No",IF(INDEX('Staff Review'!$C$8:$C$507,I2427)="Yes","Yes","No"))</f>
        <v>No</v>
      </c>
      <c r="K2427" s="1" t="str">
        <f>IF(AI2427="Yes",INDEX('Staff Review'!$D$8:$D$507,I2427),IF(AB2427=0,"",IF(COUNT(INDEX($C$1531:$C$2030,AB2427))=1,INDEX($C$1531:$C$2030,AB2427),"")))</f>
        <v/>
      </c>
      <c r="L2427" s="1" t="str">
        <f>IF(AJ2427="Yes",INDEX('Staff Review'!$F$8:$F$507,I2427),IF(AB2427=0,"",IF(COUNT(INDEX($G$1531:$G$2030,AB2427))=1,INDEX($G$1531:$G$2030,AB2427),"")))</f>
        <v/>
      </c>
      <c r="M2427" s="1" t="str">
        <f t="shared" si="158"/>
        <v/>
      </c>
      <c r="N2427" s="1" t="str">
        <f t="shared" si="159"/>
        <v/>
      </c>
      <c r="O2427" s="1" t="str">
        <f t="shared" si="160"/>
        <v/>
      </c>
      <c r="P2427" s="1" t="str">
        <f t="shared" si="161"/>
        <v/>
      </c>
      <c r="Q2427" s="1" t="str">
        <f t="shared" si="162"/>
        <v/>
      </c>
      <c r="R2427" s="1" t="str">
        <f t="shared" si="163"/>
        <v/>
      </c>
      <c r="S2427" s="1" t="str">
        <f t="shared" si="164"/>
        <v/>
      </c>
      <c r="T2427" s="1" t="str">
        <f>IF(OR(COUNT(O2427:R2427)&lt;&gt;4,COUNT('Top 25'!$B$45:$E$45)&lt;&gt;4,MIN('Top 25'!$B$45:$E$45)&lt;0,SUM('Top 25'!$B$45:$E$45)&lt;=0),"",ROUND(85*(O2427/30*'Top 25'!$B$45+P2427/25*'Top 25'!$C$45+Q2427/25*'Top 25'!$D$45+R2427/5*'Top 25'!$E$45)/SUM('Top 25'!$B$45:$E$45),6))</f>
        <v/>
      </c>
      <c r="U2427" s="1" t="str">
        <f t="shared" si="165"/>
        <v/>
      </c>
      <c r="V2427" s="1" t="str">
        <f>IF(A2427="","",IF(AK2427&lt;&gt;1,"Duplicate source ID",IF(COUNTIFS('Staff Review'!$A$8:$A$507,A2427)&gt;1,"Duplicate review ID",IF(H2427&lt;&gt;"Yes","Outside scope",IF(J2427="Yes","Already served",IF(NOT(ISNUMBER(T2427)),"Missing data","Candidate"))))))</f>
        <v/>
      </c>
      <c r="W2427" s="1" t="str">
        <f t="shared" si="166"/>
        <v/>
      </c>
      <c r="X2427" s="1" t="str">
        <f t="shared" si="167"/>
        <v/>
      </c>
      <c r="Y2427" s="1">
        <f>IF(AND(H2427="Yes",OR(LEN('School Search'!$B$5)=0,ISNUMBER(SEARCH('School Search'!$B$5,B2427&amp;" "&amp;E2427&amp;" "&amp;A2427))),OR('School Search'!$D$5="All",C2427='School Search'!$D$5),OR('School Search'!$G$5="All eligible",AND('School Search'!$G$5="Not marked served",J2427&lt;&gt;"Yes"),AND('School Search'!$G$5="Missing data",V2427="Missing data"),AND('School Search'!$G$5="Marked served",J2427="Yes"))),1,0)</f>
        <v>0</v>
      </c>
      <c r="Z2427" s="1" t="str">
        <f>IF(Y2427=0,"",COUNTIFS($Y$2051:$Y$2550,1,$AO$2051:$AO$2550,"&lt;"&amp;AO2427)+COUNTIFS($Y$2051:Y2427,1,$AO$2051:AO2427,AO2427))</f>
        <v/>
      </c>
      <c r="AA2427" s="1" t="str">
        <f t="shared" si="168"/>
        <v>Missing demographic or access input</v>
      </c>
      <c r="AB2427" s="1">
        <f t="shared" si="169"/>
        <v>0</v>
      </c>
      <c r="AC2427" s="1" t="str">
        <f t="shared" si="170"/>
        <v/>
      </c>
      <c r="AD2427" s="1" t="str">
        <f t="shared" si="171"/>
        <v/>
      </c>
      <c r="AE2427" s="1" t="str">
        <f t="shared" si="172"/>
        <v/>
      </c>
      <c r="AF2427" s="1" t="str">
        <f t="shared" si="173"/>
        <v/>
      </c>
      <c r="AG2427" s="1" t="str">
        <f t="shared" si="174"/>
        <v/>
      </c>
      <c r="AH2427" s="1" t="str">
        <f>IF(I2427=0,"Not contacted",IF(INDEX('Staff Review'!$J$8:$J$507,I2427)="","Not contacted",INDEX('Staff Review'!$J$8:$J$507,I2427)))</f>
        <v>Not contacted</v>
      </c>
      <c r="AI2427" s="1" t="str">
        <f>IF(I2427=0,"No",IF(AND(COUNT(INDEX('Staff Review'!$D$8:$D$507,I2427))=1,INDEX('Staff Review'!$D$8:$D$507,I2427)&gt;=0,COUNT(INDEX('Staff Review'!$E$8:$E$507,I2427))=1,INDEX('Staff Review'!$E$8:$E$507,I2427)&gt;0,INDEX('Staff Review'!$E$8:$E$507,I2427)&lt;='Top 25'!$E$5,'Top 25'!$E$5-INDEX('Staff Review'!$E$8:$E$507,I2427)&lt;='Top 25'!$H$5,LEN(INDEX('Staff Review'!$H$8:$H$507,I2427))&gt;0),"Yes","No"))</f>
        <v>No</v>
      </c>
      <c r="AJ2427" s="1" t="str">
        <f>IF(I2427=0,"No",IF(COUNT(INDEX('Staff Review'!$F$8:$F$507,I2427))&lt;&gt;1,"No",IF(AND(INDEX('Staff Review'!$F$8:$F$507,I2427)&gt;=0,MOD(INDEX('Staff Review'!$F$8:$F$507,I2427),1)=0,COUNT(INDEX('Staff Review'!$G$8:$G$507,I2427))=1,INDEX('Staff Review'!$G$8:$G$507,I2427)&gt;0,INDEX('Staff Review'!$G$8:$G$507,I2427)&lt;='Top 25'!$E$5,'Top 25'!$E$5-INDEX('Staff Review'!$G$8:$G$507,I2427)&lt;='Top 25'!$H$5,LEN(INDEX('Staff Review'!$H$8:$H$507,I2427))&gt;0),"Yes","No")))</f>
        <v>No</v>
      </c>
      <c r="AK2427" s="1">
        <f t="shared" si="175"/>
        <v>0</v>
      </c>
      <c r="AL2427" s="1">
        <f t="shared" si="176"/>
        <v>0</v>
      </c>
      <c r="AM2427" s="1">
        <f t="shared" si="177"/>
        <v>0</v>
      </c>
      <c r="AN2427" s="1">
        <f t="shared" si="178"/>
        <v>0</v>
      </c>
      <c r="AO2427">
        <f t="shared" si="179"/>
        <v>10000</v>
      </c>
      <c r="AP2427" s="105">
        <f>IF(AND(AL2427=1,OR('Top 25'!$A$10="All",C2427='Top 25'!$A$10),OR('Top 25'!$D$10="All",D2427='Top 25'!$D$10)),1,0)</f>
        <v>0</v>
      </c>
      <c r="AQ2427" s="105" t="str">
        <f>IF(AP2427=0,"",CHOOSE(MATCH('Top 25'!$G$10,{"Priority score","Economic need","Enrollment","Fresh miles","Nearby resources"},0),T2427,G2427,F2427,K2427,L2427))</f>
        <v/>
      </c>
      <c r="AR2427" s="105" t="str">
        <f>IF(AP2427=0,"",1+COUNTIFS($AP$2051:$AP$2550,1,$AQ$2051:$AQ$2550,IF('Top 25'!$J$10="Ascending","&lt;","&gt;")&amp;AQ2427)+COUNTIFS($AP$2051:$AP$2550,1,$AQ$2051:$AQ$2550,AQ2427,$W$2051:$W$2550,"&lt;"&amp;W2427))</f>
        <v/>
      </c>
      <c r="AT2427" s="105">
        <f>IF(AND(AL2427=1,OR(Master_rankableSchools!$A$10="All",C2427=Master_rankableSchools!$A$10),OR(Master_rankableSchools!$D$10="All",D2427=Master_rankableSchools!$D$10)),1,0)</f>
        <v>0</v>
      </c>
      <c r="AU2427" s="105" t="str">
        <f>IF(AT2427=0,"",CHOOSE(MATCH(Master_rankableSchools!$G$10,{"Priority score","Economic need","Enrollment","Fresh miles","Nearby resources"},0),T2427,G2427,F2427,K2427,L2427))</f>
        <v/>
      </c>
      <c r="AV2427" s="105" t="str">
        <f>IF(AT2427=0,"",1+COUNTIFS($AT$2051:$AT$2550,1,$AU$2051:$AU$2550,IF(Master_rankableSchools!$J$10="Ascending","&lt;","&gt;")&amp;AU2427)+COUNTIFS($AT$2051:$AT$2550,1,$AU$2051:$AU$2550,AU2427,$W$2051:$W$2550,"&lt;"&amp;W2427))</f>
        <v/>
      </c>
    </row>
    <row r="2428" spans="1:48" ht="22" customHeight="1">
      <c r="A2428" s="1" t="str">
        <f t="shared" si="150"/>
        <v/>
      </c>
      <c r="B2428" s="1" t="str">
        <f t="shared" si="151"/>
        <v/>
      </c>
      <c r="C2428" s="1" t="str">
        <f t="shared" si="152"/>
        <v/>
      </c>
      <c r="D2428" s="1" t="str">
        <f t="shared" si="153"/>
        <v/>
      </c>
      <c r="E2428" s="1" t="str">
        <f t="shared" si="154"/>
        <v/>
      </c>
      <c r="F2428" s="1" t="str">
        <f t="shared" si="155"/>
        <v/>
      </c>
      <c r="G2428" s="1" t="str">
        <f t="shared" si="156"/>
        <v/>
      </c>
      <c r="H2428" s="1" t="str">
        <f t="shared" si="157"/>
        <v/>
      </c>
      <c r="I2428" s="1">
        <f>IF(OR(A2428="",COUNTIFS('Staff Review'!$A$8:$A$507,A2428)&lt;&gt;1),0,MATCH(A2428,'Staff Review'!$A$8:$A$507,0))</f>
        <v>0</v>
      </c>
      <c r="J2428" s="1" t="str">
        <f>IF(I2428=0,"No",IF(INDEX('Staff Review'!$C$8:$C$507,I2428)="Yes","Yes","No"))</f>
        <v>No</v>
      </c>
      <c r="K2428" s="1" t="str">
        <f>IF(AI2428="Yes",INDEX('Staff Review'!$D$8:$D$507,I2428),IF(AB2428=0,"",IF(COUNT(INDEX($C$1531:$C$2030,AB2428))=1,INDEX($C$1531:$C$2030,AB2428),"")))</f>
        <v/>
      </c>
      <c r="L2428" s="1" t="str">
        <f>IF(AJ2428="Yes",INDEX('Staff Review'!$F$8:$F$507,I2428),IF(AB2428=0,"",IF(COUNT(INDEX($G$1531:$G$2030,AB2428))=1,INDEX($G$1531:$G$2030,AB2428),"")))</f>
        <v/>
      </c>
      <c r="M2428" s="1" t="str">
        <f t="shared" si="158"/>
        <v/>
      </c>
      <c r="N2428" s="1" t="str">
        <f t="shared" si="159"/>
        <v/>
      </c>
      <c r="O2428" s="1" t="str">
        <f t="shared" si="160"/>
        <v/>
      </c>
      <c r="P2428" s="1" t="str">
        <f t="shared" si="161"/>
        <v/>
      </c>
      <c r="Q2428" s="1" t="str">
        <f t="shared" si="162"/>
        <v/>
      </c>
      <c r="R2428" s="1" t="str">
        <f t="shared" si="163"/>
        <v/>
      </c>
      <c r="S2428" s="1" t="str">
        <f t="shared" si="164"/>
        <v/>
      </c>
      <c r="T2428" s="1" t="str">
        <f>IF(OR(COUNT(O2428:R2428)&lt;&gt;4,COUNT('Top 25'!$B$45:$E$45)&lt;&gt;4,MIN('Top 25'!$B$45:$E$45)&lt;0,SUM('Top 25'!$B$45:$E$45)&lt;=0),"",ROUND(85*(O2428/30*'Top 25'!$B$45+P2428/25*'Top 25'!$C$45+Q2428/25*'Top 25'!$D$45+R2428/5*'Top 25'!$E$45)/SUM('Top 25'!$B$45:$E$45),6))</f>
        <v/>
      </c>
      <c r="U2428" s="1" t="str">
        <f t="shared" si="165"/>
        <v/>
      </c>
      <c r="V2428" s="1" t="str">
        <f>IF(A2428="","",IF(AK2428&lt;&gt;1,"Duplicate source ID",IF(COUNTIFS('Staff Review'!$A$8:$A$507,A2428)&gt;1,"Duplicate review ID",IF(H2428&lt;&gt;"Yes","Outside scope",IF(J2428="Yes","Already served",IF(NOT(ISNUMBER(T2428)),"Missing data","Candidate"))))))</f>
        <v/>
      </c>
      <c r="W2428" s="1" t="str">
        <f t="shared" si="166"/>
        <v/>
      </c>
      <c r="X2428" s="1" t="str">
        <f t="shared" si="167"/>
        <v/>
      </c>
      <c r="Y2428" s="1">
        <f>IF(AND(H2428="Yes",OR(LEN('School Search'!$B$5)=0,ISNUMBER(SEARCH('School Search'!$B$5,B2428&amp;" "&amp;E2428&amp;" "&amp;A2428))),OR('School Search'!$D$5="All",C2428='School Search'!$D$5),OR('School Search'!$G$5="All eligible",AND('School Search'!$G$5="Not marked served",J2428&lt;&gt;"Yes"),AND('School Search'!$G$5="Missing data",V2428="Missing data"),AND('School Search'!$G$5="Marked served",J2428="Yes"))),1,0)</f>
        <v>0</v>
      </c>
      <c r="Z2428" s="1" t="str">
        <f>IF(Y2428=0,"",COUNTIFS($Y$2051:$Y$2550,1,$AO$2051:$AO$2550,"&lt;"&amp;AO2428)+COUNTIFS($Y$2051:Y2428,1,$AO$2051:AO2428,AO2428))</f>
        <v/>
      </c>
      <c r="AA2428" s="1" t="str">
        <f t="shared" si="168"/>
        <v>Missing demographic or access input</v>
      </c>
      <c r="AB2428" s="1">
        <f t="shared" si="169"/>
        <v>0</v>
      </c>
      <c r="AC2428" s="1" t="str">
        <f t="shared" si="170"/>
        <v/>
      </c>
      <c r="AD2428" s="1" t="str">
        <f t="shared" si="171"/>
        <v/>
      </c>
      <c r="AE2428" s="1" t="str">
        <f t="shared" si="172"/>
        <v/>
      </c>
      <c r="AF2428" s="1" t="str">
        <f t="shared" si="173"/>
        <v/>
      </c>
      <c r="AG2428" s="1" t="str">
        <f t="shared" si="174"/>
        <v/>
      </c>
      <c r="AH2428" s="1" t="str">
        <f>IF(I2428=0,"Not contacted",IF(INDEX('Staff Review'!$J$8:$J$507,I2428)="","Not contacted",INDEX('Staff Review'!$J$8:$J$507,I2428)))</f>
        <v>Not contacted</v>
      </c>
      <c r="AI2428" s="1" t="str">
        <f>IF(I2428=0,"No",IF(AND(COUNT(INDEX('Staff Review'!$D$8:$D$507,I2428))=1,INDEX('Staff Review'!$D$8:$D$507,I2428)&gt;=0,COUNT(INDEX('Staff Review'!$E$8:$E$507,I2428))=1,INDEX('Staff Review'!$E$8:$E$507,I2428)&gt;0,INDEX('Staff Review'!$E$8:$E$507,I2428)&lt;='Top 25'!$E$5,'Top 25'!$E$5-INDEX('Staff Review'!$E$8:$E$507,I2428)&lt;='Top 25'!$H$5,LEN(INDEX('Staff Review'!$H$8:$H$507,I2428))&gt;0),"Yes","No"))</f>
        <v>No</v>
      </c>
      <c r="AJ2428" s="1" t="str">
        <f>IF(I2428=0,"No",IF(COUNT(INDEX('Staff Review'!$F$8:$F$507,I2428))&lt;&gt;1,"No",IF(AND(INDEX('Staff Review'!$F$8:$F$507,I2428)&gt;=0,MOD(INDEX('Staff Review'!$F$8:$F$507,I2428),1)=0,COUNT(INDEX('Staff Review'!$G$8:$G$507,I2428))=1,INDEX('Staff Review'!$G$8:$G$507,I2428)&gt;0,INDEX('Staff Review'!$G$8:$G$507,I2428)&lt;='Top 25'!$E$5,'Top 25'!$E$5-INDEX('Staff Review'!$G$8:$G$507,I2428)&lt;='Top 25'!$H$5,LEN(INDEX('Staff Review'!$H$8:$H$507,I2428))&gt;0),"Yes","No")))</f>
        <v>No</v>
      </c>
      <c r="AK2428" s="1">
        <f t="shared" si="175"/>
        <v>0</v>
      </c>
      <c r="AL2428" s="1">
        <f t="shared" si="176"/>
        <v>0</v>
      </c>
      <c r="AM2428" s="1">
        <f t="shared" si="177"/>
        <v>0</v>
      </c>
      <c r="AN2428" s="1">
        <f t="shared" si="178"/>
        <v>0</v>
      </c>
      <c r="AO2428">
        <f t="shared" si="179"/>
        <v>10000</v>
      </c>
      <c r="AP2428" s="105">
        <f>IF(AND(AL2428=1,OR('Top 25'!$A$10="All",C2428='Top 25'!$A$10),OR('Top 25'!$D$10="All",D2428='Top 25'!$D$10)),1,0)</f>
        <v>0</v>
      </c>
      <c r="AQ2428" s="105" t="str">
        <f>IF(AP2428=0,"",CHOOSE(MATCH('Top 25'!$G$10,{"Priority score","Economic need","Enrollment","Fresh miles","Nearby resources"},0),T2428,G2428,F2428,K2428,L2428))</f>
        <v/>
      </c>
      <c r="AR2428" s="105" t="str">
        <f>IF(AP2428=0,"",1+COUNTIFS($AP$2051:$AP$2550,1,$AQ$2051:$AQ$2550,IF('Top 25'!$J$10="Ascending","&lt;","&gt;")&amp;AQ2428)+COUNTIFS($AP$2051:$AP$2550,1,$AQ$2051:$AQ$2550,AQ2428,$W$2051:$W$2550,"&lt;"&amp;W2428))</f>
        <v/>
      </c>
      <c r="AT2428" s="105">
        <f>IF(AND(AL2428=1,OR(Master_rankableSchools!$A$10="All",C2428=Master_rankableSchools!$A$10),OR(Master_rankableSchools!$D$10="All",D2428=Master_rankableSchools!$D$10)),1,0)</f>
        <v>0</v>
      </c>
      <c r="AU2428" s="105" t="str">
        <f>IF(AT2428=0,"",CHOOSE(MATCH(Master_rankableSchools!$G$10,{"Priority score","Economic need","Enrollment","Fresh miles","Nearby resources"},0),T2428,G2428,F2428,K2428,L2428))</f>
        <v/>
      </c>
      <c r="AV2428" s="105" t="str">
        <f>IF(AT2428=0,"",1+COUNTIFS($AT$2051:$AT$2550,1,$AU$2051:$AU$2550,IF(Master_rankableSchools!$J$10="Ascending","&lt;","&gt;")&amp;AU2428)+COUNTIFS($AT$2051:$AT$2550,1,$AU$2051:$AU$2550,AU2428,$W$2051:$W$2550,"&lt;"&amp;W2428))</f>
        <v/>
      </c>
    </row>
    <row r="2429" spans="1:48" ht="22" customHeight="1">
      <c r="A2429" s="1" t="str">
        <f t="shared" si="150"/>
        <v/>
      </c>
      <c r="B2429" s="1" t="str">
        <f t="shared" si="151"/>
        <v/>
      </c>
      <c r="C2429" s="1" t="str">
        <f t="shared" si="152"/>
        <v/>
      </c>
      <c r="D2429" s="1" t="str">
        <f t="shared" si="153"/>
        <v/>
      </c>
      <c r="E2429" s="1" t="str">
        <f t="shared" si="154"/>
        <v/>
      </c>
      <c r="F2429" s="1" t="str">
        <f t="shared" si="155"/>
        <v/>
      </c>
      <c r="G2429" s="1" t="str">
        <f t="shared" si="156"/>
        <v/>
      </c>
      <c r="H2429" s="1" t="str">
        <f t="shared" si="157"/>
        <v/>
      </c>
      <c r="I2429" s="1">
        <f>IF(OR(A2429="",COUNTIFS('Staff Review'!$A$8:$A$507,A2429)&lt;&gt;1),0,MATCH(A2429,'Staff Review'!$A$8:$A$507,0))</f>
        <v>0</v>
      </c>
      <c r="J2429" s="1" t="str">
        <f>IF(I2429=0,"No",IF(INDEX('Staff Review'!$C$8:$C$507,I2429)="Yes","Yes","No"))</f>
        <v>No</v>
      </c>
      <c r="K2429" s="1" t="str">
        <f>IF(AI2429="Yes",INDEX('Staff Review'!$D$8:$D$507,I2429),IF(AB2429=0,"",IF(COUNT(INDEX($C$1531:$C$2030,AB2429))=1,INDEX($C$1531:$C$2030,AB2429),"")))</f>
        <v/>
      </c>
      <c r="L2429" s="1" t="str">
        <f>IF(AJ2429="Yes",INDEX('Staff Review'!$F$8:$F$507,I2429),IF(AB2429=0,"",IF(COUNT(INDEX($G$1531:$G$2030,AB2429))=1,INDEX($G$1531:$G$2030,AB2429),"")))</f>
        <v/>
      </c>
      <c r="M2429" s="1" t="str">
        <f t="shared" si="158"/>
        <v/>
      </c>
      <c r="N2429" s="1" t="str">
        <f t="shared" si="159"/>
        <v/>
      </c>
      <c r="O2429" s="1" t="str">
        <f t="shared" si="160"/>
        <v/>
      </c>
      <c r="P2429" s="1" t="str">
        <f t="shared" si="161"/>
        <v/>
      </c>
      <c r="Q2429" s="1" t="str">
        <f t="shared" si="162"/>
        <v/>
      </c>
      <c r="R2429" s="1" t="str">
        <f t="shared" si="163"/>
        <v/>
      </c>
      <c r="S2429" s="1" t="str">
        <f t="shared" si="164"/>
        <v/>
      </c>
      <c r="T2429" s="1" t="str">
        <f>IF(OR(COUNT(O2429:R2429)&lt;&gt;4,COUNT('Top 25'!$B$45:$E$45)&lt;&gt;4,MIN('Top 25'!$B$45:$E$45)&lt;0,SUM('Top 25'!$B$45:$E$45)&lt;=0),"",ROUND(85*(O2429/30*'Top 25'!$B$45+P2429/25*'Top 25'!$C$45+Q2429/25*'Top 25'!$D$45+R2429/5*'Top 25'!$E$45)/SUM('Top 25'!$B$45:$E$45),6))</f>
        <v/>
      </c>
      <c r="U2429" s="1" t="str">
        <f t="shared" si="165"/>
        <v/>
      </c>
      <c r="V2429" s="1" t="str">
        <f>IF(A2429="","",IF(AK2429&lt;&gt;1,"Duplicate source ID",IF(COUNTIFS('Staff Review'!$A$8:$A$507,A2429)&gt;1,"Duplicate review ID",IF(H2429&lt;&gt;"Yes","Outside scope",IF(J2429="Yes","Already served",IF(NOT(ISNUMBER(T2429)),"Missing data","Candidate"))))))</f>
        <v/>
      </c>
      <c r="W2429" s="1" t="str">
        <f t="shared" si="166"/>
        <v/>
      </c>
      <c r="X2429" s="1" t="str">
        <f t="shared" si="167"/>
        <v/>
      </c>
      <c r="Y2429" s="1">
        <f>IF(AND(H2429="Yes",OR(LEN('School Search'!$B$5)=0,ISNUMBER(SEARCH('School Search'!$B$5,B2429&amp;" "&amp;E2429&amp;" "&amp;A2429))),OR('School Search'!$D$5="All",C2429='School Search'!$D$5),OR('School Search'!$G$5="All eligible",AND('School Search'!$G$5="Not marked served",J2429&lt;&gt;"Yes"),AND('School Search'!$G$5="Missing data",V2429="Missing data"),AND('School Search'!$G$5="Marked served",J2429="Yes"))),1,0)</f>
        <v>0</v>
      </c>
      <c r="Z2429" s="1" t="str">
        <f>IF(Y2429=0,"",COUNTIFS($Y$2051:$Y$2550,1,$AO$2051:$AO$2550,"&lt;"&amp;AO2429)+COUNTIFS($Y$2051:Y2429,1,$AO$2051:AO2429,AO2429))</f>
        <v/>
      </c>
      <c r="AA2429" s="1" t="str">
        <f t="shared" si="168"/>
        <v>Missing demographic or access input</v>
      </c>
      <c r="AB2429" s="1">
        <f t="shared" si="169"/>
        <v>0</v>
      </c>
      <c r="AC2429" s="1" t="str">
        <f t="shared" si="170"/>
        <v/>
      </c>
      <c r="AD2429" s="1" t="str">
        <f t="shared" si="171"/>
        <v/>
      </c>
      <c r="AE2429" s="1" t="str">
        <f t="shared" si="172"/>
        <v/>
      </c>
      <c r="AF2429" s="1" t="str">
        <f t="shared" si="173"/>
        <v/>
      </c>
      <c r="AG2429" s="1" t="str">
        <f t="shared" si="174"/>
        <v/>
      </c>
      <c r="AH2429" s="1" t="str">
        <f>IF(I2429=0,"Not contacted",IF(INDEX('Staff Review'!$J$8:$J$507,I2429)="","Not contacted",INDEX('Staff Review'!$J$8:$J$507,I2429)))</f>
        <v>Not contacted</v>
      </c>
      <c r="AI2429" s="1" t="str">
        <f>IF(I2429=0,"No",IF(AND(COUNT(INDEX('Staff Review'!$D$8:$D$507,I2429))=1,INDEX('Staff Review'!$D$8:$D$507,I2429)&gt;=0,COUNT(INDEX('Staff Review'!$E$8:$E$507,I2429))=1,INDEX('Staff Review'!$E$8:$E$507,I2429)&gt;0,INDEX('Staff Review'!$E$8:$E$507,I2429)&lt;='Top 25'!$E$5,'Top 25'!$E$5-INDEX('Staff Review'!$E$8:$E$507,I2429)&lt;='Top 25'!$H$5,LEN(INDEX('Staff Review'!$H$8:$H$507,I2429))&gt;0),"Yes","No"))</f>
        <v>No</v>
      </c>
      <c r="AJ2429" s="1" t="str">
        <f>IF(I2429=0,"No",IF(COUNT(INDEX('Staff Review'!$F$8:$F$507,I2429))&lt;&gt;1,"No",IF(AND(INDEX('Staff Review'!$F$8:$F$507,I2429)&gt;=0,MOD(INDEX('Staff Review'!$F$8:$F$507,I2429),1)=0,COUNT(INDEX('Staff Review'!$G$8:$G$507,I2429))=1,INDEX('Staff Review'!$G$8:$G$507,I2429)&gt;0,INDEX('Staff Review'!$G$8:$G$507,I2429)&lt;='Top 25'!$E$5,'Top 25'!$E$5-INDEX('Staff Review'!$G$8:$G$507,I2429)&lt;='Top 25'!$H$5,LEN(INDEX('Staff Review'!$H$8:$H$507,I2429))&gt;0),"Yes","No")))</f>
        <v>No</v>
      </c>
      <c r="AK2429" s="1">
        <f t="shared" si="175"/>
        <v>0</v>
      </c>
      <c r="AL2429" s="1">
        <f t="shared" si="176"/>
        <v>0</v>
      </c>
      <c r="AM2429" s="1">
        <f t="shared" si="177"/>
        <v>0</v>
      </c>
      <c r="AN2429" s="1">
        <f t="shared" si="178"/>
        <v>0</v>
      </c>
      <c r="AO2429">
        <f t="shared" si="179"/>
        <v>10000</v>
      </c>
      <c r="AP2429" s="105">
        <f>IF(AND(AL2429=1,OR('Top 25'!$A$10="All",C2429='Top 25'!$A$10),OR('Top 25'!$D$10="All",D2429='Top 25'!$D$10)),1,0)</f>
        <v>0</v>
      </c>
      <c r="AQ2429" s="105" t="str">
        <f>IF(AP2429=0,"",CHOOSE(MATCH('Top 25'!$G$10,{"Priority score","Economic need","Enrollment","Fresh miles","Nearby resources"},0),T2429,G2429,F2429,K2429,L2429))</f>
        <v/>
      </c>
      <c r="AR2429" s="105" t="str">
        <f>IF(AP2429=0,"",1+COUNTIFS($AP$2051:$AP$2550,1,$AQ$2051:$AQ$2550,IF('Top 25'!$J$10="Ascending","&lt;","&gt;")&amp;AQ2429)+COUNTIFS($AP$2051:$AP$2550,1,$AQ$2051:$AQ$2550,AQ2429,$W$2051:$W$2550,"&lt;"&amp;W2429))</f>
        <v/>
      </c>
      <c r="AT2429" s="105">
        <f>IF(AND(AL2429=1,OR(Master_rankableSchools!$A$10="All",C2429=Master_rankableSchools!$A$10),OR(Master_rankableSchools!$D$10="All",D2429=Master_rankableSchools!$D$10)),1,0)</f>
        <v>0</v>
      </c>
      <c r="AU2429" s="105" t="str">
        <f>IF(AT2429=0,"",CHOOSE(MATCH(Master_rankableSchools!$G$10,{"Priority score","Economic need","Enrollment","Fresh miles","Nearby resources"},0),T2429,G2429,F2429,K2429,L2429))</f>
        <v/>
      </c>
      <c r="AV2429" s="105" t="str">
        <f>IF(AT2429=0,"",1+COUNTIFS($AT$2051:$AT$2550,1,$AU$2051:$AU$2550,IF(Master_rankableSchools!$J$10="Ascending","&lt;","&gt;")&amp;AU2429)+COUNTIFS($AT$2051:$AT$2550,1,$AU$2051:$AU$2550,AU2429,$W$2051:$W$2550,"&lt;"&amp;W2429))</f>
        <v/>
      </c>
    </row>
    <row r="2430" spans="1:48" ht="22" customHeight="1">
      <c r="A2430" s="1" t="str">
        <f t="shared" si="150"/>
        <v/>
      </c>
      <c r="B2430" s="1" t="str">
        <f t="shared" si="151"/>
        <v/>
      </c>
      <c r="C2430" s="1" t="str">
        <f t="shared" si="152"/>
        <v/>
      </c>
      <c r="D2430" s="1" t="str">
        <f t="shared" si="153"/>
        <v/>
      </c>
      <c r="E2430" s="1" t="str">
        <f t="shared" si="154"/>
        <v/>
      </c>
      <c r="F2430" s="1" t="str">
        <f t="shared" si="155"/>
        <v/>
      </c>
      <c r="G2430" s="1" t="str">
        <f t="shared" si="156"/>
        <v/>
      </c>
      <c r="H2430" s="1" t="str">
        <f t="shared" si="157"/>
        <v/>
      </c>
      <c r="I2430" s="1">
        <f>IF(OR(A2430="",COUNTIFS('Staff Review'!$A$8:$A$507,A2430)&lt;&gt;1),0,MATCH(A2430,'Staff Review'!$A$8:$A$507,0))</f>
        <v>0</v>
      </c>
      <c r="J2430" s="1" t="str">
        <f>IF(I2430=0,"No",IF(INDEX('Staff Review'!$C$8:$C$507,I2430)="Yes","Yes","No"))</f>
        <v>No</v>
      </c>
      <c r="K2430" s="1" t="str">
        <f>IF(AI2430="Yes",INDEX('Staff Review'!$D$8:$D$507,I2430),IF(AB2430=0,"",IF(COUNT(INDEX($C$1531:$C$2030,AB2430))=1,INDEX($C$1531:$C$2030,AB2430),"")))</f>
        <v/>
      </c>
      <c r="L2430" s="1" t="str">
        <f>IF(AJ2430="Yes",INDEX('Staff Review'!$F$8:$F$507,I2430),IF(AB2430=0,"",IF(COUNT(INDEX($G$1531:$G$2030,AB2430))=1,INDEX($G$1531:$G$2030,AB2430),"")))</f>
        <v/>
      </c>
      <c r="M2430" s="1" t="str">
        <f t="shared" si="158"/>
        <v/>
      </c>
      <c r="N2430" s="1" t="str">
        <f t="shared" si="159"/>
        <v/>
      </c>
      <c r="O2430" s="1" t="str">
        <f t="shared" si="160"/>
        <v/>
      </c>
      <c r="P2430" s="1" t="str">
        <f t="shared" si="161"/>
        <v/>
      </c>
      <c r="Q2430" s="1" t="str">
        <f t="shared" si="162"/>
        <v/>
      </c>
      <c r="R2430" s="1" t="str">
        <f t="shared" si="163"/>
        <v/>
      </c>
      <c r="S2430" s="1" t="str">
        <f t="shared" si="164"/>
        <v/>
      </c>
      <c r="T2430" s="1" t="str">
        <f>IF(OR(COUNT(O2430:R2430)&lt;&gt;4,COUNT('Top 25'!$B$45:$E$45)&lt;&gt;4,MIN('Top 25'!$B$45:$E$45)&lt;0,SUM('Top 25'!$B$45:$E$45)&lt;=0),"",ROUND(85*(O2430/30*'Top 25'!$B$45+P2430/25*'Top 25'!$C$45+Q2430/25*'Top 25'!$D$45+R2430/5*'Top 25'!$E$45)/SUM('Top 25'!$B$45:$E$45),6))</f>
        <v/>
      </c>
      <c r="U2430" s="1" t="str">
        <f t="shared" si="165"/>
        <v/>
      </c>
      <c r="V2430" s="1" t="str">
        <f>IF(A2430="","",IF(AK2430&lt;&gt;1,"Duplicate source ID",IF(COUNTIFS('Staff Review'!$A$8:$A$507,A2430)&gt;1,"Duplicate review ID",IF(H2430&lt;&gt;"Yes","Outside scope",IF(J2430="Yes","Already served",IF(NOT(ISNUMBER(T2430)),"Missing data","Candidate"))))))</f>
        <v/>
      </c>
      <c r="W2430" s="1" t="str">
        <f t="shared" si="166"/>
        <v/>
      </c>
      <c r="X2430" s="1" t="str">
        <f t="shared" si="167"/>
        <v/>
      </c>
      <c r="Y2430" s="1">
        <f>IF(AND(H2430="Yes",OR(LEN('School Search'!$B$5)=0,ISNUMBER(SEARCH('School Search'!$B$5,B2430&amp;" "&amp;E2430&amp;" "&amp;A2430))),OR('School Search'!$D$5="All",C2430='School Search'!$D$5),OR('School Search'!$G$5="All eligible",AND('School Search'!$G$5="Not marked served",J2430&lt;&gt;"Yes"),AND('School Search'!$G$5="Missing data",V2430="Missing data"),AND('School Search'!$G$5="Marked served",J2430="Yes"))),1,0)</f>
        <v>0</v>
      </c>
      <c r="Z2430" s="1" t="str">
        <f>IF(Y2430=0,"",COUNTIFS($Y$2051:$Y$2550,1,$AO$2051:$AO$2550,"&lt;"&amp;AO2430)+COUNTIFS($Y$2051:Y2430,1,$AO$2051:AO2430,AO2430))</f>
        <v/>
      </c>
      <c r="AA2430" s="1" t="str">
        <f t="shared" si="168"/>
        <v>Missing demographic or access input</v>
      </c>
      <c r="AB2430" s="1">
        <f t="shared" si="169"/>
        <v>0</v>
      </c>
      <c r="AC2430" s="1" t="str">
        <f t="shared" si="170"/>
        <v/>
      </c>
      <c r="AD2430" s="1" t="str">
        <f t="shared" si="171"/>
        <v/>
      </c>
      <c r="AE2430" s="1" t="str">
        <f t="shared" si="172"/>
        <v/>
      </c>
      <c r="AF2430" s="1" t="str">
        <f t="shared" si="173"/>
        <v/>
      </c>
      <c r="AG2430" s="1" t="str">
        <f t="shared" si="174"/>
        <v/>
      </c>
      <c r="AH2430" s="1" t="str">
        <f>IF(I2430=0,"Not contacted",IF(INDEX('Staff Review'!$J$8:$J$507,I2430)="","Not contacted",INDEX('Staff Review'!$J$8:$J$507,I2430)))</f>
        <v>Not contacted</v>
      </c>
      <c r="AI2430" s="1" t="str">
        <f>IF(I2430=0,"No",IF(AND(COUNT(INDEX('Staff Review'!$D$8:$D$507,I2430))=1,INDEX('Staff Review'!$D$8:$D$507,I2430)&gt;=0,COUNT(INDEX('Staff Review'!$E$8:$E$507,I2430))=1,INDEX('Staff Review'!$E$8:$E$507,I2430)&gt;0,INDEX('Staff Review'!$E$8:$E$507,I2430)&lt;='Top 25'!$E$5,'Top 25'!$E$5-INDEX('Staff Review'!$E$8:$E$507,I2430)&lt;='Top 25'!$H$5,LEN(INDEX('Staff Review'!$H$8:$H$507,I2430))&gt;0),"Yes","No"))</f>
        <v>No</v>
      </c>
      <c r="AJ2430" s="1" t="str">
        <f>IF(I2430=0,"No",IF(COUNT(INDEX('Staff Review'!$F$8:$F$507,I2430))&lt;&gt;1,"No",IF(AND(INDEX('Staff Review'!$F$8:$F$507,I2430)&gt;=0,MOD(INDEX('Staff Review'!$F$8:$F$507,I2430),1)=0,COUNT(INDEX('Staff Review'!$G$8:$G$507,I2430))=1,INDEX('Staff Review'!$G$8:$G$507,I2430)&gt;0,INDEX('Staff Review'!$G$8:$G$507,I2430)&lt;='Top 25'!$E$5,'Top 25'!$E$5-INDEX('Staff Review'!$G$8:$G$507,I2430)&lt;='Top 25'!$H$5,LEN(INDEX('Staff Review'!$H$8:$H$507,I2430))&gt;0),"Yes","No")))</f>
        <v>No</v>
      </c>
      <c r="AK2430" s="1">
        <f t="shared" si="175"/>
        <v>0</v>
      </c>
      <c r="AL2430" s="1">
        <f t="shared" si="176"/>
        <v>0</v>
      </c>
      <c r="AM2430" s="1">
        <f t="shared" si="177"/>
        <v>0</v>
      </c>
      <c r="AN2430" s="1">
        <f t="shared" si="178"/>
        <v>0</v>
      </c>
      <c r="AO2430">
        <f t="shared" si="179"/>
        <v>10000</v>
      </c>
      <c r="AP2430" s="105">
        <f>IF(AND(AL2430=1,OR('Top 25'!$A$10="All",C2430='Top 25'!$A$10),OR('Top 25'!$D$10="All",D2430='Top 25'!$D$10)),1,0)</f>
        <v>0</v>
      </c>
      <c r="AQ2430" s="105" t="str">
        <f>IF(AP2430=0,"",CHOOSE(MATCH('Top 25'!$G$10,{"Priority score","Economic need","Enrollment","Fresh miles","Nearby resources"},0),T2430,G2430,F2430,K2430,L2430))</f>
        <v/>
      </c>
      <c r="AR2430" s="105" t="str">
        <f>IF(AP2430=0,"",1+COUNTIFS($AP$2051:$AP$2550,1,$AQ$2051:$AQ$2550,IF('Top 25'!$J$10="Ascending","&lt;","&gt;")&amp;AQ2430)+COUNTIFS($AP$2051:$AP$2550,1,$AQ$2051:$AQ$2550,AQ2430,$W$2051:$W$2550,"&lt;"&amp;W2430))</f>
        <v/>
      </c>
      <c r="AT2430" s="105">
        <f>IF(AND(AL2430=1,OR(Master_rankableSchools!$A$10="All",C2430=Master_rankableSchools!$A$10),OR(Master_rankableSchools!$D$10="All",D2430=Master_rankableSchools!$D$10)),1,0)</f>
        <v>0</v>
      </c>
      <c r="AU2430" s="105" t="str">
        <f>IF(AT2430=0,"",CHOOSE(MATCH(Master_rankableSchools!$G$10,{"Priority score","Economic need","Enrollment","Fresh miles","Nearby resources"},0),T2430,G2430,F2430,K2430,L2430))</f>
        <v/>
      </c>
      <c r="AV2430" s="105" t="str">
        <f>IF(AT2430=0,"",1+COUNTIFS($AT$2051:$AT$2550,1,$AU$2051:$AU$2550,IF(Master_rankableSchools!$J$10="Ascending","&lt;","&gt;")&amp;AU2430)+COUNTIFS($AT$2051:$AT$2550,1,$AU$2051:$AU$2550,AU2430,$W$2051:$W$2550,"&lt;"&amp;W2430))</f>
        <v/>
      </c>
    </row>
    <row r="2431" spans="1:48" ht="22" customHeight="1">
      <c r="A2431" s="1" t="str">
        <f t="shared" si="150"/>
        <v/>
      </c>
      <c r="B2431" s="1" t="str">
        <f t="shared" si="151"/>
        <v/>
      </c>
      <c r="C2431" s="1" t="str">
        <f t="shared" si="152"/>
        <v/>
      </c>
      <c r="D2431" s="1" t="str">
        <f t="shared" si="153"/>
        <v/>
      </c>
      <c r="E2431" s="1" t="str">
        <f t="shared" si="154"/>
        <v/>
      </c>
      <c r="F2431" s="1" t="str">
        <f t="shared" si="155"/>
        <v/>
      </c>
      <c r="G2431" s="1" t="str">
        <f t="shared" si="156"/>
        <v/>
      </c>
      <c r="H2431" s="1" t="str">
        <f t="shared" si="157"/>
        <v/>
      </c>
      <c r="I2431" s="1">
        <f>IF(OR(A2431="",COUNTIFS('Staff Review'!$A$8:$A$507,A2431)&lt;&gt;1),0,MATCH(A2431,'Staff Review'!$A$8:$A$507,0))</f>
        <v>0</v>
      </c>
      <c r="J2431" s="1" t="str">
        <f>IF(I2431=0,"No",IF(INDEX('Staff Review'!$C$8:$C$507,I2431)="Yes","Yes","No"))</f>
        <v>No</v>
      </c>
      <c r="K2431" s="1" t="str">
        <f>IF(AI2431="Yes",INDEX('Staff Review'!$D$8:$D$507,I2431),IF(AB2431=0,"",IF(COUNT(INDEX($C$1531:$C$2030,AB2431))=1,INDEX($C$1531:$C$2030,AB2431),"")))</f>
        <v/>
      </c>
      <c r="L2431" s="1" t="str">
        <f>IF(AJ2431="Yes",INDEX('Staff Review'!$F$8:$F$507,I2431),IF(AB2431=0,"",IF(COUNT(INDEX($G$1531:$G$2030,AB2431))=1,INDEX($G$1531:$G$2030,AB2431),"")))</f>
        <v/>
      </c>
      <c r="M2431" s="1" t="str">
        <f t="shared" si="158"/>
        <v/>
      </c>
      <c r="N2431" s="1" t="str">
        <f t="shared" si="159"/>
        <v/>
      </c>
      <c r="O2431" s="1" t="str">
        <f t="shared" si="160"/>
        <v/>
      </c>
      <c r="P2431" s="1" t="str">
        <f t="shared" si="161"/>
        <v/>
      </c>
      <c r="Q2431" s="1" t="str">
        <f t="shared" si="162"/>
        <v/>
      </c>
      <c r="R2431" s="1" t="str">
        <f t="shared" si="163"/>
        <v/>
      </c>
      <c r="S2431" s="1" t="str">
        <f t="shared" si="164"/>
        <v/>
      </c>
      <c r="T2431" s="1" t="str">
        <f>IF(OR(COUNT(O2431:R2431)&lt;&gt;4,COUNT('Top 25'!$B$45:$E$45)&lt;&gt;4,MIN('Top 25'!$B$45:$E$45)&lt;0,SUM('Top 25'!$B$45:$E$45)&lt;=0),"",ROUND(85*(O2431/30*'Top 25'!$B$45+P2431/25*'Top 25'!$C$45+Q2431/25*'Top 25'!$D$45+R2431/5*'Top 25'!$E$45)/SUM('Top 25'!$B$45:$E$45),6))</f>
        <v/>
      </c>
      <c r="U2431" s="1" t="str">
        <f t="shared" si="165"/>
        <v/>
      </c>
      <c r="V2431" s="1" t="str">
        <f>IF(A2431="","",IF(AK2431&lt;&gt;1,"Duplicate source ID",IF(COUNTIFS('Staff Review'!$A$8:$A$507,A2431)&gt;1,"Duplicate review ID",IF(H2431&lt;&gt;"Yes","Outside scope",IF(J2431="Yes","Already served",IF(NOT(ISNUMBER(T2431)),"Missing data","Candidate"))))))</f>
        <v/>
      </c>
      <c r="W2431" s="1" t="str">
        <f t="shared" si="166"/>
        <v/>
      </c>
      <c r="X2431" s="1" t="str">
        <f t="shared" si="167"/>
        <v/>
      </c>
      <c r="Y2431" s="1">
        <f>IF(AND(H2431="Yes",OR(LEN('School Search'!$B$5)=0,ISNUMBER(SEARCH('School Search'!$B$5,B2431&amp;" "&amp;E2431&amp;" "&amp;A2431))),OR('School Search'!$D$5="All",C2431='School Search'!$D$5),OR('School Search'!$G$5="All eligible",AND('School Search'!$G$5="Not marked served",J2431&lt;&gt;"Yes"),AND('School Search'!$G$5="Missing data",V2431="Missing data"),AND('School Search'!$G$5="Marked served",J2431="Yes"))),1,0)</f>
        <v>0</v>
      </c>
      <c r="Z2431" s="1" t="str">
        <f>IF(Y2431=0,"",COUNTIFS($Y$2051:$Y$2550,1,$AO$2051:$AO$2550,"&lt;"&amp;AO2431)+COUNTIFS($Y$2051:Y2431,1,$AO$2051:AO2431,AO2431))</f>
        <v/>
      </c>
      <c r="AA2431" s="1" t="str">
        <f t="shared" si="168"/>
        <v>Missing demographic or access input</v>
      </c>
      <c r="AB2431" s="1">
        <f t="shared" si="169"/>
        <v>0</v>
      </c>
      <c r="AC2431" s="1" t="str">
        <f t="shared" si="170"/>
        <v/>
      </c>
      <c r="AD2431" s="1" t="str">
        <f t="shared" si="171"/>
        <v/>
      </c>
      <c r="AE2431" s="1" t="str">
        <f t="shared" si="172"/>
        <v/>
      </c>
      <c r="AF2431" s="1" t="str">
        <f t="shared" si="173"/>
        <v/>
      </c>
      <c r="AG2431" s="1" t="str">
        <f t="shared" si="174"/>
        <v/>
      </c>
      <c r="AH2431" s="1" t="str">
        <f>IF(I2431=0,"Not contacted",IF(INDEX('Staff Review'!$J$8:$J$507,I2431)="","Not contacted",INDEX('Staff Review'!$J$8:$J$507,I2431)))</f>
        <v>Not contacted</v>
      </c>
      <c r="AI2431" s="1" t="str">
        <f>IF(I2431=0,"No",IF(AND(COUNT(INDEX('Staff Review'!$D$8:$D$507,I2431))=1,INDEX('Staff Review'!$D$8:$D$507,I2431)&gt;=0,COUNT(INDEX('Staff Review'!$E$8:$E$507,I2431))=1,INDEX('Staff Review'!$E$8:$E$507,I2431)&gt;0,INDEX('Staff Review'!$E$8:$E$507,I2431)&lt;='Top 25'!$E$5,'Top 25'!$E$5-INDEX('Staff Review'!$E$8:$E$507,I2431)&lt;='Top 25'!$H$5,LEN(INDEX('Staff Review'!$H$8:$H$507,I2431))&gt;0),"Yes","No"))</f>
        <v>No</v>
      </c>
      <c r="AJ2431" s="1" t="str">
        <f>IF(I2431=0,"No",IF(COUNT(INDEX('Staff Review'!$F$8:$F$507,I2431))&lt;&gt;1,"No",IF(AND(INDEX('Staff Review'!$F$8:$F$507,I2431)&gt;=0,MOD(INDEX('Staff Review'!$F$8:$F$507,I2431),1)=0,COUNT(INDEX('Staff Review'!$G$8:$G$507,I2431))=1,INDEX('Staff Review'!$G$8:$G$507,I2431)&gt;0,INDEX('Staff Review'!$G$8:$G$507,I2431)&lt;='Top 25'!$E$5,'Top 25'!$E$5-INDEX('Staff Review'!$G$8:$G$507,I2431)&lt;='Top 25'!$H$5,LEN(INDEX('Staff Review'!$H$8:$H$507,I2431))&gt;0),"Yes","No")))</f>
        <v>No</v>
      </c>
      <c r="AK2431" s="1">
        <f t="shared" si="175"/>
        <v>0</v>
      </c>
      <c r="AL2431" s="1">
        <f t="shared" si="176"/>
        <v>0</v>
      </c>
      <c r="AM2431" s="1">
        <f t="shared" si="177"/>
        <v>0</v>
      </c>
      <c r="AN2431" s="1">
        <f t="shared" si="178"/>
        <v>0</v>
      </c>
      <c r="AO2431">
        <f t="shared" si="179"/>
        <v>10000</v>
      </c>
      <c r="AP2431" s="105">
        <f>IF(AND(AL2431=1,OR('Top 25'!$A$10="All",C2431='Top 25'!$A$10),OR('Top 25'!$D$10="All",D2431='Top 25'!$D$10)),1,0)</f>
        <v>0</v>
      </c>
      <c r="AQ2431" s="105" t="str">
        <f>IF(AP2431=0,"",CHOOSE(MATCH('Top 25'!$G$10,{"Priority score","Economic need","Enrollment","Fresh miles","Nearby resources"},0),T2431,G2431,F2431,K2431,L2431))</f>
        <v/>
      </c>
      <c r="AR2431" s="105" t="str">
        <f>IF(AP2431=0,"",1+COUNTIFS($AP$2051:$AP$2550,1,$AQ$2051:$AQ$2550,IF('Top 25'!$J$10="Ascending","&lt;","&gt;")&amp;AQ2431)+COUNTIFS($AP$2051:$AP$2550,1,$AQ$2051:$AQ$2550,AQ2431,$W$2051:$W$2550,"&lt;"&amp;W2431))</f>
        <v/>
      </c>
      <c r="AT2431" s="105">
        <f>IF(AND(AL2431=1,OR(Master_rankableSchools!$A$10="All",C2431=Master_rankableSchools!$A$10),OR(Master_rankableSchools!$D$10="All",D2431=Master_rankableSchools!$D$10)),1,0)</f>
        <v>0</v>
      </c>
      <c r="AU2431" s="105" t="str">
        <f>IF(AT2431=0,"",CHOOSE(MATCH(Master_rankableSchools!$G$10,{"Priority score","Economic need","Enrollment","Fresh miles","Nearby resources"},0),T2431,G2431,F2431,K2431,L2431))</f>
        <v/>
      </c>
      <c r="AV2431" s="105" t="str">
        <f>IF(AT2431=0,"",1+COUNTIFS($AT$2051:$AT$2550,1,$AU$2051:$AU$2550,IF(Master_rankableSchools!$J$10="Ascending","&lt;","&gt;")&amp;AU2431)+COUNTIFS($AT$2051:$AT$2550,1,$AU$2051:$AU$2550,AU2431,$W$2051:$W$2550,"&lt;"&amp;W2431))</f>
        <v/>
      </c>
    </row>
    <row r="2432" spans="1:48" ht="22" customHeight="1">
      <c r="A2432" s="1" t="str">
        <f t="shared" si="150"/>
        <v/>
      </c>
      <c r="B2432" s="1" t="str">
        <f t="shared" si="151"/>
        <v/>
      </c>
      <c r="C2432" s="1" t="str">
        <f t="shared" si="152"/>
        <v/>
      </c>
      <c r="D2432" s="1" t="str">
        <f t="shared" si="153"/>
        <v/>
      </c>
      <c r="E2432" s="1" t="str">
        <f t="shared" si="154"/>
        <v/>
      </c>
      <c r="F2432" s="1" t="str">
        <f t="shared" si="155"/>
        <v/>
      </c>
      <c r="G2432" s="1" t="str">
        <f t="shared" si="156"/>
        <v/>
      </c>
      <c r="H2432" s="1" t="str">
        <f t="shared" si="157"/>
        <v/>
      </c>
      <c r="I2432" s="1">
        <f>IF(OR(A2432="",COUNTIFS('Staff Review'!$A$8:$A$507,A2432)&lt;&gt;1),0,MATCH(A2432,'Staff Review'!$A$8:$A$507,0))</f>
        <v>0</v>
      </c>
      <c r="J2432" s="1" t="str">
        <f>IF(I2432=0,"No",IF(INDEX('Staff Review'!$C$8:$C$507,I2432)="Yes","Yes","No"))</f>
        <v>No</v>
      </c>
      <c r="K2432" s="1" t="str">
        <f>IF(AI2432="Yes",INDEX('Staff Review'!$D$8:$D$507,I2432),IF(AB2432=0,"",IF(COUNT(INDEX($C$1531:$C$2030,AB2432))=1,INDEX($C$1531:$C$2030,AB2432),"")))</f>
        <v/>
      </c>
      <c r="L2432" s="1" t="str">
        <f>IF(AJ2432="Yes",INDEX('Staff Review'!$F$8:$F$507,I2432),IF(AB2432=0,"",IF(COUNT(INDEX($G$1531:$G$2030,AB2432))=1,INDEX($G$1531:$G$2030,AB2432),"")))</f>
        <v/>
      </c>
      <c r="M2432" s="1" t="str">
        <f t="shared" si="158"/>
        <v/>
      </c>
      <c r="N2432" s="1" t="str">
        <f t="shared" si="159"/>
        <v/>
      </c>
      <c r="O2432" s="1" t="str">
        <f t="shared" si="160"/>
        <v/>
      </c>
      <c r="P2432" s="1" t="str">
        <f t="shared" si="161"/>
        <v/>
      </c>
      <c r="Q2432" s="1" t="str">
        <f t="shared" si="162"/>
        <v/>
      </c>
      <c r="R2432" s="1" t="str">
        <f t="shared" si="163"/>
        <v/>
      </c>
      <c r="S2432" s="1" t="str">
        <f t="shared" si="164"/>
        <v/>
      </c>
      <c r="T2432" s="1" t="str">
        <f>IF(OR(COUNT(O2432:R2432)&lt;&gt;4,COUNT('Top 25'!$B$45:$E$45)&lt;&gt;4,MIN('Top 25'!$B$45:$E$45)&lt;0,SUM('Top 25'!$B$45:$E$45)&lt;=0),"",ROUND(85*(O2432/30*'Top 25'!$B$45+P2432/25*'Top 25'!$C$45+Q2432/25*'Top 25'!$D$45+R2432/5*'Top 25'!$E$45)/SUM('Top 25'!$B$45:$E$45),6))</f>
        <v/>
      </c>
      <c r="U2432" s="1" t="str">
        <f t="shared" si="165"/>
        <v/>
      </c>
      <c r="V2432" s="1" t="str">
        <f>IF(A2432="","",IF(AK2432&lt;&gt;1,"Duplicate source ID",IF(COUNTIFS('Staff Review'!$A$8:$A$507,A2432)&gt;1,"Duplicate review ID",IF(H2432&lt;&gt;"Yes","Outside scope",IF(J2432="Yes","Already served",IF(NOT(ISNUMBER(T2432)),"Missing data","Candidate"))))))</f>
        <v/>
      </c>
      <c r="W2432" s="1" t="str">
        <f t="shared" si="166"/>
        <v/>
      </c>
      <c r="X2432" s="1" t="str">
        <f t="shared" si="167"/>
        <v/>
      </c>
      <c r="Y2432" s="1">
        <f>IF(AND(H2432="Yes",OR(LEN('School Search'!$B$5)=0,ISNUMBER(SEARCH('School Search'!$B$5,B2432&amp;" "&amp;E2432&amp;" "&amp;A2432))),OR('School Search'!$D$5="All",C2432='School Search'!$D$5),OR('School Search'!$G$5="All eligible",AND('School Search'!$G$5="Not marked served",J2432&lt;&gt;"Yes"),AND('School Search'!$G$5="Missing data",V2432="Missing data"),AND('School Search'!$G$5="Marked served",J2432="Yes"))),1,0)</f>
        <v>0</v>
      </c>
      <c r="Z2432" s="1" t="str">
        <f>IF(Y2432=0,"",COUNTIFS($Y$2051:$Y$2550,1,$AO$2051:$AO$2550,"&lt;"&amp;AO2432)+COUNTIFS($Y$2051:Y2432,1,$AO$2051:AO2432,AO2432))</f>
        <v/>
      </c>
      <c r="AA2432" s="1" t="str">
        <f t="shared" si="168"/>
        <v>Missing demographic or access input</v>
      </c>
      <c r="AB2432" s="1">
        <f t="shared" si="169"/>
        <v>0</v>
      </c>
      <c r="AC2432" s="1" t="str">
        <f t="shared" si="170"/>
        <v/>
      </c>
      <c r="AD2432" s="1" t="str">
        <f t="shared" si="171"/>
        <v/>
      </c>
      <c r="AE2432" s="1" t="str">
        <f t="shared" si="172"/>
        <v/>
      </c>
      <c r="AF2432" s="1" t="str">
        <f t="shared" si="173"/>
        <v/>
      </c>
      <c r="AG2432" s="1" t="str">
        <f t="shared" si="174"/>
        <v/>
      </c>
      <c r="AH2432" s="1" t="str">
        <f>IF(I2432=0,"Not contacted",IF(INDEX('Staff Review'!$J$8:$J$507,I2432)="","Not contacted",INDEX('Staff Review'!$J$8:$J$507,I2432)))</f>
        <v>Not contacted</v>
      </c>
      <c r="AI2432" s="1" t="str">
        <f>IF(I2432=0,"No",IF(AND(COUNT(INDEX('Staff Review'!$D$8:$D$507,I2432))=1,INDEX('Staff Review'!$D$8:$D$507,I2432)&gt;=0,COUNT(INDEX('Staff Review'!$E$8:$E$507,I2432))=1,INDEX('Staff Review'!$E$8:$E$507,I2432)&gt;0,INDEX('Staff Review'!$E$8:$E$507,I2432)&lt;='Top 25'!$E$5,'Top 25'!$E$5-INDEX('Staff Review'!$E$8:$E$507,I2432)&lt;='Top 25'!$H$5,LEN(INDEX('Staff Review'!$H$8:$H$507,I2432))&gt;0),"Yes","No"))</f>
        <v>No</v>
      </c>
      <c r="AJ2432" s="1" t="str">
        <f>IF(I2432=0,"No",IF(COUNT(INDEX('Staff Review'!$F$8:$F$507,I2432))&lt;&gt;1,"No",IF(AND(INDEX('Staff Review'!$F$8:$F$507,I2432)&gt;=0,MOD(INDEX('Staff Review'!$F$8:$F$507,I2432),1)=0,COUNT(INDEX('Staff Review'!$G$8:$G$507,I2432))=1,INDEX('Staff Review'!$G$8:$G$507,I2432)&gt;0,INDEX('Staff Review'!$G$8:$G$507,I2432)&lt;='Top 25'!$E$5,'Top 25'!$E$5-INDEX('Staff Review'!$G$8:$G$507,I2432)&lt;='Top 25'!$H$5,LEN(INDEX('Staff Review'!$H$8:$H$507,I2432))&gt;0),"Yes","No")))</f>
        <v>No</v>
      </c>
      <c r="AK2432" s="1">
        <f t="shared" si="175"/>
        <v>0</v>
      </c>
      <c r="AL2432" s="1">
        <f t="shared" si="176"/>
        <v>0</v>
      </c>
      <c r="AM2432" s="1">
        <f t="shared" si="177"/>
        <v>0</v>
      </c>
      <c r="AN2432" s="1">
        <f t="shared" si="178"/>
        <v>0</v>
      </c>
      <c r="AO2432">
        <f t="shared" si="179"/>
        <v>10000</v>
      </c>
      <c r="AP2432" s="105">
        <f>IF(AND(AL2432=1,OR('Top 25'!$A$10="All",C2432='Top 25'!$A$10),OR('Top 25'!$D$10="All",D2432='Top 25'!$D$10)),1,0)</f>
        <v>0</v>
      </c>
      <c r="AQ2432" s="105" t="str">
        <f>IF(AP2432=0,"",CHOOSE(MATCH('Top 25'!$G$10,{"Priority score","Economic need","Enrollment","Fresh miles","Nearby resources"},0),T2432,G2432,F2432,K2432,L2432))</f>
        <v/>
      </c>
      <c r="AR2432" s="105" t="str">
        <f>IF(AP2432=0,"",1+COUNTIFS($AP$2051:$AP$2550,1,$AQ$2051:$AQ$2550,IF('Top 25'!$J$10="Ascending","&lt;","&gt;")&amp;AQ2432)+COUNTIFS($AP$2051:$AP$2550,1,$AQ$2051:$AQ$2550,AQ2432,$W$2051:$W$2550,"&lt;"&amp;W2432))</f>
        <v/>
      </c>
      <c r="AT2432" s="105">
        <f>IF(AND(AL2432=1,OR(Master_rankableSchools!$A$10="All",C2432=Master_rankableSchools!$A$10),OR(Master_rankableSchools!$D$10="All",D2432=Master_rankableSchools!$D$10)),1,0)</f>
        <v>0</v>
      </c>
      <c r="AU2432" s="105" t="str">
        <f>IF(AT2432=0,"",CHOOSE(MATCH(Master_rankableSchools!$G$10,{"Priority score","Economic need","Enrollment","Fresh miles","Nearby resources"},0),T2432,G2432,F2432,K2432,L2432))</f>
        <v/>
      </c>
      <c r="AV2432" s="105" t="str">
        <f>IF(AT2432=0,"",1+COUNTIFS($AT$2051:$AT$2550,1,$AU$2051:$AU$2550,IF(Master_rankableSchools!$J$10="Ascending","&lt;","&gt;")&amp;AU2432)+COUNTIFS($AT$2051:$AT$2550,1,$AU$2051:$AU$2550,AU2432,$W$2051:$W$2550,"&lt;"&amp;W2432))</f>
        <v/>
      </c>
    </row>
    <row r="2433" spans="1:48" ht="22" customHeight="1">
      <c r="A2433" s="1" t="str">
        <f t="shared" si="150"/>
        <v/>
      </c>
      <c r="B2433" s="1" t="str">
        <f t="shared" si="151"/>
        <v/>
      </c>
      <c r="C2433" s="1" t="str">
        <f t="shared" si="152"/>
        <v/>
      </c>
      <c r="D2433" s="1" t="str">
        <f t="shared" si="153"/>
        <v/>
      </c>
      <c r="E2433" s="1" t="str">
        <f t="shared" si="154"/>
        <v/>
      </c>
      <c r="F2433" s="1" t="str">
        <f t="shared" si="155"/>
        <v/>
      </c>
      <c r="G2433" s="1" t="str">
        <f t="shared" si="156"/>
        <v/>
      </c>
      <c r="H2433" s="1" t="str">
        <f t="shared" si="157"/>
        <v/>
      </c>
      <c r="I2433" s="1">
        <f>IF(OR(A2433="",COUNTIFS('Staff Review'!$A$8:$A$507,A2433)&lt;&gt;1),0,MATCH(A2433,'Staff Review'!$A$8:$A$507,0))</f>
        <v>0</v>
      </c>
      <c r="J2433" s="1" t="str">
        <f>IF(I2433=0,"No",IF(INDEX('Staff Review'!$C$8:$C$507,I2433)="Yes","Yes","No"))</f>
        <v>No</v>
      </c>
      <c r="K2433" s="1" t="str">
        <f>IF(AI2433="Yes",INDEX('Staff Review'!$D$8:$D$507,I2433),IF(AB2433=0,"",IF(COUNT(INDEX($C$1531:$C$2030,AB2433))=1,INDEX($C$1531:$C$2030,AB2433),"")))</f>
        <v/>
      </c>
      <c r="L2433" s="1" t="str">
        <f>IF(AJ2433="Yes",INDEX('Staff Review'!$F$8:$F$507,I2433),IF(AB2433=0,"",IF(COUNT(INDEX($G$1531:$G$2030,AB2433))=1,INDEX($G$1531:$G$2030,AB2433),"")))</f>
        <v/>
      </c>
      <c r="M2433" s="1" t="str">
        <f t="shared" si="158"/>
        <v/>
      </c>
      <c r="N2433" s="1" t="str">
        <f t="shared" si="159"/>
        <v/>
      </c>
      <c r="O2433" s="1" t="str">
        <f t="shared" si="160"/>
        <v/>
      </c>
      <c r="P2433" s="1" t="str">
        <f t="shared" si="161"/>
        <v/>
      </c>
      <c r="Q2433" s="1" t="str">
        <f t="shared" si="162"/>
        <v/>
      </c>
      <c r="R2433" s="1" t="str">
        <f t="shared" si="163"/>
        <v/>
      </c>
      <c r="S2433" s="1" t="str">
        <f t="shared" si="164"/>
        <v/>
      </c>
      <c r="T2433" s="1" t="str">
        <f>IF(OR(COUNT(O2433:R2433)&lt;&gt;4,COUNT('Top 25'!$B$45:$E$45)&lt;&gt;4,MIN('Top 25'!$B$45:$E$45)&lt;0,SUM('Top 25'!$B$45:$E$45)&lt;=0),"",ROUND(85*(O2433/30*'Top 25'!$B$45+P2433/25*'Top 25'!$C$45+Q2433/25*'Top 25'!$D$45+R2433/5*'Top 25'!$E$45)/SUM('Top 25'!$B$45:$E$45),6))</f>
        <v/>
      </c>
      <c r="U2433" s="1" t="str">
        <f t="shared" si="165"/>
        <v/>
      </c>
      <c r="V2433" s="1" t="str">
        <f>IF(A2433="","",IF(AK2433&lt;&gt;1,"Duplicate source ID",IF(COUNTIFS('Staff Review'!$A$8:$A$507,A2433)&gt;1,"Duplicate review ID",IF(H2433&lt;&gt;"Yes","Outside scope",IF(J2433="Yes","Already served",IF(NOT(ISNUMBER(T2433)),"Missing data","Candidate"))))))</f>
        <v/>
      </c>
      <c r="W2433" s="1" t="str">
        <f t="shared" si="166"/>
        <v/>
      </c>
      <c r="X2433" s="1" t="str">
        <f t="shared" si="167"/>
        <v/>
      </c>
      <c r="Y2433" s="1">
        <f>IF(AND(H2433="Yes",OR(LEN('School Search'!$B$5)=0,ISNUMBER(SEARCH('School Search'!$B$5,B2433&amp;" "&amp;E2433&amp;" "&amp;A2433))),OR('School Search'!$D$5="All",C2433='School Search'!$D$5),OR('School Search'!$G$5="All eligible",AND('School Search'!$G$5="Not marked served",J2433&lt;&gt;"Yes"),AND('School Search'!$G$5="Missing data",V2433="Missing data"),AND('School Search'!$G$5="Marked served",J2433="Yes"))),1,0)</f>
        <v>0</v>
      </c>
      <c r="Z2433" s="1" t="str">
        <f>IF(Y2433=0,"",COUNTIFS($Y$2051:$Y$2550,1,$AO$2051:$AO$2550,"&lt;"&amp;AO2433)+COUNTIFS($Y$2051:Y2433,1,$AO$2051:AO2433,AO2433))</f>
        <v/>
      </c>
      <c r="AA2433" s="1" t="str">
        <f t="shared" si="168"/>
        <v>Missing demographic or access input</v>
      </c>
      <c r="AB2433" s="1">
        <f t="shared" si="169"/>
        <v>0</v>
      </c>
      <c r="AC2433" s="1" t="str">
        <f t="shared" si="170"/>
        <v/>
      </c>
      <c r="AD2433" s="1" t="str">
        <f t="shared" si="171"/>
        <v/>
      </c>
      <c r="AE2433" s="1" t="str">
        <f t="shared" si="172"/>
        <v/>
      </c>
      <c r="AF2433" s="1" t="str">
        <f t="shared" si="173"/>
        <v/>
      </c>
      <c r="AG2433" s="1" t="str">
        <f t="shared" si="174"/>
        <v/>
      </c>
      <c r="AH2433" s="1" t="str">
        <f>IF(I2433=0,"Not contacted",IF(INDEX('Staff Review'!$J$8:$J$507,I2433)="","Not contacted",INDEX('Staff Review'!$J$8:$J$507,I2433)))</f>
        <v>Not contacted</v>
      </c>
      <c r="AI2433" s="1" t="str">
        <f>IF(I2433=0,"No",IF(AND(COUNT(INDEX('Staff Review'!$D$8:$D$507,I2433))=1,INDEX('Staff Review'!$D$8:$D$507,I2433)&gt;=0,COUNT(INDEX('Staff Review'!$E$8:$E$507,I2433))=1,INDEX('Staff Review'!$E$8:$E$507,I2433)&gt;0,INDEX('Staff Review'!$E$8:$E$507,I2433)&lt;='Top 25'!$E$5,'Top 25'!$E$5-INDEX('Staff Review'!$E$8:$E$507,I2433)&lt;='Top 25'!$H$5,LEN(INDEX('Staff Review'!$H$8:$H$507,I2433))&gt;0),"Yes","No"))</f>
        <v>No</v>
      </c>
      <c r="AJ2433" s="1" t="str">
        <f>IF(I2433=0,"No",IF(COUNT(INDEX('Staff Review'!$F$8:$F$507,I2433))&lt;&gt;1,"No",IF(AND(INDEX('Staff Review'!$F$8:$F$507,I2433)&gt;=0,MOD(INDEX('Staff Review'!$F$8:$F$507,I2433),1)=0,COUNT(INDEX('Staff Review'!$G$8:$G$507,I2433))=1,INDEX('Staff Review'!$G$8:$G$507,I2433)&gt;0,INDEX('Staff Review'!$G$8:$G$507,I2433)&lt;='Top 25'!$E$5,'Top 25'!$E$5-INDEX('Staff Review'!$G$8:$G$507,I2433)&lt;='Top 25'!$H$5,LEN(INDEX('Staff Review'!$H$8:$H$507,I2433))&gt;0),"Yes","No")))</f>
        <v>No</v>
      </c>
      <c r="AK2433" s="1">
        <f t="shared" si="175"/>
        <v>0</v>
      </c>
      <c r="AL2433" s="1">
        <f t="shared" si="176"/>
        <v>0</v>
      </c>
      <c r="AM2433" s="1">
        <f t="shared" si="177"/>
        <v>0</v>
      </c>
      <c r="AN2433" s="1">
        <f t="shared" si="178"/>
        <v>0</v>
      </c>
      <c r="AO2433">
        <f t="shared" si="179"/>
        <v>10000</v>
      </c>
      <c r="AP2433" s="105">
        <f>IF(AND(AL2433=1,OR('Top 25'!$A$10="All",C2433='Top 25'!$A$10),OR('Top 25'!$D$10="All",D2433='Top 25'!$D$10)),1,0)</f>
        <v>0</v>
      </c>
      <c r="AQ2433" s="105" t="str">
        <f>IF(AP2433=0,"",CHOOSE(MATCH('Top 25'!$G$10,{"Priority score","Economic need","Enrollment","Fresh miles","Nearby resources"},0),T2433,G2433,F2433,K2433,L2433))</f>
        <v/>
      </c>
      <c r="AR2433" s="105" t="str">
        <f>IF(AP2433=0,"",1+COUNTIFS($AP$2051:$AP$2550,1,$AQ$2051:$AQ$2550,IF('Top 25'!$J$10="Ascending","&lt;","&gt;")&amp;AQ2433)+COUNTIFS($AP$2051:$AP$2550,1,$AQ$2051:$AQ$2550,AQ2433,$W$2051:$W$2550,"&lt;"&amp;W2433))</f>
        <v/>
      </c>
      <c r="AT2433" s="105">
        <f>IF(AND(AL2433=1,OR(Master_rankableSchools!$A$10="All",C2433=Master_rankableSchools!$A$10),OR(Master_rankableSchools!$D$10="All",D2433=Master_rankableSchools!$D$10)),1,0)</f>
        <v>0</v>
      </c>
      <c r="AU2433" s="105" t="str">
        <f>IF(AT2433=0,"",CHOOSE(MATCH(Master_rankableSchools!$G$10,{"Priority score","Economic need","Enrollment","Fresh miles","Nearby resources"},0),T2433,G2433,F2433,K2433,L2433))</f>
        <v/>
      </c>
      <c r="AV2433" s="105" t="str">
        <f>IF(AT2433=0,"",1+COUNTIFS($AT$2051:$AT$2550,1,$AU$2051:$AU$2550,IF(Master_rankableSchools!$J$10="Ascending","&lt;","&gt;")&amp;AU2433)+COUNTIFS($AT$2051:$AT$2550,1,$AU$2051:$AU$2550,AU2433,$W$2051:$W$2550,"&lt;"&amp;W2433))</f>
        <v/>
      </c>
    </row>
    <row r="2434" spans="1:48" ht="22" customHeight="1">
      <c r="A2434" s="1" t="str">
        <f t="shared" si="150"/>
        <v/>
      </c>
      <c r="B2434" s="1" t="str">
        <f t="shared" si="151"/>
        <v/>
      </c>
      <c r="C2434" s="1" t="str">
        <f t="shared" si="152"/>
        <v/>
      </c>
      <c r="D2434" s="1" t="str">
        <f t="shared" si="153"/>
        <v/>
      </c>
      <c r="E2434" s="1" t="str">
        <f t="shared" si="154"/>
        <v/>
      </c>
      <c r="F2434" s="1" t="str">
        <f t="shared" si="155"/>
        <v/>
      </c>
      <c r="G2434" s="1" t="str">
        <f t="shared" si="156"/>
        <v/>
      </c>
      <c r="H2434" s="1" t="str">
        <f t="shared" si="157"/>
        <v/>
      </c>
      <c r="I2434" s="1">
        <f>IF(OR(A2434="",COUNTIFS('Staff Review'!$A$8:$A$507,A2434)&lt;&gt;1),0,MATCH(A2434,'Staff Review'!$A$8:$A$507,0))</f>
        <v>0</v>
      </c>
      <c r="J2434" s="1" t="str">
        <f>IF(I2434=0,"No",IF(INDEX('Staff Review'!$C$8:$C$507,I2434)="Yes","Yes","No"))</f>
        <v>No</v>
      </c>
      <c r="K2434" s="1" t="str">
        <f>IF(AI2434="Yes",INDEX('Staff Review'!$D$8:$D$507,I2434),IF(AB2434=0,"",IF(COUNT(INDEX($C$1531:$C$2030,AB2434))=1,INDEX($C$1531:$C$2030,AB2434),"")))</f>
        <v/>
      </c>
      <c r="L2434" s="1" t="str">
        <f>IF(AJ2434="Yes",INDEX('Staff Review'!$F$8:$F$507,I2434),IF(AB2434=0,"",IF(COUNT(INDEX($G$1531:$G$2030,AB2434))=1,INDEX($G$1531:$G$2030,AB2434),"")))</f>
        <v/>
      </c>
      <c r="M2434" s="1" t="str">
        <f t="shared" si="158"/>
        <v/>
      </c>
      <c r="N2434" s="1" t="str">
        <f t="shared" si="159"/>
        <v/>
      </c>
      <c r="O2434" s="1" t="str">
        <f t="shared" si="160"/>
        <v/>
      </c>
      <c r="P2434" s="1" t="str">
        <f t="shared" si="161"/>
        <v/>
      </c>
      <c r="Q2434" s="1" t="str">
        <f t="shared" si="162"/>
        <v/>
      </c>
      <c r="R2434" s="1" t="str">
        <f t="shared" si="163"/>
        <v/>
      </c>
      <c r="S2434" s="1" t="str">
        <f t="shared" si="164"/>
        <v/>
      </c>
      <c r="T2434" s="1" t="str">
        <f>IF(OR(COUNT(O2434:R2434)&lt;&gt;4,COUNT('Top 25'!$B$45:$E$45)&lt;&gt;4,MIN('Top 25'!$B$45:$E$45)&lt;0,SUM('Top 25'!$B$45:$E$45)&lt;=0),"",ROUND(85*(O2434/30*'Top 25'!$B$45+P2434/25*'Top 25'!$C$45+Q2434/25*'Top 25'!$D$45+R2434/5*'Top 25'!$E$45)/SUM('Top 25'!$B$45:$E$45),6))</f>
        <v/>
      </c>
      <c r="U2434" s="1" t="str">
        <f t="shared" si="165"/>
        <v/>
      </c>
      <c r="V2434" s="1" t="str">
        <f>IF(A2434="","",IF(AK2434&lt;&gt;1,"Duplicate source ID",IF(COUNTIFS('Staff Review'!$A$8:$A$507,A2434)&gt;1,"Duplicate review ID",IF(H2434&lt;&gt;"Yes","Outside scope",IF(J2434="Yes","Already served",IF(NOT(ISNUMBER(T2434)),"Missing data","Candidate"))))))</f>
        <v/>
      </c>
      <c r="W2434" s="1" t="str">
        <f t="shared" si="166"/>
        <v/>
      </c>
      <c r="X2434" s="1" t="str">
        <f t="shared" si="167"/>
        <v/>
      </c>
      <c r="Y2434" s="1">
        <f>IF(AND(H2434="Yes",OR(LEN('School Search'!$B$5)=0,ISNUMBER(SEARCH('School Search'!$B$5,B2434&amp;" "&amp;E2434&amp;" "&amp;A2434))),OR('School Search'!$D$5="All",C2434='School Search'!$D$5),OR('School Search'!$G$5="All eligible",AND('School Search'!$G$5="Not marked served",J2434&lt;&gt;"Yes"),AND('School Search'!$G$5="Missing data",V2434="Missing data"),AND('School Search'!$G$5="Marked served",J2434="Yes"))),1,0)</f>
        <v>0</v>
      </c>
      <c r="Z2434" s="1" t="str">
        <f>IF(Y2434=0,"",COUNTIFS($Y$2051:$Y$2550,1,$AO$2051:$AO$2550,"&lt;"&amp;AO2434)+COUNTIFS($Y$2051:Y2434,1,$AO$2051:AO2434,AO2434))</f>
        <v/>
      </c>
      <c r="AA2434" s="1" t="str">
        <f t="shared" si="168"/>
        <v>Missing demographic or access input</v>
      </c>
      <c r="AB2434" s="1">
        <f t="shared" si="169"/>
        <v>0</v>
      </c>
      <c r="AC2434" s="1" t="str">
        <f t="shared" si="170"/>
        <v/>
      </c>
      <c r="AD2434" s="1" t="str">
        <f t="shared" si="171"/>
        <v/>
      </c>
      <c r="AE2434" s="1" t="str">
        <f t="shared" si="172"/>
        <v/>
      </c>
      <c r="AF2434" s="1" t="str">
        <f t="shared" si="173"/>
        <v/>
      </c>
      <c r="AG2434" s="1" t="str">
        <f t="shared" si="174"/>
        <v/>
      </c>
      <c r="AH2434" s="1" t="str">
        <f>IF(I2434=0,"Not contacted",IF(INDEX('Staff Review'!$J$8:$J$507,I2434)="","Not contacted",INDEX('Staff Review'!$J$8:$J$507,I2434)))</f>
        <v>Not contacted</v>
      </c>
      <c r="AI2434" s="1" t="str">
        <f>IF(I2434=0,"No",IF(AND(COUNT(INDEX('Staff Review'!$D$8:$D$507,I2434))=1,INDEX('Staff Review'!$D$8:$D$507,I2434)&gt;=0,COUNT(INDEX('Staff Review'!$E$8:$E$507,I2434))=1,INDEX('Staff Review'!$E$8:$E$507,I2434)&gt;0,INDEX('Staff Review'!$E$8:$E$507,I2434)&lt;='Top 25'!$E$5,'Top 25'!$E$5-INDEX('Staff Review'!$E$8:$E$507,I2434)&lt;='Top 25'!$H$5,LEN(INDEX('Staff Review'!$H$8:$H$507,I2434))&gt;0),"Yes","No"))</f>
        <v>No</v>
      </c>
      <c r="AJ2434" s="1" t="str">
        <f>IF(I2434=0,"No",IF(COUNT(INDEX('Staff Review'!$F$8:$F$507,I2434))&lt;&gt;1,"No",IF(AND(INDEX('Staff Review'!$F$8:$F$507,I2434)&gt;=0,MOD(INDEX('Staff Review'!$F$8:$F$507,I2434),1)=0,COUNT(INDEX('Staff Review'!$G$8:$G$507,I2434))=1,INDEX('Staff Review'!$G$8:$G$507,I2434)&gt;0,INDEX('Staff Review'!$G$8:$G$507,I2434)&lt;='Top 25'!$E$5,'Top 25'!$E$5-INDEX('Staff Review'!$G$8:$G$507,I2434)&lt;='Top 25'!$H$5,LEN(INDEX('Staff Review'!$H$8:$H$507,I2434))&gt;0),"Yes","No")))</f>
        <v>No</v>
      </c>
      <c r="AK2434" s="1">
        <f t="shared" si="175"/>
        <v>0</v>
      </c>
      <c r="AL2434" s="1">
        <f t="shared" si="176"/>
        <v>0</v>
      </c>
      <c r="AM2434" s="1">
        <f t="shared" si="177"/>
        <v>0</v>
      </c>
      <c r="AN2434" s="1">
        <f t="shared" si="178"/>
        <v>0</v>
      </c>
      <c r="AO2434">
        <f t="shared" si="179"/>
        <v>10000</v>
      </c>
      <c r="AP2434" s="105">
        <f>IF(AND(AL2434=1,OR('Top 25'!$A$10="All",C2434='Top 25'!$A$10),OR('Top 25'!$D$10="All",D2434='Top 25'!$D$10)),1,0)</f>
        <v>0</v>
      </c>
      <c r="AQ2434" s="105" t="str">
        <f>IF(AP2434=0,"",CHOOSE(MATCH('Top 25'!$G$10,{"Priority score","Economic need","Enrollment","Fresh miles","Nearby resources"},0),T2434,G2434,F2434,K2434,L2434))</f>
        <v/>
      </c>
      <c r="AR2434" s="105" t="str">
        <f>IF(AP2434=0,"",1+COUNTIFS($AP$2051:$AP$2550,1,$AQ$2051:$AQ$2550,IF('Top 25'!$J$10="Ascending","&lt;","&gt;")&amp;AQ2434)+COUNTIFS($AP$2051:$AP$2550,1,$AQ$2051:$AQ$2550,AQ2434,$W$2051:$W$2550,"&lt;"&amp;W2434))</f>
        <v/>
      </c>
      <c r="AT2434" s="105">
        <f>IF(AND(AL2434=1,OR(Master_rankableSchools!$A$10="All",C2434=Master_rankableSchools!$A$10),OR(Master_rankableSchools!$D$10="All",D2434=Master_rankableSchools!$D$10)),1,0)</f>
        <v>0</v>
      </c>
      <c r="AU2434" s="105" t="str">
        <f>IF(AT2434=0,"",CHOOSE(MATCH(Master_rankableSchools!$G$10,{"Priority score","Economic need","Enrollment","Fresh miles","Nearby resources"},0),T2434,G2434,F2434,K2434,L2434))</f>
        <v/>
      </c>
      <c r="AV2434" s="105" t="str">
        <f>IF(AT2434=0,"",1+COUNTIFS($AT$2051:$AT$2550,1,$AU$2051:$AU$2550,IF(Master_rankableSchools!$J$10="Ascending","&lt;","&gt;")&amp;AU2434)+COUNTIFS($AT$2051:$AT$2550,1,$AU$2051:$AU$2550,AU2434,$W$2051:$W$2550,"&lt;"&amp;W2434))</f>
        <v/>
      </c>
    </row>
    <row r="2435" spans="1:48" ht="22" customHeight="1">
      <c r="A2435" s="1" t="str">
        <f t="shared" ref="A2435:A2498" si="180">IF(A386="","",A386)</f>
        <v/>
      </c>
      <c r="B2435" s="1" t="str">
        <f t="shared" ref="B2435:B2498" si="181">IF(A2435="","",B386)</f>
        <v/>
      </c>
      <c r="C2435" s="1" t="str">
        <f t="shared" ref="C2435:C2498" si="182">IF(A2435="","",C386)</f>
        <v/>
      </c>
      <c r="D2435" s="1" t="str">
        <f t="shared" ref="D2435:D2498" si="183">IF(A2435="","",E386)</f>
        <v/>
      </c>
      <c r="E2435" s="1" t="str">
        <f t="shared" ref="E2435:E2498" si="184">IF(A2435="","",H386)</f>
        <v/>
      </c>
      <c r="F2435" s="1" t="str">
        <f t="shared" ref="F2435:F2498" si="185">IF(ISNUMBER(K386),K386,"")</f>
        <v/>
      </c>
      <c r="G2435" s="1" t="str">
        <f t="shared" ref="G2435:G2498" si="186">IF(ISNUMBER(L386),L386,"")</f>
        <v/>
      </c>
      <c r="H2435" s="1" t="str">
        <f t="shared" ref="H2435:H2498" si="187">IF(A2435="","",IF(AND(UPPER(G386)="PHILADELPHIA",OR(C2435="District",AND(C2435="Charter",D386="Yes"))),"Yes","No"))</f>
        <v/>
      </c>
      <c r="I2435" s="1">
        <f>IF(OR(A2435="",COUNTIFS('Staff Review'!$A$8:$A$507,A2435)&lt;&gt;1),0,MATCH(A2435,'Staff Review'!$A$8:$A$507,0))</f>
        <v>0</v>
      </c>
      <c r="J2435" s="1" t="str">
        <f>IF(I2435=0,"No",IF(INDEX('Staff Review'!$C$8:$C$507,I2435)="Yes","Yes","No"))</f>
        <v>No</v>
      </c>
      <c r="K2435" s="1" t="str">
        <f>IF(AI2435="Yes",INDEX('Staff Review'!$D$8:$D$507,I2435),IF(AB2435=0,"",IF(COUNT(INDEX($C$1531:$C$2030,AB2435))=1,INDEX($C$1531:$C$2030,AB2435),"")))</f>
        <v/>
      </c>
      <c r="L2435" s="1" t="str">
        <f>IF(AJ2435="Yes",INDEX('Staff Review'!$F$8:$F$507,I2435),IF(AB2435=0,"",IF(COUNT(INDEX($G$1531:$G$2030,AB2435))=1,INDEX($G$1531:$G$2030,AB2435),"")))</f>
        <v/>
      </c>
      <c r="M2435" s="1" t="str">
        <f t="shared" ref="M2435:M2498" si="188">IF(A2435="","",IF(AI2435="Yes","Verified","Listed"))</f>
        <v/>
      </c>
      <c r="N2435" s="1" t="str">
        <f t="shared" ref="N2435:N2498" si="189">IF(A2435="","",IF(AJ2435="Yes","Verified","Listed"))</f>
        <v/>
      </c>
      <c r="O2435" s="1" t="str">
        <f t="shared" ref="O2435:O2498" si="190">IF(AND(ISNUMBER(G2435),G2435&gt;=0,G2435&lt;=1),IF(G2435&gt;=0.9,30,IF(G2435&gt;=0.8,25,IF(G2435&gt;=0.7,20,IF(G2435&gt;=0.6,15,IF(G2435&gt;=0.5,10,IF(G2435&gt;=0.4,5,0)))))),"")</f>
        <v/>
      </c>
      <c r="P2435" s="1" t="str">
        <f t="shared" ref="P2435:P2498" si="191">IF(ISNUMBER(K2435),IF(K2435&lt;0,"",IF(K2435&gt;1,25,IF(K2435&gt;=0.75,20,IF(K2435&gt;=0.5,15,IF(K2435&gt;=0.25,10,5))))),"")</f>
        <v/>
      </c>
      <c r="Q2435" s="1" t="str">
        <f t="shared" ref="Q2435:Q2498" si="192">IF(NOT(ISNUMBER(L2435)),"",IF(AND(L2435&gt;=0,MOD(L2435,1)=0),MAX(0,25-5*L2435),""))</f>
        <v/>
      </c>
      <c r="R2435" s="1" t="str">
        <f t="shared" ref="R2435:R2498" si="193">IF(NOT(ISNUMBER(F2435)),"",IF(AND(F2435&gt;0,MOD(F2435,1)=0),IF(F2435&gt;=700,5,IF(F2435&gt;=500,4,IF(F2435&gt;=350,3,IF(F2435&gt;=200,2,1)))),""))</f>
        <v/>
      </c>
      <c r="S2435" s="1" t="str">
        <f t="shared" ref="S2435:S2498" si="194">IF(COUNT(O2435:R2435)=4,SUM(O2435:R2435),"")</f>
        <v/>
      </c>
      <c r="T2435" s="1" t="str">
        <f>IF(OR(COUNT(O2435:R2435)&lt;&gt;4,COUNT('Top 25'!$B$45:$E$45)&lt;&gt;4,MIN('Top 25'!$B$45:$E$45)&lt;0,SUM('Top 25'!$B$45:$E$45)&lt;=0),"",ROUND(85*(O2435/30*'Top 25'!$B$45+P2435/25*'Top 25'!$C$45+Q2435/25*'Top 25'!$D$45+R2435/5*'Top 25'!$E$45)/SUM('Top 25'!$B$45:$E$45),6))</f>
        <v/>
      </c>
      <c r="U2435" s="1" t="str">
        <f t="shared" ref="U2435:U2498" si="195">IF(A2435="","",IF(AND(M2435="Verified",N2435="Verified"),"Verified",IF(AND(M2435="Listed",N2435="Listed"),"Listed","Mixed")))</f>
        <v/>
      </c>
      <c r="V2435" s="1" t="str">
        <f>IF(A2435="","",IF(AK2435&lt;&gt;1,"Duplicate source ID",IF(COUNTIFS('Staff Review'!$A$8:$A$507,A2435)&gt;1,"Duplicate review ID",IF(H2435&lt;&gt;"Yes","Outside scope",IF(J2435="Yes","Already served",IF(NOT(ISNUMBER(T2435)),"Missing data","Candidate"))))))</f>
        <v/>
      </c>
      <c r="W2435" s="1" t="str">
        <f t="shared" ref="W2435:W2498" si="196">IF(AL2435=0,"",1+COUNTIFS($AL$2051:$AL$2550,1,$T$2051:$T$2550,"&gt;"&amp;T2435)+COUNTIFS($AL$2051:$AL$2550,1,$T$2051:$T$2550,T2435,$G$2051:$G$2550,"&gt;"&amp;G2435)+COUNTIFS($AL$2051:$AL$2550,1,$T$2051:$T$2550,T2435,$G$2051:$G$2550,G2435,$F$2051:$F$2550,"&gt;"&amp;F2435)+COUNTIFS($AL$2051:$AL$2550,1,$T$2051:$T$2550,T2435,$G$2051:$G$2550,G2435,$F$2051:$F$2550,F2435,$AM$2051:$AM$2550,"&lt;"&amp;AM2435))</f>
        <v/>
      </c>
      <c r="X2435" s="1" t="str">
        <f t="shared" ref="X2435:X2498" si="197">IF(AL2435=0,"",1+COUNTIFS($AL$2051:$AL$2550,1,$T$2051:$T$2550,"&gt;"&amp;T2435))</f>
        <v/>
      </c>
      <c r="Y2435" s="1">
        <f>IF(AND(H2435="Yes",OR(LEN('School Search'!$B$5)=0,ISNUMBER(SEARCH('School Search'!$B$5,B2435&amp;" "&amp;E2435&amp;" "&amp;A2435))),OR('School Search'!$D$5="All",C2435='School Search'!$D$5),OR('School Search'!$G$5="All eligible",AND('School Search'!$G$5="Not marked served",J2435&lt;&gt;"Yes"),AND('School Search'!$G$5="Missing data",V2435="Missing data"),AND('School Search'!$G$5="Marked served",J2435="Yes"))),1,0)</f>
        <v>0</v>
      </c>
      <c r="Z2435" s="1" t="str">
        <f>IF(Y2435=0,"",COUNTIFS($Y$2051:$Y$2550,1,$AO$2051:$AO$2550,"&lt;"&amp;AO2435)+COUNTIFS($Y$2051:Y2435,1,$AO$2051:AO2435,AO2435))</f>
        <v/>
      </c>
      <c r="AA2435" s="1" t="str">
        <f t="shared" ref="AA2435:AA2498" si="198">IF(NOT(ISNUMBER(S2435)),"Missing demographic or access input",TEXT(G2435,"0%")&amp;" economic need; "&amp;TEXT(K2435,"0.00")&amp;" mi fresh access; "&amp;L2435&amp;" nearby resources")</f>
        <v>Missing demographic or access input</v>
      </c>
      <c r="AB2435" s="1">
        <f t="shared" ref="AB2435:AB2498" si="199">IF(OR(A2435="",COUNTIFS($A$1531:$A$2030,A2435)&lt;&gt;1),0,MATCH(A2435,$A$1531:$A$2030,0))</f>
        <v>0</v>
      </c>
      <c r="AC2435" s="1" t="str">
        <f t="shared" ref="AC2435:AC2498" si="200">IF(AB2435=0,"",INDEX($E$1531:$E$2030,AB2435))</f>
        <v/>
      </c>
      <c r="AD2435" s="1" t="str">
        <f t="shared" ref="AD2435:AD2498" si="201">IF(AB2435=0,"",INDEX($F$1531:$F$2030,AB2435))</f>
        <v/>
      </c>
      <c r="AE2435" s="1" t="str">
        <f t="shared" ref="AE2435:AE2498" si="202">IF(A2435="","",F386)</f>
        <v/>
      </c>
      <c r="AF2435" s="1" t="str">
        <f t="shared" ref="AF2435:AF2498" si="203">IF(ISNUMBER(I386),I386,"")</f>
        <v/>
      </c>
      <c r="AG2435" s="1" t="str">
        <f t="shared" ref="AG2435:AG2498" si="204">IF(ISNUMBER(J386),J386,"")</f>
        <v/>
      </c>
      <c r="AH2435" s="1" t="str">
        <f>IF(I2435=0,"Not contacted",IF(INDEX('Staff Review'!$J$8:$J$507,I2435)="","Not contacted",INDEX('Staff Review'!$J$8:$J$507,I2435)))</f>
        <v>Not contacted</v>
      </c>
      <c r="AI2435" s="1" t="str">
        <f>IF(I2435=0,"No",IF(AND(COUNT(INDEX('Staff Review'!$D$8:$D$507,I2435))=1,INDEX('Staff Review'!$D$8:$D$507,I2435)&gt;=0,COUNT(INDEX('Staff Review'!$E$8:$E$507,I2435))=1,INDEX('Staff Review'!$E$8:$E$507,I2435)&gt;0,INDEX('Staff Review'!$E$8:$E$507,I2435)&lt;='Top 25'!$E$5,'Top 25'!$E$5-INDEX('Staff Review'!$E$8:$E$507,I2435)&lt;='Top 25'!$H$5,LEN(INDEX('Staff Review'!$H$8:$H$507,I2435))&gt;0),"Yes","No"))</f>
        <v>No</v>
      </c>
      <c r="AJ2435" s="1" t="str">
        <f>IF(I2435=0,"No",IF(COUNT(INDEX('Staff Review'!$F$8:$F$507,I2435))&lt;&gt;1,"No",IF(AND(INDEX('Staff Review'!$F$8:$F$507,I2435)&gt;=0,MOD(INDEX('Staff Review'!$F$8:$F$507,I2435),1)=0,COUNT(INDEX('Staff Review'!$G$8:$G$507,I2435))=1,INDEX('Staff Review'!$G$8:$G$507,I2435)&gt;0,INDEX('Staff Review'!$G$8:$G$507,I2435)&lt;='Top 25'!$E$5,'Top 25'!$E$5-INDEX('Staff Review'!$G$8:$G$507,I2435)&lt;='Top 25'!$H$5,LEN(INDEX('Staff Review'!$H$8:$H$507,I2435))&gt;0),"Yes","No")))</f>
        <v>No</v>
      </c>
      <c r="AK2435" s="1">
        <f t="shared" ref="AK2435:AK2498" si="205">IF(A2435="",0,COUNTIFS($A$2:$A$501,A2435))</f>
        <v>0</v>
      </c>
      <c r="AL2435" s="1">
        <f t="shared" ref="AL2435:AL2498" si="206">IF(V2435="Candidate",1,0)</f>
        <v>0</v>
      </c>
      <c r="AM2435" s="1">
        <f t="shared" ref="AM2435:AM2498" si="207">IF(A2435="",0,VALUE(A2435))</f>
        <v>0</v>
      </c>
      <c r="AN2435" s="1">
        <f t="shared" ref="AN2435:AN2498" si="208">IF(OR(A2435="",COUNTIFS($T$41:$T$540,A2435)&lt;&gt;1),0,MATCH(A2435,$T$41:$T$540,0))</f>
        <v>0</v>
      </c>
      <c r="AO2435">
        <f t="shared" ref="AO2435:AO2498" si="209">IF(ISNUMBER(W2435),W2435,10000+AM2435)</f>
        <v>10000</v>
      </c>
      <c r="AP2435" s="105">
        <f>IF(AND(AL2435=1,OR('Top 25'!$A$10="All",C2435='Top 25'!$A$10),OR('Top 25'!$D$10="All",D2435='Top 25'!$D$10)),1,0)</f>
        <v>0</v>
      </c>
      <c r="AQ2435" s="105" t="str">
        <f>IF(AP2435=0,"",CHOOSE(MATCH('Top 25'!$G$10,{"Priority score","Economic need","Enrollment","Fresh miles","Nearby resources"},0),T2435,G2435,F2435,K2435,L2435))</f>
        <v/>
      </c>
      <c r="AR2435" s="105" t="str">
        <f>IF(AP2435=0,"",1+COUNTIFS($AP$2051:$AP$2550,1,$AQ$2051:$AQ$2550,IF('Top 25'!$J$10="Ascending","&lt;","&gt;")&amp;AQ2435)+COUNTIFS($AP$2051:$AP$2550,1,$AQ$2051:$AQ$2550,AQ2435,$W$2051:$W$2550,"&lt;"&amp;W2435))</f>
        <v/>
      </c>
      <c r="AT2435" s="105">
        <f>IF(AND(AL2435=1,OR(Master_rankableSchools!$A$10="All",C2435=Master_rankableSchools!$A$10),OR(Master_rankableSchools!$D$10="All",D2435=Master_rankableSchools!$D$10)),1,0)</f>
        <v>0</v>
      </c>
      <c r="AU2435" s="105" t="str">
        <f>IF(AT2435=0,"",CHOOSE(MATCH(Master_rankableSchools!$G$10,{"Priority score","Economic need","Enrollment","Fresh miles","Nearby resources"},0),T2435,G2435,F2435,K2435,L2435))</f>
        <v/>
      </c>
      <c r="AV2435" s="105" t="str">
        <f>IF(AT2435=0,"",1+COUNTIFS($AT$2051:$AT$2550,1,$AU$2051:$AU$2550,IF(Master_rankableSchools!$J$10="Ascending","&lt;","&gt;")&amp;AU2435)+COUNTIFS($AT$2051:$AT$2550,1,$AU$2051:$AU$2550,AU2435,$W$2051:$W$2550,"&lt;"&amp;W2435))</f>
        <v/>
      </c>
    </row>
    <row r="2436" spans="1:48" ht="22" customHeight="1">
      <c r="A2436" s="1" t="str">
        <f t="shared" si="180"/>
        <v/>
      </c>
      <c r="B2436" s="1" t="str">
        <f t="shared" si="181"/>
        <v/>
      </c>
      <c r="C2436" s="1" t="str">
        <f t="shared" si="182"/>
        <v/>
      </c>
      <c r="D2436" s="1" t="str">
        <f t="shared" si="183"/>
        <v/>
      </c>
      <c r="E2436" s="1" t="str">
        <f t="shared" si="184"/>
        <v/>
      </c>
      <c r="F2436" s="1" t="str">
        <f t="shared" si="185"/>
        <v/>
      </c>
      <c r="G2436" s="1" t="str">
        <f t="shared" si="186"/>
        <v/>
      </c>
      <c r="H2436" s="1" t="str">
        <f t="shared" si="187"/>
        <v/>
      </c>
      <c r="I2436" s="1">
        <f>IF(OR(A2436="",COUNTIFS('Staff Review'!$A$8:$A$507,A2436)&lt;&gt;1),0,MATCH(A2436,'Staff Review'!$A$8:$A$507,0))</f>
        <v>0</v>
      </c>
      <c r="J2436" s="1" t="str">
        <f>IF(I2436=0,"No",IF(INDEX('Staff Review'!$C$8:$C$507,I2436)="Yes","Yes","No"))</f>
        <v>No</v>
      </c>
      <c r="K2436" s="1" t="str">
        <f>IF(AI2436="Yes",INDEX('Staff Review'!$D$8:$D$507,I2436),IF(AB2436=0,"",IF(COUNT(INDEX($C$1531:$C$2030,AB2436))=1,INDEX($C$1531:$C$2030,AB2436),"")))</f>
        <v/>
      </c>
      <c r="L2436" s="1" t="str">
        <f>IF(AJ2436="Yes",INDEX('Staff Review'!$F$8:$F$507,I2436),IF(AB2436=0,"",IF(COUNT(INDEX($G$1531:$G$2030,AB2436))=1,INDEX($G$1531:$G$2030,AB2436),"")))</f>
        <v/>
      </c>
      <c r="M2436" s="1" t="str">
        <f t="shared" si="188"/>
        <v/>
      </c>
      <c r="N2436" s="1" t="str">
        <f t="shared" si="189"/>
        <v/>
      </c>
      <c r="O2436" s="1" t="str">
        <f t="shared" si="190"/>
        <v/>
      </c>
      <c r="P2436" s="1" t="str">
        <f t="shared" si="191"/>
        <v/>
      </c>
      <c r="Q2436" s="1" t="str">
        <f t="shared" si="192"/>
        <v/>
      </c>
      <c r="R2436" s="1" t="str">
        <f t="shared" si="193"/>
        <v/>
      </c>
      <c r="S2436" s="1" t="str">
        <f t="shared" si="194"/>
        <v/>
      </c>
      <c r="T2436" s="1" t="str">
        <f>IF(OR(COUNT(O2436:R2436)&lt;&gt;4,COUNT('Top 25'!$B$45:$E$45)&lt;&gt;4,MIN('Top 25'!$B$45:$E$45)&lt;0,SUM('Top 25'!$B$45:$E$45)&lt;=0),"",ROUND(85*(O2436/30*'Top 25'!$B$45+P2436/25*'Top 25'!$C$45+Q2436/25*'Top 25'!$D$45+R2436/5*'Top 25'!$E$45)/SUM('Top 25'!$B$45:$E$45),6))</f>
        <v/>
      </c>
      <c r="U2436" s="1" t="str">
        <f t="shared" si="195"/>
        <v/>
      </c>
      <c r="V2436" s="1" t="str">
        <f>IF(A2436="","",IF(AK2436&lt;&gt;1,"Duplicate source ID",IF(COUNTIFS('Staff Review'!$A$8:$A$507,A2436)&gt;1,"Duplicate review ID",IF(H2436&lt;&gt;"Yes","Outside scope",IF(J2436="Yes","Already served",IF(NOT(ISNUMBER(T2436)),"Missing data","Candidate"))))))</f>
        <v/>
      </c>
      <c r="W2436" s="1" t="str">
        <f t="shared" si="196"/>
        <v/>
      </c>
      <c r="X2436" s="1" t="str">
        <f t="shared" si="197"/>
        <v/>
      </c>
      <c r="Y2436" s="1">
        <f>IF(AND(H2436="Yes",OR(LEN('School Search'!$B$5)=0,ISNUMBER(SEARCH('School Search'!$B$5,B2436&amp;" "&amp;E2436&amp;" "&amp;A2436))),OR('School Search'!$D$5="All",C2436='School Search'!$D$5),OR('School Search'!$G$5="All eligible",AND('School Search'!$G$5="Not marked served",J2436&lt;&gt;"Yes"),AND('School Search'!$G$5="Missing data",V2436="Missing data"),AND('School Search'!$G$5="Marked served",J2436="Yes"))),1,0)</f>
        <v>0</v>
      </c>
      <c r="Z2436" s="1" t="str">
        <f>IF(Y2436=0,"",COUNTIFS($Y$2051:$Y$2550,1,$AO$2051:$AO$2550,"&lt;"&amp;AO2436)+COUNTIFS($Y$2051:Y2436,1,$AO$2051:AO2436,AO2436))</f>
        <v/>
      </c>
      <c r="AA2436" s="1" t="str">
        <f t="shared" si="198"/>
        <v>Missing demographic or access input</v>
      </c>
      <c r="AB2436" s="1">
        <f t="shared" si="199"/>
        <v>0</v>
      </c>
      <c r="AC2436" s="1" t="str">
        <f t="shared" si="200"/>
        <v/>
      </c>
      <c r="AD2436" s="1" t="str">
        <f t="shared" si="201"/>
        <v/>
      </c>
      <c r="AE2436" s="1" t="str">
        <f t="shared" si="202"/>
        <v/>
      </c>
      <c r="AF2436" s="1" t="str">
        <f t="shared" si="203"/>
        <v/>
      </c>
      <c r="AG2436" s="1" t="str">
        <f t="shared" si="204"/>
        <v/>
      </c>
      <c r="AH2436" s="1" t="str">
        <f>IF(I2436=0,"Not contacted",IF(INDEX('Staff Review'!$J$8:$J$507,I2436)="","Not contacted",INDEX('Staff Review'!$J$8:$J$507,I2436)))</f>
        <v>Not contacted</v>
      </c>
      <c r="AI2436" s="1" t="str">
        <f>IF(I2436=0,"No",IF(AND(COUNT(INDEX('Staff Review'!$D$8:$D$507,I2436))=1,INDEX('Staff Review'!$D$8:$D$507,I2436)&gt;=0,COUNT(INDEX('Staff Review'!$E$8:$E$507,I2436))=1,INDEX('Staff Review'!$E$8:$E$507,I2436)&gt;0,INDEX('Staff Review'!$E$8:$E$507,I2436)&lt;='Top 25'!$E$5,'Top 25'!$E$5-INDEX('Staff Review'!$E$8:$E$507,I2436)&lt;='Top 25'!$H$5,LEN(INDEX('Staff Review'!$H$8:$H$507,I2436))&gt;0),"Yes","No"))</f>
        <v>No</v>
      </c>
      <c r="AJ2436" s="1" t="str">
        <f>IF(I2436=0,"No",IF(COUNT(INDEX('Staff Review'!$F$8:$F$507,I2436))&lt;&gt;1,"No",IF(AND(INDEX('Staff Review'!$F$8:$F$507,I2436)&gt;=0,MOD(INDEX('Staff Review'!$F$8:$F$507,I2436),1)=0,COUNT(INDEX('Staff Review'!$G$8:$G$507,I2436))=1,INDEX('Staff Review'!$G$8:$G$507,I2436)&gt;0,INDEX('Staff Review'!$G$8:$G$507,I2436)&lt;='Top 25'!$E$5,'Top 25'!$E$5-INDEX('Staff Review'!$G$8:$G$507,I2436)&lt;='Top 25'!$H$5,LEN(INDEX('Staff Review'!$H$8:$H$507,I2436))&gt;0),"Yes","No")))</f>
        <v>No</v>
      </c>
      <c r="AK2436" s="1">
        <f t="shared" si="205"/>
        <v>0</v>
      </c>
      <c r="AL2436" s="1">
        <f t="shared" si="206"/>
        <v>0</v>
      </c>
      <c r="AM2436" s="1">
        <f t="shared" si="207"/>
        <v>0</v>
      </c>
      <c r="AN2436" s="1">
        <f t="shared" si="208"/>
        <v>0</v>
      </c>
      <c r="AO2436">
        <f t="shared" si="209"/>
        <v>10000</v>
      </c>
      <c r="AP2436" s="105">
        <f>IF(AND(AL2436=1,OR('Top 25'!$A$10="All",C2436='Top 25'!$A$10),OR('Top 25'!$D$10="All",D2436='Top 25'!$D$10)),1,0)</f>
        <v>0</v>
      </c>
      <c r="AQ2436" s="105" t="str">
        <f>IF(AP2436=0,"",CHOOSE(MATCH('Top 25'!$G$10,{"Priority score","Economic need","Enrollment","Fresh miles","Nearby resources"},0),T2436,G2436,F2436,K2436,L2436))</f>
        <v/>
      </c>
      <c r="AR2436" s="105" t="str">
        <f>IF(AP2436=0,"",1+COUNTIFS($AP$2051:$AP$2550,1,$AQ$2051:$AQ$2550,IF('Top 25'!$J$10="Ascending","&lt;","&gt;")&amp;AQ2436)+COUNTIFS($AP$2051:$AP$2550,1,$AQ$2051:$AQ$2550,AQ2436,$W$2051:$W$2550,"&lt;"&amp;W2436))</f>
        <v/>
      </c>
      <c r="AT2436" s="105">
        <f>IF(AND(AL2436=1,OR(Master_rankableSchools!$A$10="All",C2436=Master_rankableSchools!$A$10),OR(Master_rankableSchools!$D$10="All",D2436=Master_rankableSchools!$D$10)),1,0)</f>
        <v>0</v>
      </c>
      <c r="AU2436" s="105" t="str">
        <f>IF(AT2436=0,"",CHOOSE(MATCH(Master_rankableSchools!$G$10,{"Priority score","Economic need","Enrollment","Fresh miles","Nearby resources"},0),T2436,G2436,F2436,K2436,L2436))</f>
        <v/>
      </c>
      <c r="AV2436" s="105" t="str">
        <f>IF(AT2436=0,"",1+COUNTIFS($AT$2051:$AT$2550,1,$AU$2051:$AU$2550,IF(Master_rankableSchools!$J$10="Ascending","&lt;","&gt;")&amp;AU2436)+COUNTIFS($AT$2051:$AT$2550,1,$AU$2051:$AU$2550,AU2436,$W$2051:$W$2550,"&lt;"&amp;W2436))</f>
        <v/>
      </c>
    </row>
    <row r="2437" spans="1:48" ht="22" customHeight="1">
      <c r="A2437" s="1" t="str">
        <f t="shared" si="180"/>
        <v/>
      </c>
      <c r="B2437" s="1" t="str">
        <f t="shared" si="181"/>
        <v/>
      </c>
      <c r="C2437" s="1" t="str">
        <f t="shared" si="182"/>
        <v/>
      </c>
      <c r="D2437" s="1" t="str">
        <f t="shared" si="183"/>
        <v/>
      </c>
      <c r="E2437" s="1" t="str">
        <f t="shared" si="184"/>
        <v/>
      </c>
      <c r="F2437" s="1" t="str">
        <f t="shared" si="185"/>
        <v/>
      </c>
      <c r="G2437" s="1" t="str">
        <f t="shared" si="186"/>
        <v/>
      </c>
      <c r="H2437" s="1" t="str">
        <f t="shared" si="187"/>
        <v/>
      </c>
      <c r="I2437" s="1">
        <f>IF(OR(A2437="",COUNTIFS('Staff Review'!$A$8:$A$507,A2437)&lt;&gt;1),0,MATCH(A2437,'Staff Review'!$A$8:$A$507,0))</f>
        <v>0</v>
      </c>
      <c r="J2437" s="1" t="str">
        <f>IF(I2437=0,"No",IF(INDEX('Staff Review'!$C$8:$C$507,I2437)="Yes","Yes","No"))</f>
        <v>No</v>
      </c>
      <c r="K2437" s="1" t="str">
        <f>IF(AI2437="Yes",INDEX('Staff Review'!$D$8:$D$507,I2437),IF(AB2437=0,"",IF(COUNT(INDEX($C$1531:$C$2030,AB2437))=1,INDEX($C$1531:$C$2030,AB2437),"")))</f>
        <v/>
      </c>
      <c r="L2437" s="1" t="str">
        <f>IF(AJ2437="Yes",INDEX('Staff Review'!$F$8:$F$507,I2437),IF(AB2437=0,"",IF(COUNT(INDEX($G$1531:$G$2030,AB2437))=1,INDEX($G$1531:$G$2030,AB2437),"")))</f>
        <v/>
      </c>
      <c r="M2437" s="1" t="str">
        <f t="shared" si="188"/>
        <v/>
      </c>
      <c r="N2437" s="1" t="str">
        <f t="shared" si="189"/>
        <v/>
      </c>
      <c r="O2437" s="1" t="str">
        <f t="shared" si="190"/>
        <v/>
      </c>
      <c r="P2437" s="1" t="str">
        <f t="shared" si="191"/>
        <v/>
      </c>
      <c r="Q2437" s="1" t="str">
        <f t="shared" si="192"/>
        <v/>
      </c>
      <c r="R2437" s="1" t="str">
        <f t="shared" si="193"/>
        <v/>
      </c>
      <c r="S2437" s="1" t="str">
        <f t="shared" si="194"/>
        <v/>
      </c>
      <c r="T2437" s="1" t="str">
        <f>IF(OR(COUNT(O2437:R2437)&lt;&gt;4,COUNT('Top 25'!$B$45:$E$45)&lt;&gt;4,MIN('Top 25'!$B$45:$E$45)&lt;0,SUM('Top 25'!$B$45:$E$45)&lt;=0),"",ROUND(85*(O2437/30*'Top 25'!$B$45+P2437/25*'Top 25'!$C$45+Q2437/25*'Top 25'!$D$45+R2437/5*'Top 25'!$E$45)/SUM('Top 25'!$B$45:$E$45),6))</f>
        <v/>
      </c>
      <c r="U2437" s="1" t="str">
        <f t="shared" si="195"/>
        <v/>
      </c>
      <c r="V2437" s="1" t="str">
        <f>IF(A2437="","",IF(AK2437&lt;&gt;1,"Duplicate source ID",IF(COUNTIFS('Staff Review'!$A$8:$A$507,A2437)&gt;1,"Duplicate review ID",IF(H2437&lt;&gt;"Yes","Outside scope",IF(J2437="Yes","Already served",IF(NOT(ISNUMBER(T2437)),"Missing data","Candidate"))))))</f>
        <v/>
      </c>
      <c r="W2437" s="1" t="str">
        <f t="shared" si="196"/>
        <v/>
      </c>
      <c r="X2437" s="1" t="str">
        <f t="shared" si="197"/>
        <v/>
      </c>
      <c r="Y2437" s="1">
        <f>IF(AND(H2437="Yes",OR(LEN('School Search'!$B$5)=0,ISNUMBER(SEARCH('School Search'!$B$5,B2437&amp;" "&amp;E2437&amp;" "&amp;A2437))),OR('School Search'!$D$5="All",C2437='School Search'!$D$5),OR('School Search'!$G$5="All eligible",AND('School Search'!$G$5="Not marked served",J2437&lt;&gt;"Yes"),AND('School Search'!$G$5="Missing data",V2437="Missing data"),AND('School Search'!$G$5="Marked served",J2437="Yes"))),1,0)</f>
        <v>0</v>
      </c>
      <c r="Z2437" s="1" t="str">
        <f>IF(Y2437=0,"",COUNTIFS($Y$2051:$Y$2550,1,$AO$2051:$AO$2550,"&lt;"&amp;AO2437)+COUNTIFS($Y$2051:Y2437,1,$AO$2051:AO2437,AO2437))</f>
        <v/>
      </c>
      <c r="AA2437" s="1" t="str">
        <f t="shared" si="198"/>
        <v>Missing demographic or access input</v>
      </c>
      <c r="AB2437" s="1">
        <f t="shared" si="199"/>
        <v>0</v>
      </c>
      <c r="AC2437" s="1" t="str">
        <f t="shared" si="200"/>
        <v/>
      </c>
      <c r="AD2437" s="1" t="str">
        <f t="shared" si="201"/>
        <v/>
      </c>
      <c r="AE2437" s="1" t="str">
        <f t="shared" si="202"/>
        <v/>
      </c>
      <c r="AF2437" s="1" t="str">
        <f t="shared" si="203"/>
        <v/>
      </c>
      <c r="AG2437" s="1" t="str">
        <f t="shared" si="204"/>
        <v/>
      </c>
      <c r="AH2437" s="1" t="str">
        <f>IF(I2437=0,"Not contacted",IF(INDEX('Staff Review'!$J$8:$J$507,I2437)="","Not contacted",INDEX('Staff Review'!$J$8:$J$507,I2437)))</f>
        <v>Not contacted</v>
      </c>
      <c r="AI2437" s="1" t="str">
        <f>IF(I2437=0,"No",IF(AND(COUNT(INDEX('Staff Review'!$D$8:$D$507,I2437))=1,INDEX('Staff Review'!$D$8:$D$507,I2437)&gt;=0,COUNT(INDEX('Staff Review'!$E$8:$E$507,I2437))=1,INDEX('Staff Review'!$E$8:$E$507,I2437)&gt;0,INDEX('Staff Review'!$E$8:$E$507,I2437)&lt;='Top 25'!$E$5,'Top 25'!$E$5-INDEX('Staff Review'!$E$8:$E$507,I2437)&lt;='Top 25'!$H$5,LEN(INDEX('Staff Review'!$H$8:$H$507,I2437))&gt;0),"Yes","No"))</f>
        <v>No</v>
      </c>
      <c r="AJ2437" s="1" t="str">
        <f>IF(I2437=0,"No",IF(COUNT(INDEX('Staff Review'!$F$8:$F$507,I2437))&lt;&gt;1,"No",IF(AND(INDEX('Staff Review'!$F$8:$F$507,I2437)&gt;=0,MOD(INDEX('Staff Review'!$F$8:$F$507,I2437),1)=0,COUNT(INDEX('Staff Review'!$G$8:$G$507,I2437))=1,INDEX('Staff Review'!$G$8:$G$507,I2437)&gt;0,INDEX('Staff Review'!$G$8:$G$507,I2437)&lt;='Top 25'!$E$5,'Top 25'!$E$5-INDEX('Staff Review'!$G$8:$G$507,I2437)&lt;='Top 25'!$H$5,LEN(INDEX('Staff Review'!$H$8:$H$507,I2437))&gt;0),"Yes","No")))</f>
        <v>No</v>
      </c>
      <c r="AK2437" s="1">
        <f t="shared" si="205"/>
        <v>0</v>
      </c>
      <c r="AL2437" s="1">
        <f t="shared" si="206"/>
        <v>0</v>
      </c>
      <c r="AM2437" s="1">
        <f t="shared" si="207"/>
        <v>0</v>
      </c>
      <c r="AN2437" s="1">
        <f t="shared" si="208"/>
        <v>0</v>
      </c>
      <c r="AO2437">
        <f t="shared" si="209"/>
        <v>10000</v>
      </c>
      <c r="AP2437" s="105">
        <f>IF(AND(AL2437=1,OR('Top 25'!$A$10="All",C2437='Top 25'!$A$10),OR('Top 25'!$D$10="All",D2437='Top 25'!$D$10)),1,0)</f>
        <v>0</v>
      </c>
      <c r="AQ2437" s="105" t="str">
        <f>IF(AP2437=0,"",CHOOSE(MATCH('Top 25'!$G$10,{"Priority score","Economic need","Enrollment","Fresh miles","Nearby resources"},0),T2437,G2437,F2437,K2437,L2437))</f>
        <v/>
      </c>
      <c r="AR2437" s="105" t="str">
        <f>IF(AP2437=0,"",1+COUNTIFS($AP$2051:$AP$2550,1,$AQ$2051:$AQ$2550,IF('Top 25'!$J$10="Ascending","&lt;","&gt;")&amp;AQ2437)+COUNTIFS($AP$2051:$AP$2550,1,$AQ$2051:$AQ$2550,AQ2437,$W$2051:$W$2550,"&lt;"&amp;W2437))</f>
        <v/>
      </c>
      <c r="AT2437" s="105">
        <f>IF(AND(AL2437=1,OR(Master_rankableSchools!$A$10="All",C2437=Master_rankableSchools!$A$10),OR(Master_rankableSchools!$D$10="All",D2437=Master_rankableSchools!$D$10)),1,0)</f>
        <v>0</v>
      </c>
      <c r="AU2437" s="105" t="str">
        <f>IF(AT2437=0,"",CHOOSE(MATCH(Master_rankableSchools!$G$10,{"Priority score","Economic need","Enrollment","Fresh miles","Nearby resources"},0),T2437,G2437,F2437,K2437,L2437))</f>
        <v/>
      </c>
      <c r="AV2437" s="105" t="str">
        <f>IF(AT2437=0,"",1+COUNTIFS($AT$2051:$AT$2550,1,$AU$2051:$AU$2550,IF(Master_rankableSchools!$J$10="Ascending","&lt;","&gt;")&amp;AU2437)+COUNTIFS($AT$2051:$AT$2550,1,$AU$2051:$AU$2550,AU2437,$W$2051:$W$2550,"&lt;"&amp;W2437))</f>
        <v/>
      </c>
    </row>
    <row r="2438" spans="1:48" ht="22" customHeight="1">
      <c r="A2438" s="1" t="str">
        <f t="shared" si="180"/>
        <v/>
      </c>
      <c r="B2438" s="1" t="str">
        <f t="shared" si="181"/>
        <v/>
      </c>
      <c r="C2438" s="1" t="str">
        <f t="shared" si="182"/>
        <v/>
      </c>
      <c r="D2438" s="1" t="str">
        <f t="shared" si="183"/>
        <v/>
      </c>
      <c r="E2438" s="1" t="str">
        <f t="shared" si="184"/>
        <v/>
      </c>
      <c r="F2438" s="1" t="str">
        <f t="shared" si="185"/>
        <v/>
      </c>
      <c r="G2438" s="1" t="str">
        <f t="shared" si="186"/>
        <v/>
      </c>
      <c r="H2438" s="1" t="str">
        <f t="shared" si="187"/>
        <v/>
      </c>
      <c r="I2438" s="1">
        <f>IF(OR(A2438="",COUNTIFS('Staff Review'!$A$8:$A$507,A2438)&lt;&gt;1),0,MATCH(A2438,'Staff Review'!$A$8:$A$507,0))</f>
        <v>0</v>
      </c>
      <c r="J2438" s="1" t="str">
        <f>IF(I2438=0,"No",IF(INDEX('Staff Review'!$C$8:$C$507,I2438)="Yes","Yes","No"))</f>
        <v>No</v>
      </c>
      <c r="K2438" s="1" t="str">
        <f>IF(AI2438="Yes",INDEX('Staff Review'!$D$8:$D$507,I2438),IF(AB2438=0,"",IF(COUNT(INDEX($C$1531:$C$2030,AB2438))=1,INDEX($C$1531:$C$2030,AB2438),"")))</f>
        <v/>
      </c>
      <c r="L2438" s="1" t="str">
        <f>IF(AJ2438="Yes",INDEX('Staff Review'!$F$8:$F$507,I2438),IF(AB2438=0,"",IF(COUNT(INDEX($G$1531:$G$2030,AB2438))=1,INDEX($G$1531:$G$2030,AB2438),"")))</f>
        <v/>
      </c>
      <c r="M2438" s="1" t="str">
        <f t="shared" si="188"/>
        <v/>
      </c>
      <c r="N2438" s="1" t="str">
        <f t="shared" si="189"/>
        <v/>
      </c>
      <c r="O2438" s="1" t="str">
        <f t="shared" si="190"/>
        <v/>
      </c>
      <c r="P2438" s="1" t="str">
        <f t="shared" si="191"/>
        <v/>
      </c>
      <c r="Q2438" s="1" t="str">
        <f t="shared" si="192"/>
        <v/>
      </c>
      <c r="R2438" s="1" t="str">
        <f t="shared" si="193"/>
        <v/>
      </c>
      <c r="S2438" s="1" t="str">
        <f t="shared" si="194"/>
        <v/>
      </c>
      <c r="T2438" s="1" t="str">
        <f>IF(OR(COUNT(O2438:R2438)&lt;&gt;4,COUNT('Top 25'!$B$45:$E$45)&lt;&gt;4,MIN('Top 25'!$B$45:$E$45)&lt;0,SUM('Top 25'!$B$45:$E$45)&lt;=0),"",ROUND(85*(O2438/30*'Top 25'!$B$45+P2438/25*'Top 25'!$C$45+Q2438/25*'Top 25'!$D$45+R2438/5*'Top 25'!$E$45)/SUM('Top 25'!$B$45:$E$45),6))</f>
        <v/>
      </c>
      <c r="U2438" s="1" t="str">
        <f t="shared" si="195"/>
        <v/>
      </c>
      <c r="V2438" s="1" t="str">
        <f>IF(A2438="","",IF(AK2438&lt;&gt;1,"Duplicate source ID",IF(COUNTIFS('Staff Review'!$A$8:$A$507,A2438)&gt;1,"Duplicate review ID",IF(H2438&lt;&gt;"Yes","Outside scope",IF(J2438="Yes","Already served",IF(NOT(ISNUMBER(T2438)),"Missing data","Candidate"))))))</f>
        <v/>
      </c>
      <c r="W2438" s="1" t="str">
        <f t="shared" si="196"/>
        <v/>
      </c>
      <c r="X2438" s="1" t="str">
        <f t="shared" si="197"/>
        <v/>
      </c>
      <c r="Y2438" s="1">
        <f>IF(AND(H2438="Yes",OR(LEN('School Search'!$B$5)=0,ISNUMBER(SEARCH('School Search'!$B$5,B2438&amp;" "&amp;E2438&amp;" "&amp;A2438))),OR('School Search'!$D$5="All",C2438='School Search'!$D$5),OR('School Search'!$G$5="All eligible",AND('School Search'!$G$5="Not marked served",J2438&lt;&gt;"Yes"),AND('School Search'!$G$5="Missing data",V2438="Missing data"),AND('School Search'!$G$5="Marked served",J2438="Yes"))),1,0)</f>
        <v>0</v>
      </c>
      <c r="Z2438" s="1" t="str">
        <f>IF(Y2438=0,"",COUNTIFS($Y$2051:$Y$2550,1,$AO$2051:$AO$2550,"&lt;"&amp;AO2438)+COUNTIFS($Y$2051:Y2438,1,$AO$2051:AO2438,AO2438))</f>
        <v/>
      </c>
      <c r="AA2438" s="1" t="str">
        <f t="shared" si="198"/>
        <v>Missing demographic or access input</v>
      </c>
      <c r="AB2438" s="1">
        <f t="shared" si="199"/>
        <v>0</v>
      </c>
      <c r="AC2438" s="1" t="str">
        <f t="shared" si="200"/>
        <v/>
      </c>
      <c r="AD2438" s="1" t="str">
        <f t="shared" si="201"/>
        <v/>
      </c>
      <c r="AE2438" s="1" t="str">
        <f t="shared" si="202"/>
        <v/>
      </c>
      <c r="AF2438" s="1" t="str">
        <f t="shared" si="203"/>
        <v/>
      </c>
      <c r="AG2438" s="1" t="str">
        <f t="shared" si="204"/>
        <v/>
      </c>
      <c r="AH2438" s="1" t="str">
        <f>IF(I2438=0,"Not contacted",IF(INDEX('Staff Review'!$J$8:$J$507,I2438)="","Not contacted",INDEX('Staff Review'!$J$8:$J$507,I2438)))</f>
        <v>Not contacted</v>
      </c>
      <c r="AI2438" s="1" t="str">
        <f>IF(I2438=0,"No",IF(AND(COUNT(INDEX('Staff Review'!$D$8:$D$507,I2438))=1,INDEX('Staff Review'!$D$8:$D$507,I2438)&gt;=0,COUNT(INDEX('Staff Review'!$E$8:$E$507,I2438))=1,INDEX('Staff Review'!$E$8:$E$507,I2438)&gt;0,INDEX('Staff Review'!$E$8:$E$507,I2438)&lt;='Top 25'!$E$5,'Top 25'!$E$5-INDEX('Staff Review'!$E$8:$E$507,I2438)&lt;='Top 25'!$H$5,LEN(INDEX('Staff Review'!$H$8:$H$507,I2438))&gt;0),"Yes","No"))</f>
        <v>No</v>
      </c>
      <c r="AJ2438" s="1" t="str">
        <f>IF(I2438=0,"No",IF(COUNT(INDEX('Staff Review'!$F$8:$F$507,I2438))&lt;&gt;1,"No",IF(AND(INDEX('Staff Review'!$F$8:$F$507,I2438)&gt;=0,MOD(INDEX('Staff Review'!$F$8:$F$507,I2438),1)=0,COUNT(INDEX('Staff Review'!$G$8:$G$507,I2438))=1,INDEX('Staff Review'!$G$8:$G$507,I2438)&gt;0,INDEX('Staff Review'!$G$8:$G$507,I2438)&lt;='Top 25'!$E$5,'Top 25'!$E$5-INDEX('Staff Review'!$G$8:$G$507,I2438)&lt;='Top 25'!$H$5,LEN(INDEX('Staff Review'!$H$8:$H$507,I2438))&gt;0),"Yes","No")))</f>
        <v>No</v>
      </c>
      <c r="AK2438" s="1">
        <f t="shared" si="205"/>
        <v>0</v>
      </c>
      <c r="AL2438" s="1">
        <f t="shared" si="206"/>
        <v>0</v>
      </c>
      <c r="AM2438" s="1">
        <f t="shared" si="207"/>
        <v>0</v>
      </c>
      <c r="AN2438" s="1">
        <f t="shared" si="208"/>
        <v>0</v>
      </c>
      <c r="AO2438">
        <f t="shared" si="209"/>
        <v>10000</v>
      </c>
      <c r="AP2438" s="105">
        <f>IF(AND(AL2438=1,OR('Top 25'!$A$10="All",C2438='Top 25'!$A$10),OR('Top 25'!$D$10="All",D2438='Top 25'!$D$10)),1,0)</f>
        <v>0</v>
      </c>
      <c r="AQ2438" s="105" t="str">
        <f>IF(AP2438=0,"",CHOOSE(MATCH('Top 25'!$G$10,{"Priority score","Economic need","Enrollment","Fresh miles","Nearby resources"},0),T2438,G2438,F2438,K2438,L2438))</f>
        <v/>
      </c>
      <c r="AR2438" s="105" t="str">
        <f>IF(AP2438=0,"",1+COUNTIFS($AP$2051:$AP$2550,1,$AQ$2051:$AQ$2550,IF('Top 25'!$J$10="Ascending","&lt;","&gt;")&amp;AQ2438)+COUNTIFS($AP$2051:$AP$2550,1,$AQ$2051:$AQ$2550,AQ2438,$W$2051:$W$2550,"&lt;"&amp;W2438))</f>
        <v/>
      </c>
      <c r="AT2438" s="105">
        <f>IF(AND(AL2438=1,OR(Master_rankableSchools!$A$10="All",C2438=Master_rankableSchools!$A$10),OR(Master_rankableSchools!$D$10="All",D2438=Master_rankableSchools!$D$10)),1,0)</f>
        <v>0</v>
      </c>
      <c r="AU2438" s="105" t="str">
        <f>IF(AT2438=0,"",CHOOSE(MATCH(Master_rankableSchools!$G$10,{"Priority score","Economic need","Enrollment","Fresh miles","Nearby resources"},0),T2438,G2438,F2438,K2438,L2438))</f>
        <v/>
      </c>
      <c r="AV2438" s="105" t="str">
        <f>IF(AT2438=0,"",1+COUNTIFS($AT$2051:$AT$2550,1,$AU$2051:$AU$2550,IF(Master_rankableSchools!$J$10="Ascending","&lt;","&gt;")&amp;AU2438)+COUNTIFS($AT$2051:$AT$2550,1,$AU$2051:$AU$2550,AU2438,$W$2051:$W$2550,"&lt;"&amp;W2438))</f>
        <v/>
      </c>
    </row>
    <row r="2439" spans="1:48" ht="22" customHeight="1">
      <c r="A2439" s="1" t="str">
        <f t="shared" si="180"/>
        <v/>
      </c>
      <c r="B2439" s="1" t="str">
        <f t="shared" si="181"/>
        <v/>
      </c>
      <c r="C2439" s="1" t="str">
        <f t="shared" si="182"/>
        <v/>
      </c>
      <c r="D2439" s="1" t="str">
        <f t="shared" si="183"/>
        <v/>
      </c>
      <c r="E2439" s="1" t="str">
        <f t="shared" si="184"/>
        <v/>
      </c>
      <c r="F2439" s="1" t="str">
        <f t="shared" si="185"/>
        <v/>
      </c>
      <c r="G2439" s="1" t="str">
        <f t="shared" si="186"/>
        <v/>
      </c>
      <c r="H2439" s="1" t="str">
        <f t="shared" si="187"/>
        <v/>
      </c>
      <c r="I2439" s="1">
        <f>IF(OR(A2439="",COUNTIFS('Staff Review'!$A$8:$A$507,A2439)&lt;&gt;1),0,MATCH(A2439,'Staff Review'!$A$8:$A$507,0))</f>
        <v>0</v>
      </c>
      <c r="J2439" s="1" t="str">
        <f>IF(I2439=0,"No",IF(INDEX('Staff Review'!$C$8:$C$507,I2439)="Yes","Yes","No"))</f>
        <v>No</v>
      </c>
      <c r="K2439" s="1" t="str">
        <f>IF(AI2439="Yes",INDEX('Staff Review'!$D$8:$D$507,I2439),IF(AB2439=0,"",IF(COUNT(INDEX($C$1531:$C$2030,AB2439))=1,INDEX($C$1531:$C$2030,AB2439),"")))</f>
        <v/>
      </c>
      <c r="L2439" s="1" t="str">
        <f>IF(AJ2439="Yes",INDEX('Staff Review'!$F$8:$F$507,I2439),IF(AB2439=0,"",IF(COUNT(INDEX($G$1531:$G$2030,AB2439))=1,INDEX($G$1531:$G$2030,AB2439),"")))</f>
        <v/>
      </c>
      <c r="M2439" s="1" t="str">
        <f t="shared" si="188"/>
        <v/>
      </c>
      <c r="N2439" s="1" t="str">
        <f t="shared" si="189"/>
        <v/>
      </c>
      <c r="O2439" s="1" t="str">
        <f t="shared" si="190"/>
        <v/>
      </c>
      <c r="P2439" s="1" t="str">
        <f t="shared" si="191"/>
        <v/>
      </c>
      <c r="Q2439" s="1" t="str">
        <f t="shared" si="192"/>
        <v/>
      </c>
      <c r="R2439" s="1" t="str">
        <f t="shared" si="193"/>
        <v/>
      </c>
      <c r="S2439" s="1" t="str">
        <f t="shared" si="194"/>
        <v/>
      </c>
      <c r="T2439" s="1" t="str">
        <f>IF(OR(COUNT(O2439:R2439)&lt;&gt;4,COUNT('Top 25'!$B$45:$E$45)&lt;&gt;4,MIN('Top 25'!$B$45:$E$45)&lt;0,SUM('Top 25'!$B$45:$E$45)&lt;=0),"",ROUND(85*(O2439/30*'Top 25'!$B$45+P2439/25*'Top 25'!$C$45+Q2439/25*'Top 25'!$D$45+R2439/5*'Top 25'!$E$45)/SUM('Top 25'!$B$45:$E$45),6))</f>
        <v/>
      </c>
      <c r="U2439" s="1" t="str">
        <f t="shared" si="195"/>
        <v/>
      </c>
      <c r="V2439" s="1" t="str">
        <f>IF(A2439="","",IF(AK2439&lt;&gt;1,"Duplicate source ID",IF(COUNTIFS('Staff Review'!$A$8:$A$507,A2439)&gt;1,"Duplicate review ID",IF(H2439&lt;&gt;"Yes","Outside scope",IF(J2439="Yes","Already served",IF(NOT(ISNUMBER(T2439)),"Missing data","Candidate"))))))</f>
        <v/>
      </c>
      <c r="W2439" s="1" t="str">
        <f t="shared" si="196"/>
        <v/>
      </c>
      <c r="X2439" s="1" t="str">
        <f t="shared" si="197"/>
        <v/>
      </c>
      <c r="Y2439" s="1">
        <f>IF(AND(H2439="Yes",OR(LEN('School Search'!$B$5)=0,ISNUMBER(SEARCH('School Search'!$B$5,B2439&amp;" "&amp;E2439&amp;" "&amp;A2439))),OR('School Search'!$D$5="All",C2439='School Search'!$D$5),OR('School Search'!$G$5="All eligible",AND('School Search'!$G$5="Not marked served",J2439&lt;&gt;"Yes"),AND('School Search'!$G$5="Missing data",V2439="Missing data"),AND('School Search'!$G$5="Marked served",J2439="Yes"))),1,0)</f>
        <v>0</v>
      </c>
      <c r="Z2439" s="1" t="str">
        <f>IF(Y2439=0,"",COUNTIFS($Y$2051:$Y$2550,1,$AO$2051:$AO$2550,"&lt;"&amp;AO2439)+COUNTIFS($Y$2051:Y2439,1,$AO$2051:AO2439,AO2439))</f>
        <v/>
      </c>
      <c r="AA2439" s="1" t="str">
        <f t="shared" si="198"/>
        <v>Missing demographic or access input</v>
      </c>
      <c r="AB2439" s="1">
        <f t="shared" si="199"/>
        <v>0</v>
      </c>
      <c r="AC2439" s="1" t="str">
        <f t="shared" si="200"/>
        <v/>
      </c>
      <c r="AD2439" s="1" t="str">
        <f t="shared" si="201"/>
        <v/>
      </c>
      <c r="AE2439" s="1" t="str">
        <f t="shared" si="202"/>
        <v/>
      </c>
      <c r="AF2439" s="1" t="str">
        <f t="shared" si="203"/>
        <v/>
      </c>
      <c r="AG2439" s="1" t="str">
        <f t="shared" si="204"/>
        <v/>
      </c>
      <c r="AH2439" s="1" t="str">
        <f>IF(I2439=0,"Not contacted",IF(INDEX('Staff Review'!$J$8:$J$507,I2439)="","Not contacted",INDEX('Staff Review'!$J$8:$J$507,I2439)))</f>
        <v>Not contacted</v>
      </c>
      <c r="AI2439" s="1" t="str">
        <f>IF(I2439=0,"No",IF(AND(COUNT(INDEX('Staff Review'!$D$8:$D$507,I2439))=1,INDEX('Staff Review'!$D$8:$D$507,I2439)&gt;=0,COUNT(INDEX('Staff Review'!$E$8:$E$507,I2439))=1,INDEX('Staff Review'!$E$8:$E$507,I2439)&gt;0,INDEX('Staff Review'!$E$8:$E$507,I2439)&lt;='Top 25'!$E$5,'Top 25'!$E$5-INDEX('Staff Review'!$E$8:$E$507,I2439)&lt;='Top 25'!$H$5,LEN(INDEX('Staff Review'!$H$8:$H$507,I2439))&gt;0),"Yes","No"))</f>
        <v>No</v>
      </c>
      <c r="AJ2439" s="1" t="str">
        <f>IF(I2439=0,"No",IF(COUNT(INDEX('Staff Review'!$F$8:$F$507,I2439))&lt;&gt;1,"No",IF(AND(INDEX('Staff Review'!$F$8:$F$507,I2439)&gt;=0,MOD(INDEX('Staff Review'!$F$8:$F$507,I2439),1)=0,COUNT(INDEX('Staff Review'!$G$8:$G$507,I2439))=1,INDEX('Staff Review'!$G$8:$G$507,I2439)&gt;0,INDEX('Staff Review'!$G$8:$G$507,I2439)&lt;='Top 25'!$E$5,'Top 25'!$E$5-INDEX('Staff Review'!$G$8:$G$507,I2439)&lt;='Top 25'!$H$5,LEN(INDEX('Staff Review'!$H$8:$H$507,I2439))&gt;0),"Yes","No")))</f>
        <v>No</v>
      </c>
      <c r="AK2439" s="1">
        <f t="shared" si="205"/>
        <v>0</v>
      </c>
      <c r="AL2439" s="1">
        <f t="shared" si="206"/>
        <v>0</v>
      </c>
      <c r="AM2439" s="1">
        <f t="shared" si="207"/>
        <v>0</v>
      </c>
      <c r="AN2439" s="1">
        <f t="shared" si="208"/>
        <v>0</v>
      </c>
      <c r="AO2439">
        <f t="shared" si="209"/>
        <v>10000</v>
      </c>
      <c r="AP2439" s="105">
        <f>IF(AND(AL2439=1,OR('Top 25'!$A$10="All",C2439='Top 25'!$A$10),OR('Top 25'!$D$10="All",D2439='Top 25'!$D$10)),1,0)</f>
        <v>0</v>
      </c>
      <c r="AQ2439" s="105" t="str">
        <f>IF(AP2439=0,"",CHOOSE(MATCH('Top 25'!$G$10,{"Priority score","Economic need","Enrollment","Fresh miles","Nearby resources"},0),T2439,G2439,F2439,K2439,L2439))</f>
        <v/>
      </c>
      <c r="AR2439" s="105" t="str">
        <f>IF(AP2439=0,"",1+COUNTIFS($AP$2051:$AP$2550,1,$AQ$2051:$AQ$2550,IF('Top 25'!$J$10="Ascending","&lt;","&gt;")&amp;AQ2439)+COUNTIFS($AP$2051:$AP$2550,1,$AQ$2051:$AQ$2550,AQ2439,$W$2051:$W$2550,"&lt;"&amp;W2439))</f>
        <v/>
      </c>
      <c r="AT2439" s="105">
        <f>IF(AND(AL2439=1,OR(Master_rankableSchools!$A$10="All",C2439=Master_rankableSchools!$A$10),OR(Master_rankableSchools!$D$10="All",D2439=Master_rankableSchools!$D$10)),1,0)</f>
        <v>0</v>
      </c>
      <c r="AU2439" s="105" t="str">
        <f>IF(AT2439=0,"",CHOOSE(MATCH(Master_rankableSchools!$G$10,{"Priority score","Economic need","Enrollment","Fresh miles","Nearby resources"},0),T2439,G2439,F2439,K2439,L2439))</f>
        <v/>
      </c>
      <c r="AV2439" s="105" t="str">
        <f>IF(AT2439=0,"",1+COUNTIFS($AT$2051:$AT$2550,1,$AU$2051:$AU$2550,IF(Master_rankableSchools!$J$10="Ascending","&lt;","&gt;")&amp;AU2439)+COUNTIFS($AT$2051:$AT$2550,1,$AU$2051:$AU$2550,AU2439,$W$2051:$W$2550,"&lt;"&amp;W2439))</f>
        <v/>
      </c>
    </row>
    <row r="2440" spans="1:48" ht="22" customHeight="1">
      <c r="A2440" s="1" t="str">
        <f t="shared" si="180"/>
        <v/>
      </c>
      <c r="B2440" s="1" t="str">
        <f t="shared" si="181"/>
        <v/>
      </c>
      <c r="C2440" s="1" t="str">
        <f t="shared" si="182"/>
        <v/>
      </c>
      <c r="D2440" s="1" t="str">
        <f t="shared" si="183"/>
        <v/>
      </c>
      <c r="E2440" s="1" t="str">
        <f t="shared" si="184"/>
        <v/>
      </c>
      <c r="F2440" s="1" t="str">
        <f t="shared" si="185"/>
        <v/>
      </c>
      <c r="G2440" s="1" t="str">
        <f t="shared" si="186"/>
        <v/>
      </c>
      <c r="H2440" s="1" t="str">
        <f t="shared" si="187"/>
        <v/>
      </c>
      <c r="I2440" s="1">
        <f>IF(OR(A2440="",COUNTIFS('Staff Review'!$A$8:$A$507,A2440)&lt;&gt;1),0,MATCH(A2440,'Staff Review'!$A$8:$A$507,0))</f>
        <v>0</v>
      </c>
      <c r="J2440" s="1" t="str">
        <f>IF(I2440=0,"No",IF(INDEX('Staff Review'!$C$8:$C$507,I2440)="Yes","Yes","No"))</f>
        <v>No</v>
      </c>
      <c r="K2440" s="1" t="str">
        <f>IF(AI2440="Yes",INDEX('Staff Review'!$D$8:$D$507,I2440),IF(AB2440=0,"",IF(COUNT(INDEX($C$1531:$C$2030,AB2440))=1,INDEX($C$1531:$C$2030,AB2440),"")))</f>
        <v/>
      </c>
      <c r="L2440" s="1" t="str">
        <f>IF(AJ2440="Yes",INDEX('Staff Review'!$F$8:$F$507,I2440),IF(AB2440=0,"",IF(COUNT(INDEX($G$1531:$G$2030,AB2440))=1,INDEX($G$1531:$G$2030,AB2440),"")))</f>
        <v/>
      </c>
      <c r="M2440" s="1" t="str">
        <f t="shared" si="188"/>
        <v/>
      </c>
      <c r="N2440" s="1" t="str">
        <f t="shared" si="189"/>
        <v/>
      </c>
      <c r="O2440" s="1" t="str">
        <f t="shared" si="190"/>
        <v/>
      </c>
      <c r="P2440" s="1" t="str">
        <f t="shared" si="191"/>
        <v/>
      </c>
      <c r="Q2440" s="1" t="str">
        <f t="shared" si="192"/>
        <v/>
      </c>
      <c r="R2440" s="1" t="str">
        <f t="shared" si="193"/>
        <v/>
      </c>
      <c r="S2440" s="1" t="str">
        <f t="shared" si="194"/>
        <v/>
      </c>
      <c r="T2440" s="1" t="str">
        <f>IF(OR(COUNT(O2440:R2440)&lt;&gt;4,COUNT('Top 25'!$B$45:$E$45)&lt;&gt;4,MIN('Top 25'!$B$45:$E$45)&lt;0,SUM('Top 25'!$B$45:$E$45)&lt;=0),"",ROUND(85*(O2440/30*'Top 25'!$B$45+P2440/25*'Top 25'!$C$45+Q2440/25*'Top 25'!$D$45+R2440/5*'Top 25'!$E$45)/SUM('Top 25'!$B$45:$E$45),6))</f>
        <v/>
      </c>
      <c r="U2440" s="1" t="str">
        <f t="shared" si="195"/>
        <v/>
      </c>
      <c r="V2440" s="1" t="str">
        <f>IF(A2440="","",IF(AK2440&lt;&gt;1,"Duplicate source ID",IF(COUNTIFS('Staff Review'!$A$8:$A$507,A2440)&gt;1,"Duplicate review ID",IF(H2440&lt;&gt;"Yes","Outside scope",IF(J2440="Yes","Already served",IF(NOT(ISNUMBER(T2440)),"Missing data","Candidate"))))))</f>
        <v/>
      </c>
      <c r="W2440" s="1" t="str">
        <f t="shared" si="196"/>
        <v/>
      </c>
      <c r="X2440" s="1" t="str">
        <f t="shared" si="197"/>
        <v/>
      </c>
      <c r="Y2440" s="1">
        <f>IF(AND(H2440="Yes",OR(LEN('School Search'!$B$5)=0,ISNUMBER(SEARCH('School Search'!$B$5,B2440&amp;" "&amp;E2440&amp;" "&amp;A2440))),OR('School Search'!$D$5="All",C2440='School Search'!$D$5),OR('School Search'!$G$5="All eligible",AND('School Search'!$G$5="Not marked served",J2440&lt;&gt;"Yes"),AND('School Search'!$G$5="Missing data",V2440="Missing data"),AND('School Search'!$G$5="Marked served",J2440="Yes"))),1,0)</f>
        <v>0</v>
      </c>
      <c r="Z2440" s="1" t="str">
        <f>IF(Y2440=0,"",COUNTIFS($Y$2051:$Y$2550,1,$AO$2051:$AO$2550,"&lt;"&amp;AO2440)+COUNTIFS($Y$2051:Y2440,1,$AO$2051:AO2440,AO2440))</f>
        <v/>
      </c>
      <c r="AA2440" s="1" t="str">
        <f t="shared" si="198"/>
        <v>Missing demographic or access input</v>
      </c>
      <c r="AB2440" s="1">
        <f t="shared" si="199"/>
        <v>0</v>
      </c>
      <c r="AC2440" s="1" t="str">
        <f t="shared" si="200"/>
        <v/>
      </c>
      <c r="AD2440" s="1" t="str">
        <f t="shared" si="201"/>
        <v/>
      </c>
      <c r="AE2440" s="1" t="str">
        <f t="shared" si="202"/>
        <v/>
      </c>
      <c r="AF2440" s="1" t="str">
        <f t="shared" si="203"/>
        <v/>
      </c>
      <c r="AG2440" s="1" t="str">
        <f t="shared" si="204"/>
        <v/>
      </c>
      <c r="AH2440" s="1" t="str">
        <f>IF(I2440=0,"Not contacted",IF(INDEX('Staff Review'!$J$8:$J$507,I2440)="","Not contacted",INDEX('Staff Review'!$J$8:$J$507,I2440)))</f>
        <v>Not contacted</v>
      </c>
      <c r="AI2440" s="1" t="str">
        <f>IF(I2440=0,"No",IF(AND(COUNT(INDEX('Staff Review'!$D$8:$D$507,I2440))=1,INDEX('Staff Review'!$D$8:$D$507,I2440)&gt;=0,COUNT(INDEX('Staff Review'!$E$8:$E$507,I2440))=1,INDEX('Staff Review'!$E$8:$E$507,I2440)&gt;0,INDEX('Staff Review'!$E$8:$E$507,I2440)&lt;='Top 25'!$E$5,'Top 25'!$E$5-INDEX('Staff Review'!$E$8:$E$507,I2440)&lt;='Top 25'!$H$5,LEN(INDEX('Staff Review'!$H$8:$H$507,I2440))&gt;0),"Yes","No"))</f>
        <v>No</v>
      </c>
      <c r="AJ2440" s="1" t="str">
        <f>IF(I2440=0,"No",IF(COUNT(INDEX('Staff Review'!$F$8:$F$507,I2440))&lt;&gt;1,"No",IF(AND(INDEX('Staff Review'!$F$8:$F$507,I2440)&gt;=0,MOD(INDEX('Staff Review'!$F$8:$F$507,I2440),1)=0,COUNT(INDEX('Staff Review'!$G$8:$G$507,I2440))=1,INDEX('Staff Review'!$G$8:$G$507,I2440)&gt;0,INDEX('Staff Review'!$G$8:$G$507,I2440)&lt;='Top 25'!$E$5,'Top 25'!$E$5-INDEX('Staff Review'!$G$8:$G$507,I2440)&lt;='Top 25'!$H$5,LEN(INDEX('Staff Review'!$H$8:$H$507,I2440))&gt;0),"Yes","No")))</f>
        <v>No</v>
      </c>
      <c r="AK2440" s="1">
        <f t="shared" si="205"/>
        <v>0</v>
      </c>
      <c r="AL2440" s="1">
        <f t="shared" si="206"/>
        <v>0</v>
      </c>
      <c r="AM2440" s="1">
        <f t="shared" si="207"/>
        <v>0</v>
      </c>
      <c r="AN2440" s="1">
        <f t="shared" si="208"/>
        <v>0</v>
      </c>
      <c r="AO2440">
        <f t="shared" si="209"/>
        <v>10000</v>
      </c>
      <c r="AP2440" s="105">
        <f>IF(AND(AL2440=1,OR('Top 25'!$A$10="All",C2440='Top 25'!$A$10),OR('Top 25'!$D$10="All",D2440='Top 25'!$D$10)),1,0)</f>
        <v>0</v>
      </c>
      <c r="AQ2440" s="105" t="str">
        <f>IF(AP2440=0,"",CHOOSE(MATCH('Top 25'!$G$10,{"Priority score","Economic need","Enrollment","Fresh miles","Nearby resources"},0),T2440,G2440,F2440,K2440,L2440))</f>
        <v/>
      </c>
      <c r="AR2440" s="105" t="str">
        <f>IF(AP2440=0,"",1+COUNTIFS($AP$2051:$AP$2550,1,$AQ$2051:$AQ$2550,IF('Top 25'!$J$10="Ascending","&lt;","&gt;")&amp;AQ2440)+COUNTIFS($AP$2051:$AP$2550,1,$AQ$2051:$AQ$2550,AQ2440,$W$2051:$W$2550,"&lt;"&amp;W2440))</f>
        <v/>
      </c>
      <c r="AT2440" s="105">
        <f>IF(AND(AL2440=1,OR(Master_rankableSchools!$A$10="All",C2440=Master_rankableSchools!$A$10),OR(Master_rankableSchools!$D$10="All",D2440=Master_rankableSchools!$D$10)),1,0)</f>
        <v>0</v>
      </c>
      <c r="AU2440" s="105" t="str">
        <f>IF(AT2440=0,"",CHOOSE(MATCH(Master_rankableSchools!$G$10,{"Priority score","Economic need","Enrollment","Fresh miles","Nearby resources"},0),T2440,G2440,F2440,K2440,L2440))</f>
        <v/>
      </c>
      <c r="AV2440" s="105" t="str">
        <f>IF(AT2440=0,"",1+COUNTIFS($AT$2051:$AT$2550,1,$AU$2051:$AU$2550,IF(Master_rankableSchools!$J$10="Ascending","&lt;","&gt;")&amp;AU2440)+COUNTIFS($AT$2051:$AT$2550,1,$AU$2051:$AU$2550,AU2440,$W$2051:$W$2550,"&lt;"&amp;W2440))</f>
        <v/>
      </c>
    </row>
    <row r="2441" spans="1:48" ht="22" customHeight="1">
      <c r="A2441" s="1" t="str">
        <f t="shared" si="180"/>
        <v/>
      </c>
      <c r="B2441" s="1" t="str">
        <f t="shared" si="181"/>
        <v/>
      </c>
      <c r="C2441" s="1" t="str">
        <f t="shared" si="182"/>
        <v/>
      </c>
      <c r="D2441" s="1" t="str">
        <f t="shared" si="183"/>
        <v/>
      </c>
      <c r="E2441" s="1" t="str">
        <f t="shared" si="184"/>
        <v/>
      </c>
      <c r="F2441" s="1" t="str">
        <f t="shared" si="185"/>
        <v/>
      </c>
      <c r="G2441" s="1" t="str">
        <f t="shared" si="186"/>
        <v/>
      </c>
      <c r="H2441" s="1" t="str">
        <f t="shared" si="187"/>
        <v/>
      </c>
      <c r="I2441" s="1">
        <f>IF(OR(A2441="",COUNTIFS('Staff Review'!$A$8:$A$507,A2441)&lt;&gt;1),0,MATCH(A2441,'Staff Review'!$A$8:$A$507,0))</f>
        <v>0</v>
      </c>
      <c r="J2441" s="1" t="str">
        <f>IF(I2441=0,"No",IF(INDEX('Staff Review'!$C$8:$C$507,I2441)="Yes","Yes","No"))</f>
        <v>No</v>
      </c>
      <c r="K2441" s="1" t="str">
        <f>IF(AI2441="Yes",INDEX('Staff Review'!$D$8:$D$507,I2441),IF(AB2441=0,"",IF(COUNT(INDEX($C$1531:$C$2030,AB2441))=1,INDEX($C$1531:$C$2030,AB2441),"")))</f>
        <v/>
      </c>
      <c r="L2441" s="1" t="str">
        <f>IF(AJ2441="Yes",INDEX('Staff Review'!$F$8:$F$507,I2441),IF(AB2441=0,"",IF(COUNT(INDEX($G$1531:$G$2030,AB2441))=1,INDEX($G$1531:$G$2030,AB2441),"")))</f>
        <v/>
      </c>
      <c r="M2441" s="1" t="str">
        <f t="shared" si="188"/>
        <v/>
      </c>
      <c r="N2441" s="1" t="str">
        <f t="shared" si="189"/>
        <v/>
      </c>
      <c r="O2441" s="1" t="str">
        <f t="shared" si="190"/>
        <v/>
      </c>
      <c r="P2441" s="1" t="str">
        <f t="shared" si="191"/>
        <v/>
      </c>
      <c r="Q2441" s="1" t="str">
        <f t="shared" si="192"/>
        <v/>
      </c>
      <c r="R2441" s="1" t="str">
        <f t="shared" si="193"/>
        <v/>
      </c>
      <c r="S2441" s="1" t="str">
        <f t="shared" si="194"/>
        <v/>
      </c>
      <c r="T2441" s="1" t="str">
        <f>IF(OR(COUNT(O2441:R2441)&lt;&gt;4,COUNT('Top 25'!$B$45:$E$45)&lt;&gt;4,MIN('Top 25'!$B$45:$E$45)&lt;0,SUM('Top 25'!$B$45:$E$45)&lt;=0),"",ROUND(85*(O2441/30*'Top 25'!$B$45+P2441/25*'Top 25'!$C$45+Q2441/25*'Top 25'!$D$45+R2441/5*'Top 25'!$E$45)/SUM('Top 25'!$B$45:$E$45),6))</f>
        <v/>
      </c>
      <c r="U2441" s="1" t="str">
        <f t="shared" si="195"/>
        <v/>
      </c>
      <c r="V2441" s="1" t="str">
        <f>IF(A2441="","",IF(AK2441&lt;&gt;1,"Duplicate source ID",IF(COUNTIFS('Staff Review'!$A$8:$A$507,A2441)&gt;1,"Duplicate review ID",IF(H2441&lt;&gt;"Yes","Outside scope",IF(J2441="Yes","Already served",IF(NOT(ISNUMBER(T2441)),"Missing data","Candidate"))))))</f>
        <v/>
      </c>
      <c r="W2441" s="1" t="str">
        <f t="shared" si="196"/>
        <v/>
      </c>
      <c r="X2441" s="1" t="str">
        <f t="shared" si="197"/>
        <v/>
      </c>
      <c r="Y2441" s="1">
        <f>IF(AND(H2441="Yes",OR(LEN('School Search'!$B$5)=0,ISNUMBER(SEARCH('School Search'!$B$5,B2441&amp;" "&amp;E2441&amp;" "&amp;A2441))),OR('School Search'!$D$5="All",C2441='School Search'!$D$5),OR('School Search'!$G$5="All eligible",AND('School Search'!$G$5="Not marked served",J2441&lt;&gt;"Yes"),AND('School Search'!$G$5="Missing data",V2441="Missing data"),AND('School Search'!$G$5="Marked served",J2441="Yes"))),1,0)</f>
        <v>0</v>
      </c>
      <c r="Z2441" s="1" t="str">
        <f>IF(Y2441=0,"",COUNTIFS($Y$2051:$Y$2550,1,$AO$2051:$AO$2550,"&lt;"&amp;AO2441)+COUNTIFS($Y$2051:Y2441,1,$AO$2051:AO2441,AO2441))</f>
        <v/>
      </c>
      <c r="AA2441" s="1" t="str">
        <f t="shared" si="198"/>
        <v>Missing demographic or access input</v>
      </c>
      <c r="AB2441" s="1">
        <f t="shared" si="199"/>
        <v>0</v>
      </c>
      <c r="AC2441" s="1" t="str">
        <f t="shared" si="200"/>
        <v/>
      </c>
      <c r="AD2441" s="1" t="str">
        <f t="shared" si="201"/>
        <v/>
      </c>
      <c r="AE2441" s="1" t="str">
        <f t="shared" si="202"/>
        <v/>
      </c>
      <c r="AF2441" s="1" t="str">
        <f t="shared" si="203"/>
        <v/>
      </c>
      <c r="AG2441" s="1" t="str">
        <f t="shared" si="204"/>
        <v/>
      </c>
      <c r="AH2441" s="1" t="str">
        <f>IF(I2441=0,"Not contacted",IF(INDEX('Staff Review'!$J$8:$J$507,I2441)="","Not contacted",INDEX('Staff Review'!$J$8:$J$507,I2441)))</f>
        <v>Not contacted</v>
      </c>
      <c r="AI2441" s="1" t="str">
        <f>IF(I2441=0,"No",IF(AND(COUNT(INDEX('Staff Review'!$D$8:$D$507,I2441))=1,INDEX('Staff Review'!$D$8:$D$507,I2441)&gt;=0,COUNT(INDEX('Staff Review'!$E$8:$E$507,I2441))=1,INDEX('Staff Review'!$E$8:$E$507,I2441)&gt;0,INDEX('Staff Review'!$E$8:$E$507,I2441)&lt;='Top 25'!$E$5,'Top 25'!$E$5-INDEX('Staff Review'!$E$8:$E$507,I2441)&lt;='Top 25'!$H$5,LEN(INDEX('Staff Review'!$H$8:$H$507,I2441))&gt;0),"Yes","No"))</f>
        <v>No</v>
      </c>
      <c r="AJ2441" s="1" t="str">
        <f>IF(I2441=0,"No",IF(COUNT(INDEX('Staff Review'!$F$8:$F$507,I2441))&lt;&gt;1,"No",IF(AND(INDEX('Staff Review'!$F$8:$F$507,I2441)&gt;=0,MOD(INDEX('Staff Review'!$F$8:$F$507,I2441),1)=0,COUNT(INDEX('Staff Review'!$G$8:$G$507,I2441))=1,INDEX('Staff Review'!$G$8:$G$507,I2441)&gt;0,INDEX('Staff Review'!$G$8:$G$507,I2441)&lt;='Top 25'!$E$5,'Top 25'!$E$5-INDEX('Staff Review'!$G$8:$G$507,I2441)&lt;='Top 25'!$H$5,LEN(INDEX('Staff Review'!$H$8:$H$507,I2441))&gt;0),"Yes","No")))</f>
        <v>No</v>
      </c>
      <c r="AK2441" s="1">
        <f t="shared" si="205"/>
        <v>0</v>
      </c>
      <c r="AL2441" s="1">
        <f t="shared" si="206"/>
        <v>0</v>
      </c>
      <c r="AM2441" s="1">
        <f t="shared" si="207"/>
        <v>0</v>
      </c>
      <c r="AN2441" s="1">
        <f t="shared" si="208"/>
        <v>0</v>
      </c>
      <c r="AO2441">
        <f t="shared" si="209"/>
        <v>10000</v>
      </c>
      <c r="AP2441" s="105">
        <f>IF(AND(AL2441=1,OR('Top 25'!$A$10="All",C2441='Top 25'!$A$10),OR('Top 25'!$D$10="All",D2441='Top 25'!$D$10)),1,0)</f>
        <v>0</v>
      </c>
      <c r="AQ2441" s="105" t="str">
        <f>IF(AP2441=0,"",CHOOSE(MATCH('Top 25'!$G$10,{"Priority score","Economic need","Enrollment","Fresh miles","Nearby resources"},0),T2441,G2441,F2441,K2441,L2441))</f>
        <v/>
      </c>
      <c r="AR2441" s="105" t="str">
        <f>IF(AP2441=0,"",1+COUNTIFS($AP$2051:$AP$2550,1,$AQ$2051:$AQ$2550,IF('Top 25'!$J$10="Ascending","&lt;","&gt;")&amp;AQ2441)+COUNTIFS($AP$2051:$AP$2550,1,$AQ$2051:$AQ$2550,AQ2441,$W$2051:$W$2550,"&lt;"&amp;W2441))</f>
        <v/>
      </c>
      <c r="AT2441" s="105">
        <f>IF(AND(AL2441=1,OR(Master_rankableSchools!$A$10="All",C2441=Master_rankableSchools!$A$10),OR(Master_rankableSchools!$D$10="All",D2441=Master_rankableSchools!$D$10)),1,0)</f>
        <v>0</v>
      </c>
      <c r="AU2441" s="105" t="str">
        <f>IF(AT2441=0,"",CHOOSE(MATCH(Master_rankableSchools!$G$10,{"Priority score","Economic need","Enrollment","Fresh miles","Nearby resources"},0),T2441,G2441,F2441,K2441,L2441))</f>
        <v/>
      </c>
      <c r="AV2441" s="105" t="str">
        <f>IF(AT2441=0,"",1+COUNTIFS($AT$2051:$AT$2550,1,$AU$2051:$AU$2550,IF(Master_rankableSchools!$J$10="Ascending","&lt;","&gt;")&amp;AU2441)+COUNTIFS($AT$2051:$AT$2550,1,$AU$2051:$AU$2550,AU2441,$W$2051:$W$2550,"&lt;"&amp;W2441))</f>
        <v/>
      </c>
    </row>
    <row r="2442" spans="1:48" ht="22" customHeight="1">
      <c r="A2442" s="1" t="str">
        <f t="shared" si="180"/>
        <v/>
      </c>
      <c r="B2442" s="1" t="str">
        <f t="shared" si="181"/>
        <v/>
      </c>
      <c r="C2442" s="1" t="str">
        <f t="shared" si="182"/>
        <v/>
      </c>
      <c r="D2442" s="1" t="str">
        <f t="shared" si="183"/>
        <v/>
      </c>
      <c r="E2442" s="1" t="str">
        <f t="shared" si="184"/>
        <v/>
      </c>
      <c r="F2442" s="1" t="str">
        <f t="shared" si="185"/>
        <v/>
      </c>
      <c r="G2442" s="1" t="str">
        <f t="shared" si="186"/>
        <v/>
      </c>
      <c r="H2442" s="1" t="str">
        <f t="shared" si="187"/>
        <v/>
      </c>
      <c r="I2442" s="1">
        <f>IF(OR(A2442="",COUNTIFS('Staff Review'!$A$8:$A$507,A2442)&lt;&gt;1),0,MATCH(A2442,'Staff Review'!$A$8:$A$507,0))</f>
        <v>0</v>
      </c>
      <c r="J2442" s="1" t="str">
        <f>IF(I2442=0,"No",IF(INDEX('Staff Review'!$C$8:$C$507,I2442)="Yes","Yes","No"))</f>
        <v>No</v>
      </c>
      <c r="K2442" s="1" t="str">
        <f>IF(AI2442="Yes",INDEX('Staff Review'!$D$8:$D$507,I2442),IF(AB2442=0,"",IF(COUNT(INDEX($C$1531:$C$2030,AB2442))=1,INDEX($C$1531:$C$2030,AB2442),"")))</f>
        <v/>
      </c>
      <c r="L2442" s="1" t="str">
        <f>IF(AJ2442="Yes",INDEX('Staff Review'!$F$8:$F$507,I2442),IF(AB2442=0,"",IF(COUNT(INDEX($G$1531:$G$2030,AB2442))=1,INDEX($G$1531:$G$2030,AB2442),"")))</f>
        <v/>
      </c>
      <c r="M2442" s="1" t="str">
        <f t="shared" si="188"/>
        <v/>
      </c>
      <c r="N2442" s="1" t="str">
        <f t="shared" si="189"/>
        <v/>
      </c>
      <c r="O2442" s="1" t="str">
        <f t="shared" si="190"/>
        <v/>
      </c>
      <c r="P2442" s="1" t="str">
        <f t="shared" si="191"/>
        <v/>
      </c>
      <c r="Q2442" s="1" t="str">
        <f t="shared" si="192"/>
        <v/>
      </c>
      <c r="R2442" s="1" t="str">
        <f t="shared" si="193"/>
        <v/>
      </c>
      <c r="S2442" s="1" t="str">
        <f t="shared" si="194"/>
        <v/>
      </c>
      <c r="T2442" s="1" t="str">
        <f>IF(OR(COUNT(O2442:R2442)&lt;&gt;4,COUNT('Top 25'!$B$45:$E$45)&lt;&gt;4,MIN('Top 25'!$B$45:$E$45)&lt;0,SUM('Top 25'!$B$45:$E$45)&lt;=0),"",ROUND(85*(O2442/30*'Top 25'!$B$45+P2442/25*'Top 25'!$C$45+Q2442/25*'Top 25'!$D$45+R2442/5*'Top 25'!$E$45)/SUM('Top 25'!$B$45:$E$45),6))</f>
        <v/>
      </c>
      <c r="U2442" s="1" t="str">
        <f t="shared" si="195"/>
        <v/>
      </c>
      <c r="V2442" s="1" t="str">
        <f>IF(A2442="","",IF(AK2442&lt;&gt;1,"Duplicate source ID",IF(COUNTIFS('Staff Review'!$A$8:$A$507,A2442)&gt;1,"Duplicate review ID",IF(H2442&lt;&gt;"Yes","Outside scope",IF(J2442="Yes","Already served",IF(NOT(ISNUMBER(T2442)),"Missing data","Candidate"))))))</f>
        <v/>
      </c>
      <c r="W2442" s="1" t="str">
        <f t="shared" si="196"/>
        <v/>
      </c>
      <c r="X2442" s="1" t="str">
        <f t="shared" si="197"/>
        <v/>
      </c>
      <c r="Y2442" s="1">
        <f>IF(AND(H2442="Yes",OR(LEN('School Search'!$B$5)=0,ISNUMBER(SEARCH('School Search'!$B$5,B2442&amp;" "&amp;E2442&amp;" "&amp;A2442))),OR('School Search'!$D$5="All",C2442='School Search'!$D$5),OR('School Search'!$G$5="All eligible",AND('School Search'!$G$5="Not marked served",J2442&lt;&gt;"Yes"),AND('School Search'!$G$5="Missing data",V2442="Missing data"),AND('School Search'!$G$5="Marked served",J2442="Yes"))),1,0)</f>
        <v>0</v>
      </c>
      <c r="Z2442" s="1" t="str">
        <f>IF(Y2442=0,"",COUNTIFS($Y$2051:$Y$2550,1,$AO$2051:$AO$2550,"&lt;"&amp;AO2442)+COUNTIFS($Y$2051:Y2442,1,$AO$2051:AO2442,AO2442))</f>
        <v/>
      </c>
      <c r="AA2442" s="1" t="str">
        <f t="shared" si="198"/>
        <v>Missing demographic or access input</v>
      </c>
      <c r="AB2442" s="1">
        <f t="shared" si="199"/>
        <v>0</v>
      </c>
      <c r="AC2442" s="1" t="str">
        <f t="shared" si="200"/>
        <v/>
      </c>
      <c r="AD2442" s="1" t="str">
        <f t="shared" si="201"/>
        <v/>
      </c>
      <c r="AE2442" s="1" t="str">
        <f t="shared" si="202"/>
        <v/>
      </c>
      <c r="AF2442" s="1" t="str">
        <f t="shared" si="203"/>
        <v/>
      </c>
      <c r="AG2442" s="1" t="str">
        <f t="shared" si="204"/>
        <v/>
      </c>
      <c r="AH2442" s="1" t="str">
        <f>IF(I2442=0,"Not contacted",IF(INDEX('Staff Review'!$J$8:$J$507,I2442)="","Not contacted",INDEX('Staff Review'!$J$8:$J$507,I2442)))</f>
        <v>Not contacted</v>
      </c>
      <c r="AI2442" s="1" t="str">
        <f>IF(I2442=0,"No",IF(AND(COUNT(INDEX('Staff Review'!$D$8:$D$507,I2442))=1,INDEX('Staff Review'!$D$8:$D$507,I2442)&gt;=0,COUNT(INDEX('Staff Review'!$E$8:$E$507,I2442))=1,INDEX('Staff Review'!$E$8:$E$507,I2442)&gt;0,INDEX('Staff Review'!$E$8:$E$507,I2442)&lt;='Top 25'!$E$5,'Top 25'!$E$5-INDEX('Staff Review'!$E$8:$E$507,I2442)&lt;='Top 25'!$H$5,LEN(INDEX('Staff Review'!$H$8:$H$507,I2442))&gt;0),"Yes","No"))</f>
        <v>No</v>
      </c>
      <c r="AJ2442" s="1" t="str">
        <f>IF(I2442=0,"No",IF(COUNT(INDEX('Staff Review'!$F$8:$F$507,I2442))&lt;&gt;1,"No",IF(AND(INDEX('Staff Review'!$F$8:$F$507,I2442)&gt;=0,MOD(INDEX('Staff Review'!$F$8:$F$507,I2442),1)=0,COUNT(INDEX('Staff Review'!$G$8:$G$507,I2442))=1,INDEX('Staff Review'!$G$8:$G$507,I2442)&gt;0,INDEX('Staff Review'!$G$8:$G$507,I2442)&lt;='Top 25'!$E$5,'Top 25'!$E$5-INDEX('Staff Review'!$G$8:$G$507,I2442)&lt;='Top 25'!$H$5,LEN(INDEX('Staff Review'!$H$8:$H$507,I2442))&gt;0),"Yes","No")))</f>
        <v>No</v>
      </c>
      <c r="AK2442" s="1">
        <f t="shared" si="205"/>
        <v>0</v>
      </c>
      <c r="AL2442" s="1">
        <f t="shared" si="206"/>
        <v>0</v>
      </c>
      <c r="AM2442" s="1">
        <f t="shared" si="207"/>
        <v>0</v>
      </c>
      <c r="AN2442" s="1">
        <f t="shared" si="208"/>
        <v>0</v>
      </c>
      <c r="AO2442">
        <f t="shared" si="209"/>
        <v>10000</v>
      </c>
      <c r="AP2442" s="105">
        <f>IF(AND(AL2442=1,OR('Top 25'!$A$10="All",C2442='Top 25'!$A$10),OR('Top 25'!$D$10="All",D2442='Top 25'!$D$10)),1,0)</f>
        <v>0</v>
      </c>
      <c r="AQ2442" s="105" t="str">
        <f>IF(AP2442=0,"",CHOOSE(MATCH('Top 25'!$G$10,{"Priority score","Economic need","Enrollment","Fresh miles","Nearby resources"},0),T2442,G2442,F2442,K2442,L2442))</f>
        <v/>
      </c>
      <c r="AR2442" s="105" t="str">
        <f>IF(AP2442=0,"",1+COUNTIFS($AP$2051:$AP$2550,1,$AQ$2051:$AQ$2550,IF('Top 25'!$J$10="Ascending","&lt;","&gt;")&amp;AQ2442)+COUNTIFS($AP$2051:$AP$2550,1,$AQ$2051:$AQ$2550,AQ2442,$W$2051:$W$2550,"&lt;"&amp;W2442))</f>
        <v/>
      </c>
      <c r="AT2442" s="105">
        <f>IF(AND(AL2442=1,OR(Master_rankableSchools!$A$10="All",C2442=Master_rankableSchools!$A$10),OR(Master_rankableSchools!$D$10="All",D2442=Master_rankableSchools!$D$10)),1,0)</f>
        <v>0</v>
      </c>
      <c r="AU2442" s="105" t="str">
        <f>IF(AT2442=0,"",CHOOSE(MATCH(Master_rankableSchools!$G$10,{"Priority score","Economic need","Enrollment","Fresh miles","Nearby resources"},0),T2442,G2442,F2442,K2442,L2442))</f>
        <v/>
      </c>
      <c r="AV2442" s="105" t="str">
        <f>IF(AT2442=0,"",1+COUNTIFS($AT$2051:$AT$2550,1,$AU$2051:$AU$2550,IF(Master_rankableSchools!$J$10="Ascending","&lt;","&gt;")&amp;AU2442)+COUNTIFS($AT$2051:$AT$2550,1,$AU$2051:$AU$2550,AU2442,$W$2051:$W$2550,"&lt;"&amp;W2442))</f>
        <v/>
      </c>
    </row>
    <row r="2443" spans="1:48" ht="22" customHeight="1">
      <c r="A2443" s="1" t="str">
        <f t="shared" si="180"/>
        <v/>
      </c>
      <c r="B2443" s="1" t="str">
        <f t="shared" si="181"/>
        <v/>
      </c>
      <c r="C2443" s="1" t="str">
        <f t="shared" si="182"/>
        <v/>
      </c>
      <c r="D2443" s="1" t="str">
        <f t="shared" si="183"/>
        <v/>
      </c>
      <c r="E2443" s="1" t="str">
        <f t="shared" si="184"/>
        <v/>
      </c>
      <c r="F2443" s="1" t="str">
        <f t="shared" si="185"/>
        <v/>
      </c>
      <c r="G2443" s="1" t="str">
        <f t="shared" si="186"/>
        <v/>
      </c>
      <c r="H2443" s="1" t="str">
        <f t="shared" si="187"/>
        <v/>
      </c>
      <c r="I2443" s="1">
        <f>IF(OR(A2443="",COUNTIFS('Staff Review'!$A$8:$A$507,A2443)&lt;&gt;1),0,MATCH(A2443,'Staff Review'!$A$8:$A$507,0))</f>
        <v>0</v>
      </c>
      <c r="J2443" s="1" t="str">
        <f>IF(I2443=0,"No",IF(INDEX('Staff Review'!$C$8:$C$507,I2443)="Yes","Yes","No"))</f>
        <v>No</v>
      </c>
      <c r="K2443" s="1" t="str">
        <f>IF(AI2443="Yes",INDEX('Staff Review'!$D$8:$D$507,I2443),IF(AB2443=0,"",IF(COUNT(INDEX($C$1531:$C$2030,AB2443))=1,INDEX($C$1531:$C$2030,AB2443),"")))</f>
        <v/>
      </c>
      <c r="L2443" s="1" t="str">
        <f>IF(AJ2443="Yes",INDEX('Staff Review'!$F$8:$F$507,I2443),IF(AB2443=0,"",IF(COUNT(INDEX($G$1531:$G$2030,AB2443))=1,INDEX($G$1531:$G$2030,AB2443),"")))</f>
        <v/>
      </c>
      <c r="M2443" s="1" t="str">
        <f t="shared" si="188"/>
        <v/>
      </c>
      <c r="N2443" s="1" t="str">
        <f t="shared" si="189"/>
        <v/>
      </c>
      <c r="O2443" s="1" t="str">
        <f t="shared" si="190"/>
        <v/>
      </c>
      <c r="P2443" s="1" t="str">
        <f t="shared" si="191"/>
        <v/>
      </c>
      <c r="Q2443" s="1" t="str">
        <f t="shared" si="192"/>
        <v/>
      </c>
      <c r="R2443" s="1" t="str">
        <f t="shared" si="193"/>
        <v/>
      </c>
      <c r="S2443" s="1" t="str">
        <f t="shared" si="194"/>
        <v/>
      </c>
      <c r="T2443" s="1" t="str">
        <f>IF(OR(COUNT(O2443:R2443)&lt;&gt;4,COUNT('Top 25'!$B$45:$E$45)&lt;&gt;4,MIN('Top 25'!$B$45:$E$45)&lt;0,SUM('Top 25'!$B$45:$E$45)&lt;=0),"",ROUND(85*(O2443/30*'Top 25'!$B$45+P2443/25*'Top 25'!$C$45+Q2443/25*'Top 25'!$D$45+R2443/5*'Top 25'!$E$45)/SUM('Top 25'!$B$45:$E$45),6))</f>
        <v/>
      </c>
      <c r="U2443" s="1" t="str">
        <f t="shared" si="195"/>
        <v/>
      </c>
      <c r="V2443" s="1" t="str">
        <f>IF(A2443="","",IF(AK2443&lt;&gt;1,"Duplicate source ID",IF(COUNTIFS('Staff Review'!$A$8:$A$507,A2443)&gt;1,"Duplicate review ID",IF(H2443&lt;&gt;"Yes","Outside scope",IF(J2443="Yes","Already served",IF(NOT(ISNUMBER(T2443)),"Missing data","Candidate"))))))</f>
        <v/>
      </c>
      <c r="W2443" s="1" t="str">
        <f t="shared" si="196"/>
        <v/>
      </c>
      <c r="X2443" s="1" t="str">
        <f t="shared" si="197"/>
        <v/>
      </c>
      <c r="Y2443" s="1">
        <f>IF(AND(H2443="Yes",OR(LEN('School Search'!$B$5)=0,ISNUMBER(SEARCH('School Search'!$B$5,B2443&amp;" "&amp;E2443&amp;" "&amp;A2443))),OR('School Search'!$D$5="All",C2443='School Search'!$D$5),OR('School Search'!$G$5="All eligible",AND('School Search'!$G$5="Not marked served",J2443&lt;&gt;"Yes"),AND('School Search'!$G$5="Missing data",V2443="Missing data"),AND('School Search'!$G$5="Marked served",J2443="Yes"))),1,0)</f>
        <v>0</v>
      </c>
      <c r="Z2443" s="1" t="str">
        <f>IF(Y2443=0,"",COUNTIFS($Y$2051:$Y$2550,1,$AO$2051:$AO$2550,"&lt;"&amp;AO2443)+COUNTIFS($Y$2051:Y2443,1,$AO$2051:AO2443,AO2443))</f>
        <v/>
      </c>
      <c r="AA2443" s="1" t="str">
        <f t="shared" si="198"/>
        <v>Missing demographic or access input</v>
      </c>
      <c r="AB2443" s="1">
        <f t="shared" si="199"/>
        <v>0</v>
      </c>
      <c r="AC2443" s="1" t="str">
        <f t="shared" si="200"/>
        <v/>
      </c>
      <c r="AD2443" s="1" t="str">
        <f t="shared" si="201"/>
        <v/>
      </c>
      <c r="AE2443" s="1" t="str">
        <f t="shared" si="202"/>
        <v/>
      </c>
      <c r="AF2443" s="1" t="str">
        <f t="shared" si="203"/>
        <v/>
      </c>
      <c r="AG2443" s="1" t="str">
        <f t="shared" si="204"/>
        <v/>
      </c>
      <c r="AH2443" s="1" t="str">
        <f>IF(I2443=0,"Not contacted",IF(INDEX('Staff Review'!$J$8:$J$507,I2443)="","Not contacted",INDEX('Staff Review'!$J$8:$J$507,I2443)))</f>
        <v>Not contacted</v>
      </c>
      <c r="AI2443" s="1" t="str">
        <f>IF(I2443=0,"No",IF(AND(COUNT(INDEX('Staff Review'!$D$8:$D$507,I2443))=1,INDEX('Staff Review'!$D$8:$D$507,I2443)&gt;=0,COUNT(INDEX('Staff Review'!$E$8:$E$507,I2443))=1,INDEX('Staff Review'!$E$8:$E$507,I2443)&gt;0,INDEX('Staff Review'!$E$8:$E$507,I2443)&lt;='Top 25'!$E$5,'Top 25'!$E$5-INDEX('Staff Review'!$E$8:$E$507,I2443)&lt;='Top 25'!$H$5,LEN(INDEX('Staff Review'!$H$8:$H$507,I2443))&gt;0),"Yes","No"))</f>
        <v>No</v>
      </c>
      <c r="AJ2443" s="1" t="str">
        <f>IF(I2443=0,"No",IF(COUNT(INDEX('Staff Review'!$F$8:$F$507,I2443))&lt;&gt;1,"No",IF(AND(INDEX('Staff Review'!$F$8:$F$507,I2443)&gt;=0,MOD(INDEX('Staff Review'!$F$8:$F$507,I2443),1)=0,COUNT(INDEX('Staff Review'!$G$8:$G$507,I2443))=1,INDEX('Staff Review'!$G$8:$G$507,I2443)&gt;0,INDEX('Staff Review'!$G$8:$G$507,I2443)&lt;='Top 25'!$E$5,'Top 25'!$E$5-INDEX('Staff Review'!$G$8:$G$507,I2443)&lt;='Top 25'!$H$5,LEN(INDEX('Staff Review'!$H$8:$H$507,I2443))&gt;0),"Yes","No")))</f>
        <v>No</v>
      </c>
      <c r="AK2443" s="1">
        <f t="shared" si="205"/>
        <v>0</v>
      </c>
      <c r="AL2443" s="1">
        <f t="shared" si="206"/>
        <v>0</v>
      </c>
      <c r="AM2443" s="1">
        <f t="shared" si="207"/>
        <v>0</v>
      </c>
      <c r="AN2443" s="1">
        <f t="shared" si="208"/>
        <v>0</v>
      </c>
      <c r="AO2443">
        <f t="shared" si="209"/>
        <v>10000</v>
      </c>
      <c r="AP2443" s="105">
        <f>IF(AND(AL2443=1,OR('Top 25'!$A$10="All",C2443='Top 25'!$A$10),OR('Top 25'!$D$10="All",D2443='Top 25'!$D$10)),1,0)</f>
        <v>0</v>
      </c>
      <c r="AQ2443" s="105" t="str">
        <f>IF(AP2443=0,"",CHOOSE(MATCH('Top 25'!$G$10,{"Priority score","Economic need","Enrollment","Fresh miles","Nearby resources"},0),T2443,G2443,F2443,K2443,L2443))</f>
        <v/>
      </c>
      <c r="AR2443" s="105" t="str">
        <f>IF(AP2443=0,"",1+COUNTIFS($AP$2051:$AP$2550,1,$AQ$2051:$AQ$2550,IF('Top 25'!$J$10="Ascending","&lt;","&gt;")&amp;AQ2443)+COUNTIFS($AP$2051:$AP$2550,1,$AQ$2051:$AQ$2550,AQ2443,$W$2051:$W$2550,"&lt;"&amp;W2443))</f>
        <v/>
      </c>
      <c r="AT2443" s="105">
        <f>IF(AND(AL2443=1,OR(Master_rankableSchools!$A$10="All",C2443=Master_rankableSchools!$A$10),OR(Master_rankableSchools!$D$10="All",D2443=Master_rankableSchools!$D$10)),1,0)</f>
        <v>0</v>
      </c>
      <c r="AU2443" s="105" t="str">
        <f>IF(AT2443=0,"",CHOOSE(MATCH(Master_rankableSchools!$G$10,{"Priority score","Economic need","Enrollment","Fresh miles","Nearby resources"},0),T2443,G2443,F2443,K2443,L2443))</f>
        <v/>
      </c>
      <c r="AV2443" s="105" t="str">
        <f>IF(AT2443=0,"",1+COUNTIFS($AT$2051:$AT$2550,1,$AU$2051:$AU$2550,IF(Master_rankableSchools!$J$10="Ascending","&lt;","&gt;")&amp;AU2443)+COUNTIFS($AT$2051:$AT$2550,1,$AU$2051:$AU$2550,AU2443,$W$2051:$W$2550,"&lt;"&amp;W2443))</f>
        <v/>
      </c>
    </row>
    <row r="2444" spans="1:48" ht="22" customHeight="1">
      <c r="A2444" s="1" t="str">
        <f t="shared" si="180"/>
        <v/>
      </c>
      <c r="B2444" s="1" t="str">
        <f t="shared" si="181"/>
        <v/>
      </c>
      <c r="C2444" s="1" t="str">
        <f t="shared" si="182"/>
        <v/>
      </c>
      <c r="D2444" s="1" t="str">
        <f t="shared" si="183"/>
        <v/>
      </c>
      <c r="E2444" s="1" t="str">
        <f t="shared" si="184"/>
        <v/>
      </c>
      <c r="F2444" s="1" t="str">
        <f t="shared" si="185"/>
        <v/>
      </c>
      <c r="G2444" s="1" t="str">
        <f t="shared" si="186"/>
        <v/>
      </c>
      <c r="H2444" s="1" t="str">
        <f t="shared" si="187"/>
        <v/>
      </c>
      <c r="I2444" s="1">
        <f>IF(OR(A2444="",COUNTIFS('Staff Review'!$A$8:$A$507,A2444)&lt;&gt;1),0,MATCH(A2444,'Staff Review'!$A$8:$A$507,0))</f>
        <v>0</v>
      </c>
      <c r="J2444" s="1" t="str">
        <f>IF(I2444=0,"No",IF(INDEX('Staff Review'!$C$8:$C$507,I2444)="Yes","Yes","No"))</f>
        <v>No</v>
      </c>
      <c r="K2444" s="1" t="str">
        <f>IF(AI2444="Yes",INDEX('Staff Review'!$D$8:$D$507,I2444),IF(AB2444=0,"",IF(COUNT(INDEX($C$1531:$C$2030,AB2444))=1,INDEX($C$1531:$C$2030,AB2444),"")))</f>
        <v/>
      </c>
      <c r="L2444" s="1" t="str">
        <f>IF(AJ2444="Yes",INDEX('Staff Review'!$F$8:$F$507,I2444),IF(AB2444=0,"",IF(COUNT(INDEX($G$1531:$G$2030,AB2444))=1,INDEX($G$1531:$G$2030,AB2444),"")))</f>
        <v/>
      </c>
      <c r="M2444" s="1" t="str">
        <f t="shared" si="188"/>
        <v/>
      </c>
      <c r="N2444" s="1" t="str">
        <f t="shared" si="189"/>
        <v/>
      </c>
      <c r="O2444" s="1" t="str">
        <f t="shared" si="190"/>
        <v/>
      </c>
      <c r="P2444" s="1" t="str">
        <f t="shared" si="191"/>
        <v/>
      </c>
      <c r="Q2444" s="1" t="str">
        <f t="shared" si="192"/>
        <v/>
      </c>
      <c r="R2444" s="1" t="str">
        <f t="shared" si="193"/>
        <v/>
      </c>
      <c r="S2444" s="1" t="str">
        <f t="shared" si="194"/>
        <v/>
      </c>
      <c r="T2444" s="1" t="str">
        <f>IF(OR(COUNT(O2444:R2444)&lt;&gt;4,COUNT('Top 25'!$B$45:$E$45)&lt;&gt;4,MIN('Top 25'!$B$45:$E$45)&lt;0,SUM('Top 25'!$B$45:$E$45)&lt;=0),"",ROUND(85*(O2444/30*'Top 25'!$B$45+P2444/25*'Top 25'!$C$45+Q2444/25*'Top 25'!$D$45+R2444/5*'Top 25'!$E$45)/SUM('Top 25'!$B$45:$E$45),6))</f>
        <v/>
      </c>
      <c r="U2444" s="1" t="str">
        <f t="shared" si="195"/>
        <v/>
      </c>
      <c r="V2444" s="1" t="str">
        <f>IF(A2444="","",IF(AK2444&lt;&gt;1,"Duplicate source ID",IF(COUNTIFS('Staff Review'!$A$8:$A$507,A2444)&gt;1,"Duplicate review ID",IF(H2444&lt;&gt;"Yes","Outside scope",IF(J2444="Yes","Already served",IF(NOT(ISNUMBER(T2444)),"Missing data","Candidate"))))))</f>
        <v/>
      </c>
      <c r="W2444" s="1" t="str">
        <f t="shared" si="196"/>
        <v/>
      </c>
      <c r="X2444" s="1" t="str">
        <f t="shared" si="197"/>
        <v/>
      </c>
      <c r="Y2444" s="1">
        <f>IF(AND(H2444="Yes",OR(LEN('School Search'!$B$5)=0,ISNUMBER(SEARCH('School Search'!$B$5,B2444&amp;" "&amp;E2444&amp;" "&amp;A2444))),OR('School Search'!$D$5="All",C2444='School Search'!$D$5),OR('School Search'!$G$5="All eligible",AND('School Search'!$G$5="Not marked served",J2444&lt;&gt;"Yes"),AND('School Search'!$G$5="Missing data",V2444="Missing data"),AND('School Search'!$G$5="Marked served",J2444="Yes"))),1,0)</f>
        <v>0</v>
      </c>
      <c r="Z2444" s="1" t="str">
        <f>IF(Y2444=0,"",COUNTIFS($Y$2051:$Y$2550,1,$AO$2051:$AO$2550,"&lt;"&amp;AO2444)+COUNTIFS($Y$2051:Y2444,1,$AO$2051:AO2444,AO2444))</f>
        <v/>
      </c>
      <c r="AA2444" s="1" t="str">
        <f t="shared" si="198"/>
        <v>Missing demographic or access input</v>
      </c>
      <c r="AB2444" s="1">
        <f t="shared" si="199"/>
        <v>0</v>
      </c>
      <c r="AC2444" s="1" t="str">
        <f t="shared" si="200"/>
        <v/>
      </c>
      <c r="AD2444" s="1" t="str">
        <f t="shared" si="201"/>
        <v/>
      </c>
      <c r="AE2444" s="1" t="str">
        <f t="shared" si="202"/>
        <v/>
      </c>
      <c r="AF2444" s="1" t="str">
        <f t="shared" si="203"/>
        <v/>
      </c>
      <c r="AG2444" s="1" t="str">
        <f t="shared" si="204"/>
        <v/>
      </c>
      <c r="AH2444" s="1" t="str">
        <f>IF(I2444=0,"Not contacted",IF(INDEX('Staff Review'!$J$8:$J$507,I2444)="","Not contacted",INDEX('Staff Review'!$J$8:$J$507,I2444)))</f>
        <v>Not contacted</v>
      </c>
      <c r="AI2444" s="1" t="str">
        <f>IF(I2444=0,"No",IF(AND(COUNT(INDEX('Staff Review'!$D$8:$D$507,I2444))=1,INDEX('Staff Review'!$D$8:$D$507,I2444)&gt;=0,COUNT(INDEX('Staff Review'!$E$8:$E$507,I2444))=1,INDEX('Staff Review'!$E$8:$E$507,I2444)&gt;0,INDEX('Staff Review'!$E$8:$E$507,I2444)&lt;='Top 25'!$E$5,'Top 25'!$E$5-INDEX('Staff Review'!$E$8:$E$507,I2444)&lt;='Top 25'!$H$5,LEN(INDEX('Staff Review'!$H$8:$H$507,I2444))&gt;0),"Yes","No"))</f>
        <v>No</v>
      </c>
      <c r="AJ2444" s="1" t="str">
        <f>IF(I2444=0,"No",IF(COUNT(INDEX('Staff Review'!$F$8:$F$507,I2444))&lt;&gt;1,"No",IF(AND(INDEX('Staff Review'!$F$8:$F$507,I2444)&gt;=0,MOD(INDEX('Staff Review'!$F$8:$F$507,I2444),1)=0,COUNT(INDEX('Staff Review'!$G$8:$G$507,I2444))=1,INDEX('Staff Review'!$G$8:$G$507,I2444)&gt;0,INDEX('Staff Review'!$G$8:$G$507,I2444)&lt;='Top 25'!$E$5,'Top 25'!$E$5-INDEX('Staff Review'!$G$8:$G$507,I2444)&lt;='Top 25'!$H$5,LEN(INDEX('Staff Review'!$H$8:$H$507,I2444))&gt;0),"Yes","No")))</f>
        <v>No</v>
      </c>
      <c r="AK2444" s="1">
        <f t="shared" si="205"/>
        <v>0</v>
      </c>
      <c r="AL2444" s="1">
        <f t="shared" si="206"/>
        <v>0</v>
      </c>
      <c r="AM2444" s="1">
        <f t="shared" si="207"/>
        <v>0</v>
      </c>
      <c r="AN2444" s="1">
        <f t="shared" si="208"/>
        <v>0</v>
      </c>
      <c r="AO2444">
        <f t="shared" si="209"/>
        <v>10000</v>
      </c>
      <c r="AP2444" s="105">
        <f>IF(AND(AL2444=1,OR('Top 25'!$A$10="All",C2444='Top 25'!$A$10),OR('Top 25'!$D$10="All",D2444='Top 25'!$D$10)),1,0)</f>
        <v>0</v>
      </c>
      <c r="AQ2444" s="105" t="str">
        <f>IF(AP2444=0,"",CHOOSE(MATCH('Top 25'!$G$10,{"Priority score","Economic need","Enrollment","Fresh miles","Nearby resources"},0),T2444,G2444,F2444,K2444,L2444))</f>
        <v/>
      </c>
      <c r="AR2444" s="105" t="str">
        <f>IF(AP2444=0,"",1+COUNTIFS($AP$2051:$AP$2550,1,$AQ$2051:$AQ$2550,IF('Top 25'!$J$10="Ascending","&lt;","&gt;")&amp;AQ2444)+COUNTIFS($AP$2051:$AP$2550,1,$AQ$2051:$AQ$2550,AQ2444,$W$2051:$W$2550,"&lt;"&amp;W2444))</f>
        <v/>
      </c>
      <c r="AT2444" s="105">
        <f>IF(AND(AL2444=1,OR(Master_rankableSchools!$A$10="All",C2444=Master_rankableSchools!$A$10),OR(Master_rankableSchools!$D$10="All",D2444=Master_rankableSchools!$D$10)),1,0)</f>
        <v>0</v>
      </c>
      <c r="AU2444" s="105" t="str">
        <f>IF(AT2444=0,"",CHOOSE(MATCH(Master_rankableSchools!$G$10,{"Priority score","Economic need","Enrollment","Fresh miles","Nearby resources"},0),T2444,G2444,F2444,K2444,L2444))</f>
        <v/>
      </c>
      <c r="AV2444" s="105" t="str">
        <f>IF(AT2444=0,"",1+COUNTIFS($AT$2051:$AT$2550,1,$AU$2051:$AU$2550,IF(Master_rankableSchools!$J$10="Ascending","&lt;","&gt;")&amp;AU2444)+COUNTIFS($AT$2051:$AT$2550,1,$AU$2051:$AU$2550,AU2444,$W$2051:$W$2550,"&lt;"&amp;W2444))</f>
        <v/>
      </c>
    </row>
    <row r="2445" spans="1:48" ht="22" customHeight="1">
      <c r="A2445" s="1" t="str">
        <f t="shared" si="180"/>
        <v/>
      </c>
      <c r="B2445" s="1" t="str">
        <f t="shared" si="181"/>
        <v/>
      </c>
      <c r="C2445" s="1" t="str">
        <f t="shared" si="182"/>
        <v/>
      </c>
      <c r="D2445" s="1" t="str">
        <f t="shared" si="183"/>
        <v/>
      </c>
      <c r="E2445" s="1" t="str">
        <f t="shared" si="184"/>
        <v/>
      </c>
      <c r="F2445" s="1" t="str">
        <f t="shared" si="185"/>
        <v/>
      </c>
      <c r="G2445" s="1" t="str">
        <f t="shared" si="186"/>
        <v/>
      </c>
      <c r="H2445" s="1" t="str">
        <f t="shared" si="187"/>
        <v/>
      </c>
      <c r="I2445" s="1">
        <f>IF(OR(A2445="",COUNTIFS('Staff Review'!$A$8:$A$507,A2445)&lt;&gt;1),0,MATCH(A2445,'Staff Review'!$A$8:$A$507,0))</f>
        <v>0</v>
      </c>
      <c r="J2445" s="1" t="str">
        <f>IF(I2445=0,"No",IF(INDEX('Staff Review'!$C$8:$C$507,I2445)="Yes","Yes","No"))</f>
        <v>No</v>
      </c>
      <c r="K2445" s="1" t="str">
        <f>IF(AI2445="Yes",INDEX('Staff Review'!$D$8:$D$507,I2445),IF(AB2445=0,"",IF(COUNT(INDEX($C$1531:$C$2030,AB2445))=1,INDEX($C$1531:$C$2030,AB2445),"")))</f>
        <v/>
      </c>
      <c r="L2445" s="1" t="str">
        <f>IF(AJ2445="Yes",INDEX('Staff Review'!$F$8:$F$507,I2445),IF(AB2445=0,"",IF(COUNT(INDEX($G$1531:$G$2030,AB2445))=1,INDEX($G$1531:$G$2030,AB2445),"")))</f>
        <v/>
      </c>
      <c r="M2445" s="1" t="str">
        <f t="shared" si="188"/>
        <v/>
      </c>
      <c r="N2445" s="1" t="str">
        <f t="shared" si="189"/>
        <v/>
      </c>
      <c r="O2445" s="1" t="str">
        <f t="shared" si="190"/>
        <v/>
      </c>
      <c r="P2445" s="1" t="str">
        <f t="shared" si="191"/>
        <v/>
      </c>
      <c r="Q2445" s="1" t="str">
        <f t="shared" si="192"/>
        <v/>
      </c>
      <c r="R2445" s="1" t="str">
        <f t="shared" si="193"/>
        <v/>
      </c>
      <c r="S2445" s="1" t="str">
        <f t="shared" si="194"/>
        <v/>
      </c>
      <c r="T2445" s="1" t="str">
        <f>IF(OR(COUNT(O2445:R2445)&lt;&gt;4,COUNT('Top 25'!$B$45:$E$45)&lt;&gt;4,MIN('Top 25'!$B$45:$E$45)&lt;0,SUM('Top 25'!$B$45:$E$45)&lt;=0),"",ROUND(85*(O2445/30*'Top 25'!$B$45+P2445/25*'Top 25'!$C$45+Q2445/25*'Top 25'!$D$45+R2445/5*'Top 25'!$E$45)/SUM('Top 25'!$B$45:$E$45),6))</f>
        <v/>
      </c>
      <c r="U2445" s="1" t="str">
        <f t="shared" si="195"/>
        <v/>
      </c>
      <c r="V2445" s="1" t="str">
        <f>IF(A2445="","",IF(AK2445&lt;&gt;1,"Duplicate source ID",IF(COUNTIFS('Staff Review'!$A$8:$A$507,A2445)&gt;1,"Duplicate review ID",IF(H2445&lt;&gt;"Yes","Outside scope",IF(J2445="Yes","Already served",IF(NOT(ISNUMBER(T2445)),"Missing data","Candidate"))))))</f>
        <v/>
      </c>
      <c r="W2445" s="1" t="str">
        <f t="shared" si="196"/>
        <v/>
      </c>
      <c r="X2445" s="1" t="str">
        <f t="shared" si="197"/>
        <v/>
      </c>
      <c r="Y2445" s="1">
        <f>IF(AND(H2445="Yes",OR(LEN('School Search'!$B$5)=0,ISNUMBER(SEARCH('School Search'!$B$5,B2445&amp;" "&amp;E2445&amp;" "&amp;A2445))),OR('School Search'!$D$5="All",C2445='School Search'!$D$5),OR('School Search'!$G$5="All eligible",AND('School Search'!$G$5="Not marked served",J2445&lt;&gt;"Yes"),AND('School Search'!$G$5="Missing data",V2445="Missing data"),AND('School Search'!$G$5="Marked served",J2445="Yes"))),1,0)</f>
        <v>0</v>
      </c>
      <c r="Z2445" s="1" t="str">
        <f>IF(Y2445=0,"",COUNTIFS($Y$2051:$Y$2550,1,$AO$2051:$AO$2550,"&lt;"&amp;AO2445)+COUNTIFS($Y$2051:Y2445,1,$AO$2051:AO2445,AO2445))</f>
        <v/>
      </c>
      <c r="AA2445" s="1" t="str">
        <f t="shared" si="198"/>
        <v>Missing demographic or access input</v>
      </c>
      <c r="AB2445" s="1">
        <f t="shared" si="199"/>
        <v>0</v>
      </c>
      <c r="AC2445" s="1" t="str">
        <f t="shared" si="200"/>
        <v/>
      </c>
      <c r="AD2445" s="1" t="str">
        <f t="shared" si="201"/>
        <v/>
      </c>
      <c r="AE2445" s="1" t="str">
        <f t="shared" si="202"/>
        <v/>
      </c>
      <c r="AF2445" s="1" t="str">
        <f t="shared" si="203"/>
        <v/>
      </c>
      <c r="AG2445" s="1" t="str">
        <f t="shared" si="204"/>
        <v/>
      </c>
      <c r="AH2445" s="1" t="str">
        <f>IF(I2445=0,"Not contacted",IF(INDEX('Staff Review'!$J$8:$J$507,I2445)="","Not contacted",INDEX('Staff Review'!$J$8:$J$507,I2445)))</f>
        <v>Not contacted</v>
      </c>
      <c r="AI2445" s="1" t="str">
        <f>IF(I2445=0,"No",IF(AND(COUNT(INDEX('Staff Review'!$D$8:$D$507,I2445))=1,INDEX('Staff Review'!$D$8:$D$507,I2445)&gt;=0,COUNT(INDEX('Staff Review'!$E$8:$E$507,I2445))=1,INDEX('Staff Review'!$E$8:$E$507,I2445)&gt;0,INDEX('Staff Review'!$E$8:$E$507,I2445)&lt;='Top 25'!$E$5,'Top 25'!$E$5-INDEX('Staff Review'!$E$8:$E$507,I2445)&lt;='Top 25'!$H$5,LEN(INDEX('Staff Review'!$H$8:$H$507,I2445))&gt;0),"Yes","No"))</f>
        <v>No</v>
      </c>
      <c r="AJ2445" s="1" t="str">
        <f>IF(I2445=0,"No",IF(COUNT(INDEX('Staff Review'!$F$8:$F$507,I2445))&lt;&gt;1,"No",IF(AND(INDEX('Staff Review'!$F$8:$F$507,I2445)&gt;=0,MOD(INDEX('Staff Review'!$F$8:$F$507,I2445),1)=0,COUNT(INDEX('Staff Review'!$G$8:$G$507,I2445))=1,INDEX('Staff Review'!$G$8:$G$507,I2445)&gt;0,INDEX('Staff Review'!$G$8:$G$507,I2445)&lt;='Top 25'!$E$5,'Top 25'!$E$5-INDEX('Staff Review'!$G$8:$G$507,I2445)&lt;='Top 25'!$H$5,LEN(INDEX('Staff Review'!$H$8:$H$507,I2445))&gt;0),"Yes","No")))</f>
        <v>No</v>
      </c>
      <c r="AK2445" s="1">
        <f t="shared" si="205"/>
        <v>0</v>
      </c>
      <c r="AL2445" s="1">
        <f t="shared" si="206"/>
        <v>0</v>
      </c>
      <c r="AM2445" s="1">
        <f t="shared" si="207"/>
        <v>0</v>
      </c>
      <c r="AN2445" s="1">
        <f t="shared" si="208"/>
        <v>0</v>
      </c>
      <c r="AO2445">
        <f t="shared" si="209"/>
        <v>10000</v>
      </c>
      <c r="AP2445" s="105">
        <f>IF(AND(AL2445=1,OR('Top 25'!$A$10="All",C2445='Top 25'!$A$10),OR('Top 25'!$D$10="All",D2445='Top 25'!$D$10)),1,0)</f>
        <v>0</v>
      </c>
      <c r="AQ2445" s="105" t="str">
        <f>IF(AP2445=0,"",CHOOSE(MATCH('Top 25'!$G$10,{"Priority score","Economic need","Enrollment","Fresh miles","Nearby resources"},0),T2445,G2445,F2445,K2445,L2445))</f>
        <v/>
      </c>
      <c r="AR2445" s="105" t="str">
        <f>IF(AP2445=0,"",1+COUNTIFS($AP$2051:$AP$2550,1,$AQ$2051:$AQ$2550,IF('Top 25'!$J$10="Ascending","&lt;","&gt;")&amp;AQ2445)+COUNTIFS($AP$2051:$AP$2550,1,$AQ$2051:$AQ$2550,AQ2445,$W$2051:$W$2550,"&lt;"&amp;W2445))</f>
        <v/>
      </c>
      <c r="AT2445" s="105">
        <f>IF(AND(AL2445=1,OR(Master_rankableSchools!$A$10="All",C2445=Master_rankableSchools!$A$10),OR(Master_rankableSchools!$D$10="All",D2445=Master_rankableSchools!$D$10)),1,0)</f>
        <v>0</v>
      </c>
      <c r="AU2445" s="105" t="str">
        <f>IF(AT2445=0,"",CHOOSE(MATCH(Master_rankableSchools!$G$10,{"Priority score","Economic need","Enrollment","Fresh miles","Nearby resources"},0),T2445,G2445,F2445,K2445,L2445))</f>
        <v/>
      </c>
      <c r="AV2445" s="105" t="str">
        <f>IF(AT2445=0,"",1+COUNTIFS($AT$2051:$AT$2550,1,$AU$2051:$AU$2550,IF(Master_rankableSchools!$J$10="Ascending","&lt;","&gt;")&amp;AU2445)+COUNTIFS($AT$2051:$AT$2550,1,$AU$2051:$AU$2550,AU2445,$W$2051:$W$2550,"&lt;"&amp;W2445))</f>
        <v/>
      </c>
    </row>
    <row r="2446" spans="1:48" ht="22" customHeight="1">
      <c r="A2446" s="1" t="str">
        <f t="shared" si="180"/>
        <v/>
      </c>
      <c r="B2446" s="1" t="str">
        <f t="shared" si="181"/>
        <v/>
      </c>
      <c r="C2446" s="1" t="str">
        <f t="shared" si="182"/>
        <v/>
      </c>
      <c r="D2446" s="1" t="str">
        <f t="shared" si="183"/>
        <v/>
      </c>
      <c r="E2446" s="1" t="str">
        <f t="shared" si="184"/>
        <v/>
      </c>
      <c r="F2446" s="1" t="str">
        <f t="shared" si="185"/>
        <v/>
      </c>
      <c r="G2446" s="1" t="str">
        <f t="shared" si="186"/>
        <v/>
      </c>
      <c r="H2446" s="1" t="str">
        <f t="shared" si="187"/>
        <v/>
      </c>
      <c r="I2446" s="1">
        <f>IF(OR(A2446="",COUNTIFS('Staff Review'!$A$8:$A$507,A2446)&lt;&gt;1),0,MATCH(A2446,'Staff Review'!$A$8:$A$507,0))</f>
        <v>0</v>
      </c>
      <c r="J2446" s="1" t="str">
        <f>IF(I2446=0,"No",IF(INDEX('Staff Review'!$C$8:$C$507,I2446)="Yes","Yes","No"))</f>
        <v>No</v>
      </c>
      <c r="K2446" s="1" t="str">
        <f>IF(AI2446="Yes",INDEX('Staff Review'!$D$8:$D$507,I2446),IF(AB2446=0,"",IF(COUNT(INDEX($C$1531:$C$2030,AB2446))=1,INDEX($C$1531:$C$2030,AB2446),"")))</f>
        <v/>
      </c>
      <c r="L2446" s="1" t="str">
        <f>IF(AJ2446="Yes",INDEX('Staff Review'!$F$8:$F$507,I2446),IF(AB2446=0,"",IF(COUNT(INDEX($G$1531:$G$2030,AB2446))=1,INDEX($G$1531:$G$2030,AB2446),"")))</f>
        <v/>
      </c>
      <c r="M2446" s="1" t="str">
        <f t="shared" si="188"/>
        <v/>
      </c>
      <c r="N2446" s="1" t="str">
        <f t="shared" si="189"/>
        <v/>
      </c>
      <c r="O2446" s="1" t="str">
        <f t="shared" si="190"/>
        <v/>
      </c>
      <c r="P2446" s="1" t="str">
        <f t="shared" si="191"/>
        <v/>
      </c>
      <c r="Q2446" s="1" t="str">
        <f t="shared" si="192"/>
        <v/>
      </c>
      <c r="R2446" s="1" t="str">
        <f t="shared" si="193"/>
        <v/>
      </c>
      <c r="S2446" s="1" t="str">
        <f t="shared" si="194"/>
        <v/>
      </c>
      <c r="T2446" s="1" t="str">
        <f>IF(OR(COUNT(O2446:R2446)&lt;&gt;4,COUNT('Top 25'!$B$45:$E$45)&lt;&gt;4,MIN('Top 25'!$B$45:$E$45)&lt;0,SUM('Top 25'!$B$45:$E$45)&lt;=0),"",ROUND(85*(O2446/30*'Top 25'!$B$45+P2446/25*'Top 25'!$C$45+Q2446/25*'Top 25'!$D$45+R2446/5*'Top 25'!$E$45)/SUM('Top 25'!$B$45:$E$45),6))</f>
        <v/>
      </c>
      <c r="U2446" s="1" t="str">
        <f t="shared" si="195"/>
        <v/>
      </c>
      <c r="V2446" s="1" t="str">
        <f>IF(A2446="","",IF(AK2446&lt;&gt;1,"Duplicate source ID",IF(COUNTIFS('Staff Review'!$A$8:$A$507,A2446)&gt;1,"Duplicate review ID",IF(H2446&lt;&gt;"Yes","Outside scope",IF(J2446="Yes","Already served",IF(NOT(ISNUMBER(T2446)),"Missing data","Candidate"))))))</f>
        <v/>
      </c>
      <c r="W2446" s="1" t="str">
        <f t="shared" si="196"/>
        <v/>
      </c>
      <c r="X2446" s="1" t="str">
        <f t="shared" si="197"/>
        <v/>
      </c>
      <c r="Y2446" s="1">
        <f>IF(AND(H2446="Yes",OR(LEN('School Search'!$B$5)=0,ISNUMBER(SEARCH('School Search'!$B$5,B2446&amp;" "&amp;E2446&amp;" "&amp;A2446))),OR('School Search'!$D$5="All",C2446='School Search'!$D$5),OR('School Search'!$G$5="All eligible",AND('School Search'!$G$5="Not marked served",J2446&lt;&gt;"Yes"),AND('School Search'!$G$5="Missing data",V2446="Missing data"),AND('School Search'!$G$5="Marked served",J2446="Yes"))),1,0)</f>
        <v>0</v>
      </c>
      <c r="Z2446" s="1" t="str">
        <f>IF(Y2446=0,"",COUNTIFS($Y$2051:$Y$2550,1,$AO$2051:$AO$2550,"&lt;"&amp;AO2446)+COUNTIFS($Y$2051:Y2446,1,$AO$2051:AO2446,AO2446))</f>
        <v/>
      </c>
      <c r="AA2446" s="1" t="str">
        <f t="shared" si="198"/>
        <v>Missing demographic or access input</v>
      </c>
      <c r="AB2446" s="1">
        <f t="shared" si="199"/>
        <v>0</v>
      </c>
      <c r="AC2446" s="1" t="str">
        <f t="shared" si="200"/>
        <v/>
      </c>
      <c r="AD2446" s="1" t="str">
        <f t="shared" si="201"/>
        <v/>
      </c>
      <c r="AE2446" s="1" t="str">
        <f t="shared" si="202"/>
        <v/>
      </c>
      <c r="AF2446" s="1" t="str">
        <f t="shared" si="203"/>
        <v/>
      </c>
      <c r="AG2446" s="1" t="str">
        <f t="shared" si="204"/>
        <v/>
      </c>
      <c r="AH2446" s="1" t="str">
        <f>IF(I2446=0,"Not contacted",IF(INDEX('Staff Review'!$J$8:$J$507,I2446)="","Not contacted",INDEX('Staff Review'!$J$8:$J$507,I2446)))</f>
        <v>Not contacted</v>
      </c>
      <c r="AI2446" s="1" t="str">
        <f>IF(I2446=0,"No",IF(AND(COUNT(INDEX('Staff Review'!$D$8:$D$507,I2446))=1,INDEX('Staff Review'!$D$8:$D$507,I2446)&gt;=0,COUNT(INDEX('Staff Review'!$E$8:$E$507,I2446))=1,INDEX('Staff Review'!$E$8:$E$507,I2446)&gt;0,INDEX('Staff Review'!$E$8:$E$507,I2446)&lt;='Top 25'!$E$5,'Top 25'!$E$5-INDEX('Staff Review'!$E$8:$E$507,I2446)&lt;='Top 25'!$H$5,LEN(INDEX('Staff Review'!$H$8:$H$507,I2446))&gt;0),"Yes","No"))</f>
        <v>No</v>
      </c>
      <c r="AJ2446" s="1" t="str">
        <f>IF(I2446=0,"No",IF(COUNT(INDEX('Staff Review'!$F$8:$F$507,I2446))&lt;&gt;1,"No",IF(AND(INDEX('Staff Review'!$F$8:$F$507,I2446)&gt;=0,MOD(INDEX('Staff Review'!$F$8:$F$507,I2446),1)=0,COUNT(INDEX('Staff Review'!$G$8:$G$507,I2446))=1,INDEX('Staff Review'!$G$8:$G$507,I2446)&gt;0,INDEX('Staff Review'!$G$8:$G$507,I2446)&lt;='Top 25'!$E$5,'Top 25'!$E$5-INDEX('Staff Review'!$G$8:$G$507,I2446)&lt;='Top 25'!$H$5,LEN(INDEX('Staff Review'!$H$8:$H$507,I2446))&gt;0),"Yes","No")))</f>
        <v>No</v>
      </c>
      <c r="AK2446" s="1">
        <f t="shared" si="205"/>
        <v>0</v>
      </c>
      <c r="AL2446" s="1">
        <f t="shared" si="206"/>
        <v>0</v>
      </c>
      <c r="AM2446" s="1">
        <f t="shared" si="207"/>
        <v>0</v>
      </c>
      <c r="AN2446" s="1">
        <f t="shared" si="208"/>
        <v>0</v>
      </c>
      <c r="AO2446">
        <f t="shared" si="209"/>
        <v>10000</v>
      </c>
      <c r="AP2446" s="105">
        <f>IF(AND(AL2446=1,OR('Top 25'!$A$10="All",C2446='Top 25'!$A$10),OR('Top 25'!$D$10="All",D2446='Top 25'!$D$10)),1,0)</f>
        <v>0</v>
      </c>
      <c r="AQ2446" s="105" t="str">
        <f>IF(AP2446=0,"",CHOOSE(MATCH('Top 25'!$G$10,{"Priority score","Economic need","Enrollment","Fresh miles","Nearby resources"},0),T2446,G2446,F2446,K2446,L2446))</f>
        <v/>
      </c>
      <c r="AR2446" s="105" t="str">
        <f>IF(AP2446=0,"",1+COUNTIFS($AP$2051:$AP$2550,1,$AQ$2051:$AQ$2550,IF('Top 25'!$J$10="Ascending","&lt;","&gt;")&amp;AQ2446)+COUNTIFS($AP$2051:$AP$2550,1,$AQ$2051:$AQ$2550,AQ2446,$W$2051:$W$2550,"&lt;"&amp;W2446))</f>
        <v/>
      </c>
      <c r="AT2446" s="105">
        <f>IF(AND(AL2446=1,OR(Master_rankableSchools!$A$10="All",C2446=Master_rankableSchools!$A$10),OR(Master_rankableSchools!$D$10="All",D2446=Master_rankableSchools!$D$10)),1,0)</f>
        <v>0</v>
      </c>
      <c r="AU2446" s="105" t="str">
        <f>IF(AT2446=0,"",CHOOSE(MATCH(Master_rankableSchools!$G$10,{"Priority score","Economic need","Enrollment","Fresh miles","Nearby resources"},0),T2446,G2446,F2446,K2446,L2446))</f>
        <v/>
      </c>
      <c r="AV2446" s="105" t="str">
        <f>IF(AT2446=0,"",1+COUNTIFS($AT$2051:$AT$2550,1,$AU$2051:$AU$2550,IF(Master_rankableSchools!$J$10="Ascending","&lt;","&gt;")&amp;AU2446)+COUNTIFS($AT$2051:$AT$2550,1,$AU$2051:$AU$2550,AU2446,$W$2051:$W$2550,"&lt;"&amp;W2446))</f>
        <v/>
      </c>
    </row>
    <row r="2447" spans="1:48" ht="22" customHeight="1">
      <c r="A2447" s="1" t="str">
        <f t="shared" si="180"/>
        <v/>
      </c>
      <c r="B2447" s="1" t="str">
        <f t="shared" si="181"/>
        <v/>
      </c>
      <c r="C2447" s="1" t="str">
        <f t="shared" si="182"/>
        <v/>
      </c>
      <c r="D2447" s="1" t="str">
        <f t="shared" si="183"/>
        <v/>
      </c>
      <c r="E2447" s="1" t="str">
        <f t="shared" si="184"/>
        <v/>
      </c>
      <c r="F2447" s="1" t="str">
        <f t="shared" si="185"/>
        <v/>
      </c>
      <c r="G2447" s="1" t="str">
        <f t="shared" si="186"/>
        <v/>
      </c>
      <c r="H2447" s="1" t="str">
        <f t="shared" si="187"/>
        <v/>
      </c>
      <c r="I2447" s="1">
        <f>IF(OR(A2447="",COUNTIFS('Staff Review'!$A$8:$A$507,A2447)&lt;&gt;1),0,MATCH(A2447,'Staff Review'!$A$8:$A$507,0))</f>
        <v>0</v>
      </c>
      <c r="J2447" s="1" t="str">
        <f>IF(I2447=0,"No",IF(INDEX('Staff Review'!$C$8:$C$507,I2447)="Yes","Yes","No"))</f>
        <v>No</v>
      </c>
      <c r="K2447" s="1" t="str">
        <f>IF(AI2447="Yes",INDEX('Staff Review'!$D$8:$D$507,I2447),IF(AB2447=0,"",IF(COUNT(INDEX($C$1531:$C$2030,AB2447))=1,INDEX($C$1531:$C$2030,AB2447),"")))</f>
        <v/>
      </c>
      <c r="L2447" s="1" t="str">
        <f>IF(AJ2447="Yes",INDEX('Staff Review'!$F$8:$F$507,I2447),IF(AB2447=0,"",IF(COUNT(INDEX($G$1531:$G$2030,AB2447))=1,INDEX($G$1531:$G$2030,AB2447),"")))</f>
        <v/>
      </c>
      <c r="M2447" s="1" t="str">
        <f t="shared" si="188"/>
        <v/>
      </c>
      <c r="N2447" s="1" t="str">
        <f t="shared" si="189"/>
        <v/>
      </c>
      <c r="O2447" s="1" t="str">
        <f t="shared" si="190"/>
        <v/>
      </c>
      <c r="P2447" s="1" t="str">
        <f t="shared" si="191"/>
        <v/>
      </c>
      <c r="Q2447" s="1" t="str">
        <f t="shared" si="192"/>
        <v/>
      </c>
      <c r="R2447" s="1" t="str">
        <f t="shared" si="193"/>
        <v/>
      </c>
      <c r="S2447" s="1" t="str">
        <f t="shared" si="194"/>
        <v/>
      </c>
      <c r="T2447" s="1" t="str">
        <f>IF(OR(COUNT(O2447:R2447)&lt;&gt;4,COUNT('Top 25'!$B$45:$E$45)&lt;&gt;4,MIN('Top 25'!$B$45:$E$45)&lt;0,SUM('Top 25'!$B$45:$E$45)&lt;=0),"",ROUND(85*(O2447/30*'Top 25'!$B$45+P2447/25*'Top 25'!$C$45+Q2447/25*'Top 25'!$D$45+R2447/5*'Top 25'!$E$45)/SUM('Top 25'!$B$45:$E$45),6))</f>
        <v/>
      </c>
      <c r="U2447" s="1" t="str">
        <f t="shared" si="195"/>
        <v/>
      </c>
      <c r="V2447" s="1" t="str">
        <f>IF(A2447="","",IF(AK2447&lt;&gt;1,"Duplicate source ID",IF(COUNTIFS('Staff Review'!$A$8:$A$507,A2447)&gt;1,"Duplicate review ID",IF(H2447&lt;&gt;"Yes","Outside scope",IF(J2447="Yes","Already served",IF(NOT(ISNUMBER(T2447)),"Missing data","Candidate"))))))</f>
        <v/>
      </c>
      <c r="W2447" s="1" t="str">
        <f t="shared" si="196"/>
        <v/>
      </c>
      <c r="X2447" s="1" t="str">
        <f t="shared" si="197"/>
        <v/>
      </c>
      <c r="Y2447" s="1">
        <f>IF(AND(H2447="Yes",OR(LEN('School Search'!$B$5)=0,ISNUMBER(SEARCH('School Search'!$B$5,B2447&amp;" "&amp;E2447&amp;" "&amp;A2447))),OR('School Search'!$D$5="All",C2447='School Search'!$D$5),OR('School Search'!$G$5="All eligible",AND('School Search'!$G$5="Not marked served",J2447&lt;&gt;"Yes"),AND('School Search'!$G$5="Missing data",V2447="Missing data"),AND('School Search'!$G$5="Marked served",J2447="Yes"))),1,0)</f>
        <v>0</v>
      </c>
      <c r="Z2447" s="1" t="str">
        <f>IF(Y2447=0,"",COUNTIFS($Y$2051:$Y$2550,1,$AO$2051:$AO$2550,"&lt;"&amp;AO2447)+COUNTIFS($Y$2051:Y2447,1,$AO$2051:AO2447,AO2447))</f>
        <v/>
      </c>
      <c r="AA2447" s="1" t="str">
        <f t="shared" si="198"/>
        <v>Missing demographic or access input</v>
      </c>
      <c r="AB2447" s="1">
        <f t="shared" si="199"/>
        <v>0</v>
      </c>
      <c r="AC2447" s="1" t="str">
        <f t="shared" si="200"/>
        <v/>
      </c>
      <c r="AD2447" s="1" t="str">
        <f t="shared" si="201"/>
        <v/>
      </c>
      <c r="AE2447" s="1" t="str">
        <f t="shared" si="202"/>
        <v/>
      </c>
      <c r="AF2447" s="1" t="str">
        <f t="shared" si="203"/>
        <v/>
      </c>
      <c r="AG2447" s="1" t="str">
        <f t="shared" si="204"/>
        <v/>
      </c>
      <c r="AH2447" s="1" t="str">
        <f>IF(I2447=0,"Not contacted",IF(INDEX('Staff Review'!$J$8:$J$507,I2447)="","Not contacted",INDEX('Staff Review'!$J$8:$J$507,I2447)))</f>
        <v>Not contacted</v>
      </c>
      <c r="AI2447" s="1" t="str">
        <f>IF(I2447=0,"No",IF(AND(COUNT(INDEX('Staff Review'!$D$8:$D$507,I2447))=1,INDEX('Staff Review'!$D$8:$D$507,I2447)&gt;=0,COUNT(INDEX('Staff Review'!$E$8:$E$507,I2447))=1,INDEX('Staff Review'!$E$8:$E$507,I2447)&gt;0,INDEX('Staff Review'!$E$8:$E$507,I2447)&lt;='Top 25'!$E$5,'Top 25'!$E$5-INDEX('Staff Review'!$E$8:$E$507,I2447)&lt;='Top 25'!$H$5,LEN(INDEX('Staff Review'!$H$8:$H$507,I2447))&gt;0),"Yes","No"))</f>
        <v>No</v>
      </c>
      <c r="AJ2447" s="1" t="str">
        <f>IF(I2447=0,"No",IF(COUNT(INDEX('Staff Review'!$F$8:$F$507,I2447))&lt;&gt;1,"No",IF(AND(INDEX('Staff Review'!$F$8:$F$507,I2447)&gt;=0,MOD(INDEX('Staff Review'!$F$8:$F$507,I2447),1)=0,COUNT(INDEX('Staff Review'!$G$8:$G$507,I2447))=1,INDEX('Staff Review'!$G$8:$G$507,I2447)&gt;0,INDEX('Staff Review'!$G$8:$G$507,I2447)&lt;='Top 25'!$E$5,'Top 25'!$E$5-INDEX('Staff Review'!$G$8:$G$507,I2447)&lt;='Top 25'!$H$5,LEN(INDEX('Staff Review'!$H$8:$H$507,I2447))&gt;0),"Yes","No")))</f>
        <v>No</v>
      </c>
      <c r="AK2447" s="1">
        <f t="shared" si="205"/>
        <v>0</v>
      </c>
      <c r="AL2447" s="1">
        <f t="shared" si="206"/>
        <v>0</v>
      </c>
      <c r="AM2447" s="1">
        <f t="shared" si="207"/>
        <v>0</v>
      </c>
      <c r="AN2447" s="1">
        <f t="shared" si="208"/>
        <v>0</v>
      </c>
      <c r="AO2447">
        <f t="shared" si="209"/>
        <v>10000</v>
      </c>
      <c r="AP2447" s="105">
        <f>IF(AND(AL2447=1,OR('Top 25'!$A$10="All",C2447='Top 25'!$A$10),OR('Top 25'!$D$10="All",D2447='Top 25'!$D$10)),1,0)</f>
        <v>0</v>
      </c>
      <c r="AQ2447" s="105" t="str">
        <f>IF(AP2447=0,"",CHOOSE(MATCH('Top 25'!$G$10,{"Priority score","Economic need","Enrollment","Fresh miles","Nearby resources"},0),T2447,G2447,F2447,K2447,L2447))</f>
        <v/>
      </c>
      <c r="AR2447" s="105" t="str">
        <f>IF(AP2447=0,"",1+COUNTIFS($AP$2051:$AP$2550,1,$AQ$2051:$AQ$2550,IF('Top 25'!$J$10="Ascending","&lt;","&gt;")&amp;AQ2447)+COUNTIFS($AP$2051:$AP$2550,1,$AQ$2051:$AQ$2550,AQ2447,$W$2051:$W$2550,"&lt;"&amp;W2447))</f>
        <v/>
      </c>
      <c r="AT2447" s="105">
        <f>IF(AND(AL2447=1,OR(Master_rankableSchools!$A$10="All",C2447=Master_rankableSchools!$A$10),OR(Master_rankableSchools!$D$10="All",D2447=Master_rankableSchools!$D$10)),1,0)</f>
        <v>0</v>
      </c>
      <c r="AU2447" s="105" t="str">
        <f>IF(AT2447=0,"",CHOOSE(MATCH(Master_rankableSchools!$G$10,{"Priority score","Economic need","Enrollment","Fresh miles","Nearby resources"},0),T2447,G2447,F2447,K2447,L2447))</f>
        <v/>
      </c>
      <c r="AV2447" s="105" t="str">
        <f>IF(AT2447=0,"",1+COUNTIFS($AT$2051:$AT$2550,1,$AU$2051:$AU$2550,IF(Master_rankableSchools!$J$10="Ascending","&lt;","&gt;")&amp;AU2447)+COUNTIFS($AT$2051:$AT$2550,1,$AU$2051:$AU$2550,AU2447,$W$2051:$W$2550,"&lt;"&amp;W2447))</f>
        <v/>
      </c>
    </row>
    <row r="2448" spans="1:48" ht="22" customHeight="1">
      <c r="A2448" s="1" t="str">
        <f t="shared" si="180"/>
        <v/>
      </c>
      <c r="B2448" s="1" t="str">
        <f t="shared" si="181"/>
        <v/>
      </c>
      <c r="C2448" s="1" t="str">
        <f t="shared" si="182"/>
        <v/>
      </c>
      <c r="D2448" s="1" t="str">
        <f t="shared" si="183"/>
        <v/>
      </c>
      <c r="E2448" s="1" t="str">
        <f t="shared" si="184"/>
        <v/>
      </c>
      <c r="F2448" s="1" t="str">
        <f t="shared" si="185"/>
        <v/>
      </c>
      <c r="G2448" s="1" t="str">
        <f t="shared" si="186"/>
        <v/>
      </c>
      <c r="H2448" s="1" t="str">
        <f t="shared" si="187"/>
        <v/>
      </c>
      <c r="I2448" s="1">
        <f>IF(OR(A2448="",COUNTIFS('Staff Review'!$A$8:$A$507,A2448)&lt;&gt;1),0,MATCH(A2448,'Staff Review'!$A$8:$A$507,0))</f>
        <v>0</v>
      </c>
      <c r="J2448" s="1" t="str">
        <f>IF(I2448=0,"No",IF(INDEX('Staff Review'!$C$8:$C$507,I2448)="Yes","Yes","No"))</f>
        <v>No</v>
      </c>
      <c r="K2448" s="1" t="str">
        <f>IF(AI2448="Yes",INDEX('Staff Review'!$D$8:$D$507,I2448),IF(AB2448=0,"",IF(COUNT(INDEX($C$1531:$C$2030,AB2448))=1,INDEX($C$1531:$C$2030,AB2448),"")))</f>
        <v/>
      </c>
      <c r="L2448" s="1" t="str">
        <f>IF(AJ2448="Yes",INDEX('Staff Review'!$F$8:$F$507,I2448),IF(AB2448=0,"",IF(COUNT(INDEX($G$1531:$G$2030,AB2448))=1,INDEX($G$1531:$G$2030,AB2448),"")))</f>
        <v/>
      </c>
      <c r="M2448" s="1" t="str">
        <f t="shared" si="188"/>
        <v/>
      </c>
      <c r="N2448" s="1" t="str">
        <f t="shared" si="189"/>
        <v/>
      </c>
      <c r="O2448" s="1" t="str">
        <f t="shared" si="190"/>
        <v/>
      </c>
      <c r="P2448" s="1" t="str">
        <f t="shared" si="191"/>
        <v/>
      </c>
      <c r="Q2448" s="1" t="str">
        <f t="shared" si="192"/>
        <v/>
      </c>
      <c r="R2448" s="1" t="str">
        <f t="shared" si="193"/>
        <v/>
      </c>
      <c r="S2448" s="1" t="str">
        <f t="shared" si="194"/>
        <v/>
      </c>
      <c r="T2448" s="1" t="str">
        <f>IF(OR(COUNT(O2448:R2448)&lt;&gt;4,COUNT('Top 25'!$B$45:$E$45)&lt;&gt;4,MIN('Top 25'!$B$45:$E$45)&lt;0,SUM('Top 25'!$B$45:$E$45)&lt;=0),"",ROUND(85*(O2448/30*'Top 25'!$B$45+P2448/25*'Top 25'!$C$45+Q2448/25*'Top 25'!$D$45+R2448/5*'Top 25'!$E$45)/SUM('Top 25'!$B$45:$E$45),6))</f>
        <v/>
      </c>
      <c r="U2448" s="1" t="str">
        <f t="shared" si="195"/>
        <v/>
      </c>
      <c r="V2448" s="1" t="str">
        <f>IF(A2448="","",IF(AK2448&lt;&gt;1,"Duplicate source ID",IF(COUNTIFS('Staff Review'!$A$8:$A$507,A2448)&gt;1,"Duplicate review ID",IF(H2448&lt;&gt;"Yes","Outside scope",IF(J2448="Yes","Already served",IF(NOT(ISNUMBER(T2448)),"Missing data","Candidate"))))))</f>
        <v/>
      </c>
      <c r="W2448" s="1" t="str">
        <f t="shared" si="196"/>
        <v/>
      </c>
      <c r="X2448" s="1" t="str">
        <f t="shared" si="197"/>
        <v/>
      </c>
      <c r="Y2448" s="1">
        <f>IF(AND(H2448="Yes",OR(LEN('School Search'!$B$5)=0,ISNUMBER(SEARCH('School Search'!$B$5,B2448&amp;" "&amp;E2448&amp;" "&amp;A2448))),OR('School Search'!$D$5="All",C2448='School Search'!$D$5),OR('School Search'!$G$5="All eligible",AND('School Search'!$G$5="Not marked served",J2448&lt;&gt;"Yes"),AND('School Search'!$G$5="Missing data",V2448="Missing data"),AND('School Search'!$G$5="Marked served",J2448="Yes"))),1,0)</f>
        <v>0</v>
      </c>
      <c r="Z2448" s="1" t="str">
        <f>IF(Y2448=0,"",COUNTIFS($Y$2051:$Y$2550,1,$AO$2051:$AO$2550,"&lt;"&amp;AO2448)+COUNTIFS($Y$2051:Y2448,1,$AO$2051:AO2448,AO2448))</f>
        <v/>
      </c>
      <c r="AA2448" s="1" t="str">
        <f t="shared" si="198"/>
        <v>Missing demographic or access input</v>
      </c>
      <c r="AB2448" s="1">
        <f t="shared" si="199"/>
        <v>0</v>
      </c>
      <c r="AC2448" s="1" t="str">
        <f t="shared" si="200"/>
        <v/>
      </c>
      <c r="AD2448" s="1" t="str">
        <f t="shared" si="201"/>
        <v/>
      </c>
      <c r="AE2448" s="1" t="str">
        <f t="shared" si="202"/>
        <v/>
      </c>
      <c r="AF2448" s="1" t="str">
        <f t="shared" si="203"/>
        <v/>
      </c>
      <c r="AG2448" s="1" t="str">
        <f t="shared" si="204"/>
        <v/>
      </c>
      <c r="AH2448" s="1" t="str">
        <f>IF(I2448=0,"Not contacted",IF(INDEX('Staff Review'!$J$8:$J$507,I2448)="","Not contacted",INDEX('Staff Review'!$J$8:$J$507,I2448)))</f>
        <v>Not contacted</v>
      </c>
      <c r="AI2448" s="1" t="str">
        <f>IF(I2448=0,"No",IF(AND(COUNT(INDEX('Staff Review'!$D$8:$D$507,I2448))=1,INDEX('Staff Review'!$D$8:$D$507,I2448)&gt;=0,COUNT(INDEX('Staff Review'!$E$8:$E$507,I2448))=1,INDEX('Staff Review'!$E$8:$E$507,I2448)&gt;0,INDEX('Staff Review'!$E$8:$E$507,I2448)&lt;='Top 25'!$E$5,'Top 25'!$E$5-INDEX('Staff Review'!$E$8:$E$507,I2448)&lt;='Top 25'!$H$5,LEN(INDEX('Staff Review'!$H$8:$H$507,I2448))&gt;0),"Yes","No"))</f>
        <v>No</v>
      </c>
      <c r="AJ2448" s="1" t="str">
        <f>IF(I2448=0,"No",IF(COUNT(INDEX('Staff Review'!$F$8:$F$507,I2448))&lt;&gt;1,"No",IF(AND(INDEX('Staff Review'!$F$8:$F$507,I2448)&gt;=0,MOD(INDEX('Staff Review'!$F$8:$F$507,I2448),1)=0,COUNT(INDEX('Staff Review'!$G$8:$G$507,I2448))=1,INDEX('Staff Review'!$G$8:$G$507,I2448)&gt;0,INDEX('Staff Review'!$G$8:$G$507,I2448)&lt;='Top 25'!$E$5,'Top 25'!$E$5-INDEX('Staff Review'!$G$8:$G$507,I2448)&lt;='Top 25'!$H$5,LEN(INDEX('Staff Review'!$H$8:$H$507,I2448))&gt;0),"Yes","No")))</f>
        <v>No</v>
      </c>
      <c r="AK2448" s="1">
        <f t="shared" si="205"/>
        <v>0</v>
      </c>
      <c r="AL2448" s="1">
        <f t="shared" si="206"/>
        <v>0</v>
      </c>
      <c r="AM2448" s="1">
        <f t="shared" si="207"/>
        <v>0</v>
      </c>
      <c r="AN2448" s="1">
        <f t="shared" si="208"/>
        <v>0</v>
      </c>
      <c r="AO2448">
        <f t="shared" si="209"/>
        <v>10000</v>
      </c>
      <c r="AP2448" s="105">
        <f>IF(AND(AL2448=1,OR('Top 25'!$A$10="All",C2448='Top 25'!$A$10),OR('Top 25'!$D$10="All",D2448='Top 25'!$D$10)),1,0)</f>
        <v>0</v>
      </c>
      <c r="AQ2448" s="105" t="str">
        <f>IF(AP2448=0,"",CHOOSE(MATCH('Top 25'!$G$10,{"Priority score","Economic need","Enrollment","Fresh miles","Nearby resources"},0),T2448,G2448,F2448,K2448,L2448))</f>
        <v/>
      </c>
      <c r="AR2448" s="105" t="str">
        <f>IF(AP2448=0,"",1+COUNTIFS($AP$2051:$AP$2550,1,$AQ$2051:$AQ$2550,IF('Top 25'!$J$10="Ascending","&lt;","&gt;")&amp;AQ2448)+COUNTIFS($AP$2051:$AP$2550,1,$AQ$2051:$AQ$2550,AQ2448,$W$2051:$W$2550,"&lt;"&amp;W2448))</f>
        <v/>
      </c>
      <c r="AT2448" s="105">
        <f>IF(AND(AL2448=1,OR(Master_rankableSchools!$A$10="All",C2448=Master_rankableSchools!$A$10),OR(Master_rankableSchools!$D$10="All",D2448=Master_rankableSchools!$D$10)),1,0)</f>
        <v>0</v>
      </c>
      <c r="AU2448" s="105" t="str">
        <f>IF(AT2448=0,"",CHOOSE(MATCH(Master_rankableSchools!$G$10,{"Priority score","Economic need","Enrollment","Fresh miles","Nearby resources"},0),T2448,G2448,F2448,K2448,L2448))</f>
        <v/>
      </c>
      <c r="AV2448" s="105" t="str">
        <f>IF(AT2448=0,"",1+COUNTIFS($AT$2051:$AT$2550,1,$AU$2051:$AU$2550,IF(Master_rankableSchools!$J$10="Ascending","&lt;","&gt;")&amp;AU2448)+COUNTIFS($AT$2051:$AT$2550,1,$AU$2051:$AU$2550,AU2448,$W$2051:$W$2550,"&lt;"&amp;W2448))</f>
        <v/>
      </c>
    </row>
    <row r="2449" spans="1:48" ht="22" customHeight="1">
      <c r="A2449" s="1" t="str">
        <f t="shared" si="180"/>
        <v/>
      </c>
      <c r="B2449" s="1" t="str">
        <f t="shared" si="181"/>
        <v/>
      </c>
      <c r="C2449" s="1" t="str">
        <f t="shared" si="182"/>
        <v/>
      </c>
      <c r="D2449" s="1" t="str">
        <f t="shared" si="183"/>
        <v/>
      </c>
      <c r="E2449" s="1" t="str">
        <f t="shared" si="184"/>
        <v/>
      </c>
      <c r="F2449" s="1" t="str">
        <f t="shared" si="185"/>
        <v/>
      </c>
      <c r="G2449" s="1" t="str">
        <f t="shared" si="186"/>
        <v/>
      </c>
      <c r="H2449" s="1" t="str">
        <f t="shared" si="187"/>
        <v/>
      </c>
      <c r="I2449" s="1">
        <f>IF(OR(A2449="",COUNTIFS('Staff Review'!$A$8:$A$507,A2449)&lt;&gt;1),0,MATCH(A2449,'Staff Review'!$A$8:$A$507,0))</f>
        <v>0</v>
      </c>
      <c r="J2449" s="1" t="str">
        <f>IF(I2449=0,"No",IF(INDEX('Staff Review'!$C$8:$C$507,I2449)="Yes","Yes","No"))</f>
        <v>No</v>
      </c>
      <c r="K2449" s="1" t="str">
        <f>IF(AI2449="Yes",INDEX('Staff Review'!$D$8:$D$507,I2449),IF(AB2449=0,"",IF(COUNT(INDEX($C$1531:$C$2030,AB2449))=1,INDEX($C$1531:$C$2030,AB2449),"")))</f>
        <v/>
      </c>
      <c r="L2449" s="1" t="str">
        <f>IF(AJ2449="Yes",INDEX('Staff Review'!$F$8:$F$507,I2449),IF(AB2449=0,"",IF(COUNT(INDEX($G$1531:$G$2030,AB2449))=1,INDEX($G$1531:$G$2030,AB2449),"")))</f>
        <v/>
      </c>
      <c r="M2449" s="1" t="str">
        <f t="shared" si="188"/>
        <v/>
      </c>
      <c r="N2449" s="1" t="str">
        <f t="shared" si="189"/>
        <v/>
      </c>
      <c r="O2449" s="1" t="str">
        <f t="shared" si="190"/>
        <v/>
      </c>
      <c r="P2449" s="1" t="str">
        <f t="shared" si="191"/>
        <v/>
      </c>
      <c r="Q2449" s="1" t="str">
        <f t="shared" si="192"/>
        <v/>
      </c>
      <c r="R2449" s="1" t="str">
        <f t="shared" si="193"/>
        <v/>
      </c>
      <c r="S2449" s="1" t="str">
        <f t="shared" si="194"/>
        <v/>
      </c>
      <c r="T2449" s="1" t="str">
        <f>IF(OR(COUNT(O2449:R2449)&lt;&gt;4,COUNT('Top 25'!$B$45:$E$45)&lt;&gt;4,MIN('Top 25'!$B$45:$E$45)&lt;0,SUM('Top 25'!$B$45:$E$45)&lt;=0),"",ROUND(85*(O2449/30*'Top 25'!$B$45+P2449/25*'Top 25'!$C$45+Q2449/25*'Top 25'!$D$45+R2449/5*'Top 25'!$E$45)/SUM('Top 25'!$B$45:$E$45),6))</f>
        <v/>
      </c>
      <c r="U2449" s="1" t="str">
        <f t="shared" si="195"/>
        <v/>
      </c>
      <c r="V2449" s="1" t="str">
        <f>IF(A2449="","",IF(AK2449&lt;&gt;1,"Duplicate source ID",IF(COUNTIFS('Staff Review'!$A$8:$A$507,A2449)&gt;1,"Duplicate review ID",IF(H2449&lt;&gt;"Yes","Outside scope",IF(J2449="Yes","Already served",IF(NOT(ISNUMBER(T2449)),"Missing data","Candidate"))))))</f>
        <v/>
      </c>
      <c r="W2449" s="1" t="str">
        <f t="shared" si="196"/>
        <v/>
      </c>
      <c r="X2449" s="1" t="str">
        <f t="shared" si="197"/>
        <v/>
      </c>
      <c r="Y2449" s="1">
        <f>IF(AND(H2449="Yes",OR(LEN('School Search'!$B$5)=0,ISNUMBER(SEARCH('School Search'!$B$5,B2449&amp;" "&amp;E2449&amp;" "&amp;A2449))),OR('School Search'!$D$5="All",C2449='School Search'!$D$5),OR('School Search'!$G$5="All eligible",AND('School Search'!$G$5="Not marked served",J2449&lt;&gt;"Yes"),AND('School Search'!$G$5="Missing data",V2449="Missing data"),AND('School Search'!$G$5="Marked served",J2449="Yes"))),1,0)</f>
        <v>0</v>
      </c>
      <c r="Z2449" s="1" t="str">
        <f>IF(Y2449=0,"",COUNTIFS($Y$2051:$Y$2550,1,$AO$2051:$AO$2550,"&lt;"&amp;AO2449)+COUNTIFS($Y$2051:Y2449,1,$AO$2051:AO2449,AO2449))</f>
        <v/>
      </c>
      <c r="AA2449" s="1" t="str">
        <f t="shared" si="198"/>
        <v>Missing demographic or access input</v>
      </c>
      <c r="AB2449" s="1">
        <f t="shared" si="199"/>
        <v>0</v>
      </c>
      <c r="AC2449" s="1" t="str">
        <f t="shared" si="200"/>
        <v/>
      </c>
      <c r="AD2449" s="1" t="str">
        <f t="shared" si="201"/>
        <v/>
      </c>
      <c r="AE2449" s="1" t="str">
        <f t="shared" si="202"/>
        <v/>
      </c>
      <c r="AF2449" s="1" t="str">
        <f t="shared" si="203"/>
        <v/>
      </c>
      <c r="AG2449" s="1" t="str">
        <f t="shared" si="204"/>
        <v/>
      </c>
      <c r="AH2449" s="1" t="str">
        <f>IF(I2449=0,"Not contacted",IF(INDEX('Staff Review'!$J$8:$J$507,I2449)="","Not contacted",INDEX('Staff Review'!$J$8:$J$507,I2449)))</f>
        <v>Not contacted</v>
      </c>
      <c r="AI2449" s="1" t="str">
        <f>IF(I2449=0,"No",IF(AND(COUNT(INDEX('Staff Review'!$D$8:$D$507,I2449))=1,INDEX('Staff Review'!$D$8:$D$507,I2449)&gt;=0,COUNT(INDEX('Staff Review'!$E$8:$E$507,I2449))=1,INDEX('Staff Review'!$E$8:$E$507,I2449)&gt;0,INDEX('Staff Review'!$E$8:$E$507,I2449)&lt;='Top 25'!$E$5,'Top 25'!$E$5-INDEX('Staff Review'!$E$8:$E$507,I2449)&lt;='Top 25'!$H$5,LEN(INDEX('Staff Review'!$H$8:$H$507,I2449))&gt;0),"Yes","No"))</f>
        <v>No</v>
      </c>
      <c r="AJ2449" s="1" t="str">
        <f>IF(I2449=0,"No",IF(COUNT(INDEX('Staff Review'!$F$8:$F$507,I2449))&lt;&gt;1,"No",IF(AND(INDEX('Staff Review'!$F$8:$F$507,I2449)&gt;=0,MOD(INDEX('Staff Review'!$F$8:$F$507,I2449),1)=0,COUNT(INDEX('Staff Review'!$G$8:$G$507,I2449))=1,INDEX('Staff Review'!$G$8:$G$507,I2449)&gt;0,INDEX('Staff Review'!$G$8:$G$507,I2449)&lt;='Top 25'!$E$5,'Top 25'!$E$5-INDEX('Staff Review'!$G$8:$G$507,I2449)&lt;='Top 25'!$H$5,LEN(INDEX('Staff Review'!$H$8:$H$507,I2449))&gt;0),"Yes","No")))</f>
        <v>No</v>
      </c>
      <c r="AK2449" s="1">
        <f t="shared" si="205"/>
        <v>0</v>
      </c>
      <c r="AL2449" s="1">
        <f t="shared" si="206"/>
        <v>0</v>
      </c>
      <c r="AM2449" s="1">
        <f t="shared" si="207"/>
        <v>0</v>
      </c>
      <c r="AN2449" s="1">
        <f t="shared" si="208"/>
        <v>0</v>
      </c>
      <c r="AO2449">
        <f t="shared" si="209"/>
        <v>10000</v>
      </c>
      <c r="AP2449" s="105">
        <f>IF(AND(AL2449=1,OR('Top 25'!$A$10="All",C2449='Top 25'!$A$10),OR('Top 25'!$D$10="All",D2449='Top 25'!$D$10)),1,0)</f>
        <v>0</v>
      </c>
      <c r="AQ2449" s="105" t="str">
        <f>IF(AP2449=0,"",CHOOSE(MATCH('Top 25'!$G$10,{"Priority score","Economic need","Enrollment","Fresh miles","Nearby resources"},0),T2449,G2449,F2449,K2449,L2449))</f>
        <v/>
      </c>
      <c r="AR2449" s="105" t="str">
        <f>IF(AP2449=0,"",1+COUNTIFS($AP$2051:$AP$2550,1,$AQ$2051:$AQ$2550,IF('Top 25'!$J$10="Ascending","&lt;","&gt;")&amp;AQ2449)+COUNTIFS($AP$2051:$AP$2550,1,$AQ$2051:$AQ$2550,AQ2449,$W$2051:$W$2550,"&lt;"&amp;W2449))</f>
        <v/>
      </c>
      <c r="AT2449" s="105">
        <f>IF(AND(AL2449=1,OR(Master_rankableSchools!$A$10="All",C2449=Master_rankableSchools!$A$10),OR(Master_rankableSchools!$D$10="All",D2449=Master_rankableSchools!$D$10)),1,0)</f>
        <v>0</v>
      </c>
      <c r="AU2449" s="105" t="str">
        <f>IF(AT2449=0,"",CHOOSE(MATCH(Master_rankableSchools!$G$10,{"Priority score","Economic need","Enrollment","Fresh miles","Nearby resources"},0),T2449,G2449,F2449,K2449,L2449))</f>
        <v/>
      </c>
      <c r="AV2449" s="105" t="str">
        <f>IF(AT2449=0,"",1+COUNTIFS($AT$2051:$AT$2550,1,$AU$2051:$AU$2550,IF(Master_rankableSchools!$J$10="Ascending","&lt;","&gt;")&amp;AU2449)+COUNTIFS($AT$2051:$AT$2550,1,$AU$2051:$AU$2550,AU2449,$W$2051:$W$2550,"&lt;"&amp;W2449))</f>
        <v/>
      </c>
    </row>
    <row r="2450" spans="1:48" ht="22" customHeight="1">
      <c r="A2450" s="1" t="str">
        <f t="shared" si="180"/>
        <v/>
      </c>
      <c r="B2450" s="1" t="str">
        <f t="shared" si="181"/>
        <v/>
      </c>
      <c r="C2450" s="1" t="str">
        <f t="shared" si="182"/>
        <v/>
      </c>
      <c r="D2450" s="1" t="str">
        <f t="shared" si="183"/>
        <v/>
      </c>
      <c r="E2450" s="1" t="str">
        <f t="shared" si="184"/>
        <v/>
      </c>
      <c r="F2450" s="1" t="str">
        <f t="shared" si="185"/>
        <v/>
      </c>
      <c r="G2450" s="1" t="str">
        <f t="shared" si="186"/>
        <v/>
      </c>
      <c r="H2450" s="1" t="str">
        <f t="shared" si="187"/>
        <v/>
      </c>
      <c r="I2450" s="1">
        <f>IF(OR(A2450="",COUNTIFS('Staff Review'!$A$8:$A$507,A2450)&lt;&gt;1),0,MATCH(A2450,'Staff Review'!$A$8:$A$507,0))</f>
        <v>0</v>
      </c>
      <c r="J2450" s="1" t="str">
        <f>IF(I2450=0,"No",IF(INDEX('Staff Review'!$C$8:$C$507,I2450)="Yes","Yes","No"))</f>
        <v>No</v>
      </c>
      <c r="K2450" s="1" t="str">
        <f>IF(AI2450="Yes",INDEX('Staff Review'!$D$8:$D$507,I2450),IF(AB2450=0,"",IF(COUNT(INDEX($C$1531:$C$2030,AB2450))=1,INDEX($C$1531:$C$2030,AB2450),"")))</f>
        <v/>
      </c>
      <c r="L2450" s="1" t="str">
        <f>IF(AJ2450="Yes",INDEX('Staff Review'!$F$8:$F$507,I2450),IF(AB2450=0,"",IF(COUNT(INDEX($G$1531:$G$2030,AB2450))=1,INDEX($G$1531:$G$2030,AB2450),"")))</f>
        <v/>
      </c>
      <c r="M2450" s="1" t="str">
        <f t="shared" si="188"/>
        <v/>
      </c>
      <c r="N2450" s="1" t="str">
        <f t="shared" si="189"/>
        <v/>
      </c>
      <c r="O2450" s="1" t="str">
        <f t="shared" si="190"/>
        <v/>
      </c>
      <c r="P2450" s="1" t="str">
        <f t="shared" si="191"/>
        <v/>
      </c>
      <c r="Q2450" s="1" t="str">
        <f t="shared" si="192"/>
        <v/>
      </c>
      <c r="R2450" s="1" t="str">
        <f t="shared" si="193"/>
        <v/>
      </c>
      <c r="S2450" s="1" t="str">
        <f t="shared" si="194"/>
        <v/>
      </c>
      <c r="T2450" s="1" t="str">
        <f>IF(OR(COUNT(O2450:R2450)&lt;&gt;4,COUNT('Top 25'!$B$45:$E$45)&lt;&gt;4,MIN('Top 25'!$B$45:$E$45)&lt;0,SUM('Top 25'!$B$45:$E$45)&lt;=0),"",ROUND(85*(O2450/30*'Top 25'!$B$45+P2450/25*'Top 25'!$C$45+Q2450/25*'Top 25'!$D$45+R2450/5*'Top 25'!$E$45)/SUM('Top 25'!$B$45:$E$45),6))</f>
        <v/>
      </c>
      <c r="U2450" s="1" t="str">
        <f t="shared" si="195"/>
        <v/>
      </c>
      <c r="V2450" s="1" t="str">
        <f>IF(A2450="","",IF(AK2450&lt;&gt;1,"Duplicate source ID",IF(COUNTIFS('Staff Review'!$A$8:$A$507,A2450)&gt;1,"Duplicate review ID",IF(H2450&lt;&gt;"Yes","Outside scope",IF(J2450="Yes","Already served",IF(NOT(ISNUMBER(T2450)),"Missing data","Candidate"))))))</f>
        <v/>
      </c>
      <c r="W2450" s="1" t="str">
        <f t="shared" si="196"/>
        <v/>
      </c>
      <c r="X2450" s="1" t="str">
        <f t="shared" si="197"/>
        <v/>
      </c>
      <c r="Y2450" s="1">
        <f>IF(AND(H2450="Yes",OR(LEN('School Search'!$B$5)=0,ISNUMBER(SEARCH('School Search'!$B$5,B2450&amp;" "&amp;E2450&amp;" "&amp;A2450))),OR('School Search'!$D$5="All",C2450='School Search'!$D$5),OR('School Search'!$G$5="All eligible",AND('School Search'!$G$5="Not marked served",J2450&lt;&gt;"Yes"),AND('School Search'!$G$5="Missing data",V2450="Missing data"),AND('School Search'!$G$5="Marked served",J2450="Yes"))),1,0)</f>
        <v>0</v>
      </c>
      <c r="Z2450" s="1" t="str">
        <f>IF(Y2450=0,"",COUNTIFS($Y$2051:$Y$2550,1,$AO$2051:$AO$2550,"&lt;"&amp;AO2450)+COUNTIFS($Y$2051:Y2450,1,$AO$2051:AO2450,AO2450))</f>
        <v/>
      </c>
      <c r="AA2450" s="1" t="str">
        <f t="shared" si="198"/>
        <v>Missing demographic or access input</v>
      </c>
      <c r="AB2450" s="1">
        <f t="shared" si="199"/>
        <v>0</v>
      </c>
      <c r="AC2450" s="1" t="str">
        <f t="shared" si="200"/>
        <v/>
      </c>
      <c r="AD2450" s="1" t="str">
        <f t="shared" si="201"/>
        <v/>
      </c>
      <c r="AE2450" s="1" t="str">
        <f t="shared" si="202"/>
        <v/>
      </c>
      <c r="AF2450" s="1" t="str">
        <f t="shared" si="203"/>
        <v/>
      </c>
      <c r="AG2450" s="1" t="str">
        <f t="shared" si="204"/>
        <v/>
      </c>
      <c r="AH2450" s="1" t="str">
        <f>IF(I2450=0,"Not contacted",IF(INDEX('Staff Review'!$J$8:$J$507,I2450)="","Not contacted",INDEX('Staff Review'!$J$8:$J$507,I2450)))</f>
        <v>Not contacted</v>
      </c>
      <c r="AI2450" s="1" t="str">
        <f>IF(I2450=0,"No",IF(AND(COUNT(INDEX('Staff Review'!$D$8:$D$507,I2450))=1,INDEX('Staff Review'!$D$8:$D$507,I2450)&gt;=0,COUNT(INDEX('Staff Review'!$E$8:$E$507,I2450))=1,INDEX('Staff Review'!$E$8:$E$507,I2450)&gt;0,INDEX('Staff Review'!$E$8:$E$507,I2450)&lt;='Top 25'!$E$5,'Top 25'!$E$5-INDEX('Staff Review'!$E$8:$E$507,I2450)&lt;='Top 25'!$H$5,LEN(INDEX('Staff Review'!$H$8:$H$507,I2450))&gt;0),"Yes","No"))</f>
        <v>No</v>
      </c>
      <c r="AJ2450" s="1" t="str">
        <f>IF(I2450=0,"No",IF(COUNT(INDEX('Staff Review'!$F$8:$F$507,I2450))&lt;&gt;1,"No",IF(AND(INDEX('Staff Review'!$F$8:$F$507,I2450)&gt;=0,MOD(INDEX('Staff Review'!$F$8:$F$507,I2450),1)=0,COUNT(INDEX('Staff Review'!$G$8:$G$507,I2450))=1,INDEX('Staff Review'!$G$8:$G$507,I2450)&gt;0,INDEX('Staff Review'!$G$8:$G$507,I2450)&lt;='Top 25'!$E$5,'Top 25'!$E$5-INDEX('Staff Review'!$G$8:$G$507,I2450)&lt;='Top 25'!$H$5,LEN(INDEX('Staff Review'!$H$8:$H$507,I2450))&gt;0),"Yes","No")))</f>
        <v>No</v>
      </c>
      <c r="AK2450" s="1">
        <f t="shared" si="205"/>
        <v>0</v>
      </c>
      <c r="AL2450" s="1">
        <f t="shared" si="206"/>
        <v>0</v>
      </c>
      <c r="AM2450" s="1">
        <f t="shared" si="207"/>
        <v>0</v>
      </c>
      <c r="AN2450" s="1">
        <f t="shared" si="208"/>
        <v>0</v>
      </c>
      <c r="AO2450">
        <f t="shared" si="209"/>
        <v>10000</v>
      </c>
      <c r="AP2450" s="105">
        <f>IF(AND(AL2450=1,OR('Top 25'!$A$10="All",C2450='Top 25'!$A$10),OR('Top 25'!$D$10="All",D2450='Top 25'!$D$10)),1,0)</f>
        <v>0</v>
      </c>
      <c r="AQ2450" s="105" t="str">
        <f>IF(AP2450=0,"",CHOOSE(MATCH('Top 25'!$G$10,{"Priority score","Economic need","Enrollment","Fresh miles","Nearby resources"},0),T2450,G2450,F2450,K2450,L2450))</f>
        <v/>
      </c>
      <c r="AR2450" s="105" t="str">
        <f>IF(AP2450=0,"",1+COUNTIFS($AP$2051:$AP$2550,1,$AQ$2051:$AQ$2550,IF('Top 25'!$J$10="Ascending","&lt;","&gt;")&amp;AQ2450)+COUNTIFS($AP$2051:$AP$2550,1,$AQ$2051:$AQ$2550,AQ2450,$W$2051:$W$2550,"&lt;"&amp;W2450))</f>
        <v/>
      </c>
      <c r="AT2450" s="105">
        <f>IF(AND(AL2450=1,OR(Master_rankableSchools!$A$10="All",C2450=Master_rankableSchools!$A$10),OR(Master_rankableSchools!$D$10="All",D2450=Master_rankableSchools!$D$10)),1,0)</f>
        <v>0</v>
      </c>
      <c r="AU2450" s="105" t="str">
        <f>IF(AT2450=0,"",CHOOSE(MATCH(Master_rankableSchools!$G$10,{"Priority score","Economic need","Enrollment","Fresh miles","Nearby resources"},0),T2450,G2450,F2450,K2450,L2450))</f>
        <v/>
      </c>
      <c r="AV2450" s="105" t="str">
        <f>IF(AT2450=0,"",1+COUNTIFS($AT$2051:$AT$2550,1,$AU$2051:$AU$2550,IF(Master_rankableSchools!$J$10="Ascending","&lt;","&gt;")&amp;AU2450)+COUNTIFS($AT$2051:$AT$2550,1,$AU$2051:$AU$2550,AU2450,$W$2051:$W$2550,"&lt;"&amp;W2450))</f>
        <v/>
      </c>
    </row>
    <row r="2451" spans="1:48" ht="22" customHeight="1">
      <c r="A2451" s="1" t="str">
        <f t="shared" si="180"/>
        <v/>
      </c>
      <c r="B2451" s="1" t="str">
        <f t="shared" si="181"/>
        <v/>
      </c>
      <c r="C2451" s="1" t="str">
        <f t="shared" si="182"/>
        <v/>
      </c>
      <c r="D2451" s="1" t="str">
        <f t="shared" si="183"/>
        <v/>
      </c>
      <c r="E2451" s="1" t="str">
        <f t="shared" si="184"/>
        <v/>
      </c>
      <c r="F2451" s="1" t="str">
        <f t="shared" si="185"/>
        <v/>
      </c>
      <c r="G2451" s="1" t="str">
        <f t="shared" si="186"/>
        <v/>
      </c>
      <c r="H2451" s="1" t="str">
        <f t="shared" si="187"/>
        <v/>
      </c>
      <c r="I2451" s="1">
        <f>IF(OR(A2451="",COUNTIFS('Staff Review'!$A$8:$A$507,A2451)&lt;&gt;1),0,MATCH(A2451,'Staff Review'!$A$8:$A$507,0))</f>
        <v>0</v>
      </c>
      <c r="J2451" s="1" t="str">
        <f>IF(I2451=0,"No",IF(INDEX('Staff Review'!$C$8:$C$507,I2451)="Yes","Yes","No"))</f>
        <v>No</v>
      </c>
      <c r="K2451" s="1" t="str">
        <f>IF(AI2451="Yes",INDEX('Staff Review'!$D$8:$D$507,I2451),IF(AB2451=0,"",IF(COUNT(INDEX($C$1531:$C$2030,AB2451))=1,INDEX($C$1531:$C$2030,AB2451),"")))</f>
        <v/>
      </c>
      <c r="L2451" s="1" t="str">
        <f>IF(AJ2451="Yes",INDEX('Staff Review'!$F$8:$F$507,I2451),IF(AB2451=0,"",IF(COUNT(INDEX($G$1531:$G$2030,AB2451))=1,INDEX($G$1531:$G$2030,AB2451),"")))</f>
        <v/>
      </c>
      <c r="M2451" s="1" t="str">
        <f t="shared" si="188"/>
        <v/>
      </c>
      <c r="N2451" s="1" t="str">
        <f t="shared" si="189"/>
        <v/>
      </c>
      <c r="O2451" s="1" t="str">
        <f t="shared" si="190"/>
        <v/>
      </c>
      <c r="P2451" s="1" t="str">
        <f t="shared" si="191"/>
        <v/>
      </c>
      <c r="Q2451" s="1" t="str">
        <f t="shared" si="192"/>
        <v/>
      </c>
      <c r="R2451" s="1" t="str">
        <f t="shared" si="193"/>
        <v/>
      </c>
      <c r="S2451" s="1" t="str">
        <f t="shared" si="194"/>
        <v/>
      </c>
      <c r="T2451" s="1" t="str">
        <f>IF(OR(COUNT(O2451:R2451)&lt;&gt;4,COUNT('Top 25'!$B$45:$E$45)&lt;&gt;4,MIN('Top 25'!$B$45:$E$45)&lt;0,SUM('Top 25'!$B$45:$E$45)&lt;=0),"",ROUND(85*(O2451/30*'Top 25'!$B$45+P2451/25*'Top 25'!$C$45+Q2451/25*'Top 25'!$D$45+R2451/5*'Top 25'!$E$45)/SUM('Top 25'!$B$45:$E$45),6))</f>
        <v/>
      </c>
      <c r="U2451" s="1" t="str">
        <f t="shared" si="195"/>
        <v/>
      </c>
      <c r="V2451" s="1" t="str">
        <f>IF(A2451="","",IF(AK2451&lt;&gt;1,"Duplicate source ID",IF(COUNTIFS('Staff Review'!$A$8:$A$507,A2451)&gt;1,"Duplicate review ID",IF(H2451&lt;&gt;"Yes","Outside scope",IF(J2451="Yes","Already served",IF(NOT(ISNUMBER(T2451)),"Missing data","Candidate"))))))</f>
        <v/>
      </c>
      <c r="W2451" s="1" t="str">
        <f t="shared" si="196"/>
        <v/>
      </c>
      <c r="X2451" s="1" t="str">
        <f t="shared" si="197"/>
        <v/>
      </c>
      <c r="Y2451" s="1">
        <f>IF(AND(H2451="Yes",OR(LEN('School Search'!$B$5)=0,ISNUMBER(SEARCH('School Search'!$B$5,B2451&amp;" "&amp;E2451&amp;" "&amp;A2451))),OR('School Search'!$D$5="All",C2451='School Search'!$D$5),OR('School Search'!$G$5="All eligible",AND('School Search'!$G$5="Not marked served",J2451&lt;&gt;"Yes"),AND('School Search'!$G$5="Missing data",V2451="Missing data"),AND('School Search'!$G$5="Marked served",J2451="Yes"))),1,0)</f>
        <v>0</v>
      </c>
      <c r="Z2451" s="1" t="str">
        <f>IF(Y2451=0,"",COUNTIFS($Y$2051:$Y$2550,1,$AO$2051:$AO$2550,"&lt;"&amp;AO2451)+COUNTIFS($Y$2051:Y2451,1,$AO$2051:AO2451,AO2451))</f>
        <v/>
      </c>
      <c r="AA2451" s="1" t="str">
        <f t="shared" si="198"/>
        <v>Missing demographic or access input</v>
      </c>
      <c r="AB2451" s="1">
        <f t="shared" si="199"/>
        <v>0</v>
      </c>
      <c r="AC2451" s="1" t="str">
        <f t="shared" si="200"/>
        <v/>
      </c>
      <c r="AD2451" s="1" t="str">
        <f t="shared" si="201"/>
        <v/>
      </c>
      <c r="AE2451" s="1" t="str">
        <f t="shared" si="202"/>
        <v/>
      </c>
      <c r="AF2451" s="1" t="str">
        <f t="shared" si="203"/>
        <v/>
      </c>
      <c r="AG2451" s="1" t="str">
        <f t="shared" si="204"/>
        <v/>
      </c>
      <c r="AH2451" s="1" t="str">
        <f>IF(I2451=0,"Not contacted",IF(INDEX('Staff Review'!$J$8:$J$507,I2451)="","Not contacted",INDEX('Staff Review'!$J$8:$J$507,I2451)))</f>
        <v>Not contacted</v>
      </c>
      <c r="AI2451" s="1" t="str">
        <f>IF(I2451=0,"No",IF(AND(COUNT(INDEX('Staff Review'!$D$8:$D$507,I2451))=1,INDEX('Staff Review'!$D$8:$D$507,I2451)&gt;=0,COUNT(INDEX('Staff Review'!$E$8:$E$507,I2451))=1,INDEX('Staff Review'!$E$8:$E$507,I2451)&gt;0,INDEX('Staff Review'!$E$8:$E$507,I2451)&lt;='Top 25'!$E$5,'Top 25'!$E$5-INDEX('Staff Review'!$E$8:$E$507,I2451)&lt;='Top 25'!$H$5,LEN(INDEX('Staff Review'!$H$8:$H$507,I2451))&gt;0),"Yes","No"))</f>
        <v>No</v>
      </c>
      <c r="AJ2451" s="1" t="str">
        <f>IF(I2451=0,"No",IF(COUNT(INDEX('Staff Review'!$F$8:$F$507,I2451))&lt;&gt;1,"No",IF(AND(INDEX('Staff Review'!$F$8:$F$507,I2451)&gt;=0,MOD(INDEX('Staff Review'!$F$8:$F$507,I2451),1)=0,COUNT(INDEX('Staff Review'!$G$8:$G$507,I2451))=1,INDEX('Staff Review'!$G$8:$G$507,I2451)&gt;0,INDEX('Staff Review'!$G$8:$G$507,I2451)&lt;='Top 25'!$E$5,'Top 25'!$E$5-INDEX('Staff Review'!$G$8:$G$507,I2451)&lt;='Top 25'!$H$5,LEN(INDEX('Staff Review'!$H$8:$H$507,I2451))&gt;0),"Yes","No")))</f>
        <v>No</v>
      </c>
      <c r="AK2451" s="1">
        <f t="shared" si="205"/>
        <v>0</v>
      </c>
      <c r="AL2451" s="1">
        <f t="shared" si="206"/>
        <v>0</v>
      </c>
      <c r="AM2451" s="1">
        <f t="shared" si="207"/>
        <v>0</v>
      </c>
      <c r="AN2451" s="1">
        <f t="shared" si="208"/>
        <v>0</v>
      </c>
      <c r="AO2451">
        <f t="shared" si="209"/>
        <v>10000</v>
      </c>
      <c r="AP2451" s="105">
        <f>IF(AND(AL2451=1,OR('Top 25'!$A$10="All",C2451='Top 25'!$A$10),OR('Top 25'!$D$10="All",D2451='Top 25'!$D$10)),1,0)</f>
        <v>0</v>
      </c>
      <c r="AQ2451" s="105" t="str">
        <f>IF(AP2451=0,"",CHOOSE(MATCH('Top 25'!$G$10,{"Priority score","Economic need","Enrollment","Fresh miles","Nearby resources"},0),T2451,G2451,F2451,K2451,L2451))</f>
        <v/>
      </c>
      <c r="AR2451" s="105" t="str">
        <f>IF(AP2451=0,"",1+COUNTIFS($AP$2051:$AP$2550,1,$AQ$2051:$AQ$2550,IF('Top 25'!$J$10="Ascending","&lt;","&gt;")&amp;AQ2451)+COUNTIFS($AP$2051:$AP$2550,1,$AQ$2051:$AQ$2550,AQ2451,$W$2051:$W$2550,"&lt;"&amp;W2451))</f>
        <v/>
      </c>
      <c r="AT2451" s="105">
        <f>IF(AND(AL2451=1,OR(Master_rankableSchools!$A$10="All",C2451=Master_rankableSchools!$A$10),OR(Master_rankableSchools!$D$10="All",D2451=Master_rankableSchools!$D$10)),1,0)</f>
        <v>0</v>
      </c>
      <c r="AU2451" s="105" t="str">
        <f>IF(AT2451=0,"",CHOOSE(MATCH(Master_rankableSchools!$G$10,{"Priority score","Economic need","Enrollment","Fresh miles","Nearby resources"},0),T2451,G2451,F2451,K2451,L2451))</f>
        <v/>
      </c>
      <c r="AV2451" s="105" t="str">
        <f>IF(AT2451=0,"",1+COUNTIFS($AT$2051:$AT$2550,1,$AU$2051:$AU$2550,IF(Master_rankableSchools!$J$10="Ascending","&lt;","&gt;")&amp;AU2451)+COUNTIFS($AT$2051:$AT$2550,1,$AU$2051:$AU$2550,AU2451,$W$2051:$W$2550,"&lt;"&amp;W2451))</f>
        <v/>
      </c>
    </row>
    <row r="2452" spans="1:48" ht="22" customHeight="1">
      <c r="A2452" s="1" t="str">
        <f t="shared" si="180"/>
        <v/>
      </c>
      <c r="B2452" s="1" t="str">
        <f t="shared" si="181"/>
        <v/>
      </c>
      <c r="C2452" s="1" t="str">
        <f t="shared" si="182"/>
        <v/>
      </c>
      <c r="D2452" s="1" t="str">
        <f t="shared" si="183"/>
        <v/>
      </c>
      <c r="E2452" s="1" t="str">
        <f t="shared" si="184"/>
        <v/>
      </c>
      <c r="F2452" s="1" t="str">
        <f t="shared" si="185"/>
        <v/>
      </c>
      <c r="G2452" s="1" t="str">
        <f t="shared" si="186"/>
        <v/>
      </c>
      <c r="H2452" s="1" t="str">
        <f t="shared" si="187"/>
        <v/>
      </c>
      <c r="I2452" s="1">
        <f>IF(OR(A2452="",COUNTIFS('Staff Review'!$A$8:$A$507,A2452)&lt;&gt;1),0,MATCH(A2452,'Staff Review'!$A$8:$A$507,0))</f>
        <v>0</v>
      </c>
      <c r="J2452" s="1" t="str">
        <f>IF(I2452=0,"No",IF(INDEX('Staff Review'!$C$8:$C$507,I2452)="Yes","Yes","No"))</f>
        <v>No</v>
      </c>
      <c r="K2452" s="1" t="str">
        <f>IF(AI2452="Yes",INDEX('Staff Review'!$D$8:$D$507,I2452),IF(AB2452=0,"",IF(COUNT(INDEX($C$1531:$C$2030,AB2452))=1,INDEX($C$1531:$C$2030,AB2452),"")))</f>
        <v/>
      </c>
      <c r="L2452" s="1" t="str">
        <f>IF(AJ2452="Yes",INDEX('Staff Review'!$F$8:$F$507,I2452),IF(AB2452=0,"",IF(COUNT(INDEX($G$1531:$G$2030,AB2452))=1,INDEX($G$1531:$G$2030,AB2452),"")))</f>
        <v/>
      </c>
      <c r="M2452" s="1" t="str">
        <f t="shared" si="188"/>
        <v/>
      </c>
      <c r="N2452" s="1" t="str">
        <f t="shared" si="189"/>
        <v/>
      </c>
      <c r="O2452" s="1" t="str">
        <f t="shared" si="190"/>
        <v/>
      </c>
      <c r="P2452" s="1" t="str">
        <f t="shared" si="191"/>
        <v/>
      </c>
      <c r="Q2452" s="1" t="str">
        <f t="shared" si="192"/>
        <v/>
      </c>
      <c r="R2452" s="1" t="str">
        <f t="shared" si="193"/>
        <v/>
      </c>
      <c r="S2452" s="1" t="str">
        <f t="shared" si="194"/>
        <v/>
      </c>
      <c r="T2452" s="1" t="str">
        <f>IF(OR(COUNT(O2452:R2452)&lt;&gt;4,COUNT('Top 25'!$B$45:$E$45)&lt;&gt;4,MIN('Top 25'!$B$45:$E$45)&lt;0,SUM('Top 25'!$B$45:$E$45)&lt;=0),"",ROUND(85*(O2452/30*'Top 25'!$B$45+P2452/25*'Top 25'!$C$45+Q2452/25*'Top 25'!$D$45+R2452/5*'Top 25'!$E$45)/SUM('Top 25'!$B$45:$E$45),6))</f>
        <v/>
      </c>
      <c r="U2452" s="1" t="str">
        <f t="shared" si="195"/>
        <v/>
      </c>
      <c r="V2452" s="1" t="str">
        <f>IF(A2452="","",IF(AK2452&lt;&gt;1,"Duplicate source ID",IF(COUNTIFS('Staff Review'!$A$8:$A$507,A2452)&gt;1,"Duplicate review ID",IF(H2452&lt;&gt;"Yes","Outside scope",IF(J2452="Yes","Already served",IF(NOT(ISNUMBER(T2452)),"Missing data","Candidate"))))))</f>
        <v/>
      </c>
      <c r="W2452" s="1" t="str">
        <f t="shared" si="196"/>
        <v/>
      </c>
      <c r="X2452" s="1" t="str">
        <f t="shared" si="197"/>
        <v/>
      </c>
      <c r="Y2452" s="1">
        <f>IF(AND(H2452="Yes",OR(LEN('School Search'!$B$5)=0,ISNUMBER(SEARCH('School Search'!$B$5,B2452&amp;" "&amp;E2452&amp;" "&amp;A2452))),OR('School Search'!$D$5="All",C2452='School Search'!$D$5),OR('School Search'!$G$5="All eligible",AND('School Search'!$G$5="Not marked served",J2452&lt;&gt;"Yes"),AND('School Search'!$G$5="Missing data",V2452="Missing data"),AND('School Search'!$G$5="Marked served",J2452="Yes"))),1,0)</f>
        <v>0</v>
      </c>
      <c r="Z2452" s="1" t="str">
        <f>IF(Y2452=0,"",COUNTIFS($Y$2051:$Y$2550,1,$AO$2051:$AO$2550,"&lt;"&amp;AO2452)+COUNTIFS($Y$2051:Y2452,1,$AO$2051:AO2452,AO2452))</f>
        <v/>
      </c>
      <c r="AA2452" s="1" t="str">
        <f t="shared" si="198"/>
        <v>Missing demographic or access input</v>
      </c>
      <c r="AB2452" s="1">
        <f t="shared" si="199"/>
        <v>0</v>
      </c>
      <c r="AC2452" s="1" t="str">
        <f t="shared" si="200"/>
        <v/>
      </c>
      <c r="AD2452" s="1" t="str">
        <f t="shared" si="201"/>
        <v/>
      </c>
      <c r="AE2452" s="1" t="str">
        <f t="shared" si="202"/>
        <v/>
      </c>
      <c r="AF2452" s="1" t="str">
        <f t="shared" si="203"/>
        <v/>
      </c>
      <c r="AG2452" s="1" t="str">
        <f t="shared" si="204"/>
        <v/>
      </c>
      <c r="AH2452" s="1" t="str">
        <f>IF(I2452=0,"Not contacted",IF(INDEX('Staff Review'!$J$8:$J$507,I2452)="","Not contacted",INDEX('Staff Review'!$J$8:$J$507,I2452)))</f>
        <v>Not contacted</v>
      </c>
      <c r="AI2452" s="1" t="str">
        <f>IF(I2452=0,"No",IF(AND(COUNT(INDEX('Staff Review'!$D$8:$D$507,I2452))=1,INDEX('Staff Review'!$D$8:$D$507,I2452)&gt;=0,COUNT(INDEX('Staff Review'!$E$8:$E$507,I2452))=1,INDEX('Staff Review'!$E$8:$E$507,I2452)&gt;0,INDEX('Staff Review'!$E$8:$E$507,I2452)&lt;='Top 25'!$E$5,'Top 25'!$E$5-INDEX('Staff Review'!$E$8:$E$507,I2452)&lt;='Top 25'!$H$5,LEN(INDEX('Staff Review'!$H$8:$H$507,I2452))&gt;0),"Yes","No"))</f>
        <v>No</v>
      </c>
      <c r="AJ2452" s="1" t="str">
        <f>IF(I2452=0,"No",IF(COUNT(INDEX('Staff Review'!$F$8:$F$507,I2452))&lt;&gt;1,"No",IF(AND(INDEX('Staff Review'!$F$8:$F$507,I2452)&gt;=0,MOD(INDEX('Staff Review'!$F$8:$F$507,I2452),1)=0,COUNT(INDEX('Staff Review'!$G$8:$G$507,I2452))=1,INDEX('Staff Review'!$G$8:$G$507,I2452)&gt;0,INDEX('Staff Review'!$G$8:$G$507,I2452)&lt;='Top 25'!$E$5,'Top 25'!$E$5-INDEX('Staff Review'!$G$8:$G$507,I2452)&lt;='Top 25'!$H$5,LEN(INDEX('Staff Review'!$H$8:$H$507,I2452))&gt;0),"Yes","No")))</f>
        <v>No</v>
      </c>
      <c r="AK2452" s="1">
        <f t="shared" si="205"/>
        <v>0</v>
      </c>
      <c r="AL2452" s="1">
        <f t="shared" si="206"/>
        <v>0</v>
      </c>
      <c r="AM2452" s="1">
        <f t="shared" si="207"/>
        <v>0</v>
      </c>
      <c r="AN2452" s="1">
        <f t="shared" si="208"/>
        <v>0</v>
      </c>
      <c r="AO2452">
        <f t="shared" si="209"/>
        <v>10000</v>
      </c>
      <c r="AP2452" s="105">
        <f>IF(AND(AL2452=1,OR('Top 25'!$A$10="All",C2452='Top 25'!$A$10),OR('Top 25'!$D$10="All",D2452='Top 25'!$D$10)),1,0)</f>
        <v>0</v>
      </c>
      <c r="AQ2452" s="105" t="str">
        <f>IF(AP2452=0,"",CHOOSE(MATCH('Top 25'!$G$10,{"Priority score","Economic need","Enrollment","Fresh miles","Nearby resources"},0),T2452,G2452,F2452,K2452,L2452))</f>
        <v/>
      </c>
      <c r="AR2452" s="105" t="str">
        <f>IF(AP2452=0,"",1+COUNTIFS($AP$2051:$AP$2550,1,$AQ$2051:$AQ$2550,IF('Top 25'!$J$10="Ascending","&lt;","&gt;")&amp;AQ2452)+COUNTIFS($AP$2051:$AP$2550,1,$AQ$2051:$AQ$2550,AQ2452,$W$2051:$W$2550,"&lt;"&amp;W2452))</f>
        <v/>
      </c>
      <c r="AT2452" s="105">
        <f>IF(AND(AL2452=1,OR(Master_rankableSchools!$A$10="All",C2452=Master_rankableSchools!$A$10),OR(Master_rankableSchools!$D$10="All",D2452=Master_rankableSchools!$D$10)),1,0)</f>
        <v>0</v>
      </c>
      <c r="AU2452" s="105" t="str">
        <f>IF(AT2452=0,"",CHOOSE(MATCH(Master_rankableSchools!$G$10,{"Priority score","Economic need","Enrollment","Fresh miles","Nearby resources"},0),T2452,G2452,F2452,K2452,L2452))</f>
        <v/>
      </c>
      <c r="AV2452" s="105" t="str">
        <f>IF(AT2452=0,"",1+COUNTIFS($AT$2051:$AT$2550,1,$AU$2051:$AU$2550,IF(Master_rankableSchools!$J$10="Ascending","&lt;","&gt;")&amp;AU2452)+COUNTIFS($AT$2051:$AT$2550,1,$AU$2051:$AU$2550,AU2452,$W$2051:$W$2550,"&lt;"&amp;W2452))</f>
        <v/>
      </c>
    </row>
    <row r="2453" spans="1:48" ht="22" customHeight="1">
      <c r="A2453" s="1" t="str">
        <f t="shared" si="180"/>
        <v/>
      </c>
      <c r="B2453" s="1" t="str">
        <f t="shared" si="181"/>
        <v/>
      </c>
      <c r="C2453" s="1" t="str">
        <f t="shared" si="182"/>
        <v/>
      </c>
      <c r="D2453" s="1" t="str">
        <f t="shared" si="183"/>
        <v/>
      </c>
      <c r="E2453" s="1" t="str">
        <f t="shared" si="184"/>
        <v/>
      </c>
      <c r="F2453" s="1" t="str">
        <f t="shared" si="185"/>
        <v/>
      </c>
      <c r="G2453" s="1" t="str">
        <f t="shared" si="186"/>
        <v/>
      </c>
      <c r="H2453" s="1" t="str">
        <f t="shared" si="187"/>
        <v/>
      </c>
      <c r="I2453" s="1">
        <f>IF(OR(A2453="",COUNTIFS('Staff Review'!$A$8:$A$507,A2453)&lt;&gt;1),0,MATCH(A2453,'Staff Review'!$A$8:$A$507,0))</f>
        <v>0</v>
      </c>
      <c r="J2453" s="1" t="str">
        <f>IF(I2453=0,"No",IF(INDEX('Staff Review'!$C$8:$C$507,I2453)="Yes","Yes","No"))</f>
        <v>No</v>
      </c>
      <c r="K2453" s="1" t="str">
        <f>IF(AI2453="Yes",INDEX('Staff Review'!$D$8:$D$507,I2453),IF(AB2453=0,"",IF(COUNT(INDEX($C$1531:$C$2030,AB2453))=1,INDEX($C$1531:$C$2030,AB2453),"")))</f>
        <v/>
      </c>
      <c r="L2453" s="1" t="str">
        <f>IF(AJ2453="Yes",INDEX('Staff Review'!$F$8:$F$507,I2453),IF(AB2453=0,"",IF(COUNT(INDEX($G$1531:$G$2030,AB2453))=1,INDEX($G$1531:$G$2030,AB2453),"")))</f>
        <v/>
      </c>
      <c r="M2453" s="1" t="str">
        <f t="shared" si="188"/>
        <v/>
      </c>
      <c r="N2453" s="1" t="str">
        <f t="shared" si="189"/>
        <v/>
      </c>
      <c r="O2453" s="1" t="str">
        <f t="shared" si="190"/>
        <v/>
      </c>
      <c r="P2453" s="1" t="str">
        <f t="shared" si="191"/>
        <v/>
      </c>
      <c r="Q2453" s="1" t="str">
        <f t="shared" si="192"/>
        <v/>
      </c>
      <c r="R2453" s="1" t="str">
        <f t="shared" si="193"/>
        <v/>
      </c>
      <c r="S2453" s="1" t="str">
        <f t="shared" si="194"/>
        <v/>
      </c>
      <c r="T2453" s="1" t="str">
        <f>IF(OR(COUNT(O2453:R2453)&lt;&gt;4,COUNT('Top 25'!$B$45:$E$45)&lt;&gt;4,MIN('Top 25'!$B$45:$E$45)&lt;0,SUM('Top 25'!$B$45:$E$45)&lt;=0),"",ROUND(85*(O2453/30*'Top 25'!$B$45+P2453/25*'Top 25'!$C$45+Q2453/25*'Top 25'!$D$45+R2453/5*'Top 25'!$E$45)/SUM('Top 25'!$B$45:$E$45),6))</f>
        <v/>
      </c>
      <c r="U2453" s="1" t="str">
        <f t="shared" si="195"/>
        <v/>
      </c>
      <c r="V2453" s="1" t="str">
        <f>IF(A2453="","",IF(AK2453&lt;&gt;1,"Duplicate source ID",IF(COUNTIFS('Staff Review'!$A$8:$A$507,A2453)&gt;1,"Duplicate review ID",IF(H2453&lt;&gt;"Yes","Outside scope",IF(J2453="Yes","Already served",IF(NOT(ISNUMBER(T2453)),"Missing data","Candidate"))))))</f>
        <v/>
      </c>
      <c r="W2453" s="1" t="str">
        <f t="shared" si="196"/>
        <v/>
      </c>
      <c r="X2453" s="1" t="str">
        <f t="shared" si="197"/>
        <v/>
      </c>
      <c r="Y2453" s="1">
        <f>IF(AND(H2453="Yes",OR(LEN('School Search'!$B$5)=0,ISNUMBER(SEARCH('School Search'!$B$5,B2453&amp;" "&amp;E2453&amp;" "&amp;A2453))),OR('School Search'!$D$5="All",C2453='School Search'!$D$5),OR('School Search'!$G$5="All eligible",AND('School Search'!$G$5="Not marked served",J2453&lt;&gt;"Yes"),AND('School Search'!$G$5="Missing data",V2453="Missing data"),AND('School Search'!$G$5="Marked served",J2453="Yes"))),1,0)</f>
        <v>0</v>
      </c>
      <c r="Z2453" s="1" t="str">
        <f>IF(Y2453=0,"",COUNTIFS($Y$2051:$Y$2550,1,$AO$2051:$AO$2550,"&lt;"&amp;AO2453)+COUNTIFS($Y$2051:Y2453,1,$AO$2051:AO2453,AO2453))</f>
        <v/>
      </c>
      <c r="AA2453" s="1" t="str">
        <f t="shared" si="198"/>
        <v>Missing demographic or access input</v>
      </c>
      <c r="AB2453" s="1">
        <f t="shared" si="199"/>
        <v>0</v>
      </c>
      <c r="AC2453" s="1" t="str">
        <f t="shared" si="200"/>
        <v/>
      </c>
      <c r="AD2453" s="1" t="str">
        <f t="shared" si="201"/>
        <v/>
      </c>
      <c r="AE2453" s="1" t="str">
        <f t="shared" si="202"/>
        <v/>
      </c>
      <c r="AF2453" s="1" t="str">
        <f t="shared" si="203"/>
        <v/>
      </c>
      <c r="AG2453" s="1" t="str">
        <f t="shared" si="204"/>
        <v/>
      </c>
      <c r="AH2453" s="1" t="str">
        <f>IF(I2453=0,"Not contacted",IF(INDEX('Staff Review'!$J$8:$J$507,I2453)="","Not contacted",INDEX('Staff Review'!$J$8:$J$507,I2453)))</f>
        <v>Not contacted</v>
      </c>
      <c r="AI2453" s="1" t="str">
        <f>IF(I2453=0,"No",IF(AND(COUNT(INDEX('Staff Review'!$D$8:$D$507,I2453))=1,INDEX('Staff Review'!$D$8:$D$507,I2453)&gt;=0,COUNT(INDEX('Staff Review'!$E$8:$E$507,I2453))=1,INDEX('Staff Review'!$E$8:$E$507,I2453)&gt;0,INDEX('Staff Review'!$E$8:$E$507,I2453)&lt;='Top 25'!$E$5,'Top 25'!$E$5-INDEX('Staff Review'!$E$8:$E$507,I2453)&lt;='Top 25'!$H$5,LEN(INDEX('Staff Review'!$H$8:$H$507,I2453))&gt;0),"Yes","No"))</f>
        <v>No</v>
      </c>
      <c r="AJ2453" s="1" t="str">
        <f>IF(I2453=0,"No",IF(COUNT(INDEX('Staff Review'!$F$8:$F$507,I2453))&lt;&gt;1,"No",IF(AND(INDEX('Staff Review'!$F$8:$F$507,I2453)&gt;=0,MOD(INDEX('Staff Review'!$F$8:$F$507,I2453),1)=0,COUNT(INDEX('Staff Review'!$G$8:$G$507,I2453))=1,INDEX('Staff Review'!$G$8:$G$507,I2453)&gt;0,INDEX('Staff Review'!$G$8:$G$507,I2453)&lt;='Top 25'!$E$5,'Top 25'!$E$5-INDEX('Staff Review'!$G$8:$G$507,I2453)&lt;='Top 25'!$H$5,LEN(INDEX('Staff Review'!$H$8:$H$507,I2453))&gt;0),"Yes","No")))</f>
        <v>No</v>
      </c>
      <c r="AK2453" s="1">
        <f t="shared" si="205"/>
        <v>0</v>
      </c>
      <c r="AL2453" s="1">
        <f t="shared" si="206"/>
        <v>0</v>
      </c>
      <c r="AM2453" s="1">
        <f t="shared" si="207"/>
        <v>0</v>
      </c>
      <c r="AN2453" s="1">
        <f t="shared" si="208"/>
        <v>0</v>
      </c>
      <c r="AO2453">
        <f t="shared" si="209"/>
        <v>10000</v>
      </c>
      <c r="AP2453" s="105">
        <f>IF(AND(AL2453=1,OR('Top 25'!$A$10="All",C2453='Top 25'!$A$10),OR('Top 25'!$D$10="All",D2453='Top 25'!$D$10)),1,0)</f>
        <v>0</v>
      </c>
      <c r="AQ2453" s="105" t="str">
        <f>IF(AP2453=0,"",CHOOSE(MATCH('Top 25'!$G$10,{"Priority score","Economic need","Enrollment","Fresh miles","Nearby resources"},0),T2453,G2453,F2453,K2453,L2453))</f>
        <v/>
      </c>
      <c r="AR2453" s="105" t="str">
        <f>IF(AP2453=0,"",1+COUNTIFS($AP$2051:$AP$2550,1,$AQ$2051:$AQ$2550,IF('Top 25'!$J$10="Ascending","&lt;","&gt;")&amp;AQ2453)+COUNTIFS($AP$2051:$AP$2550,1,$AQ$2051:$AQ$2550,AQ2453,$W$2051:$W$2550,"&lt;"&amp;W2453))</f>
        <v/>
      </c>
      <c r="AT2453" s="105">
        <f>IF(AND(AL2453=1,OR(Master_rankableSchools!$A$10="All",C2453=Master_rankableSchools!$A$10),OR(Master_rankableSchools!$D$10="All",D2453=Master_rankableSchools!$D$10)),1,0)</f>
        <v>0</v>
      </c>
      <c r="AU2453" s="105" t="str">
        <f>IF(AT2453=0,"",CHOOSE(MATCH(Master_rankableSchools!$G$10,{"Priority score","Economic need","Enrollment","Fresh miles","Nearby resources"},0),T2453,G2453,F2453,K2453,L2453))</f>
        <v/>
      </c>
      <c r="AV2453" s="105" t="str">
        <f>IF(AT2453=0,"",1+COUNTIFS($AT$2051:$AT$2550,1,$AU$2051:$AU$2550,IF(Master_rankableSchools!$J$10="Ascending","&lt;","&gt;")&amp;AU2453)+COUNTIFS($AT$2051:$AT$2550,1,$AU$2051:$AU$2550,AU2453,$W$2051:$W$2550,"&lt;"&amp;W2453))</f>
        <v/>
      </c>
    </row>
    <row r="2454" spans="1:48" ht="22" customHeight="1">
      <c r="A2454" s="1" t="str">
        <f t="shared" si="180"/>
        <v/>
      </c>
      <c r="B2454" s="1" t="str">
        <f t="shared" si="181"/>
        <v/>
      </c>
      <c r="C2454" s="1" t="str">
        <f t="shared" si="182"/>
        <v/>
      </c>
      <c r="D2454" s="1" t="str">
        <f t="shared" si="183"/>
        <v/>
      </c>
      <c r="E2454" s="1" t="str">
        <f t="shared" si="184"/>
        <v/>
      </c>
      <c r="F2454" s="1" t="str">
        <f t="shared" si="185"/>
        <v/>
      </c>
      <c r="G2454" s="1" t="str">
        <f t="shared" si="186"/>
        <v/>
      </c>
      <c r="H2454" s="1" t="str">
        <f t="shared" si="187"/>
        <v/>
      </c>
      <c r="I2454" s="1">
        <f>IF(OR(A2454="",COUNTIFS('Staff Review'!$A$8:$A$507,A2454)&lt;&gt;1),0,MATCH(A2454,'Staff Review'!$A$8:$A$507,0))</f>
        <v>0</v>
      </c>
      <c r="J2454" s="1" t="str">
        <f>IF(I2454=0,"No",IF(INDEX('Staff Review'!$C$8:$C$507,I2454)="Yes","Yes","No"))</f>
        <v>No</v>
      </c>
      <c r="K2454" s="1" t="str">
        <f>IF(AI2454="Yes",INDEX('Staff Review'!$D$8:$D$507,I2454),IF(AB2454=0,"",IF(COUNT(INDEX($C$1531:$C$2030,AB2454))=1,INDEX($C$1531:$C$2030,AB2454),"")))</f>
        <v/>
      </c>
      <c r="L2454" s="1" t="str">
        <f>IF(AJ2454="Yes",INDEX('Staff Review'!$F$8:$F$507,I2454),IF(AB2454=0,"",IF(COUNT(INDEX($G$1531:$G$2030,AB2454))=1,INDEX($G$1531:$G$2030,AB2454),"")))</f>
        <v/>
      </c>
      <c r="M2454" s="1" t="str">
        <f t="shared" si="188"/>
        <v/>
      </c>
      <c r="N2454" s="1" t="str">
        <f t="shared" si="189"/>
        <v/>
      </c>
      <c r="O2454" s="1" t="str">
        <f t="shared" si="190"/>
        <v/>
      </c>
      <c r="P2454" s="1" t="str">
        <f t="shared" si="191"/>
        <v/>
      </c>
      <c r="Q2454" s="1" t="str">
        <f t="shared" si="192"/>
        <v/>
      </c>
      <c r="R2454" s="1" t="str">
        <f t="shared" si="193"/>
        <v/>
      </c>
      <c r="S2454" s="1" t="str">
        <f t="shared" si="194"/>
        <v/>
      </c>
      <c r="T2454" s="1" t="str">
        <f>IF(OR(COUNT(O2454:R2454)&lt;&gt;4,COUNT('Top 25'!$B$45:$E$45)&lt;&gt;4,MIN('Top 25'!$B$45:$E$45)&lt;0,SUM('Top 25'!$B$45:$E$45)&lt;=0),"",ROUND(85*(O2454/30*'Top 25'!$B$45+P2454/25*'Top 25'!$C$45+Q2454/25*'Top 25'!$D$45+R2454/5*'Top 25'!$E$45)/SUM('Top 25'!$B$45:$E$45),6))</f>
        <v/>
      </c>
      <c r="U2454" s="1" t="str">
        <f t="shared" si="195"/>
        <v/>
      </c>
      <c r="V2454" s="1" t="str">
        <f>IF(A2454="","",IF(AK2454&lt;&gt;1,"Duplicate source ID",IF(COUNTIFS('Staff Review'!$A$8:$A$507,A2454)&gt;1,"Duplicate review ID",IF(H2454&lt;&gt;"Yes","Outside scope",IF(J2454="Yes","Already served",IF(NOT(ISNUMBER(T2454)),"Missing data","Candidate"))))))</f>
        <v/>
      </c>
      <c r="W2454" s="1" t="str">
        <f t="shared" si="196"/>
        <v/>
      </c>
      <c r="X2454" s="1" t="str">
        <f t="shared" si="197"/>
        <v/>
      </c>
      <c r="Y2454" s="1">
        <f>IF(AND(H2454="Yes",OR(LEN('School Search'!$B$5)=0,ISNUMBER(SEARCH('School Search'!$B$5,B2454&amp;" "&amp;E2454&amp;" "&amp;A2454))),OR('School Search'!$D$5="All",C2454='School Search'!$D$5),OR('School Search'!$G$5="All eligible",AND('School Search'!$G$5="Not marked served",J2454&lt;&gt;"Yes"),AND('School Search'!$G$5="Missing data",V2454="Missing data"),AND('School Search'!$G$5="Marked served",J2454="Yes"))),1,0)</f>
        <v>0</v>
      </c>
      <c r="Z2454" s="1" t="str">
        <f>IF(Y2454=0,"",COUNTIFS($Y$2051:$Y$2550,1,$AO$2051:$AO$2550,"&lt;"&amp;AO2454)+COUNTIFS($Y$2051:Y2454,1,$AO$2051:AO2454,AO2454))</f>
        <v/>
      </c>
      <c r="AA2454" s="1" t="str">
        <f t="shared" si="198"/>
        <v>Missing demographic or access input</v>
      </c>
      <c r="AB2454" s="1">
        <f t="shared" si="199"/>
        <v>0</v>
      </c>
      <c r="AC2454" s="1" t="str">
        <f t="shared" si="200"/>
        <v/>
      </c>
      <c r="AD2454" s="1" t="str">
        <f t="shared" si="201"/>
        <v/>
      </c>
      <c r="AE2454" s="1" t="str">
        <f t="shared" si="202"/>
        <v/>
      </c>
      <c r="AF2454" s="1" t="str">
        <f t="shared" si="203"/>
        <v/>
      </c>
      <c r="AG2454" s="1" t="str">
        <f t="shared" si="204"/>
        <v/>
      </c>
      <c r="AH2454" s="1" t="str">
        <f>IF(I2454=0,"Not contacted",IF(INDEX('Staff Review'!$J$8:$J$507,I2454)="","Not contacted",INDEX('Staff Review'!$J$8:$J$507,I2454)))</f>
        <v>Not contacted</v>
      </c>
      <c r="AI2454" s="1" t="str">
        <f>IF(I2454=0,"No",IF(AND(COUNT(INDEX('Staff Review'!$D$8:$D$507,I2454))=1,INDEX('Staff Review'!$D$8:$D$507,I2454)&gt;=0,COUNT(INDEX('Staff Review'!$E$8:$E$507,I2454))=1,INDEX('Staff Review'!$E$8:$E$507,I2454)&gt;0,INDEX('Staff Review'!$E$8:$E$507,I2454)&lt;='Top 25'!$E$5,'Top 25'!$E$5-INDEX('Staff Review'!$E$8:$E$507,I2454)&lt;='Top 25'!$H$5,LEN(INDEX('Staff Review'!$H$8:$H$507,I2454))&gt;0),"Yes","No"))</f>
        <v>No</v>
      </c>
      <c r="AJ2454" s="1" t="str">
        <f>IF(I2454=0,"No",IF(COUNT(INDEX('Staff Review'!$F$8:$F$507,I2454))&lt;&gt;1,"No",IF(AND(INDEX('Staff Review'!$F$8:$F$507,I2454)&gt;=0,MOD(INDEX('Staff Review'!$F$8:$F$507,I2454),1)=0,COUNT(INDEX('Staff Review'!$G$8:$G$507,I2454))=1,INDEX('Staff Review'!$G$8:$G$507,I2454)&gt;0,INDEX('Staff Review'!$G$8:$G$507,I2454)&lt;='Top 25'!$E$5,'Top 25'!$E$5-INDEX('Staff Review'!$G$8:$G$507,I2454)&lt;='Top 25'!$H$5,LEN(INDEX('Staff Review'!$H$8:$H$507,I2454))&gt;0),"Yes","No")))</f>
        <v>No</v>
      </c>
      <c r="AK2454" s="1">
        <f t="shared" si="205"/>
        <v>0</v>
      </c>
      <c r="AL2454" s="1">
        <f t="shared" si="206"/>
        <v>0</v>
      </c>
      <c r="AM2454" s="1">
        <f t="shared" si="207"/>
        <v>0</v>
      </c>
      <c r="AN2454" s="1">
        <f t="shared" si="208"/>
        <v>0</v>
      </c>
      <c r="AO2454">
        <f t="shared" si="209"/>
        <v>10000</v>
      </c>
      <c r="AP2454" s="105">
        <f>IF(AND(AL2454=1,OR('Top 25'!$A$10="All",C2454='Top 25'!$A$10),OR('Top 25'!$D$10="All",D2454='Top 25'!$D$10)),1,0)</f>
        <v>0</v>
      </c>
      <c r="AQ2454" s="105" t="str">
        <f>IF(AP2454=0,"",CHOOSE(MATCH('Top 25'!$G$10,{"Priority score","Economic need","Enrollment","Fresh miles","Nearby resources"},0),T2454,G2454,F2454,K2454,L2454))</f>
        <v/>
      </c>
      <c r="AR2454" s="105" t="str">
        <f>IF(AP2454=0,"",1+COUNTIFS($AP$2051:$AP$2550,1,$AQ$2051:$AQ$2550,IF('Top 25'!$J$10="Ascending","&lt;","&gt;")&amp;AQ2454)+COUNTIFS($AP$2051:$AP$2550,1,$AQ$2051:$AQ$2550,AQ2454,$W$2051:$W$2550,"&lt;"&amp;W2454))</f>
        <v/>
      </c>
      <c r="AT2454" s="105">
        <f>IF(AND(AL2454=1,OR(Master_rankableSchools!$A$10="All",C2454=Master_rankableSchools!$A$10),OR(Master_rankableSchools!$D$10="All",D2454=Master_rankableSchools!$D$10)),1,0)</f>
        <v>0</v>
      </c>
      <c r="AU2454" s="105" t="str">
        <f>IF(AT2454=0,"",CHOOSE(MATCH(Master_rankableSchools!$G$10,{"Priority score","Economic need","Enrollment","Fresh miles","Nearby resources"},0),T2454,G2454,F2454,K2454,L2454))</f>
        <v/>
      </c>
      <c r="AV2454" s="105" t="str">
        <f>IF(AT2454=0,"",1+COUNTIFS($AT$2051:$AT$2550,1,$AU$2051:$AU$2550,IF(Master_rankableSchools!$J$10="Ascending","&lt;","&gt;")&amp;AU2454)+COUNTIFS($AT$2051:$AT$2550,1,$AU$2051:$AU$2550,AU2454,$W$2051:$W$2550,"&lt;"&amp;W2454))</f>
        <v/>
      </c>
    </row>
    <row r="2455" spans="1:48" ht="22" customHeight="1">
      <c r="A2455" s="1" t="str">
        <f t="shared" si="180"/>
        <v/>
      </c>
      <c r="B2455" s="1" t="str">
        <f t="shared" si="181"/>
        <v/>
      </c>
      <c r="C2455" s="1" t="str">
        <f t="shared" si="182"/>
        <v/>
      </c>
      <c r="D2455" s="1" t="str">
        <f t="shared" si="183"/>
        <v/>
      </c>
      <c r="E2455" s="1" t="str">
        <f t="shared" si="184"/>
        <v/>
      </c>
      <c r="F2455" s="1" t="str">
        <f t="shared" si="185"/>
        <v/>
      </c>
      <c r="G2455" s="1" t="str">
        <f t="shared" si="186"/>
        <v/>
      </c>
      <c r="H2455" s="1" t="str">
        <f t="shared" si="187"/>
        <v/>
      </c>
      <c r="I2455" s="1">
        <f>IF(OR(A2455="",COUNTIFS('Staff Review'!$A$8:$A$507,A2455)&lt;&gt;1),0,MATCH(A2455,'Staff Review'!$A$8:$A$507,0))</f>
        <v>0</v>
      </c>
      <c r="J2455" s="1" t="str">
        <f>IF(I2455=0,"No",IF(INDEX('Staff Review'!$C$8:$C$507,I2455)="Yes","Yes","No"))</f>
        <v>No</v>
      </c>
      <c r="K2455" s="1" t="str">
        <f>IF(AI2455="Yes",INDEX('Staff Review'!$D$8:$D$507,I2455),IF(AB2455=0,"",IF(COUNT(INDEX($C$1531:$C$2030,AB2455))=1,INDEX($C$1531:$C$2030,AB2455),"")))</f>
        <v/>
      </c>
      <c r="L2455" s="1" t="str">
        <f>IF(AJ2455="Yes",INDEX('Staff Review'!$F$8:$F$507,I2455),IF(AB2455=0,"",IF(COUNT(INDEX($G$1531:$G$2030,AB2455))=1,INDEX($G$1531:$G$2030,AB2455),"")))</f>
        <v/>
      </c>
      <c r="M2455" s="1" t="str">
        <f t="shared" si="188"/>
        <v/>
      </c>
      <c r="N2455" s="1" t="str">
        <f t="shared" si="189"/>
        <v/>
      </c>
      <c r="O2455" s="1" t="str">
        <f t="shared" si="190"/>
        <v/>
      </c>
      <c r="P2455" s="1" t="str">
        <f t="shared" si="191"/>
        <v/>
      </c>
      <c r="Q2455" s="1" t="str">
        <f t="shared" si="192"/>
        <v/>
      </c>
      <c r="R2455" s="1" t="str">
        <f t="shared" si="193"/>
        <v/>
      </c>
      <c r="S2455" s="1" t="str">
        <f t="shared" si="194"/>
        <v/>
      </c>
      <c r="T2455" s="1" t="str">
        <f>IF(OR(COUNT(O2455:R2455)&lt;&gt;4,COUNT('Top 25'!$B$45:$E$45)&lt;&gt;4,MIN('Top 25'!$B$45:$E$45)&lt;0,SUM('Top 25'!$B$45:$E$45)&lt;=0),"",ROUND(85*(O2455/30*'Top 25'!$B$45+P2455/25*'Top 25'!$C$45+Q2455/25*'Top 25'!$D$45+R2455/5*'Top 25'!$E$45)/SUM('Top 25'!$B$45:$E$45),6))</f>
        <v/>
      </c>
      <c r="U2455" s="1" t="str">
        <f t="shared" si="195"/>
        <v/>
      </c>
      <c r="V2455" s="1" t="str">
        <f>IF(A2455="","",IF(AK2455&lt;&gt;1,"Duplicate source ID",IF(COUNTIFS('Staff Review'!$A$8:$A$507,A2455)&gt;1,"Duplicate review ID",IF(H2455&lt;&gt;"Yes","Outside scope",IF(J2455="Yes","Already served",IF(NOT(ISNUMBER(T2455)),"Missing data","Candidate"))))))</f>
        <v/>
      </c>
      <c r="W2455" s="1" t="str">
        <f t="shared" si="196"/>
        <v/>
      </c>
      <c r="X2455" s="1" t="str">
        <f t="shared" si="197"/>
        <v/>
      </c>
      <c r="Y2455" s="1">
        <f>IF(AND(H2455="Yes",OR(LEN('School Search'!$B$5)=0,ISNUMBER(SEARCH('School Search'!$B$5,B2455&amp;" "&amp;E2455&amp;" "&amp;A2455))),OR('School Search'!$D$5="All",C2455='School Search'!$D$5),OR('School Search'!$G$5="All eligible",AND('School Search'!$G$5="Not marked served",J2455&lt;&gt;"Yes"),AND('School Search'!$G$5="Missing data",V2455="Missing data"),AND('School Search'!$G$5="Marked served",J2455="Yes"))),1,0)</f>
        <v>0</v>
      </c>
      <c r="Z2455" s="1" t="str">
        <f>IF(Y2455=0,"",COUNTIFS($Y$2051:$Y$2550,1,$AO$2051:$AO$2550,"&lt;"&amp;AO2455)+COUNTIFS($Y$2051:Y2455,1,$AO$2051:AO2455,AO2455))</f>
        <v/>
      </c>
      <c r="AA2455" s="1" t="str">
        <f t="shared" si="198"/>
        <v>Missing demographic or access input</v>
      </c>
      <c r="AB2455" s="1">
        <f t="shared" si="199"/>
        <v>0</v>
      </c>
      <c r="AC2455" s="1" t="str">
        <f t="shared" si="200"/>
        <v/>
      </c>
      <c r="AD2455" s="1" t="str">
        <f t="shared" si="201"/>
        <v/>
      </c>
      <c r="AE2455" s="1" t="str">
        <f t="shared" si="202"/>
        <v/>
      </c>
      <c r="AF2455" s="1" t="str">
        <f t="shared" si="203"/>
        <v/>
      </c>
      <c r="AG2455" s="1" t="str">
        <f t="shared" si="204"/>
        <v/>
      </c>
      <c r="AH2455" s="1" t="str">
        <f>IF(I2455=0,"Not contacted",IF(INDEX('Staff Review'!$J$8:$J$507,I2455)="","Not contacted",INDEX('Staff Review'!$J$8:$J$507,I2455)))</f>
        <v>Not contacted</v>
      </c>
      <c r="AI2455" s="1" t="str">
        <f>IF(I2455=0,"No",IF(AND(COUNT(INDEX('Staff Review'!$D$8:$D$507,I2455))=1,INDEX('Staff Review'!$D$8:$D$507,I2455)&gt;=0,COUNT(INDEX('Staff Review'!$E$8:$E$507,I2455))=1,INDEX('Staff Review'!$E$8:$E$507,I2455)&gt;0,INDEX('Staff Review'!$E$8:$E$507,I2455)&lt;='Top 25'!$E$5,'Top 25'!$E$5-INDEX('Staff Review'!$E$8:$E$507,I2455)&lt;='Top 25'!$H$5,LEN(INDEX('Staff Review'!$H$8:$H$507,I2455))&gt;0),"Yes","No"))</f>
        <v>No</v>
      </c>
      <c r="AJ2455" s="1" t="str">
        <f>IF(I2455=0,"No",IF(COUNT(INDEX('Staff Review'!$F$8:$F$507,I2455))&lt;&gt;1,"No",IF(AND(INDEX('Staff Review'!$F$8:$F$507,I2455)&gt;=0,MOD(INDEX('Staff Review'!$F$8:$F$507,I2455),1)=0,COUNT(INDEX('Staff Review'!$G$8:$G$507,I2455))=1,INDEX('Staff Review'!$G$8:$G$507,I2455)&gt;0,INDEX('Staff Review'!$G$8:$G$507,I2455)&lt;='Top 25'!$E$5,'Top 25'!$E$5-INDEX('Staff Review'!$G$8:$G$507,I2455)&lt;='Top 25'!$H$5,LEN(INDEX('Staff Review'!$H$8:$H$507,I2455))&gt;0),"Yes","No")))</f>
        <v>No</v>
      </c>
      <c r="AK2455" s="1">
        <f t="shared" si="205"/>
        <v>0</v>
      </c>
      <c r="AL2455" s="1">
        <f t="shared" si="206"/>
        <v>0</v>
      </c>
      <c r="AM2455" s="1">
        <f t="shared" si="207"/>
        <v>0</v>
      </c>
      <c r="AN2455" s="1">
        <f t="shared" si="208"/>
        <v>0</v>
      </c>
      <c r="AO2455">
        <f t="shared" si="209"/>
        <v>10000</v>
      </c>
      <c r="AP2455" s="105">
        <f>IF(AND(AL2455=1,OR('Top 25'!$A$10="All",C2455='Top 25'!$A$10),OR('Top 25'!$D$10="All",D2455='Top 25'!$D$10)),1,0)</f>
        <v>0</v>
      </c>
      <c r="AQ2455" s="105" t="str">
        <f>IF(AP2455=0,"",CHOOSE(MATCH('Top 25'!$G$10,{"Priority score","Economic need","Enrollment","Fresh miles","Nearby resources"},0),T2455,G2455,F2455,K2455,L2455))</f>
        <v/>
      </c>
      <c r="AR2455" s="105" t="str">
        <f>IF(AP2455=0,"",1+COUNTIFS($AP$2051:$AP$2550,1,$AQ$2051:$AQ$2550,IF('Top 25'!$J$10="Ascending","&lt;","&gt;")&amp;AQ2455)+COUNTIFS($AP$2051:$AP$2550,1,$AQ$2051:$AQ$2550,AQ2455,$W$2051:$W$2550,"&lt;"&amp;W2455))</f>
        <v/>
      </c>
      <c r="AT2455" s="105">
        <f>IF(AND(AL2455=1,OR(Master_rankableSchools!$A$10="All",C2455=Master_rankableSchools!$A$10),OR(Master_rankableSchools!$D$10="All",D2455=Master_rankableSchools!$D$10)),1,0)</f>
        <v>0</v>
      </c>
      <c r="AU2455" s="105" t="str">
        <f>IF(AT2455=0,"",CHOOSE(MATCH(Master_rankableSchools!$G$10,{"Priority score","Economic need","Enrollment","Fresh miles","Nearby resources"},0),T2455,G2455,F2455,K2455,L2455))</f>
        <v/>
      </c>
      <c r="AV2455" s="105" t="str">
        <f>IF(AT2455=0,"",1+COUNTIFS($AT$2051:$AT$2550,1,$AU$2051:$AU$2550,IF(Master_rankableSchools!$J$10="Ascending","&lt;","&gt;")&amp;AU2455)+COUNTIFS($AT$2051:$AT$2550,1,$AU$2051:$AU$2550,AU2455,$W$2051:$W$2550,"&lt;"&amp;W2455))</f>
        <v/>
      </c>
    </row>
    <row r="2456" spans="1:48" ht="22" customHeight="1">
      <c r="A2456" s="1" t="str">
        <f t="shared" si="180"/>
        <v/>
      </c>
      <c r="B2456" s="1" t="str">
        <f t="shared" si="181"/>
        <v/>
      </c>
      <c r="C2456" s="1" t="str">
        <f t="shared" si="182"/>
        <v/>
      </c>
      <c r="D2456" s="1" t="str">
        <f t="shared" si="183"/>
        <v/>
      </c>
      <c r="E2456" s="1" t="str">
        <f t="shared" si="184"/>
        <v/>
      </c>
      <c r="F2456" s="1" t="str">
        <f t="shared" si="185"/>
        <v/>
      </c>
      <c r="G2456" s="1" t="str">
        <f t="shared" si="186"/>
        <v/>
      </c>
      <c r="H2456" s="1" t="str">
        <f t="shared" si="187"/>
        <v/>
      </c>
      <c r="I2456" s="1">
        <f>IF(OR(A2456="",COUNTIFS('Staff Review'!$A$8:$A$507,A2456)&lt;&gt;1),0,MATCH(A2456,'Staff Review'!$A$8:$A$507,0))</f>
        <v>0</v>
      </c>
      <c r="J2456" s="1" t="str">
        <f>IF(I2456=0,"No",IF(INDEX('Staff Review'!$C$8:$C$507,I2456)="Yes","Yes","No"))</f>
        <v>No</v>
      </c>
      <c r="K2456" s="1" t="str">
        <f>IF(AI2456="Yes",INDEX('Staff Review'!$D$8:$D$507,I2456),IF(AB2456=0,"",IF(COUNT(INDEX($C$1531:$C$2030,AB2456))=1,INDEX($C$1531:$C$2030,AB2456),"")))</f>
        <v/>
      </c>
      <c r="L2456" s="1" t="str">
        <f>IF(AJ2456="Yes",INDEX('Staff Review'!$F$8:$F$507,I2456),IF(AB2456=0,"",IF(COUNT(INDEX($G$1531:$G$2030,AB2456))=1,INDEX($G$1531:$G$2030,AB2456),"")))</f>
        <v/>
      </c>
      <c r="M2456" s="1" t="str">
        <f t="shared" si="188"/>
        <v/>
      </c>
      <c r="N2456" s="1" t="str">
        <f t="shared" si="189"/>
        <v/>
      </c>
      <c r="O2456" s="1" t="str">
        <f t="shared" si="190"/>
        <v/>
      </c>
      <c r="P2456" s="1" t="str">
        <f t="shared" si="191"/>
        <v/>
      </c>
      <c r="Q2456" s="1" t="str">
        <f t="shared" si="192"/>
        <v/>
      </c>
      <c r="R2456" s="1" t="str">
        <f t="shared" si="193"/>
        <v/>
      </c>
      <c r="S2456" s="1" t="str">
        <f t="shared" si="194"/>
        <v/>
      </c>
      <c r="T2456" s="1" t="str">
        <f>IF(OR(COUNT(O2456:R2456)&lt;&gt;4,COUNT('Top 25'!$B$45:$E$45)&lt;&gt;4,MIN('Top 25'!$B$45:$E$45)&lt;0,SUM('Top 25'!$B$45:$E$45)&lt;=0),"",ROUND(85*(O2456/30*'Top 25'!$B$45+P2456/25*'Top 25'!$C$45+Q2456/25*'Top 25'!$D$45+R2456/5*'Top 25'!$E$45)/SUM('Top 25'!$B$45:$E$45),6))</f>
        <v/>
      </c>
      <c r="U2456" s="1" t="str">
        <f t="shared" si="195"/>
        <v/>
      </c>
      <c r="V2456" s="1" t="str">
        <f>IF(A2456="","",IF(AK2456&lt;&gt;1,"Duplicate source ID",IF(COUNTIFS('Staff Review'!$A$8:$A$507,A2456)&gt;1,"Duplicate review ID",IF(H2456&lt;&gt;"Yes","Outside scope",IF(J2456="Yes","Already served",IF(NOT(ISNUMBER(T2456)),"Missing data","Candidate"))))))</f>
        <v/>
      </c>
      <c r="W2456" s="1" t="str">
        <f t="shared" si="196"/>
        <v/>
      </c>
      <c r="X2456" s="1" t="str">
        <f t="shared" si="197"/>
        <v/>
      </c>
      <c r="Y2456" s="1">
        <f>IF(AND(H2456="Yes",OR(LEN('School Search'!$B$5)=0,ISNUMBER(SEARCH('School Search'!$B$5,B2456&amp;" "&amp;E2456&amp;" "&amp;A2456))),OR('School Search'!$D$5="All",C2456='School Search'!$D$5),OR('School Search'!$G$5="All eligible",AND('School Search'!$G$5="Not marked served",J2456&lt;&gt;"Yes"),AND('School Search'!$G$5="Missing data",V2456="Missing data"),AND('School Search'!$G$5="Marked served",J2456="Yes"))),1,0)</f>
        <v>0</v>
      </c>
      <c r="Z2456" s="1" t="str">
        <f>IF(Y2456=0,"",COUNTIFS($Y$2051:$Y$2550,1,$AO$2051:$AO$2550,"&lt;"&amp;AO2456)+COUNTIFS($Y$2051:Y2456,1,$AO$2051:AO2456,AO2456))</f>
        <v/>
      </c>
      <c r="AA2456" s="1" t="str">
        <f t="shared" si="198"/>
        <v>Missing demographic or access input</v>
      </c>
      <c r="AB2456" s="1">
        <f t="shared" si="199"/>
        <v>0</v>
      </c>
      <c r="AC2456" s="1" t="str">
        <f t="shared" si="200"/>
        <v/>
      </c>
      <c r="AD2456" s="1" t="str">
        <f t="shared" si="201"/>
        <v/>
      </c>
      <c r="AE2456" s="1" t="str">
        <f t="shared" si="202"/>
        <v/>
      </c>
      <c r="AF2456" s="1" t="str">
        <f t="shared" si="203"/>
        <v/>
      </c>
      <c r="AG2456" s="1" t="str">
        <f t="shared" si="204"/>
        <v/>
      </c>
      <c r="AH2456" s="1" t="str">
        <f>IF(I2456=0,"Not contacted",IF(INDEX('Staff Review'!$J$8:$J$507,I2456)="","Not contacted",INDEX('Staff Review'!$J$8:$J$507,I2456)))</f>
        <v>Not contacted</v>
      </c>
      <c r="AI2456" s="1" t="str">
        <f>IF(I2456=0,"No",IF(AND(COUNT(INDEX('Staff Review'!$D$8:$D$507,I2456))=1,INDEX('Staff Review'!$D$8:$D$507,I2456)&gt;=0,COUNT(INDEX('Staff Review'!$E$8:$E$507,I2456))=1,INDEX('Staff Review'!$E$8:$E$507,I2456)&gt;0,INDEX('Staff Review'!$E$8:$E$507,I2456)&lt;='Top 25'!$E$5,'Top 25'!$E$5-INDEX('Staff Review'!$E$8:$E$507,I2456)&lt;='Top 25'!$H$5,LEN(INDEX('Staff Review'!$H$8:$H$507,I2456))&gt;0),"Yes","No"))</f>
        <v>No</v>
      </c>
      <c r="AJ2456" s="1" t="str">
        <f>IF(I2456=0,"No",IF(COUNT(INDEX('Staff Review'!$F$8:$F$507,I2456))&lt;&gt;1,"No",IF(AND(INDEX('Staff Review'!$F$8:$F$507,I2456)&gt;=0,MOD(INDEX('Staff Review'!$F$8:$F$507,I2456),1)=0,COUNT(INDEX('Staff Review'!$G$8:$G$507,I2456))=1,INDEX('Staff Review'!$G$8:$G$507,I2456)&gt;0,INDEX('Staff Review'!$G$8:$G$507,I2456)&lt;='Top 25'!$E$5,'Top 25'!$E$5-INDEX('Staff Review'!$G$8:$G$507,I2456)&lt;='Top 25'!$H$5,LEN(INDEX('Staff Review'!$H$8:$H$507,I2456))&gt;0),"Yes","No")))</f>
        <v>No</v>
      </c>
      <c r="AK2456" s="1">
        <f t="shared" si="205"/>
        <v>0</v>
      </c>
      <c r="AL2456" s="1">
        <f t="shared" si="206"/>
        <v>0</v>
      </c>
      <c r="AM2456" s="1">
        <f t="shared" si="207"/>
        <v>0</v>
      </c>
      <c r="AN2456" s="1">
        <f t="shared" si="208"/>
        <v>0</v>
      </c>
      <c r="AO2456">
        <f t="shared" si="209"/>
        <v>10000</v>
      </c>
      <c r="AP2456" s="105">
        <f>IF(AND(AL2456=1,OR('Top 25'!$A$10="All",C2456='Top 25'!$A$10),OR('Top 25'!$D$10="All",D2456='Top 25'!$D$10)),1,0)</f>
        <v>0</v>
      </c>
      <c r="AQ2456" s="105" t="str">
        <f>IF(AP2456=0,"",CHOOSE(MATCH('Top 25'!$G$10,{"Priority score","Economic need","Enrollment","Fresh miles","Nearby resources"},0),T2456,G2456,F2456,K2456,L2456))</f>
        <v/>
      </c>
      <c r="AR2456" s="105" t="str">
        <f>IF(AP2456=0,"",1+COUNTIFS($AP$2051:$AP$2550,1,$AQ$2051:$AQ$2550,IF('Top 25'!$J$10="Ascending","&lt;","&gt;")&amp;AQ2456)+COUNTIFS($AP$2051:$AP$2550,1,$AQ$2051:$AQ$2550,AQ2456,$W$2051:$W$2550,"&lt;"&amp;W2456))</f>
        <v/>
      </c>
      <c r="AT2456" s="105">
        <f>IF(AND(AL2456=1,OR(Master_rankableSchools!$A$10="All",C2456=Master_rankableSchools!$A$10),OR(Master_rankableSchools!$D$10="All",D2456=Master_rankableSchools!$D$10)),1,0)</f>
        <v>0</v>
      </c>
      <c r="AU2456" s="105" t="str">
        <f>IF(AT2456=0,"",CHOOSE(MATCH(Master_rankableSchools!$G$10,{"Priority score","Economic need","Enrollment","Fresh miles","Nearby resources"},0),T2456,G2456,F2456,K2456,L2456))</f>
        <v/>
      </c>
      <c r="AV2456" s="105" t="str">
        <f>IF(AT2456=0,"",1+COUNTIFS($AT$2051:$AT$2550,1,$AU$2051:$AU$2550,IF(Master_rankableSchools!$J$10="Ascending","&lt;","&gt;")&amp;AU2456)+COUNTIFS($AT$2051:$AT$2550,1,$AU$2051:$AU$2550,AU2456,$W$2051:$W$2550,"&lt;"&amp;W2456))</f>
        <v/>
      </c>
    </row>
    <row r="2457" spans="1:48" ht="22" customHeight="1">
      <c r="A2457" s="1" t="str">
        <f t="shared" si="180"/>
        <v/>
      </c>
      <c r="B2457" s="1" t="str">
        <f t="shared" si="181"/>
        <v/>
      </c>
      <c r="C2457" s="1" t="str">
        <f t="shared" si="182"/>
        <v/>
      </c>
      <c r="D2457" s="1" t="str">
        <f t="shared" si="183"/>
        <v/>
      </c>
      <c r="E2457" s="1" t="str">
        <f t="shared" si="184"/>
        <v/>
      </c>
      <c r="F2457" s="1" t="str">
        <f t="shared" si="185"/>
        <v/>
      </c>
      <c r="G2457" s="1" t="str">
        <f t="shared" si="186"/>
        <v/>
      </c>
      <c r="H2457" s="1" t="str">
        <f t="shared" si="187"/>
        <v/>
      </c>
      <c r="I2457" s="1">
        <f>IF(OR(A2457="",COUNTIFS('Staff Review'!$A$8:$A$507,A2457)&lt;&gt;1),0,MATCH(A2457,'Staff Review'!$A$8:$A$507,0))</f>
        <v>0</v>
      </c>
      <c r="J2457" s="1" t="str">
        <f>IF(I2457=0,"No",IF(INDEX('Staff Review'!$C$8:$C$507,I2457)="Yes","Yes","No"))</f>
        <v>No</v>
      </c>
      <c r="K2457" s="1" t="str">
        <f>IF(AI2457="Yes",INDEX('Staff Review'!$D$8:$D$507,I2457),IF(AB2457=0,"",IF(COUNT(INDEX($C$1531:$C$2030,AB2457))=1,INDEX($C$1531:$C$2030,AB2457),"")))</f>
        <v/>
      </c>
      <c r="L2457" s="1" t="str">
        <f>IF(AJ2457="Yes",INDEX('Staff Review'!$F$8:$F$507,I2457),IF(AB2457=0,"",IF(COUNT(INDEX($G$1531:$G$2030,AB2457))=1,INDEX($G$1531:$G$2030,AB2457),"")))</f>
        <v/>
      </c>
      <c r="M2457" s="1" t="str">
        <f t="shared" si="188"/>
        <v/>
      </c>
      <c r="N2457" s="1" t="str">
        <f t="shared" si="189"/>
        <v/>
      </c>
      <c r="O2457" s="1" t="str">
        <f t="shared" si="190"/>
        <v/>
      </c>
      <c r="P2457" s="1" t="str">
        <f t="shared" si="191"/>
        <v/>
      </c>
      <c r="Q2457" s="1" t="str">
        <f t="shared" si="192"/>
        <v/>
      </c>
      <c r="R2457" s="1" t="str">
        <f t="shared" si="193"/>
        <v/>
      </c>
      <c r="S2457" s="1" t="str">
        <f t="shared" si="194"/>
        <v/>
      </c>
      <c r="T2457" s="1" t="str">
        <f>IF(OR(COUNT(O2457:R2457)&lt;&gt;4,COUNT('Top 25'!$B$45:$E$45)&lt;&gt;4,MIN('Top 25'!$B$45:$E$45)&lt;0,SUM('Top 25'!$B$45:$E$45)&lt;=0),"",ROUND(85*(O2457/30*'Top 25'!$B$45+P2457/25*'Top 25'!$C$45+Q2457/25*'Top 25'!$D$45+R2457/5*'Top 25'!$E$45)/SUM('Top 25'!$B$45:$E$45),6))</f>
        <v/>
      </c>
      <c r="U2457" s="1" t="str">
        <f t="shared" si="195"/>
        <v/>
      </c>
      <c r="V2457" s="1" t="str">
        <f>IF(A2457="","",IF(AK2457&lt;&gt;1,"Duplicate source ID",IF(COUNTIFS('Staff Review'!$A$8:$A$507,A2457)&gt;1,"Duplicate review ID",IF(H2457&lt;&gt;"Yes","Outside scope",IF(J2457="Yes","Already served",IF(NOT(ISNUMBER(T2457)),"Missing data","Candidate"))))))</f>
        <v/>
      </c>
      <c r="W2457" s="1" t="str">
        <f t="shared" si="196"/>
        <v/>
      </c>
      <c r="X2457" s="1" t="str">
        <f t="shared" si="197"/>
        <v/>
      </c>
      <c r="Y2457" s="1">
        <f>IF(AND(H2457="Yes",OR(LEN('School Search'!$B$5)=0,ISNUMBER(SEARCH('School Search'!$B$5,B2457&amp;" "&amp;E2457&amp;" "&amp;A2457))),OR('School Search'!$D$5="All",C2457='School Search'!$D$5),OR('School Search'!$G$5="All eligible",AND('School Search'!$G$5="Not marked served",J2457&lt;&gt;"Yes"),AND('School Search'!$G$5="Missing data",V2457="Missing data"),AND('School Search'!$G$5="Marked served",J2457="Yes"))),1,0)</f>
        <v>0</v>
      </c>
      <c r="Z2457" s="1" t="str">
        <f>IF(Y2457=0,"",COUNTIFS($Y$2051:$Y$2550,1,$AO$2051:$AO$2550,"&lt;"&amp;AO2457)+COUNTIFS($Y$2051:Y2457,1,$AO$2051:AO2457,AO2457))</f>
        <v/>
      </c>
      <c r="AA2457" s="1" t="str">
        <f t="shared" si="198"/>
        <v>Missing demographic or access input</v>
      </c>
      <c r="AB2457" s="1">
        <f t="shared" si="199"/>
        <v>0</v>
      </c>
      <c r="AC2457" s="1" t="str">
        <f t="shared" si="200"/>
        <v/>
      </c>
      <c r="AD2457" s="1" t="str">
        <f t="shared" si="201"/>
        <v/>
      </c>
      <c r="AE2457" s="1" t="str">
        <f t="shared" si="202"/>
        <v/>
      </c>
      <c r="AF2457" s="1" t="str">
        <f t="shared" si="203"/>
        <v/>
      </c>
      <c r="AG2457" s="1" t="str">
        <f t="shared" si="204"/>
        <v/>
      </c>
      <c r="AH2457" s="1" t="str">
        <f>IF(I2457=0,"Not contacted",IF(INDEX('Staff Review'!$J$8:$J$507,I2457)="","Not contacted",INDEX('Staff Review'!$J$8:$J$507,I2457)))</f>
        <v>Not contacted</v>
      </c>
      <c r="AI2457" s="1" t="str">
        <f>IF(I2457=0,"No",IF(AND(COUNT(INDEX('Staff Review'!$D$8:$D$507,I2457))=1,INDEX('Staff Review'!$D$8:$D$507,I2457)&gt;=0,COUNT(INDEX('Staff Review'!$E$8:$E$507,I2457))=1,INDEX('Staff Review'!$E$8:$E$507,I2457)&gt;0,INDEX('Staff Review'!$E$8:$E$507,I2457)&lt;='Top 25'!$E$5,'Top 25'!$E$5-INDEX('Staff Review'!$E$8:$E$507,I2457)&lt;='Top 25'!$H$5,LEN(INDEX('Staff Review'!$H$8:$H$507,I2457))&gt;0),"Yes","No"))</f>
        <v>No</v>
      </c>
      <c r="AJ2457" s="1" t="str">
        <f>IF(I2457=0,"No",IF(COUNT(INDEX('Staff Review'!$F$8:$F$507,I2457))&lt;&gt;1,"No",IF(AND(INDEX('Staff Review'!$F$8:$F$507,I2457)&gt;=0,MOD(INDEX('Staff Review'!$F$8:$F$507,I2457),1)=0,COUNT(INDEX('Staff Review'!$G$8:$G$507,I2457))=1,INDEX('Staff Review'!$G$8:$G$507,I2457)&gt;0,INDEX('Staff Review'!$G$8:$G$507,I2457)&lt;='Top 25'!$E$5,'Top 25'!$E$5-INDEX('Staff Review'!$G$8:$G$507,I2457)&lt;='Top 25'!$H$5,LEN(INDEX('Staff Review'!$H$8:$H$507,I2457))&gt;0),"Yes","No")))</f>
        <v>No</v>
      </c>
      <c r="AK2457" s="1">
        <f t="shared" si="205"/>
        <v>0</v>
      </c>
      <c r="AL2457" s="1">
        <f t="shared" si="206"/>
        <v>0</v>
      </c>
      <c r="AM2457" s="1">
        <f t="shared" si="207"/>
        <v>0</v>
      </c>
      <c r="AN2457" s="1">
        <f t="shared" si="208"/>
        <v>0</v>
      </c>
      <c r="AO2457">
        <f t="shared" si="209"/>
        <v>10000</v>
      </c>
      <c r="AP2457" s="105">
        <f>IF(AND(AL2457=1,OR('Top 25'!$A$10="All",C2457='Top 25'!$A$10),OR('Top 25'!$D$10="All",D2457='Top 25'!$D$10)),1,0)</f>
        <v>0</v>
      </c>
      <c r="AQ2457" s="105" t="str">
        <f>IF(AP2457=0,"",CHOOSE(MATCH('Top 25'!$G$10,{"Priority score","Economic need","Enrollment","Fresh miles","Nearby resources"},0),T2457,G2457,F2457,K2457,L2457))</f>
        <v/>
      </c>
      <c r="AR2457" s="105" t="str">
        <f>IF(AP2457=0,"",1+COUNTIFS($AP$2051:$AP$2550,1,$AQ$2051:$AQ$2550,IF('Top 25'!$J$10="Ascending","&lt;","&gt;")&amp;AQ2457)+COUNTIFS($AP$2051:$AP$2550,1,$AQ$2051:$AQ$2550,AQ2457,$W$2051:$W$2550,"&lt;"&amp;W2457))</f>
        <v/>
      </c>
      <c r="AT2457" s="105">
        <f>IF(AND(AL2457=1,OR(Master_rankableSchools!$A$10="All",C2457=Master_rankableSchools!$A$10),OR(Master_rankableSchools!$D$10="All",D2457=Master_rankableSchools!$D$10)),1,0)</f>
        <v>0</v>
      </c>
      <c r="AU2457" s="105" t="str">
        <f>IF(AT2457=0,"",CHOOSE(MATCH(Master_rankableSchools!$G$10,{"Priority score","Economic need","Enrollment","Fresh miles","Nearby resources"},0),T2457,G2457,F2457,K2457,L2457))</f>
        <v/>
      </c>
      <c r="AV2457" s="105" t="str">
        <f>IF(AT2457=0,"",1+COUNTIFS($AT$2051:$AT$2550,1,$AU$2051:$AU$2550,IF(Master_rankableSchools!$J$10="Ascending","&lt;","&gt;")&amp;AU2457)+COUNTIFS($AT$2051:$AT$2550,1,$AU$2051:$AU$2550,AU2457,$W$2051:$W$2550,"&lt;"&amp;W2457))</f>
        <v/>
      </c>
    </row>
    <row r="2458" spans="1:48" ht="22" customHeight="1">
      <c r="A2458" s="1" t="str">
        <f t="shared" si="180"/>
        <v/>
      </c>
      <c r="B2458" s="1" t="str">
        <f t="shared" si="181"/>
        <v/>
      </c>
      <c r="C2458" s="1" t="str">
        <f t="shared" si="182"/>
        <v/>
      </c>
      <c r="D2458" s="1" t="str">
        <f t="shared" si="183"/>
        <v/>
      </c>
      <c r="E2458" s="1" t="str">
        <f t="shared" si="184"/>
        <v/>
      </c>
      <c r="F2458" s="1" t="str">
        <f t="shared" si="185"/>
        <v/>
      </c>
      <c r="G2458" s="1" t="str">
        <f t="shared" si="186"/>
        <v/>
      </c>
      <c r="H2458" s="1" t="str">
        <f t="shared" si="187"/>
        <v/>
      </c>
      <c r="I2458" s="1">
        <f>IF(OR(A2458="",COUNTIFS('Staff Review'!$A$8:$A$507,A2458)&lt;&gt;1),0,MATCH(A2458,'Staff Review'!$A$8:$A$507,0))</f>
        <v>0</v>
      </c>
      <c r="J2458" s="1" t="str">
        <f>IF(I2458=0,"No",IF(INDEX('Staff Review'!$C$8:$C$507,I2458)="Yes","Yes","No"))</f>
        <v>No</v>
      </c>
      <c r="K2458" s="1" t="str">
        <f>IF(AI2458="Yes",INDEX('Staff Review'!$D$8:$D$507,I2458),IF(AB2458=0,"",IF(COUNT(INDEX($C$1531:$C$2030,AB2458))=1,INDEX($C$1531:$C$2030,AB2458),"")))</f>
        <v/>
      </c>
      <c r="L2458" s="1" t="str">
        <f>IF(AJ2458="Yes",INDEX('Staff Review'!$F$8:$F$507,I2458),IF(AB2458=0,"",IF(COUNT(INDEX($G$1531:$G$2030,AB2458))=1,INDEX($G$1531:$G$2030,AB2458),"")))</f>
        <v/>
      </c>
      <c r="M2458" s="1" t="str">
        <f t="shared" si="188"/>
        <v/>
      </c>
      <c r="N2458" s="1" t="str">
        <f t="shared" si="189"/>
        <v/>
      </c>
      <c r="O2458" s="1" t="str">
        <f t="shared" si="190"/>
        <v/>
      </c>
      <c r="P2458" s="1" t="str">
        <f t="shared" si="191"/>
        <v/>
      </c>
      <c r="Q2458" s="1" t="str">
        <f t="shared" si="192"/>
        <v/>
      </c>
      <c r="R2458" s="1" t="str">
        <f t="shared" si="193"/>
        <v/>
      </c>
      <c r="S2458" s="1" t="str">
        <f t="shared" si="194"/>
        <v/>
      </c>
      <c r="T2458" s="1" t="str">
        <f>IF(OR(COUNT(O2458:R2458)&lt;&gt;4,COUNT('Top 25'!$B$45:$E$45)&lt;&gt;4,MIN('Top 25'!$B$45:$E$45)&lt;0,SUM('Top 25'!$B$45:$E$45)&lt;=0),"",ROUND(85*(O2458/30*'Top 25'!$B$45+P2458/25*'Top 25'!$C$45+Q2458/25*'Top 25'!$D$45+R2458/5*'Top 25'!$E$45)/SUM('Top 25'!$B$45:$E$45),6))</f>
        <v/>
      </c>
      <c r="U2458" s="1" t="str">
        <f t="shared" si="195"/>
        <v/>
      </c>
      <c r="V2458" s="1" t="str">
        <f>IF(A2458="","",IF(AK2458&lt;&gt;1,"Duplicate source ID",IF(COUNTIFS('Staff Review'!$A$8:$A$507,A2458)&gt;1,"Duplicate review ID",IF(H2458&lt;&gt;"Yes","Outside scope",IF(J2458="Yes","Already served",IF(NOT(ISNUMBER(T2458)),"Missing data","Candidate"))))))</f>
        <v/>
      </c>
      <c r="W2458" s="1" t="str">
        <f t="shared" si="196"/>
        <v/>
      </c>
      <c r="X2458" s="1" t="str">
        <f t="shared" si="197"/>
        <v/>
      </c>
      <c r="Y2458" s="1">
        <f>IF(AND(H2458="Yes",OR(LEN('School Search'!$B$5)=0,ISNUMBER(SEARCH('School Search'!$B$5,B2458&amp;" "&amp;E2458&amp;" "&amp;A2458))),OR('School Search'!$D$5="All",C2458='School Search'!$D$5),OR('School Search'!$G$5="All eligible",AND('School Search'!$G$5="Not marked served",J2458&lt;&gt;"Yes"),AND('School Search'!$G$5="Missing data",V2458="Missing data"),AND('School Search'!$G$5="Marked served",J2458="Yes"))),1,0)</f>
        <v>0</v>
      </c>
      <c r="Z2458" s="1" t="str">
        <f>IF(Y2458=0,"",COUNTIFS($Y$2051:$Y$2550,1,$AO$2051:$AO$2550,"&lt;"&amp;AO2458)+COUNTIFS($Y$2051:Y2458,1,$AO$2051:AO2458,AO2458))</f>
        <v/>
      </c>
      <c r="AA2458" s="1" t="str">
        <f t="shared" si="198"/>
        <v>Missing demographic or access input</v>
      </c>
      <c r="AB2458" s="1">
        <f t="shared" si="199"/>
        <v>0</v>
      </c>
      <c r="AC2458" s="1" t="str">
        <f t="shared" si="200"/>
        <v/>
      </c>
      <c r="AD2458" s="1" t="str">
        <f t="shared" si="201"/>
        <v/>
      </c>
      <c r="AE2458" s="1" t="str">
        <f t="shared" si="202"/>
        <v/>
      </c>
      <c r="AF2458" s="1" t="str">
        <f t="shared" si="203"/>
        <v/>
      </c>
      <c r="AG2458" s="1" t="str">
        <f t="shared" si="204"/>
        <v/>
      </c>
      <c r="AH2458" s="1" t="str">
        <f>IF(I2458=0,"Not contacted",IF(INDEX('Staff Review'!$J$8:$J$507,I2458)="","Not contacted",INDEX('Staff Review'!$J$8:$J$507,I2458)))</f>
        <v>Not contacted</v>
      </c>
      <c r="AI2458" s="1" t="str">
        <f>IF(I2458=0,"No",IF(AND(COUNT(INDEX('Staff Review'!$D$8:$D$507,I2458))=1,INDEX('Staff Review'!$D$8:$D$507,I2458)&gt;=0,COUNT(INDEX('Staff Review'!$E$8:$E$507,I2458))=1,INDEX('Staff Review'!$E$8:$E$507,I2458)&gt;0,INDEX('Staff Review'!$E$8:$E$507,I2458)&lt;='Top 25'!$E$5,'Top 25'!$E$5-INDEX('Staff Review'!$E$8:$E$507,I2458)&lt;='Top 25'!$H$5,LEN(INDEX('Staff Review'!$H$8:$H$507,I2458))&gt;0),"Yes","No"))</f>
        <v>No</v>
      </c>
      <c r="AJ2458" s="1" t="str">
        <f>IF(I2458=0,"No",IF(COUNT(INDEX('Staff Review'!$F$8:$F$507,I2458))&lt;&gt;1,"No",IF(AND(INDEX('Staff Review'!$F$8:$F$507,I2458)&gt;=0,MOD(INDEX('Staff Review'!$F$8:$F$507,I2458),1)=0,COUNT(INDEX('Staff Review'!$G$8:$G$507,I2458))=1,INDEX('Staff Review'!$G$8:$G$507,I2458)&gt;0,INDEX('Staff Review'!$G$8:$G$507,I2458)&lt;='Top 25'!$E$5,'Top 25'!$E$5-INDEX('Staff Review'!$G$8:$G$507,I2458)&lt;='Top 25'!$H$5,LEN(INDEX('Staff Review'!$H$8:$H$507,I2458))&gt;0),"Yes","No")))</f>
        <v>No</v>
      </c>
      <c r="AK2458" s="1">
        <f t="shared" si="205"/>
        <v>0</v>
      </c>
      <c r="AL2458" s="1">
        <f t="shared" si="206"/>
        <v>0</v>
      </c>
      <c r="AM2458" s="1">
        <f t="shared" si="207"/>
        <v>0</v>
      </c>
      <c r="AN2458" s="1">
        <f t="shared" si="208"/>
        <v>0</v>
      </c>
      <c r="AO2458">
        <f t="shared" si="209"/>
        <v>10000</v>
      </c>
      <c r="AP2458" s="105">
        <f>IF(AND(AL2458=1,OR('Top 25'!$A$10="All",C2458='Top 25'!$A$10),OR('Top 25'!$D$10="All",D2458='Top 25'!$D$10)),1,0)</f>
        <v>0</v>
      </c>
      <c r="AQ2458" s="105" t="str">
        <f>IF(AP2458=0,"",CHOOSE(MATCH('Top 25'!$G$10,{"Priority score","Economic need","Enrollment","Fresh miles","Nearby resources"},0),T2458,G2458,F2458,K2458,L2458))</f>
        <v/>
      </c>
      <c r="AR2458" s="105" t="str">
        <f>IF(AP2458=0,"",1+COUNTIFS($AP$2051:$AP$2550,1,$AQ$2051:$AQ$2550,IF('Top 25'!$J$10="Ascending","&lt;","&gt;")&amp;AQ2458)+COUNTIFS($AP$2051:$AP$2550,1,$AQ$2051:$AQ$2550,AQ2458,$W$2051:$W$2550,"&lt;"&amp;W2458))</f>
        <v/>
      </c>
      <c r="AT2458" s="105">
        <f>IF(AND(AL2458=1,OR(Master_rankableSchools!$A$10="All",C2458=Master_rankableSchools!$A$10),OR(Master_rankableSchools!$D$10="All",D2458=Master_rankableSchools!$D$10)),1,0)</f>
        <v>0</v>
      </c>
      <c r="AU2458" s="105" t="str">
        <f>IF(AT2458=0,"",CHOOSE(MATCH(Master_rankableSchools!$G$10,{"Priority score","Economic need","Enrollment","Fresh miles","Nearby resources"},0),T2458,G2458,F2458,K2458,L2458))</f>
        <v/>
      </c>
      <c r="AV2458" s="105" t="str">
        <f>IF(AT2458=0,"",1+COUNTIFS($AT$2051:$AT$2550,1,$AU$2051:$AU$2550,IF(Master_rankableSchools!$J$10="Ascending","&lt;","&gt;")&amp;AU2458)+COUNTIFS($AT$2051:$AT$2550,1,$AU$2051:$AU$2550,AU2458,$W$2051:$W$2550,"&lt;"&amp;W2458))</f>
        <v/>
      </c>
    </row>
    <row r="2459" spans="1:48" ht="22" customHeight="1">
      <c r="A2459" s="1" t="str">
        <f t="shared" si="180"/>
        <v/>
      </c>
      <c r="B2459" s="1" t="str">
        <f t="shared" si="181"/>
        <v/>
      </c>
      <c r="C2459" s="1" t="str">
        <f t="shared" si="182"/>
        <v/>
      </c>
      <c r="D2459" s="1" t="str">
        <f t="shared" si="183"/>
        <v/>
      </c>
      <c r="E2459" s="1" t="str">
        <f t="shared" si="184"/>
        <v/>
      </c>
      <c r="F2459" s="1" t="str">
        <f t="shared" si="185"/>
        <v/>
      </c>
      <c r="G2459" s="1" t="str">
        <f t="shared" si="186"/>
        <v/>
      </c>
      <c r="H2459" s="1" t="str">
        <f t="shared" si="187"/>
        <v/>
      </c>
      <c r="I2459" s="1">
        <f>IF(OR(A2459="",COUNTIFS('Staff Review'!$A$8:$A$507,A2459)&lt;&gt;1),0,MATCH(A2459,'Staff Review'!$A$8:$A$507,0))</f>
        <v>0</v>
      </c>
      <c r="J2459" s="1" t="str">
        <f>IF(I2459=0,"No",IF(INDEX('Staff Review'!$C$8:$C$507,I2459)="Yes","Yes","No"))</f>
        <v>No</v>
      </c>
      <c r="K2459" s="1" t="str">
        <f>IF(AI2459="Yes",INDEX('Staff Review'!$D$8:$D$507,I2459),IF(AB2459=0,"",IF(COUNT(INDEX($C$1531:$C$2030,AB2459))=1,INDEX($C$1531:$C$2030,AB2459),"")))</f>
        <v/>
      </c>
      <c r="L2459" s="1" t="str">
        <f>IF(AJ2459="Yes",INDEX('Staff Review'!$F$8:$F$507,I2459),IF(AB2459=0,"",IF(COUNT(INDEX($G$1531:$G$2030,AB2459))=1,INDEX($G$1531:$G$2030,AB2459),"")))</f>
        <v/>
      </c>
      <c r="M2459" s="1" t="str">
        <f t="shared" si="188"/>
        <v/>
      </c>
      <c r="N2459" s="1" t="str">
        <f t="shared" si="189"/>
        <v/>
      </c>
      <c r="O2459" s="1" t="str">
        <f t="shared" si="190"/>
        <v/>
      </c>
      <c r="P2459" s="1" t="str">
        <f t="shared" si="191"/>
        <v/>
      </c>
      <c r="Q2459" s="1" t="str">
        <f t="shared" si="192"/>
        <v/>
      </c>
      <c r="R2459" s="1" t="str">
        <f t="shared" si="193"/>
        <v/>
      </c>
      <c r="S2459" s="1" t="str">
        <f t="shared" si="194"/>
        <v/>
      </c>
      <c r="T2459" s="1" t="str">
        <f>IF(OR(COUNT(O2459:R2459)&lt;&gt;4,COUNT('Top 25'!$B$45:$E$45)&lt;&gt;4,MIN('Top 25'!$B$45:$E$45)&lt;0,SUM('Top 25'!$B$45:$E$45)&lt;=0),"",ROUND(85*(O2459/30*'Top 25'!$B$45+P2459/25*'Top 25'!$C$45+Q2459/25*'Top 25'!$D$45+R2459/5*'Top 25'!$E$45)/SUM('Top 25'!$B$45:$E$45),6))</f>
        <v/>
      </c>
      <c r="U2459" s="1" t="str">
        <f t="shared" si="195"/>
        <v/>
      </c>
      <c r="V2459" s="1" t="str">
        <f>IF(A2459="","",IF(AK2459&lt;&gt;1,"Duplicate source ID",IF(COUNTIFS('Staff Review'!$A$8:$A$507,A2459)&gt;1,"Duplicate review ID",IF(H2459&lt;&gt;"Yes","Outside scope",IF(J2459="Yes","Already served",IF(NOT(ISNUMBER(T2459)),"Missing data","Candidate"))))))</f>
        <v/>
      </c>
      <c r="W2459" s="1" t="str">
        <f t="shared" si="196"/>
        <v/>
      </c>
      <c r="X2459" s="1" t="str">
        <f t="shared" si="197"/>
        <v/>
      </c>
      <c r="Y2459" s="1">
        <f>IF(AND(H2459="Yes",OR(LEN('School Search'!$B$5)=0,ISNUMBER(SEARCH('School Search'!$B$5,B2459&amp;" "&amp;E2459&amp;" "&amp;A2459))),OR('School Search'!$D$5="All",C2459='School Search'!$D$5),OR('School Search'!$G$5="All eligible",AND('School Search'!$G$5="Not marked served",J2459&lt;&gt;"Yes"),AND('School Search'!$G$5="Missing data",V2459="Missing data"),AND('School Search'!$G$5="Marked served",J2459="Yes"))),1,0)</f>
        <v>0</v>
      </c>
      <c r="Z2459" s="1" t="str">
        <f>IF(Y2459=0,"",COUNTIFS($Y$2051:$Y$2550,1,$AO$2051:$AO$2550,"&lt;"&amp;AO2459)+COUNTIFS($Y$2051:Y2459,1,$AO$2051:AO2459,AO2459))</f>
        <v/>
      </c>
      <c r="AA2459" s="1" t="str">
        <f t="shared" si="198"/>
        <v>Missing demographic or access input</v>
      </c>
      <c r="AB2459" s="1">
        <f t="shared" si="199"/>
        <v>0</v>
      </c>
      <c r="AC2459" s="1" t="str">
        <f t="shared" si="200"/>
        <v/>
      </c>
      <c r="AD2459" s="1" t="str">
        <f t="shared" si="201"/>
        <v/>
      </c>
      <c r="AE2459" s="1" t="str">
        <f t="shared" si="202"/>
        <v/>
      </c>
      <c r="AF2459" s="1" t="str">
        <f t="shared" si="203"/>
        <v/>
      </c>
      <c r="AG2459" s="1" t="str">
        <f t="shared" si="204"/>
        <v/>
      </c>
      <c r="AH2459" s="1" t="str">
        <f>IF(I2459=0,"Not contacted",IF(INDEX('Staff Review'!$J$8:$J$507,I2459)="","Not contacted",INDEX('Staff Review'!$J$8:$J$507,I2459)))</f>
        <v>Not contacted</v>
      </c>
      <c r="AI2459" s="1" t="str">
        <f>IF(I2459=0,"No",IF(AND(COUNT(INDEX('Staff Review'!$D$8:$D$507,I2459))=1,INDEX('Staff Review'!$D$8:$D$507,I2459)&gt;=0,COUNT(INDEX('Staff Review'!$E$8:$E$507,I2459))=1,INDEX('Staff Review'!$E$8:$E$507,I2459)&gt;0,INDEX('Staff Review'!$E$8:$E$507,I2459)&lt;='Top 25'!$E$5,'Top 25'!$E$5-INDEX('Staff Review'!$E$8:$E$507,I2459)&lt;='Top 25'!$H$5,LEN(INDEX('Staff Review'!$H$8:$H$507,I2459))&gt;0),"Yes","No"))</f>
        <v>No</v>
      </c>
      <c r="AJ2459" s="1" t="str">
        <f>IF(I2459=0,"No",IF(COUNT(INDEX('Staff Review'!$F$8:$F$507,I2459))&lt;&gt;1,"No",IF(AND(INDEX('Staff Review'!$F$8:$F$507,I2459)&gt;=0,MOD(INDEX('Staff Review'!$F$8:$F$507,I2459),1)=0,COUNT(INDEX('Staff Review'!$G$8:$G$507,I2459))=1,INDEX('Staff Review'!$G$8:$G$507,I2459)&gt;0,INDEX('Staff Review'!$G$8:$G$507,I2459)&lt;='Top 25'!$E$5,'Top 25'!$E$5-INDEX('Staff Review'!$G$8:$G$507,I2459)&lt;='Top 25'!$H$5,LEN(INDEX('Staff Review'!$H$8:$H$507,I2459))&gt;0),"Yes","No")))</f>
        <v>No</v>
      </c>
      <c r="AK2459" s="1">
        <f t="shared" si="205"/>
        <v>0</v>
      </c>
      <c r="AL2459" s="1">
        <f t="shared" si="206"/>
        <v>0</v>
      </c>
      <c r="AM2459" s="1">
        <f t="shared" si="207"/>
        <v>0</v>
      </c>
      <c r="AN2459" s="1">
        <f t="shared" si="208"/>
        <v>0</v>
      </c>
      <c r="AO2459">
        <f t="shared" si="209"/>
        <v>10000</v>
      </c>
      <c r="AP2459" s="105">
        <f>IF(AND(AL2459=1,OR('Top 25'!$A$10="All",C2459='Top 25'!$A$10),OR('Top 25'!$D$10="All",D2459='Top 25'!$D$10)),1,0)</f>
        <v>0</v>
      </c>
      <c r="AQ2459" s="105" t="str">
        <f>IF(AP2459=0,"",CHOOSE(MATCH('Top 25'!$G$10,{"Priority score","Economic need","Enrollment","Fresh miles","Nearby resources"},0),T2459,G2459,F2459,K2459,L2459))</f>
        <v/>
      </c>
      <c r="AR2459" s="105" t="str">
        <f>IF(AP2459=0,"",1+COUNTIFS($AP$2051:$AP$2550,1,$AQ$2051:$AQ$2550,IF('Top 25'!$J$10="Ascending","&lt;","&gt;")&amp;AQ2459)+COUNTIFS($AP$2051:$AP$2550,1,$AQ$2051:$AQ$2550,AQ2459,$W$2051:$W$2550,"&lt;"&amp;W2459))</f>
        <v/>
      </c>
      <c r="AT2459" s="105">
        <f>IF(AND(AL2459=1,OR(Master_rankableSchools!$A$10="All",C2459=Master_rankableSchools!$A$10),OR(Master_rankableSchools!$D$10="All",D2459=Master_rankableSchools!$D$10)),1,0)</f>
        <v>0</v>
      </c>
      <c r="AU2459" s="105" t="str">
        <f>IF(AT2459=0,"",CHOOSE(MATCH(Master_rankableSchools!$G$10,{"Priority score","Economic need","Enrollment","Fresh miles","Nearby resources"},0),T2459,G2459,F2459,K2459,L2459))</f>
        <v/>
      </c>
      <c r="AV2459" s="105" t="str">
        <f>IF(AT2459=0,"",1+COUNTIFS($AT$2051:$AT$2550,1,$AU$2051:$AU$2550,IF(Master_rankableSchools!$J$10="Ascending","&lt;","&gt;")&amp;AU2459)+COUNTIFS($AT$2051:$AT$2550,1,$AU$2051:$AU$2550,AU2459,$W$2051:$W$2550,"&lt;"&amp;W2459))</f>
        <v/>
      </c>
    </row>
    <row r="2460" spans="1:48" ht="22" customHeight="1">
      <c r="A2460" s="1" t="str">
        <f t="shared" si="180"/>
        <v/>
      </c>
      <c r="B2460" s="1" t="str">
        <f t="shared" si="181"/>
        <v/>
      </c>
      <c r="C2460" s="1" t="str">
        <f t="shared" si="182"/>
        <v/>
      </c>
      <c r="D2460" s="1" t="str">
        <f t="shared" si="183"/>
        <v/>
      </c>
      <c r="E2460" s="1" t="str">
        <f t="shared" si="184"/>
        <v/>
      </c>
      <c r="F2460" s="1" t="str">
        <f t="shared" si="185"/>
        <v/>
      </c>
      <c r="G2460" s="1" t="str">
        <f t="shared" si="186"/>
        <v/>
      </c>
      <c r="H2460" s="1" t="str">
        <f t="shared" si="187"/>
        <v/>
      </c>
      <c r="I2460" s="1">
        <f>IF(OR(A2460="",COUNTIFS('Staff Review'!$A$8:$A$507,A2460)&lt;&gt;1),0,MATCH(A2460,'Staff Review'!$A$8:$A$507,0))</f>
        <v>0</v>
      </c>
      <c r="J2460" s="1" t="str">
        <f>IF(I2460=0,"No",IF(INDEX('Staff Review'!$C$8:$C$507,I2460)="Yes","Yes","No"))</f>
        <v>No</v>
      </c>
      <c r="K2460" s="1" t="str">
        <f>IF(AI2460="Yes",INDEX('Staff Review'!$D$8:$D$507,I2460),IF(AB2460=0,"",IF(COUNT(INDEX($C$1531:$C$2030,AB2460))=1,INDEX($C$1531:$C$2030,AB2460),"")))</f>
        <v/>
      </c>
      <c r="L2460" s="1" t="str">
        <f>IF(AJ2460="Yes",INDEX('Staff Review'!$F$8:$F$507,I2460),IF(AB2460=0,"",IF(COUNT(INDEX($G$1531:$G$2030,AB2460))=1,INDEX($G$1531:$G$2030,AB2460),"")))</f>
        <v/>
      </c>
      <c r="M2460" s="1" t="str">
        <f t="shared" si="188"/>
        <v/>
      </c>
      <c r="N2460" s="1" t="str">
        <f t="shared" si="189"/>
        <v/>
      </c>
      <c r="O2460" s="1" t="str">
        <f t="shared" si="190"/>
        <v/>
      </c>
      <c r="P2460" s="1" t="str">
        <f t="shared" si="191"/>
        <v/>
      </c>
      <c r="Q2460" s="1" t="str">
        <f t="shared" si="192"/>
        <v/>
      </c>
      <c r="R2460" s="1" t="str">
        <f t="shared" si="193"/>
        <v/>
      </c>
      <c r="S2460" s="1" t="str">
        <f t="shared" si="194"/>
        <v/>
      </c>
      <c r="T2460" s="1" t="str">
        <f>IF(OR(COUNT(O2460:R2460)&lt;&gt;4,COUNT('Top 25'!$B$45:$E$45)&lt;&gt;4,MIN('Top 25'!$B$45:$E$45)&lt;0,SUM('Top 25'!$B$45:$E$45)&lt;=0),"",ROUND(85*(O2460/30*'Top 25'!$B$45+P2460/25*'Top 25'!$C$45+Q2460/25*'Top 25'!$D$45+R2460/5*'Top 25'!$E$45)/SUM('Top 25'!$B$45:$E$45),6))</f>
        <v/>
      </c>
      <c r="U2460" s="1" t="str">
        <f t="shared" si="195"/>
        <v/>
      </c>
      <c r="V2460" s="1" t="str">
        <f>IF(A2460="","",IF(AK2460&lt;&gt;1,"Duplicate source ID",IF(COUNTIFS('Staff Review'!$A$8:$A$507,A2460)&gt;1,"Duplicate review ID",IF(H2460&lt;&gt;"Yes","Outside scope",IF(J2460="Yes","Already served",IF(NOT(ISNUMBER(T2460)),"Missing data","Candidate"))))))</f>
        <v/>
      </c>
      <c r="W2460" s="1" t="str">
        <f t="shared" si="196"/>
        <v/>
      </c>
      <c r="X2460" s="1" t="str">
        <f t="shared" si="197"/>
        <v/>
      </c>
      <c r="Y2460" s="1">
        <f>IF(AND(H2460="Yes",OR(LEN('School Search'!$B$5)=0,ISNUMBER(SEARCH('School Search'!$B$5,B2460&amp;" "&amp;E2460&amp;" "&amp;A2460))),OR('School Search'!$D$5="All",C2460='School Search'!$D$5),OR('School Search'!$G$5="All eligible",AND('School Search'!$G$5="Not marked served",J2460&lt;&gt;"Yes"),AND('School Search'!$G$5="Missing data",V2460="Missing data"),AND('School Search'!$G$5="Marked served",J2460="Yes"))),1,0)</f>
        <v>0</v>
      </c>
      <c r="Z2460" s="1" t="str">
        <f>IF(Y2460=0,"",COUNTIFS($Y$2051:$Y$2550,1,$AO$2051:$AO$2550,"&lt;"&amp;AO2460)+COUNTIFS($Y$2051:Y2460,1,$AO$2051:AO2460,AO2460))</f>
        <v/>
      </c>
      <c r="AA2460" s="1" t="str">
        <f t="shared" si="198"/>
        <v>Missing demographic or access input</v>
      </c>
      <c r="AB2460" s="1">
        <f t="shared" si="199"/>
        <v>0</v>
      </c>
      <c r="AC2460" s="1" t="str">
        <f t="shared" si="200"/>
        <v/>
      </c>
      <c r="AD2460" s="1" t="str">
        <f t="shared" si="201"/>
        <v/>
      </c>
      <c r="AE2460" s="1" t="str">
        <f t="shared" si="202"/>
        <v/>
      </c>
      <c r="AF2460" s="1" t="str">
        <f t="shared" si="203"/>
        <v/>
      </c>
      <c r="AG2460" s="1" t="str">
        <f t="shared" si="204"/>
        <v/>
      </c>
      <c r="AH2460" s="1" t="str">
        <f>IF(I2460=0,"Not contacted",IF(INDEX('Staff Review'!$J$8:$J$507,I2460)="","Not contacted",INDEX('Staff Review'!$J$8:$J$507,I2460)))</f>
        <v>Not contacted</v>
      </c>
      <c r="AI2460" s="1" t="str">
        <f>IF(I2460=0,"No",IF(AND(COUNT(INDEX('Staff Review'!$D$8:$D$507,I2460))=1,INDEX('Staff Review'!$D$8:$D$507,I2460)&gt;=0,COUNT(INDEX('Staff Review'!$E$8:$E$507,I2460))=1,INDEX('Staff Review'!$E$8:$E$507,I2460)&gt;0,INDEX('Staff Review'!$E$8:$E$507,I2460)&lt;='Top 25'!$E$5,'Top 25'!$E$5-INDEX('Staff Review'!$E$8:$E$507,I2460)&lt;='Top 25'!$H$5,LEN(INDEX('Staff Review'!$H$8:$H$507,I2460))&gt;0),"Yes","No"))</f>
        <v>No</v>
      </c>
      <c r="AJ2460" s="1" t="str">
        <f>IF(I2460=0,"No",IF(COUNT(INDEX('Staff Review'!$F$8:$F$507,I2460))&lt;&gt;1,"No",IF(AND(INDEX('Staff Review'!$F$8:$F$507,I2460)&gt;=0,MOD(INDEX('Staff Review'!$F$8:$F$507,I2460),1)=0,COUNT(INDEX('Staff Review'!$G$8:$G$507,I2460))=1,INDEX('Staff Review'!$G$8:$G$507,I2460)&gt;0,INDEX('Staff Review'!$G$8:$G$507,I2460)&lt;='Top 25'!$E$5,'Top 25'!$E$5-INDEX('Staff Review'!$G$8:$G$507,I2460)&lt;='Top 25'!$H$5,LEN(INDEX('Staff Review'!$H$8:$H$507,I2460))&gt;0),"Yes","No")))</f>
        <v>No</v>
      </c>
      <c r="AK2460" s="1">
        <f t="shared" si="205"/>
        <v>0</v>
      </c>
      <c r="AL2460" s="1">
        <f t="shared" si="206"/>
        <v>0</v>
      </c>
      <c r="AM2460" s="1">
        <f t="shared" si="207"/>
        <v>0</v>
      </c>
      <c r="AN2460" s="1">
        <f t="shared" si="208"/>
        <v>0</v>
      </c>
      <c r="AO2460">
        <f t="shared" si="209"/>
        <v>10000</v>
      </c>
      <c r="AP2460" s="105">
        <f>IF(AND(AL2460=1,OR('Top 25'!$A$10="All",C2460='Top 25'!$A$10),OR('Top 25'!$D$10="All",D2460='Top 25'!$D$10)),1,0)</f>
        <v>0</v>
      </c>
      <c r="AQ2460" s="105" t="str">
        <f>IF(AP2460=0,"",CHOOSE(MATCH('Top 25'!$G$10,{"Priority score","Economic need","Enrollment","Fresh miles","Nearby resources"},0),T2460,G2460,F2460,K2460,L2460))</f>
        <v/>
      </c>
      <c r="AR2460" s="105" t="str">
        <f>IF(AP2460=0,"",1+COUNTIFS($AP$2051:$AP$2550,1,$AQ$2051:$AQ$2550,IF('Top 25'!$J$10="Ascending","&lt;","&gt;")&amp;AQ2460)+COUNTIFS($AP$2051:$AP$2550,1,$AQ$2051:$AQ$2550,AQ2460,$W$2051:$W$2550,"&lt;"&amp;W2460))</f>
        <v/>
      </c>
      <c r="AT2460" s="105">
        <f>IF(AND(AL2460=1,OR(Master_rankableSchools!$A$10="All",C2460=Master_rankableSchools!$A$10),OR(Master_rankableSchools!$D$10="All",D2460=Master_rankableSchools!$D$10)),1,0)</f>
        <v>0</v>
      </c>
      <c r="AU2460" s="105" t="str">
        <f>IF(AT2460=0,"",CHOOSE(MATCH(Master_rankableSchools!$G$10,{"Priority score","Economic need","Enrollment","Fresh miles","Nearby resources"},0),T2460,G2460,F2460,K2460,L2460))</f>
        <v/>
      </c>
      <c r="AV2460" s="105" t="str">
        <f>IF(AT2460=0,"",1+COUNTIFS($AT$2051:$AT$2550,1,$AU$2051:$AU$2550,IF(Master_rankableSchools!$J$10="Ascending","&lt;","&gt;")&amp;AU2460)+COUNTIFS($AT$2051:$AT$2550,1,$AU$2051:$AU$2550,AU2460,$W$2051:$W$2550,"&lt;"&amp;W2460))</f>
        <v/>
      </c>
    </row>
    <row r="2461" spans="1:48" ht="22" customHeight="1">
      <c r="A2461" s="1" t="str">
        <f t="shared" si="180"/>
        <v/>
      </c>
      <c r="B2461" s="1" t="str">
        <f t="shared" si="181"/>
        <v/>
      </c>
      <c r="C2461" s="1" t="str">
        <f t="shared" si="182"/>
        <v/>
      </c>
      <c r="D2461" s="1" t="str">
        <f t="shared" si="183"/>
        <v/>
      </c>
      <c r="E2461" s="1" t="str">
        <f t="shared" si="184"/>
        <v/>
      </c>
      <c r="F2461" s="1" t="str">
        <f t="shared" si="185"/>
        <v/>
      </c>
      <c r="G2461" s="1" t="str">
        <f t="shared" si="186"/>
        <v/>
      </c>
      <c r="H2461" s="1" t="str">
        <f t="shared" si="187"/>
        <v/>
      </c>
      <c r="I2461" s="1">
        <f>IF(OR(A2461="",COUNTIFS('Staff Review'!$A$8:$A$507,A2461)&lt;&gt;1),0,MATCH(A2461,'Staff Review'!$A$8:$A$507,0))</f>
        <v>0</v>
      </c>
      <c r="J2461" s="1" t="str">
        <f>IF(I2461=0,"No",IF(INDEX('Staff Review'!$C$8:$C$507,I2461)="Yes","Yes","No"))</f>
        <v>No</v>
      </c>
      <c r="K2461" s="1" t="str">
        <f>IF(AI2461="Yes",INDEX('Staff Review'!$D$8:$D$507,I2461),IF(AB2461=0,"",IF(COUNT(INDEX($C$1531:$C$2030,AB2461))=1,INDEX($C$1531:$C$2030,AB2461),"")))</f>
        <v/>
      </c>
      <c r="L2461" s="1" t="str">
        <f>IF(AJ2461="Yes",INDEX('Staff Review'!$F$8:$F$507,I2461),IF(AB2461=0,"",IF(COUNT(INDEX($G$1531:$G$2030,AB2461))=1,INDEX($G$1531:$G$2030,AB2461),"")))</f>
        <v/>
      </c>
      <c r="M2461" s="1" t="str">
        <f t="shared" si="188"/>
        <v/>
      </c>
      <c r="N2461" s="1" t="str">
        <f t="shared" si="189"/>
        <v/>
      </c>
      <c r="O2461" s="1" t="str">
        <f t="shared" si="190"/>
        <v/>
      </c>
      <c r="P2461" s="1" t="str">
        <f t="shared" si="191"/>
        <v/>
      </c>
      <c r="Q2461" s="1" t="str">
        <f t="shared" si="192"/>
        <v/>
      </c>
      <c r="R2461" s="1" t="str">
        <f t="shared" si="193"/>
        <v/>
      </c>
      <c r="S2461" s="1" t="str">
        <f t="shared" si="194"/>
        <v/>
      </c>
      <c r="T2461" s="1" t="str">
        <f>IF(OR(COUNT(O2461:R2461)&lt;&gt;4,COUNT('Top 25'!$B$45:$E$45)&lt;&gt;4,MIN('Top 25'!$B$45:$E$45)&lt;0,SUM('Top 25'!$B$45:$E$45)&lt;=0),"",ROUND(85*(O2461/30*'Top 25'!$B$45+P2461/25*'Top 25'!$C$45+Q2461/25*'Top 25'!$D$45+R2461/5*'Top 25'!$E$45)/SUM('Top 25'!$B$45:$E$45),6))</f>
        <v/>
      </c>
      <c r="U2461" s="1" t="str">
        <f t="shared" si="195"/>
        <v/>
      </c>
      <c r="V2461" s="1" t="str">
        <f>IF(A2461="","",IF(AK2461&lt;&gt;1,"Duplicate source ID",IF(COUNTIFS('Staff Review'!$A$8:$A$507,A2461)&gt;1,"Duplicate review ID",IF(H2461&lt;&gt;"Yes","Outside scope",IF(J2461="Yes","Already served",IF(NOT(ISNUMBER(T2461)),"Missing data","Candidate"))))))</f>
        <v/>
      </c>
      <c r="W2461" s="1" t="str">
        <f t="shared" si="196"/>
        <v/>
      </c>
      <c r="X2461" s="1" t="str">
        <f t="shared" si="197"/>
        <v/>
      </c>
      <c r="Y2461" s="1">
        <f>IF(AND(H2461="Yes",OR(LEN('School Search'!$B$5)=0,ISNUMBER(SEARCH('School Search'!$B$5,B2461&amp;" "&amp;E2461&amp;" "&amp;A2461))),OR('School Search'!$D$5="All",C2461='School Search'!$D$5),OR('School Search'!$G$5="All eligible",AND('School Search'!$G$5="Not marked served",J2461&lt;&gt;"Yes"),AND('School Search'!$G$5="Missing data",V2461="Missing data"),AND('School Search'!$G$5="Marked served",J2461="Yes"))),1,0)</f>
        <v>0</v>
      </c>
      <c r="Z2461" s="1" t="str">
        <f>IF(Y2461=0,"",COUNTIFS($Y$2051:$Y$2550,1,$AO$2051:$AO$2550,"&lt;"&amp;AO2461)+COUNTIFS($Y$2051:Y2461,1,$AO$2051:AO2461,AO2461))</f>
        <v/>
      </c>
      <c r="AA2461" s="1" t="str">
        <f t="shared" si="198"/>
        <v>Missing demographic or access input</v>
      </c>
      <c r="AB2461" s="1">
        <f t="shared" si="199"/>
        <v>0</v>
      </c>
      <c r="AC2461" s="1" t="str">
        <f t="shared" si="200"/>
        <v/>
      </c>
      <c r="AD2461" s="1" t="str">
        <f t="shared" si="201"/>
        <v/>
      </c>
      <c r="AE2461" s="1" t="str">
        <f t="shared" si="202"/>
        <v/>
      </c>
      <c r="AF2461" s="1" t="str">
        <f t="shared" si="203"/>
        <v/>
      </c>
      <c r="AG2461" s="1" t="str">
        <f t="shared" si="204"/>
        <v/>
      </c>
      <c r="AH2461" s="1" t="str">
        <f>IF(I2461=0,"Not contacted",IF(INDEX('Staff Review'!$J$8:$J$507,I2461)="","Not contacted",INDEX('Staff Review'!$J$8:$J$507,I2461)))</f>
        <v>Not contacted</v>
      </c>
      <c r="AI2461" s="1" t="str">
        <f>IF(I2461=0,"No",IF(AND(COUNT(INDEX('Staff Review'!$D$8:$D$507,I2461))=1,INDEX('Staff Review'!$D$8:$D$507,I2461)&gt;=0,COUNT(INDEX('Staff Review'!$E$8:$E$507,I2461))=1,INDEX('Staff Review'!$E$8:$E$507,I2461)&gt;0,INDEX('Staff Review'!$E$8:$E$507,I2461)&lt;='Top 25'!$E$5,'Top 25'!$E$5-INDEX('Staff Review'!$E$8:$E$507,I2461)&lt;='Top 25'!$H$5,LEN(INDEX('Staff Review'!$H$8:$H$507,I2461))&gt;0),"Yes","No"))</f>
        <v>No</v>
      </c>
      <c r="AJ2461" s="1" t="str">
        <f>IF(I2461=0,"No",IF(COUNT(INDEX('Staff Review'!$F$8:$F$507,I2461))&lt;&gt;1,"No",IF(AND(INDEX('Staff Review'!$F$8:$F$507,I2461)&gt;=0,MOD(INDEX('Staff Review'!$F$8:$F$507,I2461),1)=0,COUNT(INDEX('Staff Review'!$G$8:$G$507,I2461))=1,INDEX('Staff Review'!$G$8:$G$507,I2461)&gt;0,INDEX('Staff Review'!$G$8:$G$507,I2461)&lt;='Top 25'!$E$5,'Top 25'!$E$5-INDEX('Staff Review'!$G$8:$G$507,I2461)&lt;='Top 25'!$H$5,LEN(INDEX('Staff Review'!$H$8:$H$507,I2461))&gt;0),"Yes","No")))</f>
        <v>No</v>
      </c>
      <c r="AK2461" s="1">
        <f t="shared" si="205"/>
        <v>0</v>
      </c>
      <c r="AL2461" s="1">
        <f t="shared" si="206"/>
        <v>0</v>
      </c>
      <c r="AM2461" s="1">
        <f t="shared" si="207"/>
        <v>0</v>
      </c>
      <c r="AN2461" s="1">
        <f t="shared" si="208"/>
        <v>0</v>
      </c>
      <c r="AO2461">
        <f t="shared" si="209"/>
        <v>10000</v>
      </c>
      <c r="AP2461" s="105">
        <f>IF(AND(AL2461=1,OR('Top 25'!$A$10="All",C2461='Top 25'!$A$10),OR('Top 25'!$D$10="All",D2461='Top 25'!$D$10)),1,0)</f>
        <v>0</v>
      </c>
      <c r="AQ2461" s="105" t="str">
        <f>IF(AP2461=0,"",CHOOSE(MATCH('Top 25'!$G$10,{"Priority score","Economic need","Enrollment","Fresh miles","Nearby resources"},0),T2461,G2461,F2461,K2461,L2461))</f>
        <v/>
      </c>
      <c r="AR2461" s="105" t="str">
        <f>IF(AP2461=0,"",1+COUNTIFS($AP$2051:$AP$2550,1,$AQ$2051:$AQ$2550,IF('Top 25'!$J$10="Ascending","&lt;","&gt;")&amp;AQ2461)+COUNTIFS($AP$2051:$AP$2550,1,$AQ$2051:$AQ$2550,AQ2461,$W$2051:$W$2550,"&lt;"&amp;W2461))</f>
        <v/>
      </c>
      <c r="AT2461" s="105">
        <f>IF(AND(AL2461=1,OR(Master_rankableSchools!$A$10="All",C2461=Master_rankableSchools!$A$10),OR(Master_rankableSchools!$D$10="All",D2461=Master_rankableSchools!$D$10)),1,0)</f>
        <v>0</v>
      </c>
      <c r="AU2461" s="105" t="str">
        <f>IF(AT2461=0,"",CHOOSE(MATCH(Master_rankableSchools!$G$10,{"Priority score","Economic need","Enrollment","Fresh miles","Nearby resources"},0),T2461,G2461,F2461,K2461,L2461))</f>
        <v/>
      </c>
      <c r="AV2461" s="105" t="str">
        <f>IF(AT2461=0,"",1+COUNTIFS($AT$2051:$AT$2550,1,$AU$2051:$AU$2550,IF(Master_rankableSchools!$J$10="Ascending","&lt;","&gt;")&amp;AU2461)+COUNTIFS($AT$2051:$AT$2550,1,$AU$2051:$AU$2550,AU2461,$W$2051:$W$2550,"&lt;"&amp;W2461))</f>
        <v/>
      </c>
    </row>
    <row r="2462" spans="1:48" ht="22" customHeight="1">
      <c r="A2462" s="1" t="str">
        <f t="shared" si="180"/>
        <v/>
      </c>
      <c r="B2462" s="1" t="str">
        <f t="shared" si="181"/>
        <v/>
      </c>
      <c r="C2462" s="1" t="str">
        <f t="shared" si="182"/>
        <v/>
      </c>
      <c r="D2462" s="1" t="str">
        <f t="shared" si="183"/>
        <v/>
      </c>
      <c r="E2462" s="1" t="str">
        <f t="shared" si="184"/>
        <v/>
      </c>
      <c r="F2462" s="1" t="str">
        <f t="shared" si="185"/>
        <v/>
      </c>
      <c r="G2462" s="1" t="str">
        <f t="shared" si="186"/>
        <v/>
      </c>
      <c r="H2462" s="1" t="str">
        <f t="shared" si="187"/>
        <v/>
      </c>
      <c r="I2462" s="1">
        <f>IF(OR(A2462="",COUNTIFS('Staff Review'!$A$8:$A$507,A2462)&lt;&gt;1),0,MATCH(A2462,'Staff Review'!$A$8:$A$507,0))</f>
        <v>0</v>
      </c>
      <c r="J2462" s="1" t="str">
        <f>IF(I2462=0,"No",IF(INDEX('Staff Review'!$C$8:$C$507,I2462)="Yes","Yes","No"))</f>
        <v>No</v>
      </c>
      <c r="K2462" s="1" t="str">
        <f>IF(AI2462="Yes",INDEX('Staff Review'!$D$8:$D$507,I2462),IF(AB2462=0,"",IF(COUNT(INDEX($C$1531:$C$2030,AB2462))=1,INDEX($C$1531:$C$2030,AB2462),"")))</f>
        <v/>
      </c>
      <c r="L2462" s="1" t="str">
        <f>IF(AJ2462="Yes",INDEX('Staff Review'!$F$8:$F$507,I2462),IF(AB2462=0,"",IF(COUNT(INDEX($G$1531:$G$2030,AB2462))=1,INDEX($G$1531:$G$2030,AB2462),"")))</f>
        <v/>
      </c>
      <c r="M2462" s="1" t="str">
        <f t="shared" si="188"/>
        <v/>
      </c>
      <c r="N2462" s="1" t="str">
        <f t="shared" si="189"/>
        <v/>
      </c>
      <c r="O2462" s="1" t="str">
        <f t="shared" si="190"/>
        <v/>
      </c>
      <c r="P2462" s="1" t="str">
        <f t="shared" si="191"/>
        <v/>
      </c>
      <c r="Q2462" s="1" t="str">
        <f t="shared" si="192"/>
        <v/>
      </c>
      <c r="R2462" s="1" t="str">
        <f t="shared" si="193"/>
        <v/>
      </c>
      <c r="S2462" s="1" t="str">
        <f t="shared" si="194"/>
        <v/>
      </c>
      <c r="T2462" s="1" t="str">
        <f>IF(OR(COUNT(O2462:R2462)&lt;&gt;4,COUNT('Top 25'!$B$45:$E$45)&lt;&gt;4,MIN('Top 25'!$B$45:$E$45)&lt;0,SUM('Top 25'!$B$45:$E$45)&lt;=0),"",ROUND(85*(O2462/30*'Top 25'!$B$45+P2462/25*'Top 25'!$C$45+Q2462/25*'Top 25'!$D$45+R2462/5*'Top 25'!$E$45)/SUM('Top 25'!$B$45:$E$45),6))</f>
        <v/>
      </c>
      <c r="U2462" s="1" t="str">
        <f t="shared" si="195"/>
        <v/>
      </c>
      <c r="V2462" s="1" t="str">
        <f>IF(A2462="","",IF(AK2462&lt;&gt;1,"Duplicate source ID",IF(COUNTIFS('Staff Review'!$A$8:$A$507,A2462)&gt;1,"Duplicate review ID",IF(H2462&lt;&gt;"Yes","Outside scope",IF(J2462="Yes","Already served",IF(NOT(ISNUMBER(T2462)),"Missing data","Candidate"))))))</f>
        <v/>
      </c>
      <c r="W2462" s="1" t="str">
        <f t="shared" si="196"/>
        <v/>
      </c>
      <c r="X2462" s="1" t="str">
        <f t="shared" si="197"/>
        <v/>
      </c>
      <c r="Y2462" s="1">
        <f>IF(AND(H2462="Yes",OR(LEN('School Search'!$B$5)=0,ISNUMBER(SEARCH('School Search'!$B$5,B2462&amp;" "&amp;E2462&amp;" "&amp;A2462))),OR('School Search'!$D$5="All",C2462='School Search'!$D$5),OR('School Search'!$G$5="All eligible",AND('School Search'!$G$5="Not marked served",J2462&lt;&gt;"Yes"),AND('School Search'!$G$5="Missing data",V2462="Missing data"),AND('School Search'!$G$5="Marked served",J2462="Yes"))),1,0)</f>
        <v>0</v>
      </c>
      <c r="Z2462" s="1" t="str">
        <f>IF(Y2462=0,"",COUNTIFS($Y$2051:$Y$2550,1,$AO$2051:$AO$2550,"&lt;"&amp;AO2462)+COUNTIFS($Y$2051:Y2462,1,$AO$2051:AO2462,AO2462))</f>
        <v/>
      </c>
      <c r="AA2462" s="1" t="str">
        <f t="shared" si="198"/>
        <v>Missing demographic or access input</v>
      </c>
      <c r="AB2462" s="1">
        <f t="shared" si="199"/>
        <v>0</v>
      </c>
      <c r="AC2462" s="1" t="str">
        <f t="shared" si="200"/>
        <v/>
      </c>
      <c r="AD2462" s="1" t="str">
        <f t="shared" si="201"/>
        <v/>
      </c>
      <c r="AE2462" s="1" t="str">
        <f t="shared" si="202"/>
        <v/>
      </c>
      <c r="AF2462" s="1" t="str">
        <f t="shared" si="203"/>
        <v/>
      </c>
      <c r="AG2462" s="1" t="str">
        <f t="shared" si="204"/>
        <v/>
      </c>
      <c r="AH2462" s="1" t="str">
        <f>IF(I2462=0,"Not contacted",IF(INDEX('Staff Review'!$J$8:$J$507,I2462)="","Not contacted",INDEX('Staff Review'!$J$8:$J$507,I2462)))</f>
        <v>Not contacted</v>
      </c>
      <c r="AI2462" s="1" t="str">
        <f>IF(I2462=0,"No",IF(AND(COUNT(INDEX('Staff Review'!$D$8:$D$507,I2462))=1,INDEX('Staff Review'!$D$8:$D$507,I2462)&gt;=0,COUNT(INDEX('Staff Review'!$E$8:$E$507,I2462))=1,INDEX('Staff Review'!$E$8:$E$507,I2462)&gt;0,INDEX('Staff Review'!$E$8:$E$507,I2462)&lt;='Top 25'!$E$5,'Top 25'!$E$5-INDEX('Staff Review'!$E$8:$E$507,I2462)&lt;='Top 25'!$H$5,LEN(INDEX('Staff Review'!$H$8:$H$507,I2462))&gt;0),"Yes","No"))</f>
        <v>No</v>
      </c>
      <c r="AJ2462" s="1" t="str">
        <f>IF(I2462=0,"No",IF(COUNT(INDEX('Staff Review'!$F$8:$F$507,I2462))&lt;&gt;1,"No",IF(AND(INDEX('Staff Review'!$F$8:$F$507,I2462)&gt;=0,MOD(INDEX('Staff Review'!$F$8:$F$507,I2462),1)=0,COUNT(INDEX('Staff Review'!$G$8:$G$507,I2462))=1,INDEX('Staff Review'!$G$8:$G$507,I2462)&gt;0,INDEX('Staff Review'!$G$8:$G$507,I2462)&lt;='Top 25'!$E$5,'Top 25'!$E$5-INDEX('Staff Review'!$G$8:$G$507,I2462)&lt;='Top 25'!$H$5,LEN(INDEX('Staff Review'!$H$8:$H$507,I2462))&gt;0),"Yes","No")))</f>
        <v>No</v>
      </c>
      <c r="AK2462" s="1">
        <f t="shared" si="205"/>
        <v>0</v>
      </c>
      <c r="AL2462" s="1">
        <f t="shared" si="206"/>
        <v>0</v>
      </c>
      <c r="AM2462" s="1">
        <f t="shared" si="207"/>
        <v>0</v>
      </c>
      <c r="AN2462" s="1">
        <f t="shared" si="208"/>
        <v>0</v>
      </c>
      <c r="AO2462">
        <f t="shared" si="209"/>
        <v>10000</v>
      </c>
      <c r="AP2462" s="105">
        <f>IF(AND(AL2462=1,OR('Top 25'!$A$10="All",C2462='Top 25'!$A$10),OR('Top 25'!$D$10="All",D2462='Top 25'!$D$10)),1,0)</f>
        <v>0</v>
      </c>
      <c r="AQ2462" s="105" t="str">
        <f>IF(AP2462=0,"",CHOOSE(MATCH('Top 25'!$G$10,{"Priority score","Economic need","Enrollment","Fresh miles","Nearby resources"},0),T2462,G2462,F2462,K2462,L2462))</f>
        <v/>
      </c>
      <c r="AR2462" s="105" t="str">
        <f>IF(AP2462=0,"",1+COUNTIFS($AP$2051:$AP$2550,1,$AQ$2051:$AQ$2550,IF('Top 25'!$J$10="Ascending","&lt;","&gt;")&amp;AQ2462)+COUNTIFS($AP$2051:$AP$2550,1,$AQ$2051:$AQ$2550,AQ2462,$W$2051:$W$2550,"&lt;"&amp;W2462))</f>
        <v/>
      </c>
      <c r="AT2462" s="105">
        <f>IF(AND(AL2462=1,OR(Master_rankableSchools!$A$10="All",C2462=Master_rankableSchools!$A$10),OR(Master_rankableSchools!$D$10="All",D2462=Master_rankableSchools!$D$10)),1,0)</f>
        <v>0</v>
      </c>
      <c r="AU2462" s="105" t="str">
        <f>IF(AT2462=0,"",CHOOSE(MATCH(Master_rankableSchools!$G$10,{"Priority score","Economic need","Enrollment","Fresh miles","Nearby resources"},0),T2462,G2462,F2462,K2462,L2462))</f>
        <v/>
      </c>
      <c r="AV2462" s="105" t="str">
        <f>IF(AT2462=0,"",1+COUNTIFS($AT$2051:$AT$2550,1,$AU$2051:$AU$2550,IF(Master_rankableSchools!$J$10="Ascending","&lt;","&gt;")&amp;AU2462)+COUNTIFS($AT$2051:$AT$2550,1,$AU$2051:$AU$2550,AU2462,$W$2051:$W$2550,"&lt;"&amp;W2462))</f>
        <v/>
      </c>
    </row>
    <row r="2463" spans="1:48" ht="22" customHeight="1">
      <c r="A2463" s="1" t="str">
        <f t="shared" si="180"/>
        <v/>
      </c>
      <c r="B2463" s="1" t="str">
        <f t="shared" si="181"/>
        <v/>
      </c>
      <c r="C2463" s="1" t="str">
        <f t="shared" si="182"/>
        <v/>
      </c>
      <c r="D2463" s="1" t="str">
        <f t="shared" si="183"/>
        <v/>
      </c>
      <c r="E2463" s="1" t="str">
        <f t="shared" si="184"/>
        <v/>
      </c>
      <c r="F2463" s="1" t="str">
        <f t="shared" si="185"/>
        <v/>
      </c>
      <c r="G2463" s="1" t="str">
        <f t="shared" si="186"/>
        <v/>
      </c>
      <c r="H2463" s="1" t="str">
        <f t="shared" si="187"/>
        <v/>
      </c>
      <c r="I2463" s="1">
        <f>IF(OR(A2463="",COUNTIFS('Staff Review'!$A$8:$A$507,A2463)&lt;&gt;1),0,MATCH(A2463,'Staff Review'!$A$8:$A$507,0))</f>
        <v>0</v>
      </c>
      <c r="J2463" s="1" t="str">
        <f>IF(I2463=0,"No",IF(INDEX('Staff Review'!$C$8:$C$507,I2463)="Yes","Yes","No"))</f>
        <v>No</v>
      </c>
      <c r="K2463" s="1" t="str">
        <f>IF(AI2463="Yes",INDEX('Staff Review'!$D$8:$D$507,I2463),IF(AB2463=0,"",IF(COUNT(INDEX($C$1531:$C$2030,AB2463))=1,INDEX($C$1531:$C$2030,AB2463),"")))</f>
        <v/>
      </c>
      <c r="L2463" s="1" t="str">
        <f>IF(AJ2463="Yes",INDEX('Staff Review'!$F$8:$F$507,I2463),IF(AB2463=0,"",IF(COUNT(INDEX($G$1531:$G$2030,AB2463))=1,INDEX($G$1531:$G$2030,AB2463),"")))</f>
        <v/>
      </c>
      <c r="M2463" s="1" t="str">
        <f t="shared" si="188"/>
        <v/>
      </c>
      <c r="N2463" s="1" t="str">
        <f t="shared" si="189"/>
        <v/>
      </c>
      <c r="O2463" s="1" t="str">
        <f t="shared" si="190"/>
        <v/>
      </c>
      <c r="P2463" s="1" t="str">
        <f t="shared" si="191"/>
        <v/>
      </c>
      <c r="Q2463" s="1" t="str">
        <f t="shared" si="192"/>
        <v/>
      </c>
      <c r="R2463" s="1" t="str">
        <f t="shared" si="193"/>
        <v/>
      </c>
      <c r="S2463" s="1" t="str">
        <f t="shared" si="194"/>
        <v/>
      </c>
      <c r="T2463" s="1" t="str">
        <f>IF(OR(COUNT(O2463:R2463)&lt;&gt;4,COUNT('Top 25'!$B$45:$E$45)&lt;&gt;4,MIN('Top 25'!$B$45:$E$45)&lt;0,SUM('Top 25'!$B$45:$E$45)&lt;=0),"",ROUND(85*(O2463/30*'Top 25'!$B$45+P2463/25*'Top 25'!$C$45+Q2463/25*'Top 25'!$D$45+R2463/5*'Top 25'!$E$45)/SUM('Top 25'!$B$45:$E$45),6))</f>
        <v/>
      </c>
      <c r="U2463" s="1" t="str">
        <f t="shared" si="195"/>
        <v/>
      </c>
      <c r="V2463" s="1" t="str">
        <f>IF(A2463="","",IF(AK2463&lt;&gt;1,"Duplicate source ID",IF(COUNTIFS('Staff Review'!$A$8:$A$507,A2463)&gt;1,"Duplicate review ID",IF(H2463&lt;&gt;"Yes","Outside scope",IF(J2463="Yes","Already served",IF(NOT(ISNUMBER(T2463)),"Missing data","Candidate"))))))</f>
        <v/>
      </c>
      <c r="W2463" s="1" t="str">
        <f t="shared" si="196"/>
        <v/>
      </c>
      <c r="X2463" s="1" t="str">
        <f t="shared" si="197"/>
        <v/>
      </c>
      <c r="Y2463" s="1">
        <f>IF(AND(H2463="Yes",OR(LEN('School Search'!$B$5)=0,ISNUMBER(SEARCH('School Search'!$B$5,B2463&amp;" "&amp;E2463&amp;" "&amp;A2463))),OR('School Search'!$D$5="All",C2463='School Search'!$D$5),OR('School Search'!$G$5="All eligible",AND('School Search'!$G$5="Not marked served",J2463&lt;&gt;"Yes"),AND('School Search'!$G$5="Missing data",V2463="Missing data"),AND('School Search'!$G$5="Marked served",J2463="Yes"))),1,0)</f>
        <v>0</v>
      </c>
      <c r="Z2463" s="1" t="str">
        <f>IF(Y2463=0,"",COUNTIFS($Y$2051:$Y$2550,1,$AO$2051:$AO$2550,"&lt;"&amp;AO2463)+COUNTIFS($Y$2051:Y2463,1,$AO$2051:AO2463,AO2463))</f>
        <v/>
      </c>
      <c r="AA2463" s="1" t="str">
        <f t="shared" si="198"/>
        <v>Missing demographic or access input</v>
      </c>
      <c r="AB2463" s="1">
        <f t="shared" si="199"/>
        <v>0</v>
      </c>
      <c r="AC2463" s="1" t="str">
        <f t="shared" si="200"/>
        <v/>
      </c>
      <c r="AD2463" s="1" t="str">
        <f t="shared" si="201"/>
        <v/>
      </c>
      <c r="AE2463" s="1" t="str">
        <f t="shared" si="202"/>
        <v/>
      </c>
      <c r="AF2463" s="1" t="str">
        <f t="shared" si="203"/>
        <v/>
      </c>
      <c r="AG2463" s="1" t="str">
        <f t="shared" si="204"/>
        <v/>
      </c>
      <c r="AH2463" s="1" t="str">
        <f>IF(I2463=0,"Not contacted",IF(INDEX('Staff Review'!$J$8:$J$507,I2463)="","Not contacted",INDEX('Staff Review'!$J$8:$J$507,I2463)))</f>
        <v>Not contacted</v>
      </c>
      <c r="AI2463" s="1" t="str">
        <f>IF(I2463=0,"No",IF(AND(COUNT(INDEX('Staff Review'!$D$8:$D$507,I2463))=1,INDEX('Staff Review'!$D$8:$D$507,I2463)&gt;=0,COUNT(INDEX('Staff Review'!$E$8:$E$507,I2463))=1,INDEX('Staff Review'!$E$8:$E$507,I2463)&gt;0,INDEX('Staff Review'!$E$8:$E$507,I2463)&lt;='Top 25'!$E$5,'Top 25'!$E$5-INDEX('Staff Review'!$E$8:$E$507,I2463)&lt;='Top 25'!$H$5,LEN(INDEX('Staff Review'!$H$8:$H$507,I2463))&gt;0),"Yes","No"))</f>
        <v>No</v>
      </c>
      <c r="AJ2463" s="1" t="str">
        <f>IF(I2463=0,"No",IF(COUNT(INDEX('Staff Review'!$F$8:$F$507,I2463))&lt;&gt;1,"No",IF(AND(INDEX('Staff Review'!$F$8:$F$507,I2463)&gt;=0,MOD(INDEX('Staff Review'!$F$8:$F$507,I2463),1)=0,COUNT(INDEX('Staff Review'!$G$8:$G$507,I2463))=1,INDEX('Staff Review'!$G$8:$G$507,I2463)&gt;0,INDEX('Staff Review'!$G$8:$G$507,I2463)&lt;='Top 25'!$E$5,'Top 25'!$E$5-INDEX('Staff Review'!$G$8:$G$507,I2463)&lt;='Top 25'!$H$5,LEN(INDEX('Staff Review'!$H$8:$H$507,I2463))&gt;0),"Yes","No")))</f>
        <v>No</v>
      </c>
      <c r="AK2463" s="1">
        <f t="shared" si="205"/>
        <v>0</v>
      </c>
      <c r="AL2463" s="1">
        <f t="shared" si="206"/>
        <v>0</v>
      </c>
      <c r="AM2463" s="1">
        <f t="shared" si="207"/>
        <v>0</v>
      </c>
      <c r="AN2463" s="1">
        <f t="shared" si="208"/>
        <v>0</v>
      </c>
      <c r="AO2463">
        <f t="shared" si="209"/>
        <v>10000</v>
      </c>
      <c r="AP2463" s="105">
        <f>IF(AND(AL2463=1,OR('Top 25'!$A$10="All",C2463='Top 25'!$A$10),OR('Top 25'!$D$10="All",D2463='Top 25'!$D$10)),1,0)</f>
        <v>0</v>
      </c>
      <c r="AQ2463" s="105" t="str">
        <f>IF(AP2463=0,"",CHOOSE(MATCH('Top 25'!$G$10,{"Priority score","Economic need","Enrollment","Fresh miles","Nearby resources"},0),T2463,G2463,F2463,K2463,L2463))</f>
        <v/>
      </c>
      <c r="AR2463" s="105" t="str">
        <f>IF(AP2463=0,"",1+COUNTIFS($AP$2051:$AP$2550,1,$AQ$2051:$AQ$2550,IF('Top 25'!$J$10="Ascending","&lt;","&gt;")&amp;AQ2463)+COUNTIFS($AP$2051:$AP$2550,1,$AQ$2051:$AQ$2550,AQ2463,$W$2051:$W$2550,"&lt;"&amp;W2463))</f>
        <v/>
      </c>
      <c r="AT2463" s="105">
        <f>IF(AND(AL2463=1,OR(Master_rankableSchools!$A$10="All",C2463=Master_rankableSchools!$A$10),OR(Master_rankableSchools!$D$10="All",D2463=Master_rankableSchools!$D$10)),1,0)</f>
        <v>0</v>
      </c>
      <c r="AU2463" s="105" t="str">
        <f>IF(AT2463=0,"",CHOOSE(MATCH(Master_rankableSchools!$G$10,{"Priority score","Economic need","Enrollment","Fresh miles","Nearby resources"},0),T2463,G2463,F2463,K2463,L2463))</f>
        <v/>
      </c>
      <c r="AV2463" s="105" t="str">
        <f>IF(AT2463=0,"",1+COUNTIFS($AT$2051:$AT$2550,1,$AU$2051:$AU$2550,IF(Master_rankableSchools!$J$10="Ascending","&lt;","&gt;")&amp;AU2463)+COUNTIFS($AT$2051:$AT$2550,1,$AU$2051:$AU$2550,AU2463,$W$2051:$W$2550,"&lt;"&amp;W2463))</f>
        <v/>
      </c>
    </row>
    <row r="2464" spans="1:48" ht="22" customHeight="1">
      <c r="A2464" s="1" t="str">
        <f t="shared" si="180"/>
        <v/>
      </c>
      <c r="B2464" s="1" t="str">
        <f t="shared" si="181"/>
        <v/>
      </c>
      <c r="C2464" s="1" t="str">
        <f t="shared" si="182"/>
        <v/>
      </c>
      <c r="D2464" s="1" t="str">
        <f t="shared" si="183"/>
        <v/>
      </c>
      <c r="E2464" s="1" t="str">
        <f t="shared" si="184"/>
        <v/>
      </c>
      <c r="F2464" s="1" t="str">
        <f t="shared" si="185"/>
        <v/>
      </c>
      <c r="G2464" s="1" t="str">
        <f t="shared" si="186"/>
        <v/>
      </c>
      <c r="H2464" s="1" t="str">
        <f t="shared" si="187"/>
        <v/>
      </c>
      <c r="I2464" s="1">
        <f>IF(OR(A2464="",COUNTIFS('Staff Review'!$A$8:$A$507,A2464)&lt;&gt;1),0,MATCH(A2464,'Staff Review'!$A$8:$A$507,0))</f>
        <v>0</v>
      </c>
      <c r="J2464" s="1" t="str">
        <f>IF(I2464=0,"No",IF(INDEX('Staff Review'!$C$8:$C$507,I2464)="Yes","Yes","No"))</f>
        <v>No</v>
      </c>
      <c r="K2464" s="1" t="str">
        <f>IF(AI2464="Yes",INDEX('Staff Review'!$D$8:$D$507,I2464),IF(AB2464=0,"",IF(COUNT(INDEX($C$1531:$C$2030,AB2464))=1,INDEX($C$1531:$C$2030,AB2464),"")))</f>
        <v/>
      </c>
      <c r="L2464" s="1" t="str">
        <f>IF(AJ2464="Yes",INDEX('Staff Review'!$F$8:$F$507,I2464),IF(AB2464=0,"",IF(COUNT(INDEX($G$1531:$G$2030,AB2464))=1,INDEX($G$1531:$G$2030,AB2464),"")))</f>
        <v/>
      </c>
      <c r="M2464" s="1" t="str">
        <f t="shared" si="188"/>
        <v/>
      </c>
      <c r="N2464" s="1" t="str">
        <f t="shared" si="189"/>
        <v/>
      </c>
      <c r="O2464" s="1" t="str">
        <f t="shared" si="190"/>
        <v/>
      </c>
      <c r="P2464" s="1" t="str">
        <f t="shared" si="191"/>
        <v/>
      </c>
      <c r="Q2464" s="1" t="str">
        <f t="shared" si="192"/>
        <v/>
      </c>
      <c r="R2464" s="1" t="str">
        <f t="shared" si="193"/>
        <v/>
      </c>
      <c r="S2464" s="1" t="str">
        <f t="shared" si="194"/>
        <v/>
      </c>
      <c r="T2464" s="1" t="str">
        <f>IF(OR(COUNT(O2464:R2464)&lt;&gt;4,COUNT('Top 25'!$B$45:$E$45)&lt;&gt;4,MIN('Top 25'!$B$45:$E$45)&lt;0,SUM('Top 25'!$B$45:$E$45)&lt;=0),"",ROUND(85*(O2464/30*'Top 25'!$B$45+P2464/25*'Top 25'!$C$45+Q2464/25*'Top 25'!$D$45+R2464/5*'Top 25'!$E$45)/SUM('Top 25'!$B$45:$E$45),6))</f>
        <v/>
      </c>
      <c r="U2464" s="1" t="str">
        <f t="shared" si="195"/>
        <v/>
      </c>
      <c r="V2464" s="1" t="str">
        <f>IF(A2464="","",IF(AK2464&lt;&gt;1,"Duplicate source ID",IF(COUNTIFS('Staff Review'!$A$8:$A$507,A2464)&gt;1,"Duplicate review ID",IF(H2464&lt;&gt;"Yes","Outside scope",IF(J2464="Yes","Already served",IF(NOT(ISNUMBER(T2464)),"Missing data","Candidate"))))))</f>
        <v/>
      </c>
      <c r="W2464" s="1" t="str">
        <f t="shared" si="196"/>
        <v/>
      </c>
      <c r="X2464" s="1" t="str">
        <f t="shared" si="197"/>
        <v/>
      </c>
      <c r="Y2464" s="1">
        <f>IF(AND(H2464="Yes",OR(LEN('School Search'!$B$5)=0,ISNUMBER(SEARCH('School Search'!$B$5,B2464&amp;" "&amp;E2464&amp;" "&amp;A2464))),OR('School Search'!$D$5="All",C2464='School Search'!$D$5),OR('School Search'!$G$5="All eligible",AND('School Search'!$G$5="Not marked served",J2464&lt;&gt;"Yes"),AND('School Search'!$G$5="Missing data",V2464="Missing data"),AND('School Search'!$G$5="Marked served",J2464="Yes"))),1,0)</f>
        <v>0</v>
      </c>
      <c r="Z2464" s="1" t="str">
        <f>IF(Y2464=0,"",COUNTIFS($Y$2051:$Y$2550,1,$AO$2051:$AO$2550,"&lt;"&amp;AO2464)+COUNTIFS($Y$2051:Y2464,1,$AO$2051:AO2464,AO2464))</f>
        <v/>
      </c>
      <c r="AA2464" s="1" t="str">
        <f t="shared" si="198"/>
        <v>Missing demographic or access input</v>
      </c>
      <c r="AB2464" s="1">
        <f t="shared" si="199"/>
        <v>0</v>
      </c>
      <c r="AC2464" s="1" t="str">
        <f t="shared" si="200"/>
        <v/>
      </c>
      <c r="AD2464" s="1" t="str">
        <f t="shared" si="201"/>
        <v/>
      </c>
      <c r="AE2464" s="1" t="str">
        <f t="shared" si="202"/>
        <v/>
      </c>
      <c r="AF2464" s="1" t="str">
        <f t="shared" si="203"/>
        <v/>
      </c>
      <c r="AG2464" s="1" t="str">
        <f t="shared" si="204"/>
        <v/>
      </c>
      <c r="AH2464" s="1" t="str">
        <f>IF(I2464=0,"Not contacted",IF(INDEX('Staff Review'!$J$8:$J$507,I2464)="","Not contacted",INDEX('Staff Review'!$J$8:$J$507,I2464)))</f>
        <v>Not contacted</v>
      </c>
      <c r="AI2464" s="1" t="str">
        <f>IF(I2464=0,"No",IF(AND(COUNT(INDEX('Staff Review'!$D$8:$D$507,I2464))=1,INDEX('Staff Review'!$D$8:$D$507,I2464)&gt;=0,COUNT(INDEX('Staff Review'!$E$8:$E$507,I2464))=1,INDEX('Staff Review'!$E$8:$E$507,I2464)&gt;0,INDEX('Staff Review'!$E$8:$E$507,I2464)&lt;='Top 25'!$E$5,'Top 25'!$E$5-INDEX('Staff Review'!$E$8:$E$507,I2464)&lt;='Top 25'!$H$5,LEN(INDEX('Staff Review'!$H$8:$H$507,I2464))&gt;0),"Yes","No"))</f>
        <v>No</v>
      </c>
      <c r="AJ2464" s="1" t="str">
        <f>IF(I2464=0,"No",IF(COUNT(INDEX('Staff Review'!$F$8:$F$507,I2464))&lt;&gt;1,"No",IF(AND(INDEX('Staff Review'!$F$8:$F$507,I2464)&gt;=0,MOD(INDEX('Staff Review'!$F$8:$F$507,I2464),1)=0,COUNT(INDEX('Staff Review'!$G$8:$G$507,I2464))=1,INDEX('Staff Review'!$G$8:$G$507,I2464)&gt;0,INDEX('Staff Review'!$G$8:$G$507,I2464)&lt;='Top 25'!$E$5,'Top 25'!$E$5-INDEX('Staff Review'!$G$8:$G$507,I2464)&lt;='Top 25'!$H$5,LEN(INDEX('Staff Review'!$H$8:$H$507,I2464))&gt;0),"Yes","No")))</f>
        <v>No</v>
      </c>
      <c r="AK2464" s="1">
        <f t="shared" si="205"/>
        <v>0</v>
      </c>
      <c r="AL2464" s="1">
        <f t="shared" si="206"/>
        <v>0</v>
      </c>
      <c r="AM2464" s="1">
        <f t="shared" si="207"/>
        <v>0</v>
      </c>
      <c r="AN2464" s="1">
        <f t="shared" si="208"/>
        <v>0</v>
      </c>
      <c r="AO2464">
        <f t="shared" si="209"/>
        <v>10000</v>
      </c>
      <c r="AP2464" s="105">
        <f>IF(AND(AL2464=1,OR('Top 25'!$A$10="All",C2464='Top 25'!$A$10),OR('Top 25'!$D$10="All",D2464='Top 25'!$D$10)),1,0)</f>
        <v>0</v>
      </c>
      <c r="AQ2464" s="105" t="str">
        <f>IF(AP2464=0,"",CHOOSE(MATCH('Top 25'!$G$10,{"Priority score","Economic need","Enrollment","Fresh miles","Nearby resources"},0),T2464,G2464,F2464,K2464,L2464))</f>
        <v/>
      </c>
      <c r="AR2464" s="105" t="str">
        <f>IF(AP2464=0,"",1+COUNTIFS($AP$2051:$AP$2550,1,$AQ$2051:$AQ$2550,IF('Top 25'!$J$10="Ascending","&lt;","&gt;")&amp;AQ2464)+COUNTIFS($AP$2051:$AP$2550,1,$AQ$2051:$AQ$2550,AQ2464,$W$2051:$W$2550,"&lt;"&amp;W2464))</f>
        <v/>
      </c>
      <c r="AT2464" s="105">
        <f>IF(AND(AL2464=1,OR(Master_rankableSchools!$A$10="All",C2464=Master_rankableSchools!$A$10),OR(Master_rankableSchools!$D$10="All",D2464=Master_rankableSchools!$D$10)),1,0)</f>
        <v>0</v>
      </c>
      <c r="AU2464" s="105" t="str">
        <f>IF(AT2464=0,"",CHOOSE(MATCH(Master_rankableSchools!$G$10,{"Priority score","Economic need","Enrollment","Fresh miles","Nearby resources"},0),T2464,G2464,F2464,K2464,L2464))</f>
        <v/>
      </c>
      <c r="AV2464" s="105" t="str">
        <f>IF(AT2464=0,"",1+COUNTIFS($AT$2051:$AT$2550,1,$AU$2051:$AU$2550,IF(Master_rankableSchools!$J$10="Ascending","&lt;","&gt;")&amp;AU2464)+COUNTIFS($AT$2051:$AT$2550,1,$AU$2051:$AU$2550,AU2464,$W$2051:$W$2550,"&lt;"&amp;W2464))</f>
        <v/>
      </c>
    </row>
    <row r="2465" spans="1:48" ht="22" customHeight="1">
      <c r="A2465" s="1" t="str">
        <f t="shared" si="180"/>
        <v/>
      </c>
      <c r="B2465" s="1" t="str">
        <f t="shared" si="181"/>
        <v/>
      </c>
      <c r="C2465" s="1" t="str">
        <f t="shared" si="182"/>
        <v/>
      </c>
      <c r="D2465" s="1" t="str">
        <f t="shared" si="183"/>
        <v/>
      </c>
      <c r="E2465" s="1" t="str">
        <f t="shared" si="184"/>
        <v/>
      </c>
      <c r="F2465" s="1" t="str">
        <f t="shared" si="185"/>
        <v/>
      </c>
      <c r="G2465" s="1" t="str">
        <f t="shared" si="186"/>
        <v/>
      </c>
      <c r="H2465" s="1" t="str">
        <f t="shared" si="187"/>
        <v/>
      </c>
      <c r="I2465" s="1">
        <f>IF(OR(A2465="",COUNTIFS('Staff Review'!$A$8:$A$507,A2465)&lt;&gt;1),0,MATCH(A2465,'Staff Review'!$A$8:$A$507,0))</f>
        <v>0</v>
      </c>
      <c r="J2465" s="1" t="str">
        <f>IF(I2465=0,"No",IF(INDEX('Staff Review'!$C$8:$C$507,I2465)="Yes","Yes","No"))</f>
        <v>No</v>
      </c>
      <c r="K2465" s="1" t="str">
        <f>IF(AI2465="Yes",INDEX('Staff Review'!$D$8:$D$507,I2465),IF(AB2465=0,"",IF(COUNT(INDEX($C$1531:$C$2030,AB2465))=1,INDEX($C$1531:$C$2030,AB2465),"")))</f>
        <v/>
      </c>
      <c r="L2465" s="1" t="str">
        <f>IF(AJ2465="Yes",INDEX('Staff Review'!$F$8:$F$507,I2465),IF(AB2465=0,"",IF(COUNT(INDEX($G$1531:$G$2030,AB2465))=1,INDEX($G$1531:$G$2030,AB2465),"")))</f>
        <v/>
      </c>
      <c r="M2465" s="1" t="str">
        <f t="shared" si="188"/>
        <v/>
      </c>
      <c r="N2465" s="1" t="str">
        <f t="shared" si="189"/>
        <v/>
      </c>
      <c r="O2465" s="1" t="str">
        <f t="shared" si="190"/>
        <v/>
      </c>
      <c r="P2465" s="1" t="str">
        <f t="shared" si="191"/>
        <v/>
      </c>
      <c r="Q2465" s="1" t="str">
        <f t="shared" si="192"/>
        <v/>
      </c>
      <c r="R2465" s="1" t="str">
        <f t="shared" si="193"/>
        <v/>
      </c>
      <c r="S2465" s="1" t="str">
        <f t="shared" si="194"/>
        <v/>
      </c>
      <c r="T2465" s="1" t="str">
        <f>IF(OR(COUNT(O2465:R2465)&lt;&gt;4,COUNT('Top 25'!$B$45:$E$45)&lt;&gt;4,MIN('Top 25'!$B$45:$E$45)&lt;0,SUM('Top 25'!$B$45:$E$45)&lt;=0),"",ROUND(85*(O2465/30*'Top 25'!$B$45+P2465/25*'Top 25'!$C$45+Q2465/25*'Top 25'!$D$45+R2465/5*'Top 25'!$E$45)/SUM('Top 25'!$B$45:$E$45),6))</f>
        <v/>
      </c>
      <c r="U2465" s="1" t="str">
        <f t="shared" si="195"/>
        <v/>
      </c>
      <c r="V2465" s="1" t="str">
        <f>IF(A2465="","",IF(AK2465&lt;&gt;1,"Duplicate source ID",IF(COUNTIFS('Staff Review'!$A$8:$A$507,A2465)&gt;1,"Duplicate review ID",IF(H2465&lt;&gt;"Yes","Outside scope",IF(J2465="Yes","Already served",IF(NOT(ISNUMBER(T2465)),"Missing data","Candidate"))))))</f>
        <v/>
      </c>
      <c r="W2465" s="1" t="str">
        <f t="shared" si="196"/>
        <v/>
      </c>
      <c r="X2465" s="1" t="str">
        <f t="shared" si="197"/>
        <v/>
      </c>
      <c r="Y2465" s="1">
        <f>IF(AND(H2465="Yes",OR(LEN('School Search'!$B$5)=0,ISNUMBER(SEARCH('School Search'!$B$5,B2465&amp;" "&amp;E2465&amp;" "&amp;A2465))),OR('School Search'!$D$5="All",C2465='School Search'!$D$5),OR('School Search'!$G$5="All eligible",AND('School Search'!$G$5="Not marked served",J2465&lt;&gt;"Yes"),AND('School Search'!$G$5="Missing data",V2465="Missing data"),AND('School Search'!$G$5="Marked served",J2465="Yes"))),1,0)</f>
        <v>0</v>
      </c>
      <c r="Z2465" s="1" t="str">
        <f>IF(Y2465=0,"",COUNTIFS($Y$2051:$Y$2550,1,$AO$2051:$AO$2550,"&lt;"&amp;AO2465)+COUNTIFS($Y$2051:Y2465,1,$AO$2051:AO2465,AO2465))</f>
        <v/>
      </c>
      <c r="AA2465" s="1" t="str">
        <f t="shared" si="198"/>
        <v>Missing demographic or access input</v>
      </c>
      <c r="AB2465" s="1">
        <f t="shared" si="199"/>
        <v>0</v>
      </c>
      <c r="AC2465" s="1" t="str">
        <f t="shared" si="200"/>
        <v/>
      </c>
      <c r="AD2465" s="1" t="str">
        <f t="shared" si="201"/>
        <v/>
      </c>
      <c r="AE2465" s="1" t="str">
        <f t="shared" si="202"/>
        <v/>
      </c>
      <c r="AF2465" s="1" t="str">
        <f t="shared" si="203"/>
        <v/>
      </c>
      <c r="AG2465" s="1" t="str">
        <f t="shared" si="204"/>
        <v/>
      </c>
      <c r="AH2465" s="1" t="str">
        <f>IF(I2465=0,"Not contacted",IF(INDEX('Staff Review'!$J$8:$J$507,I2465)="","Not contacted",INDEX('Staff Review'!$J$8:$J$507,I2465)))</f>
        <v>Not contacted</v>
      </c>
      <c r="AI2465" s="1" t="str">
        <f>IF(I2465=0,"No",IF(AND(COUNT(INDEX('Staff Review'!$D$8:$D$507,I2465))=1,INDEX('Staff Review'!$D$8:$D$507,I2465)&gt;=0,COUNT(INDEX('Staff Review'!$E$8:$E$507,I2465))=1,INDEX('Staff Review'!$E$8:$E$507,I2465)&gt;0,INDEX('Staff Review'!$E$8:$E$507,I2465)&lt;='Top 25'!$E$5,'Top 25'!$E$5-INDEX('Staff Review'!$E$8:$E$507,I2465)&lt;='Top 25'!$H$5,LEN(INDEX('Staff Review'!$H$8:$H$507,I2465))&gt;0),"Yes","No"))</f>
        <v>No</v>
      </c>
      <c r="AJ2465" s="1" t="str">
        <f>IF(I2465=0,"No",IF(COUNT(INDEX('Staff Review'!$F$8:$F$507,I2465))&lt;&gt;1,"No",IF(AND(INDEX('Staff Review'!$F$8:$F$507,I2465)&gt;=0,MOD(INDEX('Staff Review'!$F$8:$F$507,I2465),1)=0,COUNT(INDEX('Staff Review'!$G$8:$G$507,I2465))=1,INDEX('Staff Review'!$G$8:$G$507,I2465)&gt;0,INDEX('Staff Review'!$G$8:$G$507,I2465)&lt;='Top 25'!$E$5,'Top 25'!$E$5-INDEX('Staff Review'!$G$8:$G$507,I2465)&lt;='Top 25'!$H$5,LEN(INDEX('Staff Review'!$H$8:$H$507,I2465))&gt;0),"Yes","No")))</f>
        <v>No</v>
      </c>
      <c r="AK2465" s="1">
        <f t="shared" si="205"/>
        <v>0</v>
      </c>
      <c r="AL2465" s="1">
        <f t="shared" si="206"/>
        <v>0</v>
      </c>
      <c r="AM2465" s="1">
        <f t="shared" si="207"/>
        <v>0</v>
      </c>
      <c r="AN2465" s="1">
        <f t="shared" si="208"/>
        <v>0</v>
      </c>
      <c r="AO2465">
        <f t="shared" si="209"/>
        <v>10000</v>
      </c>
      <c r="AP2465" s="105">
        <f>IF(AND(AL2465=1,OR('Top 25'!$A$10="All",C2465='Top 25'!$A$10),OR('Top 25'!$D$10="All",D2465='Top 25'!$D$10)),1,0)</f>
        <v>0</v>
      </c>
      <c r="AQ2465" s="105" t="str">
        <f>IF(AP2465=0,"",CHOOSE(MATCH('Top 25'!$G$10,{"Priority score","Economic need","Enrollment","Fresh miles","Nearby resources"},0),T2465,G2465,F2465,K2465,L2465))</f>
        <v/>
      </c>
      <c r="AR2465" s="105" t="str">
        <f>IF(AP2465=0,"",1+COUNTIFS($AP$2051:$AP$2550,1,$AQ$2051:$AQ$2550,IF('Top 25'!$J$10="Ascending","&lt;","&gt;")&amp;AQ2465)+COUNTIFS($AP$2051:$AP$2550,1,$AQ$2051:$AQ$2550,AQ2465,$W$2051:$W$2550,"&lt;"&amp;W2465))</f>
        <v/>
      </c>
      <c r="AT2465" s="105">
        <f>IF(AND(AL2465=1,OR(Master_rankableSchools!$A$10="All",C2465=Master_rankableSchools!$A$10),OR(Master_rankableSchools!$D$10="All",D2465=Master_rankableSchools!$D$10)),1,0)</f>
        <v>0</v>
      </c>
      <c r="AU2465" s="105" t="str">
        <f>IF(AT2465=0,"",CHOOSE(MATCH(Master_rankableSchools!$G$10,{"Priority score","Economic need","Enrollment","Fresh miles","Nearby resources"},0),T2465,G2465,F2465,K2465,L2465))</f>
        <v/>
      </c>
      <c r="AV2465" s="105" t="str">
        <f>IF(AT2465=0,"",1+COUNTIFS($AT$2051:$AT$2550,1,$AU$2051:$AU$2550,IF(Master_rankableSchools!$J$10="Ascending","&lt;","&gt;")&amp;AU2465)+COUNTIFS($AT$2051:$AT$2550,1,$AU$2051:$AU$2550,AU2465,$W$2051:$W$2550,"&lt;"&amp;W2465))</f>
        <v/>
      </c>
    </row>
    <row r="2466" spans="1:48" ht="22" customHeight="1">
      <c r="A2466" s="1" t="str">
        <f t="shared" si="180"/>
        <v/>
      </c>
      <c r="B2466" s="1" t="str">
        <f t="shared" si="181"/>
        <v/>
      </c>
      <c r="C2466" s="1" t="str">
        <f t="shared" si="182"/>
        <v/>
      </c>
      <c r="D2466" s="1" t="str">
        <f t="shared" si="183"/>
        <v/>
      </c>
      <c r="E2466" s="1" t="str">
        <f t="shared" si="184"/>
        <v/>
      </c>
      <c r="F2466" s="1" t="str">
        <f t="shared" si="185"/>
        <v/>
      </c>
      <c r="G2466" s="1" t="str">
        <f t="shared" si="186"/>
        <v/>
      </c>
      <c r="H2466" s="1" t="str">
        <f t="shared" si="187"/>
        <v/>
      </c>
      <c r="I2466" s="1">
        <f>IF(OR(A2466="",COUNTIFS('Staff Review'!$A$8:$A$507,A2466)&lt;&gt;1),0,MATCH(A2466,'Staff Review'!$A$8:$A$507,0))</f>
        <v>0</v>
      </c>
      <c r="J2466" s="1" t="str">
        <f>IF(I2466=0,"No",IF(INDEX('Staff Review'!$C$8:$C$507,I2466)="Yes","Yes","No"))</f>
        <v>No</v>
      </c>
      <c r="K2466" s="1" t="str">
        <f>IF(AI2466="Yes",INDEX('Staff Review'!$D$8:$D$507,I2466),IF(AB2466=0,"",IF(COUNT(INDEX($C$1531:$C$2030,AB2466))=1,INDEX($C$1531:$C$2030,AB2466),"")))</f>
        <v/>
      </c>
      <c r="L2466" s="1" t="str">
        <f>IF(AJ2466="Yes",INDEX('Staff Review'!$F$8:$F$507,I2466),IF(AB2466=0,"",IF(COUNT(INDEX($G$1531:$G$2030,AB2466))=1,INDEX($G$1531:$G$2030,AB2466),"")))</f>
        <v/>
      </c>
      <c r="M2466" s="1" t="str">
        <f t="shared" si="188"/>
        <v/>
      </c>
      <c r="N2466" s="1" t="str">
        <f t="shared" si="189"/>
        <v/>
      </c>
      <c r="O2466" s="1" t="str">
        <f t="shared" si="190"/>
        <v/>
      </c>
      <c r="P2466" s="1" t="str">
        <f t="shared" si="191"/>
        <v/>
      </c>
      <c r="Q2466" s="1" t="str">
        <f t="shared" si="192"/>
        <v/>
      </c>
      <c r="R2466" s="1" t="str">
        <f t="shared" si="193"/>
        <v/>
      </c>
      <c r="S2466" s="1" t="str">
        <f t="shared" si="194"/>
        <v/>
      </c>
      <c r="T2466" s="1" t="str">
        <f>IF(OR(COUNT(O2466:R2466)&lt;&gt;4,COUNT('Top 25'!$B$45:$E$45)&lt;&gt;4,MIN('Top 25'!$B$45:$E$45)&lt;0,SUM('Top 25'!$B$45:$E$45)&lt;=0),"",ROUND(85*(O2466/30*'Top 25'!$B$45+P2466/25*'Top 25'!$C$45+Q2466/25*'Top 25'!$D$45+R2466/5*'Top 25'!$E$45)/SUM('Top 25'!$B$45:$E$45),6))</f>
        <v/>
      </c>
      <c r="U2466" s="1" t="str">
        <f t="shared" si="195"/>
        <v/>
      </c>
      <c r="V2466" s="1" t="str">
        <f>IF(A2466="","",IF(AK2466&lt;&gt;1,"Duplicate source ID",IF(COUNTIFS('Staff Review'!$A$8:$A$507,A2466)&gt;1,"Duplicate review ID",IF(H2466&lt;&gt;"Yes","Outside scope",IF(J2466="Yes","Already served",IF(NOT(ISNUMBER(T2466)),"Missing data","Candidate"))))))</f>
        <v/>
      </c>
      <c r="W2466" s="1" t="str">
        <f t="shared" si="196"/>
        <v/>
      </c>
      <c r="X2466" s="1" t="str">
        <f t="shared" si="197"/>
        <v/>
      </c>
      <c r="Y2466" s="1">
        <f>IF(AND(H2466="Yes",OR(LEN('School Search'!$B$5)=0,ISNUMBER(SEARCH('School Search'!$B$5,B2466&amp;" "&amp;E2466&amp;" "&amp;A2466))),OR('School Search'!$D$5="All",C2466='School Search'!$D$5),OR('School Search'!$G$5="All eligible",AND('School Search'!$G$5="Not marked served",J2466&lt;&gt;"Yes"),AND('School Search'!$G$5="Missing data",V2466="Missing data"),AND('School Search'!$G$5="Marked served",J2466="Yes"))),1,0)</f>
        <v>0</v>
      </c>
      <c r="Z2466" s="1" t="str">
        <f>IF(Y2466=0,"",COUNTIFS($Y$2051:$Y$2550,1,$AO$2051:$AO$2550,"&lt;"&amp;AO2466)+COUNTIFS($Y$2051:Y2466,1,$AO$2051:AO2466,AO2466))</f>
        <v/>
      </c>
      <c r="AA2466" s="1" t="str">
        <f t="shared" si="198"/>
        <v>Missing demographic or access input</v>
      </c>
      <c r="AB2466" s="1">
        <f t="shared" si="199"/>
        <v>0</v>
      </c>
      <c r="AC2466" s="1" t="str">
        <f t="shared" si="200"/>
        <v/>
      </c>
      <c r="AD2466" s="1" t="str">
        <f t="shared" si="201"/>
        <v/>
      </c>
      <c r="AE2466" s="1" t="str">
        <f t="shared" si="202"/>
        <v/>
      </c>
      <c r="AF2466" s="1" t="str">
        <f t="shared" si="203"/>
        <v/>
      </c>
      <c r="AG2466" s="1" t="str">
        <f t="shared" si="204"/>
        <v/>
      </c>
      <c r="AH2466" s="1" t="str">
        <f>IF(I2466=0,"Not contacted",IF(INDEX('Staff Review'!$J$8:$J$507,I2466)="","Not contacted",INDEX('Staff Review'!$J$8:$J$507,I2466)))</f>
        <v>Not contacted</v>
      </c>
      <c r="AI2466" s="1" t="str">
        <f>IF(I2466=0,"No",IF(AND(COUNT(INDEX('Staff Review'!$D$8:$D$507,I2466))=1,INDEX('Staff Review'!$D$8:$D$507,I2466)&gt;=0,COUNT(INDEX('Staff Review'!$E$8:$E$507,I2466))=1,INDEX('Staff Review'!$E$8:$E$507,I2466)&gt;0,INDEX('Staff Review'!$E$8:$E$507,I2466)&lt;='Top 25'!$E$5,'Top 25'!$E$5-INDEX('Staff Review'!$E$8:$E$507,I2466)&lt;='Top 25'!$H$5,LEN(INDEX('Staff Review'!$H$8:$H$507,I2466))&gt;0),"Yes","No"))</f>
        <v>No</v>
      </c>
      <c r="AJ2466" s="1" t="str">
        <f>IF(I2466=0,"No",IF(COUNT(INDEX('Staff Review'!$F$8:$F$507,I2466))&lt;&gt;1,"No",IF(AND(INDEX('Staff Review'!$F$8:$F$507,I2466)&gt;=0,MOD(INDEX('Staff Review'!$F$8:$F$507,I2466),1)=0,COUNT(INDEX('Staff Review'!$G$8:$G$507,I2466))=1,INDEX('Staff Review'!$G$8:$G$507,I2466)&gt;0,INDEX('Staff Review'!$G$8:$G$507,I2466)&lt;='Top 25'!$E$5,'Top 25'!$E$5-INDEX('Staff Review'!$G$8:$G$507,I2466)&lt;='Top 25'!$H$5,LEN(INDEX('Staff Review'!$H$8:$H$507,I2466))&gt;0),"Yes","No")))</f>
        <v>No</v>
      </c>
      <c r="AK2466" s="1">
        <f t="shared" si="205"/>
        <v>0</v>
      </c>
      <c r="AL2466" s="1">
        <f t="shared" si="206"/>
        <v>0</v>
      </c>
      <c r="AM2466" s="1">
        <f t="shared" si="207"/>
        <v>0</v>
      </c>
      <c r="AN2466" s="1">
        <f t="shared" si="208"/>
        <v>0</v>
      </c>
      <c r="AO2466">
        <f t="shared" si="209"/>
        <v>10000</v>
      </c>
      <c r="AP2466" s="105">
        <f>IF(AND(AL2466=1,OR('Top 25'!$A$10="All",C2466='Top 25'!$A$10),OR('Top 25'!$D$10="All",D2466='Top 25'!$D$10)),1,0)</f>
        <v>0</v>
      </c>
      <c r="AQ2466" s="105" t="str">
        <f>IF(AP2466=0,"",CHOOSE(MATCH('Top 25'!$G$10,{"Priority score","Economic need","Enrollment","Fresh miles","Nearby resources"},0),T2466,G2466,F2466,K2466,L2466))</f>
        <v/>
      </c>
      <c r="AR2466" s="105" t="str">
        <f>IF(AP2466=0,"",1+COUNTIFS($AP$2051:$AP$2550,1,$AQ$2051:$AQ$2550,IF('Top 25'!$J$10="Ascending","&lt;","&gt;")&amp;AQ2466)+COUNTIFS($AP$2051:$AP$2550,1,$AQ$2051:$AQ$2550,AQ2466,$W$2051:$W$2550,"&lt;"&amp;W2466))</f>
        <v/>
      </c>
      <c r="AT2466" s="105">
        <f>IF(AND(AL2466=1,OR(Master_rankableSchools!$A$10="All",C2466=Master_rankableSchools!$A$10),OR(Master_rankableSchools!$D$10="All",D2466=Master_rankableSchools!$D$10)),1,0)</f>
        <v>0</v>
      </c>
      <c r="AU2466" s="105" t="str">
        <f>IF(AT2466=0,"",CHOOSE(MATCH(Master_rankableSchools!$G$10,{"Priority score","Economic need","Enrollment","Fresh miles","Nearby resources"},0),T2466,G2466,F2466,K2466,L2466))</f>
        <v/>
      </c>
      <c r="AV2466" s="105" t="str">
        <f>IF(AT2466=0,"",1+COUNTIFS($AT$2051:$AT$2550,1,$AU$2051:$AU$2550,IF(Master_rankableSchools!$J$10="Ascending","&lt;","&gt;")&amp;AU2466)+COUNTIFS($AT$2051:$AT$2550,1,$AU$2051:$AU$2550,AU2466,$W$2051:$W$2550,"&lt;"&amp;W2466))</f>
        <v/>
      </c>
    </row>
    <row r="2467" spans="1:48" ht="22" customHeight="1">
      <c r="A2467" s="1" t="str">
        <f t="shared" si="180"/>
        <v/>
      </c>
      <c r="B2467" s="1" t="str">
        <f t="shared" si="181"/>
        <v/>
      </c>
      <c r="C2467" s="1" t="str">
        <f t="shared" si="182"/>
        <v/>
      </c>
      <c r="D2467" s="1" t="str">
        <f t="shared" si="183"/>
        <v/>
      </c>
      <c r="E2467" s="1" t="str">
        <f t="shared" si="184"/>
        <v/>
      </c>
      <c r="F2467" s="1" t="str">
        <f t="shared" si="185"/>
        <v/>
      </c>
      <c r="G2467" s="1" t="str">
        <f t="shared" si="186"/>
        <v/>
      </c>
      <c r="H2467" s="1" t="str">
        <f t="shared" si="187"/>
        <v/>
      </c>
      <c r="I2467" s="1">
        <f>IF(OR(A2467="",COUNTIFS('Staff Review'!$A$8:$A$507,A2467)&lt;&gt;1),0,MATCH(A2467,'Staff Review'!$A$8:$A$507,0))</f>
        <v>0</v>
      </c>
      <c r="J2467" s="1" t="str">
        <f>IF(I2467=0,"No",IF(INDEX('Staff Review'!$C$8:$C$507,I2467)="Yes","Yes","No"))</f>
        <v>No</v>
      </c>
      <c r="K2467" s="1" t="str">
        <f>IF(AI2467="Yes",INDEX('Staff Review'!$D$8:$D$507,I2467),IF(AB2467=0,"",IF(COUNT(INDEX($C$1531:$C$2030,AB2467))=1,INDEX($C$1531:$C$2030,AB2467),"")))</f>
        <v/>
      </c>
      <c r="L2467" s="1" t="str">
        <f>IF(AJ2467="Yes",INDEX('Staff Review'!$F$8:$F$507,I2467),IF(AB2467=0,"",IF(COUNT(INDEX($G$1531:$G$2030,AB2467))=1,INDEX($G$1531:$G$2030,AB2467),"")))</f>
        <v/>
      </c>
      <c r="M2467" s="1" t="str">
        <f t="shared" si="188"/>
        <v/>
      </c>
      <c r="N2467" s="1" t="str">
        <f t="shared" si="189"/>
        <v/>
      </c>
      <c r="O2467" s="1" t="str">
        <f t="shared" si="190"/>
        <v/>
      </c>
      <c r="P2467" s="1" t="str">
        <f t="shared" si="191"/>
        <v/>
      </c>
      <c r="Q2467" s="1" t="str">
        <f t="shared" si="192"/>
        <v/>
      </c>
      <c r="R2467" s="1" t="str">
        <f t="shared" si="193"/>
        <v/>
      </c>
      <c r="S2467" s="1" t="str">
        <f t="shared" si="194"/>
        <v/>
      </c>
      <c r="T2467" s="1" t="str">
        <f>IF(OR(COUNT(O2467:R2467)&lt;&gt;4,COUNT('Top 25'!$B$45:$E$45)&lt;&gt;4,MIN('Top 25'!$B$45:$E$45)&lt;0,SUM('Top 25'!$B$45:$E$45)&lt;=0),"",ROUND(85*(O2467/30*'Top 25'!$B$45+P2467/25*'Top 25'!$C$45+Q2467/25*'Top 25'!$D$45+R2467/5*'Top 25'!$E$45)/SUM('Top 25'!$B$45:$E$45),6))</f>
        <v/>
      </c>
      <c r="U2467" s="1" t="str">
        <f t="shared" si="195"/>
        <v/>
      </c>
      <c r="V2467" s="1" t="str">
        <f>IF(A2467="","",IF(AK2467&lt;&gt;1,"Duplicate source ID",IF(COUNTIFS('Staff Review'!$A$8:$A$507,A2467)&gt;1,"Duplicate review ID",IF(H2467&lt;&gt;"Yes","Outside scope",IF(J2467="Yes","Already served",IF(NOT(ISNUMBER(T2467)),"Missing data","Candidate"))))))</f>
        <v/>
      </c>
      <c r="W2467" s="1" t="str">
        <f t="shared" si="196"/>
        <v/>
      </c>
      <c r="X2467" s="1" t="str">
        <f t="shared" si="197"/>
        <v/>
      </c>
      <c r="Y2467" s="1">
        <f>IF(AND(H2467="Yes",OR(LEN('School Search'!$B$5)=0,ISNUMBER(SEARCH('School Search'!$B$5,B2467&amp;" "&amp;E2467&amp;" "&amp;A2467))),OR('School Search'!$D$5="All",C2467='School Search'!$D$5),OR('School Search'!$G$5="All eligible",AND('School Search'!$G$5="Not marked served",J2467&lt;&gt;"Yes"),AND('School Search'!$G$5="Missing data",V2467="Missing data"),AND('School Search'!$G$5="Marked served",J2467="Yes"))),1,0)</f>
        <v>0</v>
      </c>
      <c r="Z2467" s="1" t="str">
        <f>IF(Y2467=0,"",COUNTIFS($Y$2051:$Y$2550,1,$AO$2051:$AO$2550,"&lt;"&amp;AO2467)+COUNTIFS($Y$2051:Y2467,1,$AO$2051:AO2467,AO2467))</f>
        <v/>
      </c>
      <c r="AA2467" s="1" t="str">
        <f t="shared" si="198"/>
        <v>Missing demographic or access input</v>
      </c>
      <c r="AB2467" s="1">
        <f t="shared" si="199"/>
        <v>0</v>
      </c>
      <c r="AC2467" s="1" t="str">
        <f t="shared" si="200"/>
        <v/>
      </c>
      <c r="AD2467" s="1" t="str">
        <f t="shared" si="201"/>
        <v/>
      </c>
      <c r="AE2467" s="1" t="str">
        <f t="shared" si="202"/>
        <v/>
      </c>
      <c r="AF2467" s="1" t="str">
        <f t="shared" si="203"/>
        <v/>
      </c>
      <c r="AG2467" s="1" t="str">
        <f t="shared" si="204"/>
        <v/>
      </c>
      <c r="AH2467" s="1" t="str">
        <f>IF(I2467=0,"Not contacted",IF(INDEX('Staff Review'!$J$8:$J$507,I2467)="","Not contacted",INDEX('Staff Review'!$J$8:$J$507,I2467)))</f>
        <v>Not contacted</v>
      </c>
      <c r="AI2467" s="1" t="str">
        <f>IF(I2467=0,"No",IF(AND(COUNT(INDEX('Staff Review'!$D$8:$D$507,I2467))=1,INDEX('Staff Review'!$D$8:$D$507,I2467)&gt;=0,COUNT(INDEX('Staff Review'!$E$8:$E$507,I2467))=1,INDEX('Staff Review'!$E$8:$E$507,I2467)&gt;0,INDEX('Staff Review'!$E$8:$E$507,I2467)&lt;='Top 25'!$E$5,'Top 25'!$E$5-INDEX('Staff Review'!$E$8:$E$507,I2467)&lt;='Top 25'!$H$5,LEN(INDEX('Staff Review'!$H$8:$H$507,I2467))&gt;0),"Yes","No"))</f>
        <v>No</v>
      </c>
      <c r="AJ2467" s="1" t="str">
        <f>IF(I2467=0,"No",IF(COUNT(INDEX('Staff Review'!$F$8:$F$507,I2467))&lt;&gt;1,"No",IF(AND(INDEX('Staff Review'!$F$8:$F$507,I2467)&gt;=0,MOD(INDEX('Staff Review'!$F$8:$F$507,I2467),1)=0,COUNT(INDEX('Staff Review'!$G$8:$G$507,I2467))=1,INDEX('Staff Review'!$G$8:$G$507,I2467)&gt;0,INDEX('Staff Review'!$G$8:$G$507,I2467)&lt;='Top 25'!$E$5,'Top 25'!$E$5-INDEX('Staff Review'!$G$8:$G$507,I2467)&lt;='Top 25'!$H$5,LEN(INDEX('Staff Review'!$H$8:$H$507,I2467))&gt;0),"Yes","No")))</f>
        <v>No</v>
      </c>
      <c r="AK2467" s="1">
        <f t="shared" si="205"/>
        <v>0</v>
      </c>
      <c r="AL2467" s="1">
        <f t="shared" si="206"/>
        <v>0</v>
      </c>
      <c r="AM2467" s="1">
        <f t="shared" si="207"/>
        <v>0</v>
      </c>
      <c r="AN2467" s="1">
        <f t="shared" si="208"/>
        <v>0</v>
      </c>
      <c r="AO2467">
        <f t="shared" si="209"/>
        <v>10000</v>
      </c>
      <c r="AP2467" s="105">
        <f>IF(AND(AL2467=1,OR('Top 25'!$A$10="All",C2467='Top 25'!$A$10),OR('Top 25'!$D$10="All",D2467='Top 25'!$D$10)),1,0)</f>
        <v>0</v>
      </c>
      <c r="AQ2467" s="105" t="str">
        <f>IF(AP2467=0,"",CHOOSE(MATCH('Top 25'!$G$10,{"Priority score","Economic need","Enrollment","Fresh miles","Nearby resources"},0),T2467,G2467,F2467,K2467,L2467))</f>
        <v/>
      </c>
      <c r="AR2467" s="105" t="str">
        <f>IF(AP2467=0,"",1+COUNTIFS($AP$2051:$AP$2550,1,$AQ$2051:$AQ$2550,IF('Top 25'!$J$10="Ascending","&lt;","&gt;")&amp;AQ2467)+COUNTIFS($AP$2051:$AP$2550,1,$AQ$2051:$AQ$2550,AQ2467,$W$2051:$W$2550,"&lt;"&amp;W2467))</f>
        <v/>
      </c>
      <c r="AT2467" s="105">
        <f>IF(AND(AL2467=1,OR(Master_rankableSchools!$A$10="All",C2467=Master_rankableSchools!$A$10),OR(Master_rankableSchools!$D$10="All",D2467=Master_rankableSchools!$D$10)),1,0)</f>
        <v>0</v>
      </c>
      <c r="AU2467" s="105" t="str">
        <f>IF(AT2467=0,"",CHOOSE(MATCH(Master_rankableSchools!$G$10,{"Priority score","Economic need","Enrollment","Fresh miles","Nearby resources"},0),T2467,G2467,F2467,K2467,L2467))</f>
        <v/>
      </c>
      <c r="AV2467" s="105" t="str">
        <f>IF(AT2467=0,"",1+COUNTIFS($AT$2051:$AT$2550,1,$AU$2051:$AU$2550,IF(Master_rankableSchools!$J$10="Ascending","&lt;","&gt;")&amp;AU2467)+COUNTIFS($AT$2051:$AT$2550,1,$AU$2051:$AU$2550,AU2467,$W$2051:$W$2550,"&lt;"&amp;W2467))</f>
        <v/>
      </c>
    </row>
    <row r="2468" spans="1:48" ht="22" customHeight="1">
      <c r="A2468" s="1" t="str">
        <f t="shared" si="180"/>
        <v/>
      </c>
      <c r="B2468" s="1" t="str">
        <f t="shared" si="181"/>
        <v/>
      </c>
      <c r="C2468" s="1" t="str">
        <f t="shared" si="182"/>
        <v/>
      </c>
      <c r="D2468" s="1" t="str">
        <f t="shared" si="183"/>
        <v/>
      </c>
      <c r="E2468" s="1" t="str">
        <f t="shared" si="184"/>
        <v/>
      </c>
      <c r="F2468" s="1" t="str">
        <f t="shared" si="185"/>
        <v/>
      </c>
      <c r="G2468" s="1" t="str">
        <f t="shared" si="186"/>
        <v/>
      </c>
      <c r="H2468" s="1" t="str">
        <f t="shared" si="187"/>
        <v/>
      </c>
      <c r="I2468" s="1">
        <f>IF(OR(A2468="",COUNTIFS('Staff Review'!$A$8:$A$507,A2468)&lt;&gt;1),0,MATCH(A2468,'Staff Review'!$A$8:$A$507,0))</f>
        <v>0</v>
      </c>
      <c r="J2468" s="1" t="str">
        <f>IF(I2468=0,"No",IF(INDEX('Staff Review'!$C$8:$C$507,I2468)="Yes","Yes","No"))</f>
        <v>No</v>
      </c>
      <c r="K2468" s="1" t="str">
        <f>IF(AI2468="Yes",INDEX('Staff Review'!$D$8:$D$507,I2468),IF(AB2468=0,"",IF(COUNT(INDEX($C$1531:$C$2030,AB2468))=1,INDEX($C$1531:$C$2030,AB2468),"")))</f>
        <v/>
      </c>
      <c r="L2468" s="1" t="str">
        <f>IF(AJ2468="Yes",INDEX('Staff Review'!$F$8:$F$507,I2468),IF(AB2468=0,"",IF(COUNT(INDEX($G$1531:$G$2030,AB2468))=1,INDEX($G$1531:$G$2030,AB2468),"")))</f>
        <v/>
      </c>
      <c r="M2468" s="1" t="str">
        <f t="shared" si="188"/>
        <v/>
      </c>
      <c r="N2468" s="1" t="str">
        <f t="shared" si="189"/>
        <v/>
      </c>
      <c r="O2468" s="1" t="str">
        <f t="shared" si="190"/>
        <v/>
      </c>
      <c r="P2468" s="1" t="str">
        <f t="shared" si="191"/>
        <v/>
      </c>
      <c r="Q2468" s="1" t="str">
        <f t="shared" si="192"/>
        <v/>
      </c>
      <c r="R2468" s="1" t="str">
        <f t="shared" si="193"/>
        <v/>
      </c>
      <c r="S2468" s="1" t="str">
        <f t="shared" si="194"/>
        <v/>
      </c>
      <c r="T2468" s="1" t="str">
        <f>IF(OR(COUNT(O2468:R2468)&lt;&gt;4,COUNT('Top 25'!$B$45:$E$45)&lt;&gt;4,MIN('Top 25'!$B$45:$E$45)&lt;0,SUM('Top 25'!$B$45:$E$45)&lt;=0),"",ROUND(85*(O2468/30*'Top 25'!$B$45+P2468/25*'Top 25'!$C$45+Q2468/25*'Top 25'!$D$45+R2468/5*'Top 25'!$E$45)/SUM('Top 25'!$B$45:$E$45),6))</f>
        <v/>
      </c>
      <c r="U2468" s="1" t="str">
        <f t="shared" si="195"/>
        <v/>
      </c>
      <c r="V2468" s="1" t="str">
        <f>IF(A2468="","",IF(AK2468&lt;&gt;1,"Duplicate source ID",IF(COUNTIFS('Staff Review'!$A$8:$A$507,A2468)&gt;1,"Duplicate review ID",IF(H2468&lt;&gt;"Yes","Outside scope",IF(J2468="Yes","Already served",IF(NOT(ISNUMBER(T2468)),"Missing data","Candidate"))))))</f>
        <v/>
      </c>
      <c r="W2468" s="1" t="str">
        <f t="shared" si="196"/>
        <v/>
      </c>
      <c r="X2468" s="1" t="str">
        <f t="shared" si="197"/>
        <v/>
      </c>
      <c r="Y2468" s="1">
        <f>IF(AND(H2468="Yes",OR(LEN('School Search'!$B$5)=0,ISNUMBER(SEARCH('School Search'!$B$5,B2468&amp;" "&amp;E2468&amp;" "&amp;A2468))),OR('School Search'!$D$5="All",C2468='School Search'!$D$5),OR('School Search'!$G$5="All eligible",AND('School Search'!$G$5="Not marked served",J2468&lt;&gt;"Yes"),AND('School Search'!$G$5="Missing data",V2468="Missing data"),AND('School Search'!$G$5="Marked served",J2468="Yes"))),1,0)</f>
        <v>0</v>
      </c>
      <c r="Z2468" s="1" t="str">
        <f>IF(Y2468=0,"",COUNTIFS($Y$2051:$Y$2550,1,$AO$2051:$AO$2550,"&lt;"&amp;AO2468)+COUNTIFS($Y$2051:Y2468,1,$AO$2051:AO2468,AO2468))</f>
        <v/>
      </c>
      <c r="AA2468" s="1" t="str">
        <f t="shared" si="198"/>
        <v>Missing demographic or access input</v>
      </c>
      <c r="AB2468" s="1">
        <f t="shared" si="199"/>
        <v>0</v>
      </c>
      <c r="AC2468" s="1" t="str">
        <f t="shared" si="200"/>
        <v/>
      </c>
      <c r="AD2468" s="1" t="str">
        <f t="shared" si="201"/>
        <v/>
      </c>
      <c r="AE2468" s="1" t="str">
        <f t="shared" si="202"/>
        <v/>
      </c>
      <c r="AF2468" s="1" t="str">
        <f t="shared" si="203"/>
        <v/>
      </c>
      <c r="AG2468" s="1" t="str">
        <f t="shared" si="204"/>
        <v/>
      </c>
      <c r="AH2468" s="1" t="str">
        <f>IF(I2468=0,"Not contacted",IF(INDEX('Staff Review'!$J$8:$J$507,I2468)="","Not contacted",INDEX('Staff Review'!$J$8:$J$507,I2468)))</f>
        <v>Not contacted</v>
      </c>
      <c r="AI2468" s="1" t="str">
        <f>IF(I2468=0,"No",IF(AND(COUNT(INDEX('Staff Review'!$D$8:$D$507,I2468))=1,INDEX('Staff Review'!$D$8:$D$507,I2468)&gt;=0,COUNT(INDEX('Staff Review'!$E$8:$E$507,I2468))=1,INDEX('Staff Review'!$E$8:$E$507,I2468)&gt;0,INDEX('Staff Review'!$E$8:$E$507,I2468)&lt;='Top 25'!$E$5,'Top 25'!$E$5-INDEX('Staff Review'!$E$8:$E$507,I2468)&lt;='Top 25'!$H$5,LEN(INDEX('Staff Review'!$H$8:$H$507,I2468))&gt;0),"Yes","No"))</f>
        <v>No</v>
      </c>
      <c r="AJ2468" s="1" t="str">
        <f>IF(I2468=0,"No",IF(COUNT(INDEX('Staff Review'!$F$8:$F$507,I2468))&lt;&gt;1,"No",IF(AND(INDEX('Staff Review'!$F$8:$F$507,I2468)&gt;=0,MOD(INDEX('Staff Review'!$F$8:$F$507,I2468),1)=0,COUNT(INDEX('Staff Review'!$G$8:$G$507,I2468))=1,INDEX('Staff Review'!$G$8:$G$507,I2468)&gt;0,INDEX('Staff Review'!$G$8:$G$507,I2468)&lt;='Top 25'!$E$5,'Top 25'!$E$5-INDEX('Staff Review'!$G$8:$G$507,I2468)&lt;='Top 25'!$H$5,LEN(INDEX('Staff Review'!$H$8:$H$507,I2468))&gt;0),"Yes","No")))</f>
        <v>No</v>
      </c>
      <c r="AK2468" s="1">
        <f t="shared" si="205"/>
        <v>0</v>
      </c>
      <c r="AL2468" s="1">
        <f t="shared" si="206"/>
        <v>0</v>
      </c>
      <c r="AM2468" s="1">
        <f t="shared" si="207"/>
        <v>0</v>
      </c>
      <c r="AN2468" s="1">
        <f t="shared" si="208"/>
        <v>0</v>
      </c>
      <c r="AO2468">
        <f t="shared" si="209"/>
        <v>10000</v>
      </c>
      <c r="AP2468" s="105">
        <f>IF(AND(AL2468=1,OR('Top 25'!$A$10="All",C2468='Top 25'!$A$10),OR('Top 25'!$D$10="All",D2468='Top 25'!$D$10)),1,0)</f>
        <v>0</v>
      </c>
      <c r="AQ2468" s="105" t="str">
        <f>IF(AP2468=0,"",CHOOSE(MATCH('Top 25'!$G$10,{"Priority score","Economic need","Enrollment","Fresh miles","Nearby resources"},0),T2468,G2468,F2468,K2468,L2468))</f>
        <v/>
      </c>
      <c r="AR2468" s="105" t="str">
        <f>IF(AP2468=0,"",1+COUNTIFS($AP$2051:$AP$2550,1,$AQ$2051:$AQ$2550,IF('Top 25'!$J$10="Ascending","&lt;","&gt;")&amp;AQ2468)+COUNTIFS($AP$2051:$AP$2550,1,$AQ$2051:$AQ$2550,AQ2468,$W$2051:$W$2550,"&lt;"&amp;W2468))</f>
        <v/>
      </c>
      <c r="AT2468" s="105">
        <f>IF(AND(AL2468=1,OR(Master_rankableSchools!$A$10="All",C2468=Master_rankableSchools!$A$10),OR(Master_rankableSchools!$D$10="All",D2468=Master_rankableSchools!$D$10)),1,0)</f>
        <v>0</v>
      </c>
      <c r="AU2468" s="105" t="str">
        <f>IF(AT2468=0,"",CHOOSE(MATCH(Master_rankableSchools!$G$10,{"Priority score","Economic need","Enrollment","Fresh miles","Nearby resources"},0),T2468,G2468,F2468,K2468,L2468))</f>
        <v/>
      </c>
      <c r="AV2468" s="105" t="str">
        <f>IF(AT2468=0,"",1+COUNTIFS($AT$2051:$AT$2550,1,$AU$2051:$AU$2550,IF(Master_rankableSchools!$J$10="Ascending","&lt;","&gt;")&amp;AU2468)+COUNTIFS($AT$2051:$AT$2550,1,$AU$2051:$AU$2550,AU2468,$W$2051:$W$2550,"&lt;"&amp;W2468))</f>
        <v/>
      </c>
    </row>
    <row r="2469" spans="1:48" ht="22" customHeight="1">
      <c r="A2469" s="1" t="str">
        <f t="shared" si="180"/>
        <v/>
      </c>
      <c r="B2469" s="1" t="str">
        <f t="shared" si="181"/>
        <v/>
      </c>
      <c r="C2469" s="1" t="str">
        <f t="shared" si="182"/>
        <v/>
      </c>
      <c r="D2469" s="1" t="str">
        <f t="shared" si="183"/>
        <v/>
      </c>
      <c r="E2469" s="1" t="str">
        <f t="shared" si="184"/>
        <v/>
      </c>
      <c r="F2469" s="1" t="str">
        <f t="shared" si="185"/>
        <v/>
      </c>
      <c r="G2469" s="1" t="str">
        <f t="shared" si="186"/>
        <v/>
      </c>
      <c r="H2469" s="1" t="str">
        <f t="shared" si="187"/>
        <v/>
      </c>
      <c r="I2469" s="1">
        <f>IF(OR(A2469="",COUNTIFS('Staff Review'!$A$8:$A$507,A2469)&lt;&gt;1),0,MATCH(A2469,'Staff Review'!$A$8:$A$507,0))</f>
        <v>0</v>
      </c>
      <c r="J2469" s="1" t="str">
        <f>IF(I2469=0,"No",IF(INDEX('Staff Review'!$C$8:$C$507,I2469)="Yes","Yes","No"))</f>
        <v>No</v>
      </c>
      <c r="K2469" s="1" t="str">
        <f>IF(AI2469="Yes",INDEX('Staff Review'!$D$8:$D$507,I2469),IF(AB2469=0,"",IF(COUNT(INDEX($C$1531:$C$2030,AB2469))=1,INDEX($C$1531:$C$2030,AB2469),"")))</f>
        <v/>
      </c>
      <c r="L2469" s="1" t="str">
        <f>IF(AJ2469="Yes",INDEX('Staff Review'!$F$8:$F$507,I2469),IF(AB2469=0,"",IF(COUNT(INDEX($G$1531:$G$2030,AB2469))=1,INDEX($G$1531:$G$2030,AB2469),"")))</f>
        <v/>
      </c>
      <c r="M2469" s="1" t="str">
        <f t="shared" si="188"/>
        <v/>
      </c>
      <c r="N2469" s="1" t="str">
        <f t="shared" si="189"/>
        <v/>
      </c>
      <c r="O2469" s="1" t="str">
        <f t="shared" si="190"/>
        <v/>
      </c>
      <c r="P2469" s="1" t="str">
        <f t="shared" si="191"/>
        <v/>
      </c>
      <c r="Q2469" s="1" t="str">
        <f t="shared" si="192"/>
        <v/>
      </c>
      <c r="R2469" s="1" t="str">
        <f t="shared" si="193"/>
        <v/>
      </c>
      <c r="S2469" s="1" t="str">
        <f t="shared" si="194"/>
        <v/>
      </c>
      <c r="T2469" s="1" t="str">
        <f>IF(OR(COUNT(O2469:R2469)&lt;&gt;4,COUNT('Top 25'!$B$45:$E$45)&lt;&gt;4,MIN('Top 25'!$B$45:$E$45)&lt;0,SUM('Top 25'!$B$45:$E$45)&lt;=0),"",ROUND(85*(O2469/30*'Top 25'!$B$45+P2469/25*'Top 25'!$C$45+Q2469/25*'Top 25'!$D$45+R2469/5*'Top 25'!$E$45)/SUM('Top 25'!$B$45:$E$45),6))</f>
        <v/>
      </c>
      <c r="U2469" s="1" t="str">
        <f t="shared" si="195"/>
        <v/>
      </c>
      <c r="V2469" s="1" t="str">
        <f>IF(A2469="","",IF(AK2469&lt;&gt;1,"Duplicate source ID",IF(COUNTIFS('Staff Review'!$A$8:$A$507,A2469)&gt;1,"Duplicate review ID",IF(H2469&lt;&gt;"Yes","Outside scope",IF(J2469="Yes","Already served",IF(NOT(ISNUMBER(T2469)),"Missing data","Candidate"))))))</f>
        <v/>
      </c>
      <c r="W2469" s="1" t="str">
        <f t="shared" si="196"/>
        <v/>
      </c>
      <c r="X2469" s="1" t="str">
        <f t="shared" si="197"/>
        <v/>
      </c>
      <c r="Y2469" s="1">
        <f>IF(AND(H2469="Yes",OR(LEN('School Search'!$B$5)=0,ISNUMBER(SEARCH('School Search'!$B$5,B2469&amp;" "&amp;E2469&amp;" "&amp;A2469))),OR('School Search'!$D$5="All",C2469='School Search'!$D$5),OR('School Search'!$G$5="All eligible",AND('School Search'!$G$5="Not marked served",J2469&lt;&gt;"Yes"),AND('School Search'!$G$5="Missing data",V2469="Missing data"),AND('School Search'!$G$5="Marked served",J2469="Yes"))),1,0)</f>
        <v>0</v>
      </c>
      <c r="Z2469" s="1" t="str">
        <f>IF(Y2469=0,"",COUNTIFS($Y$2051:$Y$2550,1,$AO$2051:$AO$2550,"&lt;"&amp;AO2469)+COUNTIFS($Y$2051:Y2469,1,$AO$2051:AO2469,AO2469))</f>
        <v/>
      </c>
      <c r="AA2469" s="1" t="str">
        <f t="shared" si="198"/>
        <v>Missing demographic or access input</v>
      </c>
      <c r="AB2469" s="1">
        <f t="shared" si="199"/>
        <v>0</v>
      </c>
      <c r="AC2469" s="1" t="str">
        <f t="shared" si="200"/>
        <v/>
      </c>
      <c r="AD2469" s="1" t="str">
        <f t="shared" si="201"/>
        <v/>
      </c>
      <c r="AE2469" s="1" t="str">
        <f t="shared" si="202"/>
        <v/>
      </c>
      <c r="AF2469" s="1" t="str">
        <f t="shared" si="203"/>
        <v/>
      </c>
      <c r="AG2469" s="1" t="str">
        <f t="shared" si="204"/>
        <v/>
      </c>
      <c r="AH2469" s="1" t="str">
        <f>IF(I2469=0,"Not contacted",IF(INDEX('Staff Review'!$J$8:$J$507,I2469)="","Not contacted",INDEX('Staff Review'!$J$8:$J$507,I2469)))</f>
        <v>Not contacted</v>
      </c>
      <c r="AI2469" s="1" t="str">
        <f>IF(I2469=0,"No",IF(AND(COUNT(INDEX('Staff Review'!$D$8:$D$507,I2469))=1,INDEX('Staff Review'!$D$8:$D$507,I2469)&gt;=0,COUNT(INDEX('Staff Review'!$E$8:$E$507,I2469))=1,INDEX('Staff Review'!$E$8:$E$507,I2469)&gt;0,INDEX('Staff Review'!$E$8:$E$507,I2469)&lt;='Top 25'!$E$5,'Top 25'!$E$5-INDEX('Staff Review'!$E$8:$E$507,I2469)&lt;='Top 25'!$H$5,LEN(INDEX('Staff Review'!$H$8:$H$507,I2469))&gt;0),"Yes","No"))</f>
        <v>No</v>
      </c>
      <c r="AJ2469" s="1" t="str">
        <f>IF(I2469=0,"No",IF(COUNT(INDEX('Staff Review'!$F$8:$F$507,I2469))&lt;&gt;1,"No",IF(AND(INDEX('Staff Review'!$F$8:$F$507,I2469)&gt;=0,MOD(INDEX('Staff Review'!$F$8:$F$507,I2469),1)=0,COUNT(INDEX('Staff Review'!$G$8:$G$507,I2469))=1,INDEX('Staff Review'!$G$8:$G$507,I2469)&gt;0,INDEX('Staff Review'!$G$8:$G$507,I2469)&lt;='Top 25'!$E$5,'Top 25'!$E$5-INDEX('Staff Review'!$G$8:$G$507,I2469)&lt;='Top 25'!$H$5,LEN(INDEX('Staff Review'!$H$8:$H$507,I2469))&gt;0),"Yes","No")))</f>
        <v>No</v>
      </c>
      <c r="AK2469" s="1">
        <f t="shared" si="205"/>
        <v>0</v>
      </c>
      <c r="AL2469" s="1">
        <f t="shared" si="206"/>
        <v>0</v>
      </c>
      <c r="AM2469" s="1">
        <f t="shared" si="207"/>
        <v>0</v>
      </c>
      <c r="AN2469" s="1">
        <f t="shared" si="208"/>
        <v>0</v>
      </c>
      <c r="AO2469">
        <f t="shared" si="209"/>
        <v>10000</v>
      </c>
      <c r="AP2469" s="105">
        <f>IF(AND(AL2469=1,OR('Top 25'!$A$10="All",C2469='Top 25'!$A$10),OR('Top 25'!$D$10="All",D2469='Top 25'!$D$10)),1,0)</f>
        <v>0</v>
      </c>
      <c r="AQ2469" s="105" t="str">
        <f>IF(AP2469=0,"",CHOOSE(MATCH('Top 25'!$G$10,{"Priority score","Economic need","Enrollment","Fresh miles","Nearby resources"},0),T2469,G2469,F2469,K2469,L2469))</f>
        <v/>
      </c>
      <c r="AR2469" s="105" t="str">
        <f>IF(AP2469=0,"",1+COUNTIFS($AP$2051:$AP$2550,1,$AQ$2051:$AQ$2550,IF('Top 25'!$J$10="Ascending","&lt;","&gt;")&amp;AQ2469)+COUNTIFS($AP$2051:$AP$2550,1,$AQ$2051:$AQ$2550,AQ2469,$W$2051:$W$2550,"&lt;"&amp;W2469))</f>
        <v/>
      </c>
      <c r="AT2469" s="105">
        <f>IF(AND(AL2469=1,OR(Master_rankableSchools!$A$10="All",C2469=Master_rankableSchools!$A$10),OR(Master_rankableSchools!$D$10="All",D2469=Master_rankableSchools!$D$10)),1,0)</f>
        <v>0</v>
      </c>
      <c r="AU2469" s="105" t="str">
        <f>IF(AT2469=0,"",CHOOSE(MATCH(Master_rankableSchools!$G$10,{"Priority score","Economic need","Enrollment","Fresh miles","Nearby resources"},0),T2469,G2469,F2469,K2469,L2469))</f>
        <v/>
      </c>
      <c r="AV2469" s="105" t="str">
        <f>IF(AT2469=0,"",1+COUNTIFS($AT$2051:$AT$2550,1,$AU$2051:$AU$2550,IF(Master_rankableSchools!$J$10="Ascending","&lt;","&gt;")&amp;AU2469)+COUNTIFS($AT$2051:$AT$2550,1,$AU$2051:$AU$2550,AU2469,$W$2051:$W$2550,"&lt;"&amp;W2469))</f>
        <v/>
      </c>
    </row>
    <row r="2470" spans="1:48" ht="22" customHeight="1">
      <c r="A2470" s="1" t="str">
        <f t="shared" si="180"/>
        <v/>
      </c>
      <c r="B2470" s="1" t="str">
        <f t="shared" si="181"/>
        <v/>
      </c>
      <c r="C2470" s="1" t="str">
        <f t="shared" si="182"/>
        <v/>
      </c>
      <c r="D2470" s="1" t="str">
        <f t="shared" si="183"/>
        <v/>
      </c>
      <c r="E2470" s="1" t="str">
        <f t="shared" si="184"/>
        <v/>
      </c>
      <c r="F2470" s="1" t="str">
        <f t="shared" si="185"/>
        <v/>
      </c>
      <c r="G2470" s="1" t="str">
        <f t="shared" si="186"/>
        <v/>
      </c>
      <c r="H2470" s="1" t="str">
        <f t="shared" si="187"/>
        <v/>
      </c>
      <c r="I2470" s="1">
        <f>IF(OR(A2470="",COUNTIFS('Staff Review'!$A$8:$A$507,A2470)&lt;&gt;1),0,MATCH(A2470,'Staff Review'!$A$8:$A$507,0))</f>
        <v>0</v>
      </c>
      <c r="J2470" s="1" t="str">
        <f>IF(I2470=0,"No",IF(INDEX('Staff Review'!$C$8:$C$507,I2470)="Yes","Yes","No"))</f>
        <v>No</v>
      </c>
      <c r="K2470" s="1" t="str">
        <f>IF(AI2470="Yes",INDEX('Staff Review'!$D$8:$D$507,I2470),IF(AB2470=0,"",IF(COUNT(INDEX($C$1531:$C$2030,AB2470))=1,INDEX($C$1531:$C$2030,AB2470),"")))</f>
        <v/>
      </c>
      <c r="L2470" s="1" t="str">
        <f>IF(AJ2470="Yes",INDEX('Staff Review'!$F$8:$F$507,I2470),IF(AB2470=0,"",IF(COUNT(INDEX($G$1531:$G$2030,AB2470))=1,INDEX($G$1531:$G$2030,AB2470),"")))</f>
        <v/>
      </c>
      <c r="M2470" s="1" t="str">
        <f t="shared" si="188"/>
        <v/>
      </c>
      <c r="N2470" s="1" t="str">
        <f t="shared" si="189"/>
        <v/>
      </c>
      <c r="O2470" s="1" t="str">
        <f t="shared" si="190"/>
        <v/>
      </c>
      <c r="P2470" s="1" t="str">
        <f t="shared" si="191"/>
        <v/>
      </c>
      <c r="Q2470" s="1" t="str">
        <f t="shared" si="192"/>
        <v/>
      </c>
      <c r="R2470" s="1" t="str">
        <f t="shared" si="193"/>
        <v/>
      </c>
      <c r="S2470" s="1" t="str">
        <f t="shared" si="194"/>
        <v/>
      </c>
      <c r="T2470" s="1" t="str">
        <f>IF(OR(COUNT(O2470:R2470)&lt;&gt;4,COUNT('Top 25'!$B$45:$E$45)&lt;&gt;4,MIN('Top 25'!$B$45:$E$45)&lt;0,SUM('Top 25'!$B$45:$E$45)&lt;=0),"",ROUND(85*(O2470/30*'Top 25'!$B$45+P2470/25*'Top 25'!$C$45+Q2470/25*'Top 25'!$D$45+R2470/5*'Top 25'!$E$45)/SUM('Top 25'!$B$45:$E$45),6))</f>
        <v/>
      </c>
      <c r="U2470" s="1" t="str">
        <f t="shared" si="195"/>
        <v/>
      </c>
      <c r="V2470" s="1" t="str">
        <f>IF(A2470="","",IF(AK2470&lt;&gt;1,"Duplicate source ID",IF(COUNTIFS('Staff Review'!$A$8:$A$507,A2470)&gt;1,"Duplicate review ID",IF(H2470&lt;&gt;"Yes","Outside scope",IF(J2470="Yes","Already served",IF(NOT(ISNUMBER(T2470)),"Missing data","Candidate"))))))</f>
        <v/>
      </c>
      <c r="W2470" s="1" t="str">
        <f t="shared" si="196"/>
        <v/>
      </c>
      <c r="X2470" s="1" t="str">
        <f t="shared" si="197"/>
        <v/>
      </c>
      <c r="Y2470" s="1">
        <f>IF(AND(H2470="Yes",OR(LEN('School Search'!$B$5)=0,ISNUMBER(SEARCH('School Search'!$B$5,B2470&amp;" "&amp;E2470&amp;" "&amp;A2470))),OR('School Search'!$D$5="All",C2470='School Search'!$D$5),OR('School Search'!$G$5="All eligible",AND('School Search'!$G$5="Not marked served",J2470&lt;&gt;"Yes"),AND('School Search'!$G$5="Missing data",V2470="Missing data"),AND('School Search'!$G$5="Marked served",J2470="Yes"))),1,0)</f>
        <v>0</v>
      </c>
      <c r="Z2470" s="1" t="str">
        <f>IF(Y2470=0,"",COUNTIFS($Y$2051:$Y$2550,1,$AO$2051:$AO$2550,"&lt;"&amp;AO2470)+COUNTIFS($Y$2051:Y2470,1,$AO$2051:AO2470,AO2470))</f>
        <v/>
      </c>
      <c r="AA2470" s="1" t="str">
        <f t="shared" si="198"/>
        <v>Missing demographic or access input</v>
      </c>
      <c r="AB2470" s="1">
        <f t="shared" si="199"/>
        <v>0</v>
      </c>
      <c r="AC2470" s="1" t="str">
        <f t="shared" si="200"/>
        <v/>
      </c>
      <c r="AD2470" s="1" t="str">
        <f t="shared" si="201"/>
        <v/>
      </c>
      <c r="AE2470" s="1" t="str">
        <f t="shared" si="202"/>
        <v/>
      </c>
      <c r="AF2470" s="1" t="str">
        <f t="shared" si="203"/>
        <v/>
      </c>
      <c r="AG2470" s="1" t="str">
        <f t="shared" si="204"/>
        <v/>
      </c>
      <c r="AH2470" s="1" t="str">
        <f>IF(I2470=0,"Not contacted",IF(INDEX('Staff Review'!$J$8:$J$507,I2470)="","Not contacted",INDEX('Staff Review'!$J$8:$J$507,I2470)))</f>
        <v>Not contacted</v>
      </c>
      <c r="AI2470" s="1" t="str">
        <f>IF(I2470=0,"No",IF(AND(COUNT(INDEX('Staff Review'!$D$8:$D$507,I2470))=1,INDEX('Staff Review'!$D$8:$D$507,I2470)&gt;=0,COUNT(INDEX('Staff Review'!$E$8:$E$507,I2470))=1,INDEX('Staff Review'!$E$8:$E$507,I2470)&gt;0,INDEX('Staff Review'!$E$8:$E$507,I2470)&lt;='Top 25'!$E$5,'Top 25'!$E$5-INDEX('Staff Review'!$E$8:$E$507,I2470)&lt;='Top 25'!$H$5,LEN(INDEX('Staff Review'!$H$8:$H$507,I2470))&gt;0),"Yes","No"))</f>
        <v>No</v>
      </c>
      <c r="AJ2470" s="1" t="str">
        <f>IF(I2470=0,"No",IF(COUNT(INDEX('Staff Review'!$F$8:$F$507,I2470))&lt;&gt;1,"No",IF(AND(INDEX('Staff Review'!$F$8:$F$507,I2470)&gt;=0,MOD(INDEX('Staff Review'!$F$8:$F$507,I2470),1)=0,COUNT(INDEX('Staff Review'!$G$8:$G$507,I2470))=1,INDEX('Staff Review'!$G$8:$G$507,I2470)&gt;0,INDEX('Staff Review'!$G$8:$G$507,I2470)&lt;='Top 25'!$E$5,'Top 25'!$E$5-INDEX('Staff Review'!$G$8:$G$507,I2470)&lt;='Top 25'!$H$5,LEN(INDEX('Staff Review'!$H$8:$H$507,I2470))&gt;0),"Yes","No")))</f>
        <v>No</v>
      </c>
      <c r="AK2470" s="1">
        <f t="shared" si="205"/>
        <v>0</v>
      </c>
      <c r="AL2470" s="1">
        <f t="shared" si="206"/>
        <v>0</v>
      </c>
      <c r="AM2470" s="1">
        <f t="shared" si="207"/>
        <v>0</v>
      </c>
      <c r="AN2470" s="1">
        <f t="shared" si="208"/>
        <v>0</v>
      </c>
      <c r="AO2470">
        <f t="shared" si="209"/>
        <v>10000</v>
      </c>
      <c r="AP2470" s="105">
        <f>IF(AND(AL2470=1,OR('Top 25'!$A$10="All",C2470='Top 25'!$A$10),OR('Top 25'!$D$10="All",D2470='Top 25'!$D$10)),1,0)</f>
        <v>0</v>
      </c>
      <c r="AQ2470" s="105" t="str">
        <f>IF(AP2470=0,"",CHOOSE(MATCH('Top 25'!$G$10,{"Priority score","Economic need","Enrollment","Fresh miles","Nearby resources"},0),T2470,G2470,F2470,K2470,L2470))</f>
        <v/>
      </c>
      <c r="AR2470" s="105" t="str">
        <f>IF(AP2470=0,"",1+COUNTIFS($AP$2051:$AP$2550,1,$AQ$2051:$AQ$2550,IF('Top 25'!$J$10="Ascending","&lt;","&gt;")&amp;AQ2470)+COUNTIFS($AP$2051:$AP$2550,1,$AQ$2051:$AQ$2550,AQ2470,$W$2051:$W$2550,"&lt;"&amp;W2470))</f>
        <v/>
      </c>
      <c r="AT2470" s="105">
        <f>IF(AND(AL2470=1,OR(Master_rankableSchools!$A$10="All",C2470=Master_rankableSchools!$A$10),OR(Master_rankableSchools!$D$10="All",D2470=Master_rankableSchools!$D$10)),1,0)</f>
        <v>0</v>
      </c>
      <c r="AU2470" s="105" t="str">
        <f>IF(AT2470=0,"",CHOOSE(MATCH(Master_rankableSchools!$G$10,{"Priority score","Economic need","Enrollment","Fresh miles","Nearby resources"},0),T2470,G2470,F2470,K2470,L2470))</f>
        <v/>
      </c>
      <c r="AV2470" s="105" t="str">
        <f>IF(AT2470=0,"",1+COUNTIFS($AT$2051:$AT$2550,1,$AU$2051:$AU$2550,IF(Master_rankableSchools!$J$10="Ascending","&lt;","&gt;")&amp;AU2470)+COUNTIFS($AT$2051:$AT$2550,1,$AU$2051:$AU$2550,AU2470,$W$2051:$W$2550,"&lt;"&amp;W2470))</f>
        <v/>
      </c>
    </row>
    <row r="2471" spans="1:48" ht="22" customHeight="1">
      <c r="A2471" s="1" t="str">
        <f t="shared" si="180"/>
        <v/>
      </c>
      <c r="B2471" s="1" t="str">
        <f t="shared" si="181"/>
        <v/>
      </c>
      <c r="C2471" s="1" t="str">
        <f t="shared" si="182"/>
        <v/>
      </c>
      <c r="D2471" s="1" t="str">
        <f t="shared" si="183"/>
        <v/>
      </c>
      <c r="E2471" s="1" t="str">
        <f t="shared" si="184"/>
        <v/>
      </c>
      <c r="F2471" s="1" t="str">
        <f t="shared" si="185"/>
        <v/>
      </c>
      <c r="G2471" s="1" t="str">
        <f t="shared" si="186"/>
        <v/>
      </c>
      <c r="H2471" s="1" t="str">
        <f t="shared" si="187"/>
        <v/>
      </c>
      <c r="I2471" s="1">
        <f>IF(OR(A2471="",COUNTIFS('Staff Review'!$A$8:$A$507,A2471)&lt;&gt;1),0,MATCH(A2471,'Staff Review'!$A$8:$A$507,0))</f>
        <v>0</v>
      </c>
      <c r="J2471" s="1" t="str">
        <f>IF(I2471=0,"No",IF(INDEX('Staff Review'!$C$8:$C$507,I2471)="Yes","Yes","No"))</f>
        <v>No</v>
      </c>
      <c r="K2471" s="1" t="str">
        <f>IF(AI2471="Yes",INDEX('Staff Review'!$D$8:$D$507,I2471),IF(AB2471=0,"",IF(COUNT(INDEX($C$1531:$C$2030,AB2471))=1,INDEX($C$1531:$C$2030,AB2471),"")))</f>
        <v/>
      </c>
      <c r="L2471" s="1" t="str">
        <f>IF(AJ2471="Yes",INDEX('Staff Review'!$F$8:$F$507,I2471),IF(AB2471=0,"",IF(COUNT(INDEX($G$1531:$G$2030,AB2471))=1,INDEX($G$1531:$G$2030,AB2471),"")))</f>
        <v/>
      </c>
      <c r="M2471" s="1" t="str">
        <f t="shared" si="188"/>
        <v/>
      </c>
      <c r="N2471" s="1" t="str">
        <f t="shared" si="189"/>
        <v/>
      </c>
      <c r="O2471" s="1" t="str">
        <f t="shared" si="190"/>
        <v/>
      </c>
      <c r="P2471" s="1" t="str">
        <f t="shared" si="191"/>
        <v/>
      </c>
      <c r="Q2471" s="1" t="str">
        <f t="shared" si="192"/>
        <v/>
      </c>
      <c r="R2471" s="1" t="str">
        <f t="shared" si="193"/>
        <v/>
      </c>
      <c r="S2471" s="1" t="str">
        <f t="shared" si="194"/>
        <v/>
      </c>
      <c r="T2471" s="1" t="str">
        <f>IF(OR(COUNT(O2471:R2471)&lt;&gt;4,COUNT('Top 25'!$B$45:$E$45)&lt;&gt;4,MIN('Top 25'!$B$45:$E$45)&lt;0,SUM('Top 25'!$B$45:$E$45)&lt;=0),"",ROUND(85*(O2471/30*'Top 25'!$B$45+P2471/25*'Top 25'!$C$45+Q2471/25*'Top 25'!$D$45+R2471/5*'Top 25'!$E$45)/SUM('Top 25'!$B$45:$E$45),6))</f>
        <v/>
      </c>
      <c r="U2471" s="1" t="str">
        <f t="shared" si="195"/>
        <v/>
      </c>
      <c r="V2471" s="1" t="str">
        <f>IF(A2471="","",IF(AK2471&lt;&gt;1,"Duplicate source ID",IF(COUNTIFS('Staff Review'!$A$8:$A$507,A2471)&gt;1,"Duplicate review ID",IF(H2471&lt;&gt;"Yes","Outside scope",IF(J2471="Yes","Already served",IF(NOT(ISNUMBER(T2471)),"Missing data","Candidate"))))))</f>
        <v/>
      </c>
      <c r="W2471" s="1" t="str">
        <f t="shared" si="196"/>
        <v/>
      </c>
      <c r="X2471" s="1" t="str">
        <f t="shared" si="197"/>
        <v/>
      </c>
      <c r="Y2471" s="1">
        <f>IF(AND(H2471="Yes",OR(LEN('School Search'!$B$5)=0,ISNUMBER(SEARCH('School Search'!$B$5,B2471&amp;" "&amp;E2471&amp;" "&amp;A2471))),OR('School Search'!$D$5="All",C2471='School Search'!$D$5),OR('School Search'!$G$5="All eligible",AND('School Search'!$G$5="Not marked served",J2471&lt;&gt;"Yes"),AND('School Search'!$G$5="Missing data",V2471="Missing data"),AND('School Search'!$G$5="Marked served",J2471="Yes"))),1,0)</f>
        <v>0</v>
      </c>
      <c r="Z2471" s="1" t="str">
        <f>IF(Y2471=0,"",COUNTIFS($Y$2051:$Y$2550,1,$AO$2051:$AO$2550,"&lt;"&amp;AO2471)+COUNTIFS($Y$2051:Y2471,1,$AO$2051:AO2471,AO2471))</f>
        <v/>
      </c>
      <c r="AA2471" s="1" t="str">
        <f t="shared" si="198"/>
        <v>Missing demographic or access input</v>
      </c>
      <c r="AB2471" s="1">
        <f t="shared" si="199"/>
        <v>0</v>
      </c>
      <c r="AC2471" s="1" t="str">
        <f t="shared" si="200"/>
        <v/>
      </c>
      <c r="AD2471" s="1" t="str">
        <f t="shared" si="201"/>
        <v/>
      </c>
      <c r="AE2471" s="1" t="str">
        <f t="shared" si="202"/>
        <v/>
      </c>
      <c r="AF2471" s="1" t="str">
        <f t="shared" si="203"/>
        <v/>
      </c>
      <c r="AG2471" s="1" t="str">
        <f t="shared" si="204"/>
        <v/>
      </c>
      <c r="AH2471" s="1" t="str">
        <f>IF(I2471=0,"Not contacted",IF(INDEX('Staff Review'!$J$8:$J$507,I2471)="","Not contacted",INDEX('Staff Review'!$J$8:$J$507,I2471)))</f>
        <v>Not contacted</v>
      </c>
      <c r="AI2471" s="1" t="str">
        <f>IF(I2471=0,"No",IF(AND(COUNT(INDEX('Staff Review'!$D$8:$D$507,I2471))=1,INDEX('Staff Review'!$D$8:$D$507,I2471)&gt;=0,COUNT(INDEX('Staff Review'!$E$8:$E$507,I2471))=1,INDEX('Staff Review'!$E$8:$E$507,I2471)&gt;0,INDEX('Staff Review'!$E$8:$E$507,I2471)&lt;='Top 25'!$E$5,'Top 25'!$E$5-INDEX('Staff Review'!$E$8:$E$507,I2471)&lt;='Top 25'!$H$5,LEN(INDEX('Staff Review'!$H$8:$H$507,I2471))&gt;0),"Yes","No"))</f>
        <v>No</v>
      </c>
      <c r="AJ2471" s="1" t="str">
        <f>IF(I2471=0,"No",IF(COUNT(INDEX('Staff Review'!$F$8:$F$507,I2471))&lt;&gt;1,"No",IF(AND(INDEX('Staff Review'!$F$8:$F$507,I2471)&gt;=0,MOD(INDEX('Staff Review'!$F$8:$F$507,I2471),1)=0,COUNT(INDEX('Staff Review'!$G$8:$G$507,I2471))=1,INDEX('Staff Review'!$G$8:$G$507,I2471)&gt;0,INDEX('Staff Review'!$G$8:$G$507,I2471)&lt;='Top 25'!$E$5,'Top 25'!$E$5-INDEX('Staff Review'!$G$8:$G$507,I2471)&lt;='Top 25'!$H$5,LEN(INDEX('Staff Review'!$H$8:$H$507,I2471))&gt;0),"Yes","No")))</f>
        <v>No</v>
      </c>
      <c r="AK2471" s="1">
        <f t="shared" si="205"/>
        <v>0</v>
      </c>
      <c r="AL2471" s="1">
        <f t="shared" si="206"/>
        <v>0</v>
      </c>
      <c r="AM2471" s="1">
        <f t="shared" si="207"/>
        <v>0</v>
      </c>
      <c r="AN2471" s="1">
        <f t="shared" si="208"/>
        <v>0</v>
      </c>
      <c r="AO2471">
        <f t="shared" si="209"/>
        <v>10000</v>
      </c>
      <c r="AP2471" s="105">
        <f>IF(AND(AL2471=1,OR('Top 25'!$A$10="All",C2471='Top 25'!$A$10),OR('Top 25'!$D$10="All",D2471='Top 25'!$D$10)),1,0)</f>
        <v>0</v>
      </c>
      <c r="AQ2471" s="105" t="str">
        <f>IF(AP2471=0,"",CHOOSE(MATCH('Top 25'!$G$10,{"Priority score","Economic need","Enrollment","Fresh miles","Nearby resources"},0),T2471,G2471,F2471,K2471,L2471))</f>
        <v/>
      </c>
      <c r="AR2471" s="105" t="str">
        <f>IF(AP2471=0,"",1+COUNTIFS($AP$2051:$AP$2550,1,$AQ$2051:$AQ$2550,IF('Top 25'!$J$10="Ascending","&lt;","&gt;")&amp;AQ2471)+COUNTIFS($AP$2051:$AP$2550,1,$AQ$2051:$AQ$2550,AQ2471,$W$2051:$W$2550,"&lt;"&amp;W2471))</f>
        <v/>
      </c>
      <c r="AT2471" s="105">
        <f>IF(AND(AL2471=1,OR(Master_rankableSchools!$A$10="All",C2471=Master_rankableSchools!$A$10),OR(Master_rankableSchools!$D$10="All",D2471=Master_rankableSchools!$D$10)),1,0)</f>
        <v>0</v>
      </c>
      <c r="AU2471" s="105" t="str">
        <f>IF(AT2471=0,"",CHOOSE(MATCH(Master_rankableSchools!$G$10,{"Priority score","Economic need","Enrollment","Fresh miles","Nearby resources"},0),T2471,G2471,F2471,K2471,L2471))</f>
        <v/>
      </c>
      <c r="AV2471" s="105" t="str">
        <f>IF(AT2471=0,"",1+COUNTIFS($AT$2051:$AT$2550,1,$AU$2051:$AU$2550,IF(Master_rankableSchools!$J$10="Ascending","&lt;","&gt;")&amp;AU2471)+COUNTIFS($AT$2051:$AT$2550,1,$AU$2051:$AU$2550,AU2471,$W$2051:$W$2550,"&lt;"&amp;W2471))</f>
        <v/>
      </c>
    </row>
    <row r="2472" spans="1:48" ht="22" customHeight="1">
      <c r="A2472" s="1" t="str">
        <f t="shared" si="180"/>
        <v/>
      </c>
      <c r="B2472" s="1" t="str">
        <f t="shared" si="181"/>
        <v/>
      </c>
      <c r="C2472" s="1" t="str">
        <f t="shared" si="182"/>
        <v/>
      </c>
      <c r="D2472" s="1" t="str">
        <f t="shared" si="183"/>
        <v/>
      </c>
      <c r="E2472" s="1" t="str">
        <f t="shared" si="184"/>
        <v/>
      </c>
      <c r="F2472" s="1" t="str">
        <f t="shared" si="185"/>
        <v/>
      </c>
      <c r="G2472" s="1" t="str">
        <f t="shared" si="186"/>
        <v/>
      </c>
      <c r="H2472" s="1" t="str">
        <f t="shared" si="187"/>
        <v/>
      </c>
      <c r="I2472" s="1">
        <f>IF(OR(A2472="",COUNTIFS('Staff Review'!$A$8:$A$507,A2472)&lt;&gt;1),0,MATCH(A2472,'Staff Review'!$A$8:$A$507,0))</f>
        <v>0</v>
      </c>
      <c r="J2472" s="1" t="str">
        <f>IF(I2472=0,"No",IF(INDEX('Staff Review'!$C$8:$C$507,I2472)="Yes","Yes","No"))</f>
        <v>No</v>
      </c>
      <c r="K2472" s="1" t="str">
        <f>IF(AI2472="Yes",INDEX('Staff Review'!$D$8:$D$507,I2472),IF(AB2472=0,"",IF(COUNT(INDEX($C$1531:$C$2030,AB2472))=1,INDEX($C$1531:$C$2030,AB2472),"")))</f>
        <v/>
      </c>
      <c r="L2472" s="1" t="str">
        <f>IF(AJ2472="Yes",INDEX('Staff Review'!$F$8:$F$507,I2472),IF(AB2472=0,"",IF(COUNT(INDEX($G$1531:$G$2030,AB2472))=1,INDEX($G$1531:$G$2030,AB2472),"")))</f>
        <v/>
      </c>
      <c r="M2472" s="1" t="str">
        <f t="shared" si="188"/>
        <v/>
      </c>
      <c r="N2472" s="1" t="str">
        <f t="shared" si="189"/>
        <v/>
      </c>
      <c r="O2472" s="1" t="str">
        <f t="shared" si="190"/>
        <v/>
      </c>
      <c r="P2472" s="1" t="str">
        <f t="shared" si="191"/>
        <v/>
      </c>
      <c r="Q2472" s="1" t="str">
        <f t="shared" si="192"/>
        <v/>
      </c>
      <c r="R2472" s="1" t="str">
        <f t="shared" si="193"/>
        <v/>
      </c>
      <c r="S2472" s="1" t="str">
        <f t="shared" si="194"/>
        <v/>
      </c>
      <c r="T2472" s="1" t="str">
        <f>IF(OR(COUNT(O2472:R2472)&lt;&gt;4,COUNT('Top 25'!$B$45:$E$45)&lt;&gt;4,MIN('Top 25'!$B$45:$E$45)&lt;0,SUM('Top 25'!$B$45:$E$45)&lt;=0),"",ROUND(85*(O2472/30*'Top 25'!$B$45+P2472/25*'Top 25'!$C$45+Q2472/25*'Top 25'!$D$45+R2472/5*'Top 25'!$E$45)/SUM('Top 25'!$B$45:$E$45),6))</f>
        <v/>
      </c>
      <c r="U2472" s="1" t="str">
        <f t="shared" si="195"/>
        <v/>
      </c>
      <c r="V2472" s="1" t="str">
        <f>IF(A2472="","",IF(AK2472&lt;&gt;1,"Duplicate source ID",IF(COUNTIFS('Staff Review'!$A$8:$A$507,A2472)&gt;1,"Duplicate review ID",IF(H2472&lt;&gt;"Yes","Outside scope",IF(J2472="Yes","Already served",IF(NOT(ISNUMBER(T2472)),"Missing data","Candidate"))))))</f>
        <v/>
      </c>
      <c r="W2472" s="1" t="str">
        <f t="shared" si="196"/>
        <v/>
      </c>
      <c r="X2472" s="1" t="str">
        <f t="shared" si="197"/>
        <v/>
      </c>
      <c r="Y2472" s="1">
        <f>IF(AND(H2472="Yes",OR(LEN('School Search'!$B$5)=0,ISNUMBER(SEARCH('School Search'!$B$5,B2472&amp;" "&amp;E2472&amp;" "&amp;A2472))),OR('School Search'!$D$5="All",C2472='School Search'!$D$5),OR('School Search'!$G$5="All eligible",AND('School Search'!$G$5="Not marked served",J2472&lt;&gt;"Yes"),AND('School Search'!$G$5="Missing data",V2472="Missing data"),AND('School Search'!$G$5="Marked served",J2472="Yes"))),1,0)</f>
        <v>0</v>
      </c>
      <c r="Z2472" s="1" t="str">
        <f>IF(Y2472=0,"",COUNTIFS($Y$2051:$Y$2550,1,$AO$2051:$AO$2550,"&lt;"&amp;AO2472)+COUNTIFS($Y$2051:Y2472,1,$AO$2051:AO2472,AO2472))</f>
        <v/>
      </c>
      <c r="AA2472" s="1" t="str">
        <f t="shared" si="198"/>
        <v>Missing demographic or access input</v>
      </c>
      <c r="AB2472" s="1">
        <f t="shared" si="199"/>
        <v>0</v>
      </c>
      <c r="AC2472" s="1" t="str">
        <f t="shared" si="200"/>
        <v/>
      </c>
      <c r="AD2472" s="1" t="str">
        <f t="shared" si="201"/>
        <v/>
      </c>
      <c r="AE2472" s="1" t="str">
        <f t="shared" si="202"/>
        <v/>
      </c>
      <c r="AF2472" s="1" t="str">
        <f t="shared" si="203"/>
        <v/>
      </c>
      <c r="AG2472" s="1" t="str">
        <f t="shared" si="204"/>
        <v/>
      </c>
      <c r="AH2472" s="1" t="str">
        <f>IF(I2472=0,"Not contacted",IF(INDEX('Staff Review'!$J$8:$J$507,I2472)="","Not contacted",INDEX('Staff Review'!$J$8:$J$507,I2472)))</f>
        <v>Not contacted</v>
      </c>
      <c r="AI2472" s="1" t="str">
        <f>IF(I2472=0,"No",IF(AND(COUNT(INDEX('Staff Review'!$D$8:$D$507,I2472))=1,INDEX('Staff Review'!$D$8:$D$507,I2472)&gt;=0,COUNT(INDEX('Staff Review'!$E$8:$E$507,I2472))=1,INDEX('Staff Review'!$E$8:$E$507,I2472)&gt;0,INDEX('Staff Review'!$E$8:$E$507,I2472)&lt;='Top 25'!$E$5,'Top 25'!$E$5-INDEX('Staff Review'!$E$8:$E$507,I2472)&lt;='Top 25'!$H$5,LEN(INDEX('Staff Review'!$H$8:$H$507,I2472))&gt;0),"Yes","No"))</f>
        <v>No</v>
      </c>
      <c r="AJ2472" s="1" t="str">
        <f>IF(I2472=0,"No",IF(COUNT(INDEX('Staff Review'!$F$8:$F$507,I2472))&lt;&gt;1,"No",IF(AND(INDEX('Staff Review'!$F$8:$F$507,I2472)&gt;=0,MOD(INDEX('Staff Review'!$F$8:$F$507,I2472),1)=0,COUNT(INDEX('Staff Review'!$G$8:$G$507,I2472))=1,INDEX('Staff Review'!$G$8:$G$507,I2472)&gt;0,INDEX('Staff Review'!$G$8:$G$507,I2472)&lt;='Top 25'!$E$5,'Top 25'!$E$5-INDEX('Staff Review'!$G$8:$G$507,I2472)&lt;='Top 25'!$H$5,LEN(INDEX('Staff Review'!$H$8:$H$507,I2472))&gt;0),"Yes","No")))</f>
        <v>No</v>
      </c>
      <c r="AK2472" s="1">
        <f t="shared" si="205"/>
        <v>0</v>
      </c>
      <c r="AL2472" s="1">
        <f t="shared" si="206"/>
        <v>0</v>
      </c>
      <c r="AM2472" s="1">
        <f t="shared" si="207"/>
        <v>0</v>
      </c>
      <c r="AN2472" s="1">
        <f t="shared" si="208"/>
        <v>0</v>
      </c>
      <c r="AO2472">
        <f t="shared" si="209"/>
        <v>10000</v>
      </c>
      <c r="AP2472" s="105">
        <f>IF(AND(AL2472=1,OR('Top 25'!$A$10="All",C2472='Top 25'!$A$10),OR('Top 25'!$D$10="All",D2472='Top 25'!$D$10)),1,0)</f>
        <v>0</v>
      </c>
      <c r="AQ2472" s="105" t="str">
        <f>IF(AP2472=0,"",CHOOSE(MATCH('Top 25'!$G$10,{"Priority score","Economic need","Enrollment","Fresh miles","Nearby resources"},0),T2472,G2472,F2472,K2472,L2472))</f>
        <v/>
      </c>
      <c r="AR2472" s="105" t="str">
        <f>IF(AP2472=0,"",1+COUNTIFS($AP$2051:$AP$2550,1,$AQ$2051:$AQ$2550,IF('Top 25'!$J$10="Ascending","&lt;","&gt;")&amp;AQ2472)+COUNTIFS($AP$2051:$AP$2550,1,$AQ$2051:$AQ$2550,AQ2472,$W$2051:$W$2550,"&lt;"&amp;W2472))</f>
        <v/>
      </c>
      <c r="AT2472" s="105">
        <f>IF(AND(AL2472=1,OR(Master_rankableSchools!$A$10="All",C2472=Master_rankableSchools!$A$10),OR(Master_rankableSchools!$D$10="All",D2472=Master_rankableSchools!$D$10)),1,0)</f>
        <v>0</v>
      </c>
      <c r="AU2472" s="105" t="str">
        <f>IF(AT2472=0,"",CHOOSE(MATCH(Master_rankableSchools!$G$10,{"Priority score","Economic need","Enrollment","Fresh miles","Nearby resources"},0),T2472,G2472,F2472,K2472,L2472))</f>
        <v/>
      </c>
      <c r="AV2472" s="105" t="str">
        <f>IF(AT2472=0,"",1+COUNTIFS($AT$2051:$AT$2550,1,$AU$2051:$AU$2550,IF(Master_rankableSchools!$J$10="Ascending","&lt;","&gt;")&amp;AU2472)+COUNTIFS($AT$2051:$AT$2550,1,$AU$2051:$AU$2550,AU2472,$W$2051:$W$2550,"&lt;"&amp;W2472))</f>
        <v/>
      </c>
    </row>
    <row r="2473" spans="1:48" ht="22" customHeight="1">
      <c r="A2473" s="1" t="str">
        <f t="shared" si="180"/>
        <v/>
      </c>
      <c r="B2473" s="1" t="str">
        <f t="shared" si="181"/>
        <v/>
      </c>
      <c r="C2473" s="1" t="str">
        <f t="shared" si="182"/>
        <v/>
      </c>
      <c r="D2473" s="1" t="str">
        <f t="shared" si="183"/>
        <v/>
      </c>
      <c r="E2473" s="1" t="str">
        <f t="shared" si="184"/>
        <v/>
      </c>
      <c r="F2473" s="1" t="str">
        <f t="shared" si="185"/>
        <v/>
      </c>
      <c r="G2473" s="1" t="str">
        <f t="shared" si="186"/>
        <v/>
      </c>
      <c r="H2473" s="1" t="str">
        <f t="shared" si="187"/>
        <v/>
      </c>
      <c r="I2473" s="1">
        <f>IF(OR(A2473="",COUNTIFS('Staff Review'!$A$8:$A$507,A2473)&lt;&gt;1),0,MATCH(A2473,'Staff Review'!$A$8:$A$507,0))</f>
        <v>0</v>
      </c>
      <c r="J2473" s="1" t="str">
        <f>IF(I2473=0,"No",IF(INDEX('Staff Review'!$C$8:$C$507,I2473)="Yes","Yes","No"))</f>
        <v>No</v>
      </c>
      <c r="K2473" s="1" t="str">
        <f>IF(AI2473="Yes",INDEX('Staff Review'!$D$8:$D$507,I2473),IF(AB2473=0,"",IF(COUNT(INDEX($C$1531:$C$2030,AB2473))=1,INDEX($C$1531:$C$2030,AB2473),"")))</f>
        <v/>
      </c>
      <c r="L2473" s="1" t="str">
        <f>IF(AJ2473="Yes",INDEX('Staff Review'!$F$8:$F$507,I2473),IF(AB2473=0,"",IF(COUNT(INDEX($G$1531:$G$2030,AB2473))=1,INDEX($G$1531:$G$2030,AB2473),"")))</f>
        <v/>
      </c>
      <c r="M2473" s="1" t="str">
        <f t="shared" si="188"/>
        <v/>
      </c>
      <c r="N2473" s="1" t="str">
        <f t="shared" si="189"/>
        <v/>
      </c>
      <c r="O2473" s="1" t="str">
        <f t="shared" si="190"/>
        <v/>
      </c>
      <c r="P2473" s="1" t="str">
        <f t="shared" si="191"/>
        <v/>
      </c>
      <c r="Q2473" s="1" t="str">
        <f t="shared" si="192"/>
        <v/>
      </c>
      <c r="R2473" s="1" t="str">
        <f t="shared" si="193"/>
        <v/>
      </c>
      <c r="S2473" s="1" t="str">
        <f t="shared" si="194"/>
        <v/>
      </c>
      <c r="T2473" s="1" t="str">
        <f>IF(OR(COUNT(O2473:R2473)&lt;&gt;4,COUNT('Top 25'!$B$45:$E$45)&lt;&gt;4,MIN('Top 25'!$B$45:$E$45)&lt;0,SUM('Top 25'!$B$45:$E$45)&lt;=0),"",ROUND(85*(O2473/30*'Top 25'!$B$45+P2473/25*'Top 25'!$C$45+Q2473/25*'Top 25'!$D$45+R2473/5*'Top 25'!$E$45)/SUM('Top 25'!$B$45:$E$45),6))</f>
        <v/>
      </c>
      <c r="U2473" s="1" t="str">
        <f t="shared" si="195"/>
        <v/>
      </c>
      <c r="V2473" s="1" t="str">
        <f>IF(A2473="","",IF(AK2473&lt;&gt;1,"Duplicate source ID",IF(COUNTIFS('Staff Review'!$A$8:$A$507,A2473)&gt;1,"Duplicate review ID",IF(H2473&lt;&gt;"Yes","Outside scope",IF(J2473="Yes","Already served",IF(NOT(ISNUMBER(T2473)),"Missing data","Candidate"))))))</f>
        <v/>
      </c>
      <c r="W2473" s="1" t="str">
        <f t="shared" si="196"/>
        <v/>
      </c>
      <c r="X2473" s="1" t="str">
        <f t="shared" si="197"/>
        <v/>
      </c>
      <c r="Y2473" s="1">
        <f>IF(AND(H2473="Yes",OR(LEN('School Search'!$B$5)=0,ISNUMBER(SEARCH('School Search'!$B$5,B2473&amp;" "&amp;E2473&amp;" "&amp;A2473))),OR('School Search'!$D$5="All",C2473='School Search'!$D$5),OR('School Search'!$G$5="All eligible",AND('School Search'!$G$5="Not marked served",J2473&lt;&gt;"Yes"),AND('School Search'!$G$5="Missing data",V2473="Missing data"),AND('School Search'!$G$5="Marked served",J2473="Yes"))),1,0)</f>
        <v>0</v>
      </c>
      <c r="Z2473" s="1" t="str">
        <f>IF(Y2473=0,"",COUNTIFS($Y$2051:$Y$2550,1,$AO$2051:$AO$2550,"&lt;"&amp;AO2473)+COUNTIFS($Y$2051:Y2473,1,$AO$2051:AO2473,AO2473))</f>
        <v/>
      </c>
      <c r="AA2473" s="1" t="str">
        <f t="shared" si="198"/>
        <v>Missing demographic or access input</v>
      </c>
      <c r="AB2473" s="1">
        <f t="shared" si="199"/>
        <v>0</v>
      </c>
      <c r="AC2473" s="1" t="str">
        <f t="shared" si="200"/>
        <v/>
      </c>
      <c r="AD2473" s="1" t="str">
        <f t="shared" si="201"/>
        <v/>
      </c>
      <c r="AE2473" s="1" t="str">
        <f t="shared" si="202"/>
        <v/>
      </c>
      <c r="AF2473" s="1" t="str">
        <f t="shared" si="203"/>
        <v/>
      </c>
      <c r="AG2473" s="1" t="str">
        <f t="shared" si="204"/>
        <v/>
      </c>
      <c r="AH2473" s="1" t="str">
        <f>IF(I2473=0,"Not contacted",IF(INDEX('Staff Review'!$J$8:$J$507,I2473)="","Not contacted",INDEX('Staff Review'!$J$8:$J$507,I2473)))</f>
        <v>Not contacted</v>
      </c>
      <c r="AI2473" s="1" t="str">
        <f>IF(I2473=0,"No",IF(AND(COUNT(INDEX('Staff Review'!$D$8:$D$507,I2473))=1,INDEX('Staff Review'!$D$8:$D$507,I2473)&gt;=0,COUNT(INDEX('Staff Review'!$E$8:$E$507,I2473))=1,INDEX('Staff Review'!$E$8:$E$507,I2473)&gt;0,INDEX('Staff Review'!$E$8:$E$507,I2473)&lt;='Top 25'!$E$5,'Top 25'!$E$5-INDEX('Staff Review'!$E$8:$E$507,I2473)&lt;='Top 25'!$H$5,LEN(INDEX('Staff Review'!$H$8:$H$507,I2473))&gt;0),"Yes","No"))</f>
        <v>No</v>
      </c>
      <c r="AJ2473" s="1" t="str">
        <f>IF(I2473=0,"No",IF(COUNT(INDEX('Staff Review'!$F$8:$F$507,I2473))&lt;&gt;1,"No",IF(AND(INDEX('Staff Review'!$F$8:$F$507,I2473)&gt;=0,MOD(INDEX('Staff Review'!$F$8:$F$507,I2473),1)=0,COUNT(INDEX('Staff Review'!$G$8:$G$507,I2473))=1,INDEX('Staff Review'!$G$8:$G$507,I2473)&gt;0,INDEX('Staff Review'!$G$8:$G$507,I2473)&lt;='Top 25'!$E$5,'Top 25'!$E$5-INDEX('Staff Review'!$G$8:$G$507,I2473)&lt;='Top 25'!$H$5,LEN(INDEX('Staff Review'!$H$8:$H$507,I2473))&gt;0),"Yes","No")))</f>
        <v>No</v>
      </c>
      <c r="AK2473" s="1">
        <f t="shared" si="205"/>
        <v>0</v>
      </c>
      <c r="AL2473" s="1">
        <f t="shared" si="206"/>
        <v>0</v>
      </c>
      <c r="AM2473" s="1">
        <f t="shared" si="207"/>
        <v>0</v>
      </c>
      <c r="AN2473" s="1">
        <f t="shared" si="208"/>
        <v>0</v>
      </c>
      <c r="AO2473">
        <f t="shared" si="209"/>
        <v>10000</v>
      </c>
      <c r="AP2473" s="105">
        <f>IF(AND(AL2473=1,OR('Top 25'!$A$10="All",C2473='Top 25'!$A$10),OR('Top 25'!$D$10="All",D2473='Top 25'!$D$10)),1,0)</f>
        <v>0</v>
      </c>
      <c r="AQ2473" s="105" t="str">
        <f>IF(AP2473=0,"",CHOOSE(MATCH('Top 25'!$G$10,{"Priority score","Economic need","Enrollment","Fresh miles","Nearby resources"},0),T2473,G2473,F2473,K2473,L2473))</f>
        <v/>
      </c>
      <c r="AR2473" s="105" t="str">
        <f>IF(AP2473=0,"",1+COUNTIFS($AP$2051:$AP$2550,1,$AQ$2051:$AQ$2550,IF('Top 25'!$J$10="Ascending","&lt;","&gt;")&amp;AQ2473)+COUNTIFS($AP$2051:$AP$2550,1,$AQ$2051:$AQ$2550,AQ2473,$W$2051:$W$2550,"&lt;"&amp;W2473))</f>
        <v/>
      </c>
      <c r="AT2473" s="105">
        <f>IF(AND(AL2473=1,OR(Master_rankableSchools!$A$10="All",C2473=Master_rankableSchools!$A$10),OR(Master_rankableSchools!$D$10="All",D2473=Master_rankableSchools!$D$10)),1,0)</f>
        <v>0</v>
      </c>
      <c r="AU2473" s="105" t="str">
        <f>IF(AT2473=0,"",CHOOSE(MATCH(Master_rankableSchools!$G$10,{"Priority score","Economic need","Enrollment","Fresh miles","Nearby resources"},0),T2473,G2473,F2473,K2473,L2473))</f>
        <v/>
      </c>
      <c r="AV2473" s="105" t="str">
        <f>IF(AT2473=0,"",1+COUNTIFS($AT$2051:$AT$2550,1,$AU$2051:$AU$2550,IF(Master_rankableSchools!$J$10="Ascending","&lt;","&gt;")&amp;AU2473)+COUNTIFS($AT$2051:$AT$2550,1,$AU$2051:$AU$2550,AU2473,$W$2051:$W$2550,"&lt;"&amp;W2473))</f>
        <v/>
      </c>
    </row>
    <row r="2474" spans="1:48" ht="22" customHeight="1">
      <c r="A2474" s="1" t="str">
        <f t="shared" si="180"/>
        <v/>
      </c>
      <c r="B2474" s="1" t="str">
        <f t="shared" si="181"/>
        <v/>
      </c>
      <c r="C2474" s="1" t="str">
        <f t="shared" si="182"/>
        <v/>
      </c>
      <c r="D2474" s="1" t="str">
        <f t="shared" si="183"/>
        <v/>
      </c>
      <c r="E2474" s="1" t="str">
        <f t="shared" si="184"/>
        <v/>
      </c>
      <c r="F2474" s="1" t="str">
        <f t="shared" si="185"/>
        <v/>
      </c>
      <c r="G2474" s="1" t="str">
        <f t="shared" si="186"/>
        <v/>
      </c>
      <c r="H2474" s="1" t="str">
        <f t="shared" si="187"/>
        <v/>
      </c>
      <c r="I2474" s="1">
        <f>IF(OR(A2474="",COUNTIFS('Staff Review'!$A$8:$A$507,A2474)&lt;&gt;1),0,MATCH(A2474,'Staff Review'!$A$8:$A$507,0))</f>
        <v>0</v>
      </c>
      <c r="J2474" s="1" t="str">
        <f>IF(I2474=0,"No",IF(INDEX('Staff Review'!$C$8:$C$507,I2474)="Yes","Yes","No"))</f>
        <v>No</v>
      </c>
      <c r="K2474" s="1" t="str">
        <f>IF(AI2474="Yes",INDEX('Staff Review'!$D$8:$D$507,I2474),IF(AB2474=0,"",IF(COUNT(INDEX($C$1531:$C$2030,AB2474))=1,INDEX($C$1531:$C$2030,AB2474),"")))</f>
        <v/>
      </c>
      <c r="L2474" s="1" t="str">
        <f>IF(AJ2474="Yes",INDEX('Staff Review'!$F$8:$F$507,I2474),IF(AB2474=0,"",IF(COUNT(INDEX($G$1531:$G$2030,AB2474))=1,INDEX($G$1531:$G$2030,AB2474),"")))</f>
        <v/>
      </c>
      <c r="M2474" s="1" t="str">
        <f t="shared" si="188"/>
        <v/>
      </c>
      <c r="N2474" s="1" t="str">
        <f t="shared" si="189"/>
        <v/>
      </c>
      <c r="O2474" s="1" t="str">
        <f t="shared" si="190"/>
        <v/>
      </c>
      <c r="P2474" s="1" t="str">
        <f t="shared" si="191"/>
        <v/>
      </c>
      <c r="Q2474" s="1" t="str">
        <f t="shared" si="192"/>
        <v/>
      </c>
      <c r="R2474" s="1" t="str">
        <f t="shared" si="193"/>
        <v/>
      </c>
      <c r="S2474" s="1" t="str">
        <f t="shared" si="194"/>
        <v/>
      </c>
      <c r="T2474" s="1" t="str">
        <f>IF(OR(COUNT(O2474:R2474)&lt;&gt;4,COUNT('Top 25'!$B$45:$E$45)&lt;&gt;4,MIN('Top 25'!$B$45:$E$45)&lt;0,SUM('Top 25'!$B$45:$E$45)&lt;=0),"",ROUND(85*(O2474/30*'Top 25'!$B$45+P2474/25*'Top 25'!$C$45+Q2474/25*'Top 25'!$D$45+R2474/5*'Top 25'!$E$45)/SUM('Top 25'!$B$45:$E$45),6))</f>
        <v/>
      </c>
      <c r="U2474" s="1" t="str">
        <f t="shared" si="195"/>
        <v/>
      </c>
      <c r="V2474" s="1" t="str">
        <f>IF(A2474="","",IF(AK2474&lt;&gt;1,"Duplicate source ID",IF(COUNTIFS('Staff Review'!$A$8:$A$507,A2474)&gt;1,"Duplicate review ID",IF(H2474&lt;&gt;"Yes","Outside scope",IF(J2474="Yes","Already served",IF(NOT(ISNUMBER(T2474)),"Missing data","Candidate"))))))</f>
        <v/>
      </c>
      <c r="W2474" s="1" t="str">
        <f t="shared" si="196"/>
        <v/>
      </c>
      <c r="X2474" s="1" t="str">
        <f t="shared" si="197"/>
        <v/>
      </c>
      <c r="Y2474" s="1">
        <f>IF(AND(H2474="Yes",OR(LEN('School Search'!$B$5)=0,ISNUMBER(SEARCH('School Search'!$B$5,B2474&amp;" "&amp;E2474&amp;" "&amp;A2474))),OR('School Search'!$D$5="All",C2474='School Search'!$D$5),OR('School Search'!$G$5="All eligible",AND('School Search'!$G$5="Not marked served",J2474&lt;&gt;"Yes"),AND('School Search'!$G$5="Missing data",V2474="Missing data"),AND('School Search'!$G$5="Marked served",J2474="Yes"))),1,0)</f>
        <v>0</v>
      </c>
      <c r="Z2474" s="1" t="str">
        <f>IF(Y2474=0,"",COUNTIFS($Y$2051:$Y$2550,1,$AO$2051:$AO$2550,"&lt;"&amp;AO2474)+COUNTIFS($Y$2051:Y2474,1,$AO$2051:AO2474,AO2474))</f>
        <v/>
      </c>
      <c r="AA2474" s="1" t="str">
        <f t="shared" si="198"/>
        <v>Missing demographic or access input</v>
      </c>
      <c r="AB2474" s="1">
        <f t="shared" si="199"/>
        <v>0</v>
      </c>
      <c r="AC2474" s="1" t="str">
        <f t="shared" si="200"/>
        <v/>
      </c>
      <c r="AD2474" s="1" t="str">
        <f t="shared" si="201"/>
        <v/>
      </c>
      <c r="AE2474" s="1" t="str">
        <f t="shared" si="202"/>
        <v/>
      </c>
      <c r="AF2474" s="1" t="str">
        <f t="shared" si="203"/>
        <v/>
      </c>
      <c r="AG2474" s="1" t="str">
        <f t="shared" si="204"/>
        <v/>
      </c>
      <c r="AH2474" s="1" t="str">
        <f>IF(I2474=0,"Not contacted",IF(INDEX('Staff Review'!$J$8:$J$507,I2474)="","Not contacted",INDEX('Staff Review'!$J$8:$J$507,I2474)))</f>
        <v>Not contacted</v>
      </c>
      <c r="AI2474" s="1" t="str">
        <f>IF(I2474=0,"No",IF(AND(COUNT(INDEX('Staff Review'!$D$8:$D$507,I2474))=1,INDEX('Staff Review'!$D$8:$D$507,I2474)&gt;=0,COUNT(INDEX('Staff Review'!$E$8:$E$507,I2474))=1,INDEX('Staff Review'!$E$8:$E$507,I2474)&gt;0,INDEX('Staff Review'!$E$8:$E$507,I2474)&lt;='Top 25'!$E$5,'Top 25'!$E$5-INDEX('Staff Review'!$E$8:$E$507,I2474)&lt;='Top 25'!$H$5,LEN(INDEX('Staff Review'!$H$8:$H$507,I2474))&gt;0),"Yes","No"))</f>
        <v>No</v>
      </c>
      <c r="AJ2474" s="1" t="str">
        <f>IF(I2474=0,"No",IF(COUNT(INDEX('Staff Review'!$F$8:$F$507,I2474))&lt;&gt;1,"No",IF(AND(INDEX('Staff Review'!$F$8:$F$507,I2474)&gt;=0,MOD(INDEX('Staff Review'!$F$8:$F$507,I2474),1)=0,COUNT(INDEX('Staff Review'!$G$8:$G$507,I2474))=1,INDEX('Staff Review'!$G$8:$G$507,I2474)&gt;0,INDEX('Staff Review'!$G$8:$G$507,I2474)&lt;='Top 25'!$E$5,'Top 25'!$E$5-INDEX('Staff Review'!$G$8:$G$507,I2474)&lt;='Top 25'!$H$5,LEN(INDEX('Staff Review'!$H$8:$H$507,I2474))&gt;0),"Yes","No")))</f>
        <v>No</v>
      </c>
      <c r="AK2474" s="1">
        <f t="shared" si="205"/>
        <v>0</v>
      </c>
      <c r="AL2474" s="1">
        <f t="shared" si="206"/>
        <v>0</v>
      </c>
      <c r="AM2474" s="1">
        <f t="shared" si="207"/>
        <v>0</v>
      </c>
      <c r="AN2474" s="1">
        <f t="shared" si="208"/>
        <v>0</v>
      </c>
      <c r="AO2474">
        <f t="shared" si="209"/>
        <v>10000</v>
      </c>
      <c r="AP2474" s="105">
        <f>IF(AND(AL2474=1,OR('Top 25'!$A$10="All",C2474='Top 25'!$A$10),OR('Top 25'!$D$10="All",D2474='Top 25'!$D$10)),1,0)</f>
        <v>0</v>
      </c>
      <c r="AQ2474" s="105" t="str">
        <f>IF(AP2474=0,"",CHOOSE(MATCH('Top 25'!$G$10,{"Priority score","Economic need","Enrollment","Fresh miles","Nearby resources"},0),T2474,G2474,F2474,K2474,L2474))</f>
        <v/>
      </c>
      <c r="AR2474" s="105" t="str">
        <f>IF(AP2474=0,"",1+COUNTIFS($AP$2051:$AP$2550,1,$AQ$2051:$AQ$2550,IF('Top 25'!$J$10="Ascending","&lt;","&gt;")&amp;AQ2474)+COUNTIFS($AP$2051:$AP$2550,1,$AQ$2051:$AQ$2550,AQ2474,$W$2051:$W$2550,"&lt;"&amp;W2474))</f>
        <v/>
      </c>
      <c r="AT2474" s="105">
        <f>IF(AND(AL2474=1,OR(Master_rankableSchools!$A$10="All",C2474=Master_rankableSchools!$A$10),OR(Master_rankableSchools!$D$10="All",D2474=Master_rankableSchools!$D$10)),1,0)</f>
        <v>0</v>
      </c>
      <c r="AU2474" s="105" t="str">
        <f>IF(AT2474=0,"",CHOOSE(MATCH(Master_rankableSchools!$G$10,{"Priority score","Economic need","Enrollment","Fresh miles","Nearby resources"},0),T2474,G2474,F2474,K2474,L2474))</f>
        <v/>
      </c>
      <c r="AV2474" s="105" t="str">
        <f>IF(AT2474=0,"",1+COUNTIFS($AT$2051:$AT$2550,1,$AU$2051:$AU$2550,IF(Master_rankableSchools!$J$10="Ascending","&lt;","&gt;")&amp;AU2474)+COUNTIFS($AT$2051:$AT$2550,1,$AU$2051:$AU$2550,AU2474,$W$2051:$W$2550,"&lt;"&amp;W2474))</f>
        <v/>
      </c>
    </row>
    <row r="2475" spans="1:48" ht="22" customHeight="1">
      <c r="A2475" s="1" t="str">
        <f t="shared" si="180"/>
        <v/>
      </c>
      <c r="B2475" s="1" t="str">
        <f t="shared" si="181"/>
        <v/>
      </c>
      <c r="C2475" s="1" t="str">
        <f t="shared" si="182"/>
        <v/>
      </c>
      <c r="D2475" s="1" t="str">
        <f t="shared" si="183"/>
        <v/>
      </c>
      <c r="E2475" s="1" t="str">
        <f t="shared" si="184"/>
        <v/>
      </c>
      <c r="F2475" s="1" t="str">
        <f t="shared" si="185"/>
        <v/>
      </c>
      <c r="G2475" s="1" t="str">
        <f t="shared" si="186"/>
        <v/>
      </c>
      <c r="H2475" s="1" t="str">
        <f t="shared" si="187"/>
        <v/>
      </c>
      <c r="I2475" s="1">
        <f>IF(OR(A2475="",COUNTIFS('Staff Review'!$A$8:$A$507,A2475)&lt;&gt;1),0,MATCH(A2475,'Staff Review'!$A$8:$A$507,0))</f>
        <v>0</v>
      </c>
      <c r="J2475" s="1" t="str">
        <f>IF(I2475=0,"No",IF(INDEX('Staff Review'!$C$8:$C$507,I2475)="Yes","Yes","No"))</f>
        <v>No</v>
      </c>
      <c r="K2475" s="1" t="str">
        <f>IF(AI2475="Yes",INDEX('Staff Review'!$D$8:$D$507,I2475),IF(AB2475=0,"",IF(COUNT(INDEX($C$1531:$C$2030,AB2475))=1,INDEX($C$1531:$C$2030,AB2475),"")))</f>
        <v/>
      </c>
      <c r="L2475" s="1" t="str">
        <f>IF(AJ2475="Yes",INDEX('Staff Review'!$F$8:$F$507,I2475),IF(AB2475=0,"",IF(COUNT(INDEX($G$1531:$G$2030,AB2475))=1,INDEX($G$1531:$G$2030,AB2475),"")))</f>
        <v/>
      </c>
      <c r="M2475" s="1" t="str">
        <f t="shared" si="188"/>
        <v/>
      </c>
      <c r="N2475" s="1" t="str">
        <f t="shared" si="189"/>
        <v/>
      </c>
      <c r="O2475" s="1" t="str">
        <f t="shared" si="190"/>
        <v/>
      </c>
      <c r="P2475" s="1" t="str">
        <f t="shared" si="191"/>
        <v/>
      </c>
      <c r="Q2475" s="1" t="str">
        <f t="shared" si="192"/>
        <v/>
      </c>
      <c r="R2475" s="1" t="str">
        <f t="shared" si="193"/>
        <v/>
      </c>
      <c r="S2475" s="1" t="str">
        <f t="shared" si="194"/>
        <v/>
      </c>
      <c r="T2475" s="1" t="str">
        <f>IF(OR(COUNT(O2475:R2475)&lt;&gt;4,COUNT('Top 25'!$B$45:$E$45)&lt;&gt;4,MIN('Top 25'!$B$45:$E$45)&lt;0,SUM('Top 25'!$B$45:$E$45)&lt;=0),"",ROUND(85*(O2475/30*'Top 25'!$B$45+P2475/25*'Top 25'!$C$45+Q2475/25*'Top 25'!$D$45+R2475/5*'Top 25'!$E$45)/SUM('Top 25'!$B$45:$E$45),6))</f>
        <v/>
      </c>
      <c r="U2475" s="1" t="str">
        <f t="shared" si="195"/>
        <v/>
      </c>
      <c r="V2475" s="1" t="str">
        <f>IF(A2475="","",IF(AK2475&lt;&gt;1,"Duplicate source ID",IF(COUNTIFS('Staff Review'!$A$8:$A$507,A2475)&gt;1,"Duplicate review ID",IF(H2475&lt;&gt;"Yes","Outside scope",IF(J2475="Yes","Already served",IF(NOT(ISNUMBER(T2475)),"Missing data","Candidate"))))))</f>
        <v/>
      </c>
      <c r="W2475" s="1" t="str">
        <f t="shared" si="196"/>
        <v/>
      </c>
      <c r="X2475" s="1" t="str">
        <f t="shared" si="197"/>
        <v/>
      </c>
      <c r="Y2475" s="1">
        <f>IF(AND(H2475="Yes",OR(LEN('School Search'!$B$5)=0,ISNUMBER(SEARCH('School Search'!$B$5,B2475&amp;" "&amp;E2475&amp;" "&amp;A2475))),OR('School Search'!$D$5="All",C2475='School Search'!$D$5),OR('School Search'!$G$5="All eligible",AND('School Search'!$G$5="Not marked served",J2475&lt;&gt;"Yes"),AND('School Search'!$G$5="Missing data",V2475="Missing data"),AND('School Search'!$G$5="Marked served",J2475="Yes"))),1,0)</f>
        <v>0</v>
      </c>
      <c r="Z2475" s="1" t="str">
        <f>IF(Y2475=0,"",COUNTIFS($Y$2051:$Y$2550,1,$AO$2051:$AO$2550,"&lt;"&amp;AO2475)+COUNTIFS($Y$2051:Y2475,1,$AO$2051:AO2475,AO2475))</f>
        <v/>
      </c>
      <c r="AA2475" s="1" t="str">
        <f t="shared" si="198"/>
        <v>Missing demographic or access input</v>
      </c>
      <c r="AB2475" s="1">
        <f t="shared" si="199"/>
        <v>0</v>
      </c>
      <c r="AC2475" s="1" t="str">
        <f t="shared" si="200"/>
        <v/>
      </c>
      <c r="AD2475" s="1" t="str">
        <f t="shared" si="201"/>
        <v/>
      </c>
      <c r="AE2475" s="1" t="str">
        <f t="shared" si="202"/>
        <v/>
      </c>
      <c r="AF2475" s="1" t="str">
        <f t="shared" si="203"/>
        <v/>
      </c>
      <c r="AG2475" s="1" t="str">
        <f t="shared" si="204"/>
        <v/>
      </c>
      <c r="AH2475" s="1" t="str">
        <f>IF(I2475=0,"Not contacted",IF(INDEX('Staff Review'!$J$8:$J$507,I2475)="","Not contacted",INDEX('Staff Review'!$J$8:$J$507,I2475)))</f>
        <v>Not contacted</v>
      </c>
      <c r="AI2475" s="1" t="str">
        <f>IF(I2475=0,"No",IF(AND(COUNT(INDEX('Staff Review'!$D$8:$D$507,I2475))=1,INDEX('Staff Review'!$D$8:$D$507,I2475)&gt;=0,COUNT(INDEX('Staff Review'!$E$8:$E$507,I2475))=1,INDEX('Staff Review'!$E$8:$E$507,I2475)&gt;0,INDEX('Staff Review'!$E$8:$E$507,I2475)&lt;='Top 25'!$E$5,'Top 25'!$E$5-INDEX('Staff Review'!$E$8:$E$507,I2475)&lt;='Top 25'!$H$5,LEN(INDEX('Staff Review'!$H$8:$H$507,I2475))&gt;0),"Yes","No"))</f>
        <v>No</v>
      </c>
      <c r="AJ2475" s="1" t="str">
        <f>IF(I2475=0,"No",IF(COUNT(INDEX('Staff Review'!$F$8:$F$507,I2475))&lt;&gt;1,"No",IF(AND(INDEX('Staff Review'!$F$8:$F$507,I2475)&gt;=0,MOD(INDEX('Staff Review'!$F$8:$F$507,I2475),1)=0,COUNT(INDEX('Staff Review'!$G$8:$G$507,I2475))=1,INDEX('Staff Review'!$G$8:$G$507,I2475)&gt;0,INDEX('Staff Review'!$G$8:$G$507,I2475)&lt;='Top 25'!$E$5,'Top 25'!$E$5-INDEX('Staff Review'!$G$8:$G$507,I2475)&lt;='Top 25'!$H$5,LEN(INDEX('Staff Review'!$H$8:$H$507,I2475))&gt;0),"Yes","No")))</f>
        <v>No</v>
      </c>
      <c r="AK2475" s="1">
        <f t="shared" si="205"/>
        <v>0</v>
      </c>
      <c r="AL2475" s="1">
        <f t="shared" si="206"/>
        <v>0</v>
      </c>
      <c r="AM2475" s="1">
        <f t="shared" si="207"/>
        <v>0</v>
      </c>
      <c r="AN2475" s="1">
        <f t="shared" si="208"/>
        <v>0</v>
      </c>
      <c r="AO2475">
        <f t="shared" si="209"/>
        <v>10000</v>
      </c>
      <c r="AP2475" s="105">
        <f>IF(AND(AL2475=1,OR('Top 25'!$A$10="All",C2475='Top 25'!$A$10),OR('Top 25'!$D$10="All",D2475='Top 25'!$D$10)),1,0)</f>
        <v>0</v>
      </c>
      <c r="AQ2475" s="105" t="str">
        <f>IF(AP2475=0,"",CHOOSE(MATCH('Top 25'!$G$10,{"Priority score","Economic need","Enrollment","Fresh miles","Nearby resources"},0),T2475,G2475,F2475,K2475,L2475))</f>
        <v/>
      </c>
      <c r="AR2475" s="105" t="str">
        <f>IF(AP2475=0,"",1+COUNTIFS($AP$2051:$AP$2550,1,$AQ$2051:$AQ$2550,IF('Top 25'!$J$10="Ascending","&lt;","&gt;")&amp;AQ2475)+COUNTIFS($AP$2051:$AP$2550,1,$AQ$2051:$AQ$2550,AQ2475,$W$2051:$W$2550,"&lt;"&amp;W2475))</f>
        <v/>
      </c>
      <c r="AT2475" s="105">
        <f>IF(AND(AL2475=1,OR(Master_rankableSchools!$A$10="All",C2475=Master_rankableSchools!$A$10),OR(Master_rankableSchools!$D$10="All",D2475=Master_rankableSchools!$D$10)),1,0)</f>
        <v>0</v>
      </c>
      <c r="AU2475" s="105" t="str">
        <f>IF(AT2475=0,"",CHOOSE(MATCH(Master_rankableSchools!$G$10,{"Priority score","Economic need","Enrollment","Fresh miles","Nearby resources"},0),T2475,G2475,F2475,K2475,L2475))</f>
        <v/>
      </c>
      <c r="AV2475" s="105" t="str">
        <f>IF(AT2475=0,"",1+COUNTIFS($AT$2051:$AT$2550,1,$AU$2051:$AU$2550,IF(Master_rankableSchools!$J$10="Ascending","&lt;","&gt;")&amp;AU2475)+COUNTIFS($AT$2051:$AT$2550,1,$AU$2051:$AU$2550,AU2475,$W$2051:$W$2550,"&lt;"&amp;W2475))</f>
        <v/>
      </c>
    </row>
    <row r="2476" spans="1:48" ht="22" customHeight="1">
      <c r="A2476" s="1" t="str">
        <f t="shared" si="180"/>
        <v/>
      </c>
      <c r="B2476" s="1" t="str">
        <f t="shared" si="181"/>
        <v/>
      </c>
      <c r="C2476" s="1" t="str">
        <f t="shared" si="182"/>
        <v/>
      </c>
      <c r="D2476" s="1" t="str">
        <f t="shared" si="183"/>
        <v/>
      </c>
      <c r="E2476" s="1" t="str">
        <f t="shared" si="184"/>
        <v/>
      </c>
      <c r="F2476" s="1" t="str">
        <f t="shared" si="185"/>
        <v/>
      </c>
      <c r="G2476" s="1" t="str">
        <f t="shared" si="186"/>
        <v/>
      </c>
      <c r="H2476" s="1" t="str">
        <f t="shared" si="187"/>
        <v/>
      </c>
      <c r="I2476" s="1">
        <f>IF(OR(A2476="",COUNTIFS('Staff Review'!$A$8:$A$507,A2476)&lt;&gt;1),0,MATCH(A2476,'Staff Review'!$A$8:$A$507,0))</f>
        <v>0</v>
      </c>
      <c r="J2476" s="1" t="str">
        <f>IF(I2476=0,"No",IF(INDEX('Staff Review'!$C$8:$C$507,I2476)="Yes","Yes","No"))</f>
        <v>No</v>
      </c>
      <c r="K2476" s="1" t="str">
        <f>IF(AI2476="Yes",INDEX('Staff Review'!$D$8:$D$507,I2476),IF(AB2476=0,"",IF(COUNT(INDEX($C$1531:$C$2030,AB2476))=1,INDEX($C$1531:$C$2030,AB2476),"")))</f>
        <v/>
      </c>
      <c r="L2476" s="1" t="str">
        <f>IF(AJ2476="Yes",INDEX('Staff Review'!$F$8:$F$507,I2476),IF(AB2476=0,"",IF(COUNT(INDEX($G$1531:$G$2030,AB2476))=1,INDEX($G$1531:$G$2030,AB2476),"")))</f>
        <v/>
      </c>
      <c r="M2476" s="1" t="str">
        <f t="shared" si="188"/>
        <v/>
      </c>
      <c r="N2476" s="1" t="str">
        <f t="shared" si="189"/>
        <v/>
      </c>
      <c r="O2476" s="1" t="str">
        <f t="shared" si="190"/>
        <v/>
      </c>
      <c r="P2476" s="1" t="str">
        <f t="shared" si="191"/>
        <v/>
      </c>
      <c r="Q2476" s="1" t="str">
        <f t="shared" si="192"/>
        <v/>
      </c>
      <c r="R2476" s="1" t="str">
        <f t="shared" si="193"/>
        <v/>
      </c>
      <c r="S2476" s="1" t="str">
        <f t="shared" si="194"/>
        <v/>
      </c>
      <c r="T2476" s="1" t="str">
        <f>IF(OR(COUNT(O2476:R2476)&lt;&gt;4,COUNT('Top 25'!$B$45:$E$45)&lt;&gt;4,MIN('Top 25'!$B$45:$E$45)&lt;0,SUM('Top 25'!$B$45:$E$45)&lt;=0),"",ROUND(85*(O2476/30*'Top 25'!$B$45+P2476/25*'Top 25'!$C$45+Q2476/25*'Top 25'!$D$45+R2476/5*'Top 25'!$E$45)/SUM('Top 25'!$B$45:$E$45),6))</f>
        <v/>
      </c>
      <c r="U2476" s="1" t="str">
        <f t="shared" si="195"/>
        <v/>
      </c>
      <c r="V2476" s="1" t="str">
        <f>IF(A2476="","",IF(AK2476&lt;&gt;1,"Duplicate source ID",IF(COUNTIFS('Staff Review'!$A$8:$A$507,A2476)&gt;1,"Duplicate review ID",IF(H2476&lt;&gt;"Yes","Outside scope",IF(J2476="Yes","Already served",IF(NOT(ISNUMBER(T2476)),"Missing data","Candidate"))))))</f>
        <v/>
      </c>
      <c r="W2476" s="1" t="str">
        <f t="shared" si="196"/>
        <v/>
      </c>
      <c r="X2476" s="1" t="str">
        <f t="shared" si="197"/>
        <v/>
      </c>
      <c r="Y2476" s="1">
        <f>IF(AND(H2476="Yes",OR(LEN('School Search'!$B$5)=0,ISNUMBER(SEARCH('School Search'!$B$5,B2476&amp;" "&amp;E2476&amp;" "&amp;A2476))),OR('School Search'!$D$5="All",C2476='School Search'!$D$5),OR('School Search'!$G$5="All eligible",AND('School Search'!$G$5="Not marked served",J2476&lt;&gt;"Yes"),AND('School Search'!$G$5="Missing data",V2476="Missing data"),AND('School Search'!$G$5="Marked served",J2476="Yes"))),1,0)</f>
        <v>0</v>
      </c>
      <c r="Z2476" s="1" t="str">
        <f>IF(Y2476=0,"",COUNTIFS($Y$2051:$Y$2550,1,$AO$2051:$AO$2550,"&lt;"&amp;AO2476)+COUNTIFS($Y$2051:Y2476,1,$AO$2051:AO2476,AO2476))</f>
        <v/>
      </c>
      <c r="AA2476" s="1" t="str">
        <f t="shared" si="198"/>
        <v>Missing demographic or access input</v>
      </c>
      <c r="AB2476" s="1">
        <f t="shared" si="199"/>
        <v>0</v>
      </c>
      <c r="AC2476" s="1" t="str">
        <f t="shared" si="200"/>
        <v/>
      </c>
      <c r="AD2476" s="1" t="str">
        <f t="shared" si="201"/>
        <v/>
      </c>
      <c r="AE2476" s="1" t="str">
        <f t="shared" si="202"/>
        <v/>
      </c>
      <c r="AF2476" s="1" t="str">
        <f t="shared" si="203"/>
        <v/>
      </c>
      <c r="AG2476" s="1" t="str">
        <f t="shared" si="204"/>
        <v/>
      </c>
      <c r="AH2476" s="1" t="str">
        <f>IF(I2476=0,"Not contacted",IF(INDEX('Staff Review'!$J$8:$J$507,I2476)="","Not contacted",INDEX('Staff Review'!$J$8:$J$507,I2476)))</f>
        <v>Not contacted</v>
      </c>
      <c r="AI2476" s="1" t="str">
        <f>IF(I2476=0,"No",IF(AND(COUNT(INDEX('Staff Review'!$D$8:$D$507,I2476))=1,INDEX('Staff Review'!$D$8:$D$507,I2476)&gt;=0,COUNT(INDEX('Staff Review'!$E$8:$E$507,I2476))=1,INDEX('Staff Review'!$E$8:$E$507,I2476)&gt;0,INDEX('Staff Review'!$E$8:$E$507,I2476)&lt;='Top 25'!$E$5,'Top 25'!$E$5-INDEX('Staff Review'!$E$8:$E$507,I2476)&lt;='Top 25'!$H$5,LEN(INDEX('Staff Review'!$H$8:$H$507,I2476))&gt;0),"Yes","No"))</f>
        <v>No</v>
      </c>
      <c r="AJ2476" s="1" t="str">
        <f>IF(I2476=0,"No",IF(COUNT(INDEX('Staff Review'!$F$8:$F$507,I2476))&lt;&gt;1,"No",IF(AND(INDEX('Staff Review'!$F$8:$F$507,I2476)&gt;=0,MOD(INDEX('Staff Review'!$F$8:$F$507,I2476),1)=0,COUNT(INDEX('Staff Review'!$G$8:$G$507,I2476))=1,INDEX('Staff Review'!$G$8:$G$507,I2476)&gt;0,INDEX('Staff Review'!$G$8:$G$507,I2476)&lt;='Top 25'!$E$5,'Top 25'!$E$5-INDEX('Staff Review'!$G$8:$G$507,I2476)&lt;='Top 25'!$H$5,LEN(INDEX('Staff Review'!$H$8:$H$507,I2476))&gt;0),"Yes","No")))</f>
        <v>No</v>
      </c>
      <c r="AK2476" s="1">
        <f t="shared" si="205"/>
        <v>0</v>
      </c>
      <c r="AL2476" s="1">
        <f t="shared" si="206"/>
        <v>0</v>
      </c>
      <c r="AM2476" s="1">
        <f t="shared" si="207"/>
        <v>0</v>
      </c>
      <c r="AN2476" s="1">
        <f t="shared" si="208"/>
        <v>0</v>
      </c>
      <c r="AO2476">
        <f t="shared" si="209"/>
        <v>10000</v>
      </c>
      <c r="AP2476" s="105">
        <f>IF(AND(AL2476=1,OR('Top 25'!$A$10="All",C2476='Top 25'!$A$10),OR('Top 25'!$D$10="All",D2476='Top 25'!$D$10)),1,0)</f>
        <v>0</v>
      </c>
      <c r="AQ2476" s="105" t="str">
        <f>IF(AP2476=0,"",CHOOSE(MATCH('Top 25'!$G$10,{"Priority score","Economic need","Enrollment","Fresh miles","Nearby resources"},0),T2476,G2476,F2476,K2476,L2476))</f>
        <v/>
      </c>
      <c r="AR2476" s="105" t="str">
        <f>IF(AP2476=0,"",1+COUNTIFS($AP$2051:$AP$2550,1,$AQ$2051:$AQ$2550,IF('Top 25'!$J$10="Ascending","&lt;","&gt;")&amp;AQ2476)+COUNTIFS($AP$2051:$AP$2550,1,$AQ$2051:$AQ$2550,AQ2476,$W$2051:$W$2550,"&lt;"&amp;W2476))</f>
        <v/>
      </c>
      <c r="AT2476" s="105">
        <f>IF(AND(AL2476=1,OR(Master_rankableSchools!$A$10="All",C2476=Master_rankableSchools!$A$10),OR(Master_rankableSchools!$D$10="All",D2476=Master_rankableSchools!$D$10)),1,0)</f>
        <v>0</v>
      </c>
      <c r="AU2476" s="105" t="str">
        <f>IF(AT2476=0,"",CHOOSE(MATCH(Master_rankableSchools!$G$10,{"Priority score","Economic need","Enrollment","Fresh miles","Nearby resources"},0),T2476,G2476,F2476,K2476,L2476))</f>
        <v/>
      </c>
      <c r="AV2476" s="105" t="str">
        <f>IF(AT2476=0,"",1+COUNTIFS($AT$2051:$AT$2550,1,$AU$2051:$AU$2550,IF(Master_rankableSchools!$J$10="Ascending","&lt;","&gt;")&amp;AU2476)+COUNTIFS($AT$2051:$AT$2550,1,$AU$2051:$AU$2550,AU2476,$W$2051:$W$2550,"&lt;"&amp;W2476))</f>
        <v/>
      </c>
    </row>
    <row r="2477" spans="1:48" ht="22" customHeight="1">
      <c r="A2477" s="1" t="str">
        <f t="shared" si="180"/>
        <v/>
      </c>
      <c r="B2477" s="1" t="str">
        <f t="shared" si="181"/>
        <v/>
      </c>
      <c r="C2477" s="1" t="str">
        <f t="shared" si="182"/>
        <v/>
      </c>
      <c r="D2477" s="1" t="str">
        <f t="shared" si="183"/>
        <v/>
      </c>
      <c r="E2477" s="1" t="str">
        <f t="shared" si="184"/>
        <v/>
      </c>
      <c r="F2477" s="1" t="str">
        <f t="shared" si="185"/>
        <v/>
      </c>
      <c r="G2477" s="1" t="str">
        <f t="shared" si="186"/>
        <v/>
      </c>
      <c r="H2477" s="1" t="str">
        <f t="shared" si="187"/>
        <v/>
      </c>
      <c r="I2477" s="1">
        <f>IF(OR(A2477="",COUNTIFS('Staff Review'!$A$8:$A$507,A2477)&lt;&gt;1),0,MATCH(A2477,'Staff Review'!$A$8:$A$507,0))</f>
        <v>0</v>
      </c>
      <c r="J2477" s="1" t="str">
        <f>IF(I2477=0,"No",IF(INDEX('Staff Review'!$C$8:$C$507,I2477)="Yes","Yes","No"))</f>
        <v>No</v>
      </c>
      <c r="K2477" s="1" t="str">
        <f>IF(AI2477="Yes",INDEX('Staff Review'!$D$8:$D$507,I2477),IF(AB2477=0,"",IF(COUNT(INDEX($C$1531:$C$2030,AB2477))=1,INDEX($C$1531:$C$2030,AB2477),"")))</f>
        <v/>
      </c>
      <c r="L2477" s="1" t="str">
        <f>IF(AJ2477="Yes",INDEX('Staff Review'!$F$8:$F$507,I2477),IF(AB2477=0,"",IF(COUNT(INDEX($G$1531:$G$2030,AB2477))=1,INDEX($G$1531:$G$2030,AB2477),"")))</f>
        <v/>
      </c>
      <c r="M2477" s="1" t="str">
        <f t="shared" si="188"/>
        <v/>
      </c>
      <c r="N2477" s="1" t="str">
        <f t="shared" si="189"/>
        <v/>
      </c>
      <c r="O2477" s="1" t="str">
        <f t="shared" si="190"/>
        <v/>
      </c>
      <c r="P2477" s="1" t="str">
        <f t="shared" si="191"/>
        <v/>
      </c>
      <c r="Q2477" s="1" t="str">
        <f t="shared" si="192"/>
        <v/>
      </c>
      <c r="R2477" s="1" t="str">
        <f t="shared" si="193"/>
        <v/>
      </c>
      <c r="S2477" s="1" t="str">
        <f t="shared" si="194"/>
        <v/>
      </c>
      <c r="T2477" s="1" t="str">
        <f>IF(OR(COUNT(O2477:R2477)&lt;&gt;4,COUNT('Top 25'!$B$45:$E$45)&lt;&gt;4,MIN('Top 25'!$B$45:$E$45)&lt;0,SUM('Top 25'!$B$45:$E$45)&lt;=0),"",ROUND(85*(O2477/30*'Top 25'!$B$45+P2477/25*'Top 25'!$C$45+Q2477/25*'Top 25'!$D$45+R2477/5*'Top 25'!$E$45)/SUM('Top 25'!$B$45:$E$45),6))</f>
        <v/>
      </c>
      <c r="U2477" s="1" t="str">
        <f t="shared" si="195"/>
        <v/>
      </c>
      <c r="V2477" s="1" t="str">
        <f>IF(A2477="","",IF(AK2477&lt;&gt;1,"Duplicate source ID",IF(COUNTIFS('Staff Review'!$A$8:$A$507,A2477)&gt;1,"Duplicate review ID",IF(H2477&lt;&gt;"Yes","Outside scope",IF(J2477="Yes","Already served",IF(NOT(ISNUMBER(T2477)),"Missing data","Candidate"))))))</f>
        <v/>
      </c>
      <c r="W2477" s="1" t="str">
        <f t="shared" si="196"/>
        <v/>
      </c>
      <c r="X2477" s="1" t="str">
        <f t="shared" si="197"/>
        <v/>
      </c>
      <c r="Y2477" s="1">
        <f>IF(AND(H2477="Yes",OR(LEN('School Search'!$B$5)=0,ISNUMBER(SEARCH('School Search'!$B$5,B2477&amp;" "&amp;E2477&amp;" "&amp;A2477))),OR('School Search'!$D$5="All",C2477='School Search'!$D$5),OR('School Search'!$G$5="All eligible",AND('School Search'!$G$5="Not marked served",J2477&lt;&gt;"Yes"),AND('School Search'!$G$5="Missing data",V2477="Missing data"),AND('School Search'!$G$5="Marked served",J2477="Yes"))),1,0)</f>
        <v>0</v>
      </c>
      <c r="Z2477" s="1" t="str">
        <f>IF(Y2477=0,"",COUNTIFS($Y$2051:$Y$2550,1,$AO$2051:$AO$2550,"&lt;"&amp;AO2477)+COUNTIFS($Y$2051:Y2477,1,$AO$2051:AO2477,AO2477))</f>
        <v/>
      </c>
      <c r="AA2477" s="1" t="str">
        <f t="shared" si="198"/>
        <v>Missing demographic or access input</v>
      </c>
      <c r="AB2477" s="1">
        <f t="shared" si="199"/>
        <v>0</v>
      </c>
      <c r="AC2477" s="1" t="str">
        <f t="shared" si="200"/>
        <v/>
      </c>
      <c r="AD2477" s="1" t="str">
        <f t="shared" si="201"/>
        <v/>
      </c>
      <c r="AE2477" s="1" t="str">
        <f t="shared" si="202"/>
        <v/>
      </c>
      <c r="AF2477" s="1" t="str">
        <f t="shared" si="203"/>
        <v/>
      </c>
      <c r="AG2477" s="1" t="str">
        <f t="shared" si="204"/>
        <v/>
      </c>
      <c r="AH2477" s="1" t="str">
        <f>IF(I2477=0,"Not contacted",IF(INDEX('Staff Review'!$J$8:$J$507,I2477)="","Not contacted",INDEX('Staff Review'!$J$8:$J$507,I2477)))</f>
        <v>Not contacted</v>
      </c>
      <c r="AI2477" s="1" t="str">
        <f>IF(I2477=0,"No",IF(AND(COUNT(INDEX('Staff Review'!$D$8:$D$507,I2477))=1,INDEX('Staff Review'!$D$8:$D$507,I2477)&gt;=0,COUNT(INDEX('Staff Review'!$E$8:$E$507,I2477))=1,INDEX('Staff Review'!$E$8:$E$507,I2477)&gt;0,INDEX('Staff Review'!$E$8:$E$507,I2477)&lt;='Top 25'!$E$5,'Top 25'!$E$5-INDEX('Staff Review'!$E$8:$E$507,I2477)&lt;='Top 25'!$H$5,LEN(INDEX('Staff Review'!$H$8:$H$507,I2477))&gt;0),"Yes","No"))</f>
        <v>No</v>
      </c>
      <c r="AJ2477" s="1" t="str">
        <f>IF(I2477=0,"No",IF(COUNT(INDEX('Staff Review'!$F$8:$F$507,I2477))&lt;&gt;1,"No",IF(AND(INDEX('Staff Review'!$F$8:$F$507,I2477)&gt;=0,MOD(INDEX('Staff Review'!$F$8:$F$507,I2477),1)=0,COUNT(INDEX('Staff Review'!$G$8:$G$507,I2477))=1,INDEX('Staff Review'!$G$8:$G$507,I2477)&gt;0,INDEX('Staff Review'!$G$8:$G$507,I2477)&lt;='Top 25'!$E$5,'Top 25'!$E$5-INDEX('Staff Review'!$G$8:$G$507,I2477)&lt;='Top 25'!$H$5,LEN(INDEX('Staff Review'!$H$8:$H$507,I2477))&gt;0),"Yes","No")))</f>
        <v>No</v>
      </c>
      <c r="AK2477" s="1">
        <f t="shared" si="205"/>
        <v>0</v>
      </c>
      <c r="AL2477" s="1">
        <f t="shared" si="206"/>
        <v>0</v>
      </c>
      <c r="AM2477" s="1">
        <f t="shared" si="207"/>
        <v>0</v>
      </c>
      <c r="AN2477" s="1">
        <f t="shared" si="208"/>
        <v>0</v>
      </c>
      <c r="AO2477">
        <f t="shared" si="209"/>
        <v>10000</v>
      </c>
      <c r="AP2477" s="105">
        <f>IF(AND(AL2477=1,OR('Top 25'!$A$10="All",C2477='Top 25'!$A$10),OR('Top 25'!$D$10="All",D2477='Top 25'!$D$10)),1,0)</f>
        <v>0</v>
      </c>
      <c r="AQ2477" s="105" t="str">
        <f>IF(AP2477=0,"",CHOOSE(MATCH('Top 25'!$G$10,{"Priority score","Economic need","Enrollment","Fresh miles","Nearby resources"},0),T2477,G2477,F2477,K2477,L2477))</f>
        <v/>
      </c>
      <c r="AR2477" s="105" t="str">
        <f>IF(AP2477=0,"",1+COUNTIFS($AP$2051:$AP$2550,1,$AQ$2051:$AQ$2550,IF('Top 25'!$J$10="Ascending","&lt;","&gt;")&amp;AQ2477)+COUNTIFS($AP$2051:$AP$2550,1,$AQ$2051:$AQ$2550,AQ2477,$W$2051:$W$2550,"&lt;"&amp;W2477))</f>
        <v/>
      </c>
      <c r="AT2477" s="105">
        <f>IF(AND(AL2477=1,OR(Master_rankableSchools!$A$10="All",C2477=Master_rankableSchools!$A$10),OR(Master_rankableSchools!$D$10="All",D2477=Master_rankableSchools!$D$10)),1,0)</f>
        <v>0</v>
      </c>
      <c r="AU2477" s="105" t="str">
        <f>IF(AT2477=0,"",CHOOSE(MATCH(Master_rankableSchools!$G$10,{"Priority score","Economic need","Enrollment","Fresh miles","Nearby resources"},0),T2477,G2477,F2477,K2477,L2477))</f>
        <v/>
      </c>
      <c r="AV2477" s="105" t="str">
        <f>IF(AT2477=0,"",1+COUNTIFS($AT$2051:$AT$2550,1,$AU$2051:$AU$2550,IF(Master_rankableSchools!$J$10="Ascending","&lt;","&gt;")&amp;AU2477)+COUNTIFS($AT$2051:$AT$2550,1,$AU$2051:$AU$2550,AU2477,$W$2051:$W$2550,"&lt;"&amp;W2477))</f>
        <v/>
      </c>
    </row>
    <row r="2478" spans="1:48" ht="22" customHeight="1">
      <c r="A2478" s="1" t="str">
        <f t="shared" si="180"/>
        <v/>
      </c>
      <c r="B2478" s="1" t="str">
        <f t="shared" si="181"/>
        <v/>
      </c>
      <c r="C2478" s="1" t="str">
        <f t="shared" si="182"/>
        <v/>
      </c>
      <c r="D2478" s="1" t="str">
        <f t="shared" si="183"/>
        <v/>
      </c>
      <c r="E2478" s="1" t="str">
        <f t="shared" si="184"/>
        <v/>
      </c>
      <c r="F2478" s="1" t="str">
        <f t="shared" si="185"/>
        <v/>
      </c>
      <c r="G2478" s="1" t="str">
        <f t="shared" si="186"/>
        <v/>
      </c>
      <c r="H2478" s="1" t="str">
        <f t="shared" si="187"/>
        <v/>
      </c>
      <c r="I2478" s="1">
        <f>IF(OR(A2478="",COUNTIFS('Staff Review'!$A$8:$A$507,A2478)&lt;&gt;1),0,MATCH(A2478,'Staff Review'!$A$8:$A$507,0))</f>
        <v>0</v>
      </c>
      <c r="J2478" s="1" t="str">
        <f>IF(I2478=0,"No",IF(INDEX('Staff Review'!$C$8:$C$507,I2478)="Yes","Yes","No"))</f>
        <v>No</v>
      </c>
      <c r="K2478" s="1" t="str">
        <f>IF(AI2478="Yes",INDEX('Staff Review'!$D$8:$D$507,I2478),IF(AB2478=0,"",IF(COUNT(INDEX($C$1531:$C$2030,AB2478))=1,INDEX($C$1531:$C$2030,AB2478),"")))</f>
        <v/>
      </c>
      <c r="L2478" s="1" t="str">
        <f>IF(AJ2478="Yes",INDEX('Staff Review'!$F$8:$F$507,I2478),IF(AB2478=0,"",IF(COUNT(INDEX($G$1531:$G$2030,AB2478))=1,INDEX($G$1531:$G$2030,AB2478),"")))</f>
        <v/>
      </c>
      <c r="M2478" s="1" t="str">
        <f t="shared" si="188"/>
        <v/>
      </c>
      <c r="N2478" s="1" t="str">
        <f t="shared" si="189"/>
        <v/>
      </c>
      <c r="O2478" s="1" t="str">
        <f t="shared" si="190"/>
        <v/>
      </c>
      <c r="P2478" s="1" t="str">
        <f t="shared" si="191"/>
        <v/>
      </c>
      <c r="Q2478" s="1" t="str">
        <f t="shared" si="192"/>
        <v/>
      </c>
      <c r="R2478" s="1" t="str">
        <f t="shared" si="193"/>
        <v/>
      </c>
      <c r="S2478" s="1" t="str">
        <f t="shared" si="194"/>
        <v/>
      </c>
      <c r="T2478" s="1" t="str">
        <f>IF(OR(COUNT(O2478:R2478)&lt;&gt;4,COUNT('Top 25'!$B$45:$E$45)&lt;&gt;4,MIN('Top 25'!$B$45:$E$45)&lt;0,SUM('Top 25'!$B$45:$E$45)&lt;=0),"",ROUND(85*(O2478/30*'Top 25'!$B$45+P2478/25*'Top 25'!$C$45+Q2478/25*'Top 25'!$D$45+R2478/5*'Top 25'!$E$45)/SUM('Top 25'!$B$45:$E$45),6))</f>
        <v/>
      </c>
      <c r="U2478" s="1" t="str">
        <f t="shared" si="195"/>
        <v/>
      </c>
      <c r="V2478" s="1" t="str">
        <f>IF(A2478="","",IF(AK2478&lt;&gt;1,"Duplicate source ID",IF(COUNTIFS('Staff Review'!$A$8:$A$507,A2478)&gt;1,"Duplicate review ID",IF(H2478&lt;&gt;"Yes","Outside scope",IF(J2478="Yes","Already served",IF(NOT(ISNUMBER(T2478)),"Missing data","Candidate"))))))</f>
        <v/>
      </c>
      <c r="W2478" s="1" t="str">
        <f t="shared" si="196"/>
        <v/>
      </c>
      <c r="X2478" s="1" t="str">
        <f t="shared" si="197"/>
        <v/>
      </c>
      <c r="Y2478" s="1">
        <f>IF(AND(H2478="Yes",OR(LEN('School Search'!$B$5)=0,ISNUMBER(SEARCH('School Search'!$B$5,B2478&amp;" "&amp;E2478&amp;" "&amp;A2478))),OR('School Search'!$D$5="All",C2478='School Search'!$D$5),OR('School Search'!$G$5="All eligible",AND('School Search'!$G$5="Not marked served",J2478&lt;&gt;"Yes"),AND('School Search'!$G$5="Missing data",V2478="Missing data"),AND('School Search'!$G$5="Marked served",J2478="Yes"))),1,0)</f>
        <v>0</v>
      </c>
      <c r="Z2478" s="1" t="str">
        <f>IF(Y2478=0,"",COUNTIFS($Y$2051:$Y$2550,1,$AO$2051:$AO$2550,"&lt;"&amp;AO2478)+COUNTIFS($Y$2051:Y2478,1,$AO$2051:AO2478,AO2478))</f>
        <v/>
      </c>
      <c r="AA2478" s="1" t="str">
        <f t="shared" si="198"/>
        <v>Missing demographic or access input</v>
      </c>
      <c r="AB2478" s="1">
        <f t="shared" si="199"/>
        <v>0</v>
      </c>
      <c r="AC2478" s="1" t="str">
        <f t="shared" si="200"/>
        <v/>
      </c>
      <c r="AD2478" s="1" t="str">
        <f t="shared" si="201"/>
        <v/>
      </c>
      <c r="AE2478" s="1" t="str">
        <f t="shared" si="202"/>
        <v/>
      </c>
      <c r="AF2478" s="1" t="str">
        <f t="shared" si="203"/>
        <v/>
      </c>
      <c r="AG2478" s="1" t="str">
        <f t="shared" si="204"/>
        <v/>
      </c>
      <c r="AH2478" s="1" t="str">
        <f>IF(I2478=0,"Not contacted",IF(INDEX('Staff Review'!$J$8:$J$507,I2478)="","Not contacted",INDEX('Staff Review'!$J$8:$J$507,I2478)))</f>
        <v>Not contacted</v>
      </c>
      <c r="AI2478" s="1" t="str">
        <f>IF(I2478=0,"No",IF(AND(COUNT(INDEX('Staff Review'!$D$8:$D$507,I2478))=1,INDEX('Staff Review'!$D$8:$D$507,I2478)&gt;=0,COUNT(INDEX('Staff Review'!$E$8:$E$507,I2478))=1,INDEX('Staff Review'!$E$8:$E$507,I2478)&gt;0,INDEX('Staff Review'!$E$8:$E$507,I2478)&lt;='Top 25'!$E$5,'Top 25'!$E$5-INDEX('Staff Review'!$E$8:$E$507,I2478)&lt;='Top 25'!$H$5,LEN(INDEX('Staff Review'!$H$8:$H$507,I2478))&gt;0),"Yes","No"))</f>
        <v>No</v>
      </c>
      <c r="AJ2478" s="1" t="str">
        <f>IF(I2478=0,"No",IF(COUNT(INDEX('Staff Review'!$F$8:$F$507,I2478))&lt;&gt;1,"No",IF(AND(INDEX('Staff Review'!$F$8:$F$507,I2478)&gt;=0,MOD(INDEX('Staff Review'!$F$8:$F$507,I2478),1)=0,COUNT(INDEX('Staff Review'!$G$8:$G$507,I2478))=1,INDEX('Staff Review'!$G$8:$G$507,I2478)&gt;0,INDEX('Staff Review'!$G$8:$G$507,I2478)&lt;='Top 25'!$E$5,'Top 25'!$E$5-INDEX('Staff Review'!$G$8:$G$507,I2478)&lt;='Top 25'!$H$5,LEN(INDEX('Staff Review'!$H$8:$H$507,I2478))&gt;0),"Yes","No")))</f>
        <v>No</v>
      </c>
      <c r="AK2478" s="1">
        <f t="shared" si="205"/>
        <v>0</v>
      </c>
      <c r="AL2478" s="1">
        <f t="shared" si="206"/>
        <v>0</v>
      </c>
      <c r="AM2478" s="1">
        <f t="shared" si="207"/>
        <v>0</v>
      </c>
      <c r="AN2478" s="1">
        <f t="shared" si="208"/>
        <v>0</v>
      </c>
      <c r="AO2478">
        <f t="shared" si="209"/>
        <v>10000</v>
      </c>
      <c r="AP2478" s="105">
        <f>IF(AND(AL2478=1,OR('Top 25'!$A$10="All",C2478='Top 25'!$A$10),OR('Top 25'!$D$10="All",D2478='Top 25'!$D$10)),1,0)</f>
        <v>0</v>
      </c>
      <c r="AQ2478" s="105" t="str">
        <f>IF(AP2478=0,"",CHOOSE(MATCH('Top 25'!$G$10,{"Priority score","Economic need","Enrollment","Fresh miles","Nearby resources"},0),T2478,G2478,F2478,K2478,L2478))</f>
        <v/>
      </c>
      <c r="AR2478" s="105" t="str">
        <f>IF(AP2478=0,"",1+COUNTIFS($AP$2051:$AP$2550,1,$AQ$2051:$AQ$2550,IF('Top 25'!$J$10="Ascending","&lt;","&gt;")&amp;AQ2478)+COUNTIFS($AP$2051:$AP$2550,1,$AQ$2051:$AQ$2550,AQ2478,$W$2051:$W$2550,"&lt;"&amp;W2478))</f>
        <v/>
      </c>
      <c r="AT2478" s="105">
        <f>IF(AND(AL2478=1,OR(Master_rankableSchools!$A$10="All",C2478=Master_rankableSchools!$A$10),OR(Master_rankableSchools!$D$10="All",D2478=Master_rankableSchools!$D$10)),1,0)</f>
        <v>0</v>
      </c>
      <c r="AU2478" s="105" t="str">
        <f>IF(AT2478=0,"",CHOOSE(MATCH(Master_rankableSchools!$G$10,{"Priority score","Economic need","Enrollment","Fresh miles","Nearby resources"},0),T2478,G2478,F2478,K2478,L2478))</f>
        <v/>
      </c>
      <c r="AV2478" s="105" t="str">
        <f>IF(AT2478=0,"",1+COUNTIFS($AT$2051:$AT$2550,1,$AU$2051:$AU$2550,IF(Master_rankableSchools!$J$10="Ascending","&lt;","&gt;")&amp;AU2478)+COUNTIFS($AT$2051:$AT$2550,1,$AU$2051:$AU$2550,AU2478,$W$2051:$W$2550,"&lt;"&amp;W2478))</f>
        <v/>
      </c>
    </row>
    <row r="2479" spans="1:48" ht="22" customHeight="1">
      <c r="A2479" s="1" t="str">
        <f t="shared" si="180"/>
        <v/>
      </c>
      <c r="B2479" s="1" t="str">
        <f t="shared" si="181"/>
        <v/>
      </c>
      <c r="C2479" s="1" t="str">
        <f t="shared" si="182"/>
        <v/>
      </c>
      <c r="D2479" s="1" t="str">
        <f t="shared" si="183"/>
        <v/>
      </c>
      <c r="E2479" s="1" t="str">
        <f t="shared" si="184"/>
        <v/>
      </c>
      <c r="F2479" s="1" t="str">
        <f t="shared" si="185"/>
        <v/>
      </c>
      <c r="G2479" s="1" t="str">
        <f t="shared" si="186"/>
        <v/>
      </c>
      <c r="H2479" s="1" t="str">
        <f t="shared" si="187"/>
        <v/>
      </c>
      <c r="I2479" s="1">
        <f>IF(OR(A2479="",COUNTIFS('Staff Review'!$A$8:$A$507,A2479)&lt;&gt;1),0,MATCH(A2479,'Staff Review'!$A$8:$A$507,0))</f>
        <v>0</v>
      </c>
      <c r="J2479" s="1" t="str">
        <f>IF(I2479=0,"No",IF(INDEX('Staff Review'!$C$8:$C$507,I2479)="Yes","Yes","No"))</f>
        <v>No</v>
      </c>
      <c r="K2479" s="1" t="str">
        <f>IF(AI2479="Yes",INDEX('Staff Review'!$D$8:$D$507,I2479),IF(AB2479=0,"",IF(COUNT(INDEX($C$1531:$C$2030,AB2479))=1,INDEX($C$1531:$C$2030,AB2479),"")))</f>
        <v/>
      </c>
      <c r="L2479" s="1" t="str">
        <f>IF(AJ2479="Yes",INDEX('Staff Review'!$F$8:$F$507,I2479),IF(AB2479=0,"",IF(COUNT(INDEX($G$1531:$G$2030,AB2479))=1,INDEX($G$1531:$G$2030,AB2479),"")))</f>
        <v/>
      </c>
      <c r="M2479" s="1" t="str">
        <f t="shared" si="188"/>
        <v/>
      </c>
      <c r="N2479" s="1" t="str">
        <f t="shared" si="189"/>
        <v/>
      </c>
      <c r="O2479" s="1" t="str">
        <f t="shared" si="190"/>
        <v/>
      </c>
      <c r="P2479" s="1" t="str">
        <f t="shared" si="191"/>
        <v/>
      </c>
      <c r="Q2479" s="1" t="str">
        <f t="shared" si="192"/>
        <v/>
      </c>
      <c r="R2479" s="1" t="str">
        <f t="shared" si="193"/>
        <v/>
      </c>
      <c r="S2479" s="1" t="str">
        <f t="shared" si="194"/>
        <v/>
      </c>
      <c r="T2479" s="1" t="str">
        <f>IF(OR(COUNT(O2479:R2479)&lt;&gt;4,COUNT('Top 25'!$B$45:$E$45)&lt;&gt;4,MIN('Top 25'!$B$45:$E$45)&lt;0,SUM('Top 25'!$B$45:$E$45)&lt;=0),"",ROUND(85*(O2479/30*'Top 25'!$B$45+P2479/25*'Top 25'!$C$45+Q2479/25*'Top 25'!$D$45+R2479/5*'Top 25'!$E$45)/SUM('Top 25'!$B$45:$E$45),6))</f>
        <v/>
      </c>
      <c r="U2479" s="1" t="str">
        <f t="shared" si="195"/>
        <v/>
      </c>
      <c r="V2479" s="1" t="str">
        <f>IF(A2479="","",IF(AK2479&lt;&gt;1,"Duplicate source ID",IF(COUNTIFS('Staff Review'!$A$8:$A$507,A2479)&gt;1,"Duplicate review ID",IF(H2479&lt;&gt;"Yes","Outside scope",IF(J2479="Yes","Already served",IF(NOT(ISNUMBER(T2479)),"Missing data","Candidate"))))))</f>
        <v/>
      </c>
      <c r="W2479" s="1" t="str">
        <f t="shared" si="196"/>
        <v/>
      </c>
      <c r="X2479" s="1" t="str">
        <f t="shared" si="197"/>
        <v/>
      </c>
      <c r="Y2479" s="1">
        <f>IF(AND(H2479="Yes",OR(LEN('School Search'!$B$5)=0,ISNUMBER(SEARCH('School Search'!$B$5,B2479&amp;" "&amp;E2479&amp;" "&amp;A2479))),OR('School Search'!$D$5="All",C2479='School Search'!$D$5),OR('School Search'!$G$5="All eligible",AND('School Search'!$G$5="Not marked served",J2479&lt;&gt;"Yes"),AND('School Search'!$G$5="Missing data",V2479="Missing data"),AND('School Search'!$G$5="Marked served",J2479="Yes"))),1,0)</f>
        <v>0</v>
      </c>
      <c r="Z2479" s="1" t="str">
        <f>IF(Y2479=0,"",COUNTIFS($Y$2051:$Y$2550,1,$AO$2051:$AO$2550,"&lt;"&amp;AO2479)+COUNTIFS($Y$2051:Y2479,1,$AO$2051:AO2479,AO2479))</f>
        <v/>
      </c>
      <c r="AA2479" s="1" t="str">
        <f t="shared" si="198"/>
        <v>Missing demographic or access input</v>
      </c>
      <c r="AB2479" s="1">
        <f t="shared" si="199"/>
        <v>0</v>
      </c>
      <c r="AC2479" s="1" t="str">
        <f t="shared" si="200"/>
        <v/>
      </c>
      <c r="AD2479" s="1" t="str">
        <f t="shared" si="201"/>
        <v/>
      </c>
      <c r="AE2479" s="1" t="str">
        <f t="shared" si="202"/>
        <v/>
      </c>
      <c r="AF2479" s="1" t="str">
        <f t="shared" si="203"/>
        <v/>
      </c>
      <c r="AG2479" s="1" t="str">
        <f t="shared" si="204"/>
        <v/>
      </c>
      <c r="AH2479" s="1" t="str">
        <f>IF(I2479=0,"Not contacted",IF(INDEX('Staff Review'!$J$8:$J$507,I2479)="","Not contacted",INDEX('Staff Review'!$J$8:$J$507,I2479)))</f>
        <v>Not contacted</v>
      </c>
      <c r="AI2479" s="1" t="str">
        <f>IF(I2479=0,"No",IF(AND(COUNT(INDEX('Staff Review'!$D$8:$D$507,I2479))=1,INDEX('Staff Review'!$D$8:$D$507,I2479)&gt;=0,COUNT(INDEX('Staff Review'!$E$8:$E$507,I2479))=1,INDEX('Staff Review'!$E$8:$E$507,I2479)&gt;0,INDEX('Staff Review'!$E$8:$E$507,I2479)&lt;='Top 25'!$E$5,'Top 25'!$E$5-INDEX('Staff Review'!$E$8:$E$507,I2479)&lt;='Top 25'!$H$5,LEN(INDEX('Staff Review'!$H$8:$H$507,I2479))&gt;0),"Yes","No"))</f>
        <v>No</v>
      </c>
      <c r="AJ2479" s="1" t="str">
        <f>IF(I2479=0,"No",IF(COUNT(INDEX('Staff Review'!$F$8:$F$507,I2479))&lt;&gt;1,"No",IF(AND(INDEX('Staff Review'!$F$8:$F$507,I2479)&gt;=0,MOD(INDEX('Staff Review'!$F$8:$F$507,I2479),1)=0,COUNT(INDEX('Staff Review'!$G$8:$G$507,I2479))=1,INDEX('Staff Review'!$G$8:$G$507,I2479)&gt;0,INDEX('Staff Review'!$G$8:$G$507,I2479)&lt;='Top 25'!$E$5,'Top 25'!$E$5-INDEX('Staff Review'!$G$8:$G$507,I2479)&lt;='Top 25'!$H$5,LEN(INDEX('Staff Review'!$H$8:$H$507,I2479))&gt;0),"Yes","No")))</f>
        <v>No</v>
      </c>
      <c r="AK2479" s="1">
        <f t="shared" si="205"/>
        <v>0</v>
      </c>
      <c r="AL2479" s="1">
        <f t="shared" si="206"/>
        <v>0</v>
      </c>
      <c r="AM2479" s="1">
        <f t="shared" si="207"/>
        <v>0</v>
      </c>
      <c r="AN2479" s="1">
        <f t="shared" si="208"/>
        <v>0</v>
      </c>
      <c r="AO2479">
        <f t="shared" si="209"/>
        <v>10000</v>
      </c>
      <c r="AP2479" s="105">
        <f>IF(AND(AL2479=1,OR('Top 25'!$A$10="All",C2479='Top 25'!$A$10),OR('Top 25'!$D$10="All",D2479='Top 25'!$D$10)),1,0)</f>
        <v>0</v>
      </c>
      <c r="AQ2479" s="105" t="str">
        <f>IF(AP2479=0,"",CHOOSE(MATCH('Top 25'!$G$10,{"Priority score","Economic need","Enrollment","Fresh miles","Nearby resources"},0),T2479,G2479,F2479,K2479,L2479))</f>
        <v/>
      </c>
      <c r="AR2479" s="105" t="str">
        <f>IF(AP2479=0,"",1+COUNTIFS($AP$2051:$AP$2550,1,$AQ$2051:$AQ$2550,IF('Top 25'!$J$10="Ascending","&lt;","&gt;")&amp;AQ2479)+COUNTIFS($AP$2051:$AP$2550,1,$AQ$2051:$AQ$2550,AQ2479,$W$2051:$W$2550,"&lt;"&amp;W2479))</f>
        <v/>
      </c>
      <c r="AT2479" s="105">
        <f>IF(AND(AL2479=1,OR(Master_rankableSchools!$A$10="All",C2479=Master_rankableSchools!$A$10),OR(Master_rankableSchools!$D$10="All",D2479=Master_rankableSchools!$D$10)),1,0)</f>
        <v>0</v>
      </c>
      <c r="AU2479" s="105" t="str">
        <f>IF(AT2479=0,"",CHOOSE(MATCH(Master_rankableSchools!$G$10,{"Priority score","Economic need","Enrollment","Fresh miles","Nearby resources"},0),T2479,G2479,F2479,K2479,L2479))</f>
        <v/>
      </c>
      <c r="AV2479" s="105" t="str">
        <f>IF(AT2479=0,"",1+COUNTIFS($AT$2051:$AT$2550,1,$AU$2051:$AU$2550,IF(Master_rankableSchools!$J$10="Ascending","&lt;","&gt;")&amp;AU2479)+COUNTIFS($AT$2051:$AT$2550,1,$AU$2051:$AU$2550,AU2479,$W$2051:$W$2550,"&lt;"&amp;W2479))</f>
        <v/>
      </c>
    </row>
    <row r="2480" spans="1:48" ht="22" customHeight="1">
      <c r="A2480" s="1" t="str">
        <f t="shared" si="180"/>
        <v/>
      </c>
      <c r="B2480" s="1" t="str">
        <f t="shared" si="181"/>
        <v/>
      </c>
      <c r="C2480" s="1" t="str">
        <f t="shared" si="182"/>
        <v/>
      </c>
      <c r="D2480" s="1" t="str">
        <f t="shared" si="183"/>
        <v/>
      </c>
      <c r="E2480" s="1" t="str">
        <f t="shared" si="184"/>
        <v/>
      </c>
      <c r="F2480" s="1" t="str">
        <f t="shared" si="185"/>
        <v/>
      </c>
      <c r="G2480" s="1" t="str">
        <f t="shared" si="186"/>
        <v/>
      </c>
      <c r="H2480" s="1" t="str">
        <f t="shared" si="187"/>
        <v/>
      </c>
      <c r="I2480" s="1">
        <f>IF(OR(A2480="",COUNTIFS('Staff Review'!$A$8:$A$507,A2480)&lt;&gt;1),0,MATCH(A2480,'Staff Review'!$A$8:$A$507,0))</f>
        <v>0</v>
      </c>
      <c r="J2480" s="1" t="str">
        <f>IF(I2480=0,"No",IF(INDEX('Staff Review'!$C$8:$C$507,I2480)="Yes","Yes","No"))</f>
        <v>No</v>
      </c>
      <c r="K2480" s="1" t="str">
        <f>IF(AI2480="Yes",INDEX('Staff Review'!$D$8:$D$507,I2480),IF(AB2480=0,"",IF(COUNT(INDEX($C$1531:$C$2030,AB2480))=1,INDEX($C$1531:$C$2030,AB2480),"")))</f>
        <v/>
      </c>
      <c r="L2480" s="1" t="str">
        <f>IF(AJ2480="Yes",INDEX('Staff Review'!$F$8:$F$507,I2480),IF(AB2480=0,"",IF(COUNT(INDEX($G$1531:$G$2030,AB2480))=1,INDEX($G$1531:$G$2030,AB2480),"")))</f>
        <v/>
      </c>
      <c r="M2480" s="1" t="str">
        <f t="shared" si="188"/>
        <v/>
      </c>
      <c r="N2480" s="1" t="str">
        <f t="shared" si="189"/>
        <v/>
      </c>
      <c r="O2480" s="1" t="str">
        <f t="shared" si="190"/>
        <v/>
      </c>
      <c r="P2480" s="1" t="str">
        <f t="shared" si="191"/>
        <v/>
      </c>
      <c r="Q2480" s="1" t="str">
        <f t="shared" si="192"/>
        <v/>
      </c>
      <c r="R2480" s="1" t="str">
        <f t="shared" si="193"/>
        <v/>
      </c>
      <c r="S2480" s="1" t="str">
        <f t="shared" si="194"/>
        <v/>
      </c>
      <c r="T2480" s="1" t="str">
        <f>IF(OR(COUNT(O2480:R2480)&lt;&gt;4,COUNT('Top 25'!$B$45:$E$45)&lt;&gt;4,MIN('Top 25'!$B$45:$E$45)&lt;0,SUM('Top 25'!$B$45:$E$45)&lt;=0),"",ROUND(85*(O2480/30*'Top 25'!$B$45+P2480/25*'Top 25'!$C$45+Q2480/25*'Top 25'!$D$45+R2480/5*'Top 25'!$E$45)/SUM('Top 25'!$B$45:$E$45),6))</f>
        <v/>
      </c>
      <c r="U2480" s="1" t="str">
        <f t="shared" si="195"/>
        <v/>
      </c>
      <c r="V2480" s="1" t="str">
        <f>IF(A2480="","",IF(AK2480&lt;&gt;1,"Duplicate source ID",IF(COUNTIFS('Staff Review'!$A$8:$A$507,A2480)&gt;1,"Duplicate review ID",IF(H2480&lt;&gt;"Yes","Outside scope",IF(J2480="Yes","Already served",IF(NOT(ISNUMBER(T2480)),"Missing data","Candidate"))))))</f>
        <v/>
      </c>
      <c r="W2480" s="1" t="str">
        <f t="shared" si="196"/>
        <v/>
      </c>
      <c r="X2480" s="1" t="str">
        <f t="shared" si="197"/>
        <v/>
      </c>
      <c r="Y2480" s="1">
        <f>IF(AND(H2480="Yes",OR(LEN('School Search'!$B$5)=0,ISNUMBER(SEARCH('School Search'!$B$5,B2480&amp;" "&amp;E2480&amp;" "&amp;A2480))),OR('School Search'!$D$5="All",C2480='School Search'!$D$5),OR('School Search'!$G$5="All eligible",AND('School Search'!$G$5="Not marked served",J2480&lt;&gt;"Yes"),AND('School Search'!$G$5="Missing data",V2480="Missing data"),AND('School Search'!$G$5="Marked served",J2480="Yes"))),1,0)</f>
        <v>0</v>
      </c>
      <c r="Z2480" s="1" t="str">
        <f>IF(Y2480=0,"",COUNTIFS($Y$2051:$Y$2550,1,$AO$2051:$AO$2550,"&lt;"&amp;AO2480)+COUNTIFS($Y$2051:Y2480,1,$AO$2051:AO2480,AO2480))</f>
        <v/>
      </c>
      <c r="AA2480" s="1" t="str">
        <f t="shared" si="198"/>
        <v>Missing demographic or access input</v>
      </c>
      <c r="AB2480" s="1">
        <f t="shared" si="199"/>
        <v>0</v>
      </c>
      <c r="AC2480" s="1" t="str">
        <f t="shared" si="200"/>
        <v/>
      </c>
      <c r="AD2480" s="1" t="str">
        <f t="shared" si="201"/>
        <v/>
      </c>
      <c r="AE2480" s="1" t="str">
        <f t="shared" si="202"/>
        <v/>
      </c>
      <c r="AF2480" s="1" t="str">
        <f t="shared" si="203"/>
        <v/>
      </c>
      <c r="AG2480" s="1" t="str">
        <f t="shared" si="204"/>
        <v/>
      </c>
      <c r="AH2480" s="1" t="str">
        <f>IF(I2480=0,"Not contacted",IF(INDEX('Staff Review'!$J$8:$J$507,I2480)="","Not contacted",INDEX('Staff Review'!$J$8:$J$507,I2480)))</f>
        <v>Not contacted</v>
      </c>
      <c r="AI2480" s="1" t="str">
        <f>IF(I2480=0,"No",IF(AND(COUNT(INDEX('Staff Review'!$D$8:$D$507,I2480))=1,INDEX('Staff Review'!$D$8:$D$507,I2480)&gt;=0,COUNT(INDEX('Staff Review'!$E$8:$E$507,I2480))=1,INDEX('Staff Review'!$E$8:$E$507,I2480)&gt;0,INDEX('Staff Review'!$E$8:$E$507,I2480)&lt;='Top 25'!$E$5,'Top 25'!$E$5-INDEX('Staff Review'!$E$8:$E$507,I2480)&lt;='Top 25'!$H$5,LEN(INDEX('Staff Review'!$H$8:$H$507,I2480))&gt;0),"Yes","No"))</f>
        <v>No</v>
      </c>
      <c r="AJ2480" s="1" t="str">
        <f>IF(I2480=0,"No",IF(COUNT(INDEX('Staff Review'!$F$8:$F$507,I2480))&lt;&gt;1,"No",IF(AND(INDEX('Staff Review'!$F$8:$F$507,I2480)&gt;=0,MOD(INDEX('Staff Review'!$F$8:$F$507,I2480),1)=0,COUNT(INDEX('Staff Review'!$G$8:$G$507,I2480))=1,INDEX('Staff Review'!$G$8:$G$507,I2480)&gt;0,INDEX('Staff Review'!$G$8:$G$507,I2480)&lt;='Top 25'!$E$5,'Top 25'!$E$5-INDEX('Staff Review'!$G$8:$G$507,I2480)&lt;='Top 25'!$H$5,LEN(INDEX('Staff Review'!$H$8:$H$507,I2480))&gt;0),"Yes","No")))</f>
        <v>No</v>
      </c>
      <c r="AK2480" s="1">
        <f t="shared" si="205"/>
        <v>0</v>
      </c>
      <c r="AL2480" s="1">
        <f t="shared" si="206"/>
        <v>0</v>
      </c>
      <c r="AM2480" s="1">
        <f t="shared" si="207"/>
        <v>0</v>
      </c>
      <c r="AN2480" s="1">
        <f t="shared" si="208"/>
        <v>0</v>
      </c>
      <c r="AO2480">
        <f t="shared" si="209"/>
        <v>10000</v>
      </c>
      <c r="AP2480" s="105">
        <f>IF(AND(AL2480=1,OR('Top 25'!$A$10="All",C2480='Top 25'!$A$10),OR('Top 25'!$D$10="All",D2480='Top 25'!$D$10)),1,0)</f>
        <v>0</v>
      </c>
      <c r="AQ2480" s="105" t="str">
        <f>IF(AP2480=0,"",CHOOSE(MATCH('Top 25'!$G$10,{"Priority score","Economic need","Enrollment","Fresh miles","Nearby resources"},0),T2480,G2480,F2480,K2480,L2480))</f>
        <v/>
      </c>
      <c r="AR2480" s="105" t="str">
        <f>IF(AP2480=0,"",1+COUNTIFS($AP$2051:$AP$2550,1,$AQ$2051:$AQ$2550,IF('Top 25'!$J$10="Ascending","&lt;","&gt;")&amp;AQ2480)+COUNTIFS($AP$2051:$AP$2550,1,$AQ$2051:$AQ$2550,AQ2480,$W$2051:$W$2550,"&lt;"&amp;W2480))</f>
        <v/>
      </c>
      <c r="AT2480" s="105">
        <f>IF(AND(AL2480=1,OR(Master_rankableSchools!$A$10="All",C2480=Master_rankableSchools!$A$10),OR(Master_rankableSchools!$D$10="All",D2480=Master_rankableSchools!$D$10)),1,0)</f>
        <v>0</v>
      </c>
      <c r="AU2480" s="105" t="str">
        <f>IF(AT2480=0,"",CHOOSE(MATCH(Master_rankableSchools!$G$10,{"Priority score","Economic need","Enrollment","Fresh miles","Nearby resources"},0),T2480,G2480,F2480,K2480,L2480))</f>
        <v/>
      </c>
      <c r="AV2480" s="105" t="str">
        <f>IF(AT2480=0,"",1+COUNTIFS($AT$2051:$AT$2550,1,$AU$2051:$AU$2550,IF(Master_rankableSchools!$J$10="Ascending","&lt;","&gt;")&amp;AU2480)+COUNTIFS($AT$2051:$AT$2550,1,$AU$2051:$AU$2550,AU2480,$W$2051:$W$2550,"&lt;"&amp;W2480))</f>
        <v/>
      </c>
    </row>
    <row r="2481" spans="1:48" ht="22" customHeight="1">
      <c r="A2481" s="1" t="str">
        <f t="shared" si="180"/>
        <v/>
      </c>
      <c r="B2481" s="1" t="str">
        <f t="shared" si="181"/>
        <v/>
      </c>
      <c r="C2481" s="1" t="str">
        <f t="shared" si="182"/>
        <v/>
      </c>
      <c r="D2481" s="1" t="str">
        <f t="shared" si="183"/>
        <v/>
      </c>
      <c r="E2481" s="1" t="str">
        <f t="shared" si="184"/>
        <v/>
      </c>
      <c r="F2481" s="1" t="str">
        <f t="shared" si="185"/>
        <v/>
      </c>
      <c r="G2481" s="1" t="str">
        <f t="shared" si="186"/>
        <v/>
      </c>
      <c r="H2481" s="1" t="str">
        <f t="shared" si="187"/>
        <v/>
      </c>
      <c r="I2481" s="1">
        <f>IF(OR(A2481="",COUNTIFS('Staff Review'!$A$8:$A$507,A2481)&lt;&gt;1),0,MATCH(A2481,'Staff Review'!$A$8:$A$507,0))</f>
        <v>0</v>
      </c>
      <c r="J2481" s="1" t="str">
        <f>IF(I2481=0,"No",IF(INDEX('Staff Review'!$C$8:$C$507,I2481)="Yes","Yes","No"))</f>
        <v>No</v>
      </c>
      <c r="K2481" s="1" t="str">
        <f>IF(AI2481="Yes",INDEX('Staff Review'!$D$8:$D$507,I2481),IF(AB2481=0,"",IF(COUNT(INDEX($C$1531:$C$2030,AB2481))=1,INDEX($C$1531:$C$2030,AB2481),"")))</f>
        <v/>
      </c>
      <c r="L2481" s="1" t="str">
        <f>IF(AJ2481="Yes",INDEX('Staff Review'!$F$8:$F$507,I2481),IF(AB2481=0,"",IF(COUNT(INDEX($G$1531:$G$2030,AB2481))=1,INDEX($G$1531:$G$2030,AB2481),"")))</f>
        <v/>
      </c>
      <c r="M2481" s="1" t="str">
        <f t="shared" si="188"/>
        <v/>
      </c>
      <c r="N2481" s="1" t="str">
        <f t="shared" si="189"/>
        <v/>
      </c>
      <c r="O2481" s="1" t="str">
        <f t="shared" si="190"/>
        <v/>
      </c>
      <c r="P2481" s="1" t="str">
        <f t="shared" si="191"/>
        <v/>
      </c>
      <c r="Q2481" s="1" t="str">
        <f t="shared" si="192"/>
        <v/>
      </c>
      <c r="R2481" s="1" t="str">
        <f t="shared" si="193"/>
        <v/>
      </c>
      <c r="S2481" s="1" t="str">
        <f t="shared" si="194"/>
        <v/>
      </c>
      <c r="T2481" s="1" t="str">
        <f>IF(OR(COUNT(O2481:R2481)&lt;&gt;4,COUNT('Top 25'!$B$45:$E$45)&lt;&gt;4,MIN('Top 25'!$B$45:$E$45)&lt;0,SUM('Top 25'!$B$45:$E$45)&lt;=0),"",ROUND(85*(O2481/30*'Top 25'!$B$45+P2481/25*'Top 25'!$C$45+Q2481/25*'Top 25'!$D$45+R2481/5*'Top 25'!$E$45)/SUM('Top 25'!$B$45:$E$45),6))</f>
        <v/>
      </c>
      <c r="U2481" s="1" t="str">
        <f t="shared" si="195"/>
        <v/>
      </c>
      <c r="V2481" s="1" t="str">
        <f>IF(A2481="","",IF(AK2481&lt;&gt;1,"Duplicate source ID",IF(COUNTIFS('Staff Review'!$A$8:$A$507,A2481)&gt;1,"Duplicate review ID",IF(H2481&lt;&gt;"Yes","Outside scope",IF(J2481="Yes","Already served",IF(NOT(ISNUMBER(T2481)),"Missing data","Candidate"))))))</f>
        <v/>
      </c>
      <c r="W2481" s="1" t="str">
        <f t="shared" si="196"/>
        <v/>
      </c>
      <c r="X2481" s="1" t="str">
        <f t="shared" si="197"/>
        <v/>
      </c>
      <c r="Y2481" s="1">
        <f>IF(AND(H2481="Yes",OR(LEN('School Search'!$B$5)=0,ISNUMBER(SEARCH('School Search'!$B$5,B2481&amp;" "&amp;E2481&amp;" "&amp;A2481))),OR('School Search'!$D$5="All",C2481='School Search'!$D$5),OR('School Search'!$G$5="All eligible",AND('School Search'!$G$5="Not marked served",J2481&lt;&gt;"Yes"),AND('School Search'!$G$5="Missing data",V2481="Missing data"),AND('School Search'!$G$5="Marked served",J2481="Yes"))),1,0)</f>
        <v>0</v>
      </c>
      <c r="Z2481" s="1" t="str">
        <f>IF(Y2481=0,"",COUNTIFS($Y$2051:$Y$2550,1,$AO$2051:$AO$2550,"&lt;"&amp;AO2481)+COUNTIFS($Y$2051:Y2481,1,$AO$2051:AO2481,AO2481))</f>
        <v/>
      </c>
      <c r="AA2481" s="1" t="str">
        <f t="shared" si="198"/>
        <v>Missing demographic or access input</v>
      </c>
      <c r="AB2481" s="1">
        <f t="shared" si="199"/>
        <v>0</v>
      </c>
      <c r="AC2481" s="1" t="str">
        <f t="shared" si="200"/>
        <v/>
      </c>
      <c r="AD2481" s="1" t="str">
        <f t="shared" si="201"/>
        <v/>
      </c>
      <c r="AE2481" s="1" t="str">
        <f t="shared" si="202"/>
        <v/>
      </c>
      <c r="AF2481" s="1" t="str">
        <f t="shared" si="203"/>
        <v/>
      </c>
      <c r="AG2481" s="1" t="str">
        <f t="shared" si="204"/>
        <v/>
      </c>
      <c r="AH2481" s="1" t="str">
        <f>IF(I2481=0,"Not contacted",IF(INDEX('Staff Review'!$J$8:$J$507,I2481)="","Not contacted",INDEX('Staff Review'!$J$8:$J$507,I2481)))</f>
        <v>Not contacted</v>
      </c>
      <c r="AI2481" s="1" t="str">
        <f>IF(I2481=0,"No",IF(AND(COUNT(INDEX('Staff Review'!$D$8:$D$507,I2481))=1,INDEX('Staff Review'!$D$8:$D$507,I2481)&gt;=0,COUNT(INDEX('Staff Review'!$E$8:$E$507,I2481))=1,INDEX('Staff Review'!$E$8:$E$507,I2481)&gt;0,INDEX('Staff Review'!$E$8:$E$507,I2481)&lt;='Top 25'!$E$5,'Top 25'!$E$5-INDEX('Staff Review'!$E$8:$E$507,I2481)&lt;='Top 25'!$H$5,LEN(INDEX('Staff Review'!$H$8:$H$507,I2481))&gt;0),"Yes","No"))</f>
        <v>No</v>
      </c>
      <c r="AJ2481" s="1" t="str">
        <f>IF(I2481=0,"No",IF(COUNT(INDEX('Staff Review'!$F$8:$F$507,I2481))&lt;&gt;1,"No",IF(AND(INDEX('Staff Review'!$F$8:$F$507,I2481)&gt;=0,MOD(INDEX('Staff Review'!$F$8:$F$507,I2481),1)=0,COUNT(INDEX('Staff Review'!$G$8:$G$507,I2481))=1,INDEX('Staff Review'!$G$8:$G$507,I2481)&gt;0,INDEX('Staff Review'!$G$8:$G$507,I2481)&lt;='Top 25'!$E$5,'Top 25'!$E$5-INDEX('Staff Review'!$G$8:$G$507,I2481)&lt;='Top 25'!$H$5,LEN(INDEX('Staff Review'!$H$8:$H$507,I2481))&gt;0),"Yes","No")))</f>
        <v>No</v>
      </c>
      <c r="AK2481" s="1">
        <f t="shared" si="205"/>
        <v>0</v>
      </c>
      <c r="AL2481" s="1">
        <f t="shared" si="206"/>
        <v>0</v>
      </c>
      <c r="AM2481" s="1">
        <f t="shared" si="207"/>
        <v>0</v>
      </c>
      <c r="AN2481" s="1">
        <f t="shared" si="208"/>
        <v>0</v>
      </c>
      <c r="AO2481">
        <f t="shared" si="209"/>
        <v>10000</v>
      </c>
      <c r="AP2481" s="105">
        <f>IF(AND(AL2481=1,OR('Top 25'!$A$10="All",C2481='Top 25'!$A$10),OR('Top 25'!$D$10="All",D2481='Top 25'!$D$10)),1,0)</f>
        <v>0</v>
      </c>
      <c r="AQ2481" s="105" t="str">
        <f>IF(AP2481=0,"",CHOOSE(MATCH('Top 25'!$G$10,{"Priority score","Economic need","Enrollment","Fresh miles","Nearby resources"},0),T2481,G2481,F2481,K2481,L2481))</f>
        <v/>
      </c>
      <c r="AR2481" s="105" t="str">
        <f>IF(AP2481=0,"",1+COUNTIFS($AP$2051:$AP$2550,1,$AQ$2051:$AQ$2550,IF('Top 25'!$J$10="Ascending","&lt;","&gt;")&amp;AQ2481)+COUNTIFS($AP$2051:$AP$2550,1,$AQ$2051:$AQ$2550,AQ2481,$W$2051:$W$2550,"&lt;"&amp;W2481))</f>
        <v/>
      </c>
      <c r="AT2481" s="105">
        <f>IF(AND(AL2481=1,OR(Master_rankableSchools!$A$10="All",C2481=Master_rankableSchools!$A$10),OR(Master_rankableSchools!$D$10="All",D2481=Master_rankableSchools!$D$10)),1,0)</f>
        <v>0</v>
      </c>
      <c r="AU2481" s="105" t="str">
        <f>IF(AT2481=0,"",CHOOSE(MATCH(Master_rankableSchools!$G$10,{"Priority score","Economic need","Enrollment","Fresh miles","Nearby resources"},0),T2481,G2481,F2481,K2481,L2481))</f>
        <v/>
      </c>
      <c r="AV2481" s="105" t="str">
        <f>IF(AT2481=0,"",1+COUNTIFS($AT$2051:$AT$2550,1,$AU$2051:$AU$2550,IF(Master_rankableSchools!$J$10="Ascending","&lt;","&gt;")&amp;AU2481)+COUNTIFS($AT$2051:$AT$2550,1,$AU$2051:$AU$2550,AU2481,$W$2051:$W$2550,"&lt;"&amp;W2481))</f>
        <v/>
      </c>
    </row>
    <row r="2482" spans="1:48" ht="22" customHeight="1">
      <c r="A2482" s="1" t="str">
        <f t="shared" si="180"/>
        <v/>
      </c>
      <c r="B2482" s="1" t="str">
        <f t="shared" si="181"/>
        <v/>
      </c>
      <c r="C2482" s="1" t="str">
        <f t="shared" si="182"/>
        <v/>
      </c>
      <c r="D2482" s="1" t="str">
        <f t="shared" si="183"/>
        <v/>
      </c>
      <c r="E2482" s="1" t="str">
        <f t="shared" si="184"/>
        <v/>
      </c>
      <c r="F2482" s="1" t="str">
        <f t="shared" si="185"/>
        <v/>
      </c>
      <c r="G2482" s="1" t="str">
        <f t="shared" si="186"/>
        <v/>
      </c>
      <c r="H2482" s="1" t="str">
        <f t="shared" si="187"/>
        <v/>
      </c>
      <c r="I2482" s="1">
        <f>IF(OR(A2482="",COUNTIFS('Staff Review'!$A$8:$A$507,A2482)&lt;&gt;1),0,MATCH(A2482,'Staff Review'!$A$8:$A$507,0))</f>
        <v>0</v>
      </c>
      <c r="J2482" s="1" t="str">
        <f>IF(I2482=0,"No",IF(INDEX('Staff Review'!$C$8:$C$507,I2482)="Yes","Yes","No"))</f>
        <v>No</v>
      </c>
      <c r="K2482" s="1" t="str">
        <f>IF(AI2482="Yes",INDEX('Staff Review'!$D$8:$D$507,I2482),IF(AB2482=0,"",IF(COUNT(INDEX($C$1531:$C$2030,AB2482))=1,INDEX($C$1531:$C$2030,AB2482),"")))</f>
        <v/>
      </c>
      <c r="L2482" s="1" t="str">
        <f>IF(AJ2482="Yes",INDEX('Staff Review'!$F$8:$F$507,I2482),IF(AB2482=0,"",IF(COUNT(INDEX($G$1531:$G$2030,AB2482))=1,INDEX($G$1531:$G$2030,AB2482),"")))</f>
        <v/>
      </c>
      <c r="M2482" s="1" t="str">
        <f t="shared" si="188"/>
        <v/>
      </c>
      <c r="N2482" s="1" t="str">
        <f t="shared" si="189"/>
        <v/>
      </c>
      <c r="O2482" s="1" t="str">
        <f t="shared" si="190"/>
        <v/>
      </c>
      <c r="P2482" s="1" t="str">
        <f t="shared" si="191"/>
        <v/>
      </c>
      <c r="Q2482" s="1" t="str">
        <f t="shared" si="192"/>
        <v/>
      </c>
      <c r="R2482" s="1" t="str">
        <f t="shared" si="193"/>
        <v/>
      </c>
      <c r="S2482" s="1" t="str">
        <f t="shared" si="194"/>
        <v/>
      </c>
      <c r="T2482" s="1" t="str">
        <f>IF(OR(COUNT(O2482:R2482)&lt;&gt;4,COUNT('Top 25'!$B$45:$E$45)&lt;&gt;4,MIN('Top 25'!$B$45:$E$45)&lt;0,SUM('Top 25'!$B$45:$E$45)&lt;=0),"",ROUND(85*(O2482/30*'Top 25'!$B$45+P2482/25*'Top 25'!$C$45+Q2482/25*'Top 25'!$D$45+R2482/5*'Top 25'!$E$45)/SUM('Top 25'!$B$45:$E$45),6))</f>
        <v/>
      </c>
      <c r="U2482" s="1" t="str">
        <f t="shared" si="195"/>
        <v/>
      </c>
      <c r="V2482" s="1" t="str">
        <f>IF(A2482="","",IF(AK2482&lt;&gt;1,"Duplicate source ID",IF(COUNTIFS('Staff Review'!$A$8:$A$507,A2482)&gt;1,"Duplicate review ID",IF(H2482&lt;&gt;"Yes","Outside scope",IF(J2482="Yes","Already served",IF(NOT(ISNUMBER(T2482)),"Missing data","Candidate"))))))</f>
        <v/>
      </c>
      <c r="W2482" s="1" t="str">
        <f t="shared" si="196"/>
        <v/>
      </c>
      <c r="X2482" s="1" t="str">
        <f t="shared" si="197"/>
        <v/>
      </c>
      <c r="Y2482" s="1">
        <f>IF(AND(H2482="Yes",OR(LEN('School Search'!$B$5)=0,ISNUMBER(SEARCH('School Search'!$B$5,B2482&amp;" "&amp;E2482&amp;" "&amp;A2482))),OR('School Search'!$D$5="All",C2482='School Search'!$D$5),OR('School Search'!$G$5="All eligible",AND('School Search'!$G$5="Not marked served",J2482&lt;&gt;"Yes"),AND('School Search'!$G$5="Missing data",V2482="Missing data"),AND('School Search'!$G$5="Marked served",J2482="Yes"))),1,0)</f>
        <v>0</v>
      </c>
      <c r="Z2482" s="1" t="str">
        <f>IF(Y2482=0,"",COUNTIFS($Y$2051:$Y$2550,1,$AO$2051:$AO$2550,"&lt;"&amp;AO2482)+COUNTIFS($Y$2051:Y2482,1,$AO$2051:AO2482,AO2482))</f>
        <v/>
      </c>
      <c r="AA2482" s="1" t="str">
        <f t="shared" si="198"/>
        <v>Missing demographic or access input</v>
      </c>
      <c r="AB2482" s="1">
        <f t="shared" si="199"/>
        <v>0</v>
      </c>
      <c r="AC2482" s="1" t="str">
        <f t="shared" si="200"/>
        <v/>
      </c>
      <c r="AD2482" s="1" t="str">
        <f t="shared" si="201"/>
        <v/>
      </c>
      <c r="AE2482" s="1" t="str">
        <f t="shared" si="202"/>
        <v/>
      </c>
      <c r="AF2482" s="1" t="str">
        <f t="shared" si="203"/>
        <v/>
      </c>
      <c r="AG2482" s="1" t="str">
        <f t="shared" si="204"/>
        <v/>
      </c>
      <c r="AH2482" s="1" t="str">
        <f>IF(I2482=0,"Not contacted",IF(INDEX('Staff Review'!$J$8:$J$507,I2482)="","Not contacted",INDEX('Staff Review'!$J$8:$J$507,I2482)))</f>
        <v>Not contacted</v>
      </c>
      <c r="AI2482" s="1" t="str">
        <f>IF(I2482=0,"No",IF(AND(COUNT(INDEX('Staff Review'!$D$8:$D$507,I2482))=1,INDEX('Staff Review'!$D$8:$D$507,I2482)&gt;=0,COUNT(INDEX('Staff Review'!$E$8:$E$507,I2482))=1,INDEX('Staff Review'!$E$8:$E$507,I2482)&gt;0,INDEX('Staff Review'!$E$8:$E$507,I2482)&lt;='Top 25'!$E$5,'Top 25'!$E$5-INDEX('Staff Review'!$E$8:$E$507,I2482)&lt;='Top 25'!$H$5,LEN(INDEX('Staff Review'!$H$8:$H$507,I2482))&gt;0),"Yes","No"))</f>
        <v>No</v>
      </c>
      <c r="AJ2482" s="1" t="str">
        <f>IF(I2482=0,"No",IF(COUNT(INDEX('Staff Review'!$F$8:$F$507,I2482))&lt;&gt;1,"No",IF(AND(INDEX('Staff Review'!$F$8:$F$507,I2482)&gt;=0,MOD(INDEX('Staff Review'!$F$8:$F$507,I2482),1)=0,COUNT(INDEX('Staff Review'!$G$8:$G$507,I2482))=1,INDEX('Staff Review'!$G$8:$G$507,I2482)&gt;0,INDEX('Staff Review'!$G$8:$G$507,I2482)&lt;='Top 25'!$E$5,'Top 25'!$E$5-INDEX('Staff Review'!$G$8:$G$507,I2482)&lt;='Top 25'!$H$5,LEN(INDEX('Staff Review'!$H$8:$H$507,I2482))&gt;0),"Yes","No")))</f>
        <v>No</v>
      </c>
      <c r="AK2482" s="1">
        <f t="shared" si="205"/>
        <v>0</v>
      </c>
      <c r="AL2482" s="1">
        <f t="shared" si="206"/>
        <v>0</v>
      </c>
      <c r="AM2482" s="1">
        <f t="shared" si="207"/>
        <v>0</v>
      </c>
      <c r="AN2482" s="1">
        <f t="shared" si="208"/>
        <v>0</v>
      </c>
      <c r="AO2482">
        <f t="shared" si="209"/>
        <v>10000</v>
      </c>
      <c r="AP2482" s="105">
        <f>IF(AND(AL2482=1,OR('Top 25'!$A$10="All",C2482='Top 25'!$A$10),OR('Top 25'!$D$10="All",D2482='Top 25'!$D$10)),1,0)</f>
        <v>0</v>
      </c>
      <c r="AQ2482" s="105" t="str">
        <f>IF(AP2482=0,"",CHOOSE(MATCH('Top 25'!$G$10,{"Priority score","Economic need","Enrollment","Fresh miles","Nearby resources"},0),T2482,G2482,F2482,K2482,L2482))</f>
        <v/>
      </c>
      <c r="AR2482" s="105" t="str">
        <f>IF(AP2482=0,"",1+COUNTIFS($AP$2051:$AP$2550,1,$AQ$2051:$AQ$2550,IF('Top 25'!$J$10="Ascending","&lt;","&gt;")&amp;AQ2482)+COUNTIFS($AP$2051:$AP$2550,1,$AQ$2051:$AQ$2550,AQ2482,$W$2051:$W$2550,"&lt;"&amp;W2482))</f>
        <v/>
      </c>
      <c r="AT2482" s="105">
        <f>IF(AND(AL2482=1,OR(Master_rankableSchools!$A$10="All",C2482=Master_rankableSchools!$A$10),OR(Master_rankableSchools!$D$10="All",D2482=Master_rankableSchools!$D$10)),1,0)</f>
        <v>0</v>
      </c>
      <c r="AU2482" s="105" t="str">
        <f>IF(AT2482=0,"",CHOOSE(MATCH(Master_rankableSchools!$G$10,{"Priority score","Economic need","Enrollment","Fresh miles","Nearby resources"},0),T2482,G2482,F2482,K2482,L2482))</f>
        <v/>
      </c>
      <c r="AV2482" s="105" t="str">
        <f>IF(AT2482=0,"",1+COUNTIFS($AT$2051:$AT$2550,1,$AU$2051:$AU$2550,IF(Master_rankableSchools!$J$10="Ascending","&lt;","&gt;")&amp;AU2482)+COUNTIFS($AT$2051:$AT$2550,1,$AU$2051:$AU$2550,AU2482,$W$2051:$W$2550,"&lt;"&amp;W2482))</f>
        <v/>
      </c>
    </row>
    <row r="2483" spans="1:48" ht="22" customHeight="1">
      <c r="A2483" s="1" t="str">
        <f t="shared" si="180"/>
        <v/>
      </c>
      <c r="B2483" s="1" t="str">
        <f t="shared" si="181"/>
        <v/>
      </c>
      <c r="C2483" s="1" t="str">
        <f t="shared" si="182"/>
        <v/>
      </c>
      <c r="D2483" s="1" t="str">
        <f t="shared" si="183"/>
        <v/>
      </c>
      <c r="E2483" s="1" t="str">
        <f t="shared" si="184"/>
        <v/>
      </c>
      <c r="F2483" s="1" t="str">
        <f t="shared" si="185"/>
        <v/>
      </c>
      <c r="G2483" s="1" t="str">
        <f t="shared" si="186"/>
        <v/>
      </c>
      <c r="H2483" s="1" t="str">
        <f t="shared" si="187"/>
        <v/>
      </c>
      <c r="I2483" s="1">
        <f>IF(OR(A2483="",COUNTIFS('Staff Review'!$A$8:$A$507,A2483)&lt;&gt;1),0,MATCH(A2483,'Staff Review'!$A$8:$A$507,0))</f>
        <v>0</v>
      </c>
      <c r="J2483" s="1" t="str">
        <f>IF(I2483=0,"No",IF(INDEX('Staff Review'!$C$8:$C$507,I2483)="Yes","Yes","No"))</f>
        <v>No</v>
      </c>
      <c r="K2483" s="1" t="str">
        <f>IF(AI2483="Yes",INDEX('Staff Review'!$D$8:$D$507,I2483),IF(AB2483=0,"",IF(COUNT(INDEX($C$1531:$C$2030,AB2483))=1,INDEX($C$1531:$C$2030,AB2483),"")))</f>
        <v/>
      </c>
      <c r="L2483" s="1" t="str">
        <f>IF(AJ2483="Yes",INDEX('Staff Review'!$F$8:$F$507,I2483),IF(AB2483=0,"",IF(COUNT(INDEX($G$1531:$G$2030,AB2483))=1,INDEX($G$1531:$G$2030,AB2483),"")))</f>
        <v/>
      </c>
      <c r="M2483" s="1" t="str">
        <f t="shared" si="188"/>
        <v/>
      </c>
      <c r="N2483" s="1" t="str">
        <f t="shared" si="189"/>
        <v/>
      </c>
      <c r="O2483" s="1" t="str">
        <f t="shared" si="190"/>
        <v/>
      </c>
      <c r="P2483" s="1" t="str">
        <f t="shared" si="191"/>
        <v/>
      </c>
      <c r="Q2483" s="1" t="str">
        <f t="shared" si="192"/>
        <v/>
      </c>
      <c r="R2483" s="1" t="str">
        <f t="shared" si="193"/>
        <v/>
      </c>
      <c r="S2483" s="1" t="str">
        <f t="shared" si="194"/>
        <v/>
      </c>
      <c r="T2483" s="1" t="str">
        <f>IF(OR(COUNT(O2483:R2483)&lt;&gt;4,COUNT('Top 25'!$B$45:$E$45)&lt;&gt;4,MIN('Top 25'!$B$45:$E$45)&lt;0,SUM('Top 25'!$B$45:$E$45)&lt;=0),"",ROUND(85*(O2483/30*'Top 25'!$B$45+P2483/25*'Top 25'!$C$45+Q2483/25*'Top 25'!$D$45+R2483/5*'Top 25'!$E$45)/SUM('Top 25'!$B$45:$E$45),6))</f>
        <v/>
      </c>
      <c r="U2483" s="1" t="str">
        <f t="shared" si="195"/>
        <v/>
      </c>
      <c r="V2483" s="1" t="str">
        <f>IF(A2483="","",IF(AK2483&lt;&gt;1,"Duplicate source ID",IF(COUNTIFS('Staff Review'!$A$8:$A$507,A2483)&gt;1,"Duplicate review ID",IF(H2483&lt;&gt;"Yes","Outside scope",IF(J2483="Yes","Already served",IF(NOT(ISNUMBER(T2483)),"Missing data","Candidate"))))))</f>
        <v/>
      </c>
      <c r="W2483" s="1" t="str">
        <f t="shared" si="196"/>
        <v/>
      </c>
      <c r="X2483" s="1" t="str">
        <f t="shared" si="197"/>
        <v/>
      </c>
      <c r="Y2483" s="1">
        <f>IF(AND(H2483="Yes",OR(LEN('School Search'!$B$5)=0,ISNUMBER(SEARCH('School Search'!$B$5,B2483&amp;" "&amp;E2483&amp;" "&amp;A2483))),OR('School Search'!$D$5="All",C2483='School Search'!$D$5),OR('School Search'!$G$5="All eligible",AND('School Search'!$G$5="Not marked served",J2483&lt;&gt;"Yes"),AND('School Search'!$G$5="Missing data",V2483="Missing data"),AND('School Search'!$G$5="Marked served",J2483="Yes"))),1,0)</f>
        <v>0</v>
      </c>
      <c r="Z2483" s="1" t="str">
        <f>IF(Y2483=0,"",COUNTIFS($Y$2051:$Y$2550,1,$AO$2051:$AO$2550,"&lt;"&amp;AO2483)+COUNTIFS($Y$2051:Y2483,1,$AO$2051:AO2483,AO2483))</f>
        <v/>
      </c>
      <c r="AA2483" s="1" t="str">
        <f t="shared" si="198"/>
        <v>Missing demographic or access input</v>
      </c>
      <c r="AB2483" s="1">
        <f t="shared" si="199"/>
        <v>0</v>
      </c>
      <c r="AC2483" s="1" t="str">
        <f t="shared" si="200"/>
        <v/>
      </c>
      <c r="AD2483" s="1" t="str">
        <f t="shared" si="201"/>
        <v/>
      </c>
      <c r="AE2483" s="1" t="str">
        <f t="shared" si="202"/>
        <v/>
      </c>
      <c r="AF2483" s="1" t="str">
        <f t="shared" si="203"/>
        <v/>
      </c>
      <c r="AG2483" s="1" t="str">
        <f t="shared" si="204"/>
        <v/>
      </c>
      <c r="AH2483" s="1" t="str">
        <f>IF(I2483=0,"Not contacted",IF(INDEX('Staff Review'!$J$8:$J$507,I2483)="","Not contacted",INDEX('Staff Review'!$J$8:$J$507,I2483)))</f>
        <v>Not contacted</v>
      </c>
      <c r="AI2483" s="1" t="str">
        <f>IF(I2483=0,"No",IF(AND(COUNT(INDEX('Staff Review'!$D$8:$D$507,I2483))=1,INDEX('Staff Review'!$D$8:$D$507,I2483)&gt;=0,COUNT(INDEX('Staff Review'!$E$8:$E$507,I2483))=1,INDEX('Staff Review'!$E$8:$E$507,I2483)&gt;0,INDEX('Staff Review'!$E$8:$E$507,I2483)&lt;='Top 25'!$E$5,'Top 25'!$E$5-INDEX('Staff Review'!$E$8:$E$507,I2483)&lt;='Top 25'!$H$5,LEN(INDEX('Staff Review'!$H$8:$H$507,I2483))&gt;0),"Yes","No"))</f>
        <v>No</v>
      </c>
      <c r="AJ2483" s="1" t="str">
        <f>IF(I2483=0,"No",IF(COUNT(INDEX('Staff Review'!$F$8:$F$507,I2483))&lt;&gt;1,"No",IF(AND(INDEX('Staff Review'!$F$8:$F$507,I2483)&gt;=0,MOD(INDEX('Staff Review'!$F$8:$F$507,I2483),1)=0,COUNT(INDEX('Staff Review'!$G$8:$G$507,I2483))=1,INDEX('Staff Review'!$G$8:$G$507,I2483)&gt;0,INDEX('Staff Review'!$G$8:$G$507,I2483)&lt;='Top 25'!$E$5,'Top 25'!$E$5-INDEX('Staff Review'!$G$8:$G$507,I2483)&lt;='Top 25'!$H$5,LEN(INDEX('Staff Review'!$H$8:$H$507,I2483))&gt;0),"Yes","No")))</f>
        <v>No</v>
      </c>
      <c r="AK2483" s="1">
        <f t="shared" si="205"/>
        <v>0</v>
      </c>
      <c r="AL2483" s="1">
        <f t="shared" si="206"/>
        <v>0</v>
      </c>
      <c r="AM2483" s="1">
        <f t="shared" si="207"/>
        <v>0</v>
      </c>
      <c r="AN2483" s="1">
        <f t="shared" si="208"/>
        <v>0</v>
      </c>
      <c r="AO2483">
        <f t="shared" si="209"/>
        <v>10000</v>
      </c>
      <c r="AP2483" s="105">
        <f>IF(AND(AL2483=1,OR('Top 25'!$A$10="All",C2483='Top 25'!$A$10),OR('Top 25'!$D$10="All",D2483='Top 25'!$D$10)),1,0)</f>
        <v>0</v>
      </c>
      <c r="AQ2483" s="105" t="str">
        <f>IF(AP2483=0,"",CHOOSE(MATCH('Top 25'!$G$10,{"Priority score","Economic need","Enrollment","Fresh miles","Nearby resources"},0),T2483,G2483,F2483,K2483,L2483))</f>
        <v/>
      </c>
      <c r="AR2483" s="105" t="str">
        <f>IF(AP2483=0,"",1+COUNTIFS($AP$2051:$AP$2550,1,$AQ$2051:$AQ$2550,IF('Top 25'!$J$10="Ascending","&lt;","&gt;")&amp;AQ2483)+COUNTIFS($AP$2051:$AP$2550,1,$AQ$2051:$AQ$2550,AQ2483,$W$2051:$W$2550,"&lt;"&amp;W2483))</f>
        <v/>
      </c>
      <c r="AT2483" s="105">
        <f>IF(AND(AL2483=1,OR(Master_rankableSchools!$A$10="All",C2483=Master_rankableSchools!$A$10),OR(Master_rankableSchools!$D$10="All",D2483=Master_rankableSchools!$D$10)),1,0)</f>
        <v>0</v>
      </c>
      <c r="AU2483" s="105" t="str">
        <f>IF(AT2483=0,"",CHOOSE(MATCH(Master_rankableSchools!$G$10,{"Priority score","Economic need","Enrollment","Fresh miles","Nearby resources"},0),T2483,G2483,F2483,K2483,L2483))</f>
        <v/>
      </c>
      <c r="AV2483" s="105" t="str">
        <f>IF(AT2483=0,"",1+COUNTIFS($AT$2051:$AT$2550,1,$AU$2051:$AU$2550,IF(Master_rankableSchools!$J$10="Ascending","&lt;","&gt;")&amp;AU2483)+COUNTIFS($AT$2051:$AT$2550,1,$AU$2051:$AU$2550,AU2483,$W$2051:$W$2550,"&lt;"&amp;W2483))</f>
        <v/>
      </c>
    </row>
    <row r="2484" spans="1:48" ht="22" customHeight="1">
      <c r="A2484" s="1" t="str">
        <f t="shared" si="180"/>
        <v/>
      </c>
      <c r="B2484" s="1" t="str">
        <f t="shared" si="181"/>
        <v/>
      </c>
      <c r="C2484" s="1" t="str">
        <f t="shared" si="182"/>
        <v/>
      </c>
      <c r="D2484" s="1" t="str">
        <f t="shared" si="183"/>
        <v/>
      </c>
      <c r="E2484" s="1" t="str">
        <f t="shared" si="184"/>
        <v/>
      </c>
      <c r="F2484" s="1" t="str">
        <f t="shared" si="185"/>
        <v/>
      </c>
      <c r="G2484" s="1" t="str">
        <f t="shared" si="186"/>
        <v/>
      </c>
      <c r="H2484" s="1" t="str">
        <f t="shared" si="187"/>
        <v/>
      </c>
      <c r="I2484" s="1">
        <f>IF(OR(A2484="",COUNTIFS('Staff Review'!$A$8:$A$507,A2484)&lt;&gt;1),0,MATCH(A2484,'Staff Review'!$A$8:$A$507,0))</f>
        <v>0</v>
      </c>
      <c r="J2484" s="1" t="str">
        <f>IF(I2484=0,"No",IF(INDEX('Staff Review'!$C$8:$C$507,I2484)="Yes","Yes","No"))</f>
        <v>No</v>
      </c>
      <c r="K2484" s="1" t="str">
        <f>IF(AI2484="Yes",INDEX('Staff Review'!$D$8:$D$507,I2484),IF(AB2484=0,"",IF(COUNT(INDEX($C$1531:$C$2030,AB2484))=1,INDEX($C$1531:$C$2030,AB2484),"")))</f>
        <v/>
      </c>
      <c r="L2484" s="1" t="str">
        <f>IF(AJ2484="Yes",INDEX('Staff Review'!$F$8:$F$507,I2484),IF(AB2484=0,"",IF(COUNT(INDEX($G$1531:$G$2030,AB2484))=1,INDEX($G$1531:$G$2030,AB2484),"")))</f>
        <v/>
      </c>
      <c r="M2484" s="1" t="str">
        <f t="shared" si="188"/>
        <v/>
      </c>
      <c r="N2484" s="1" t="str">
        <f t="shared" si="189"/>
        <v/>
      </c>
      <c r="O2484" s="1" t="str">
        <f t="shared" si="190"/>
        <v/>
      </c>
      <c r="P2484" s="1" t="str">
        <f t="shared" si="191"/>
        <v/>
      </c>
      <c r="Q2484" s="1" t="str">
        <f t="shared" si="192"/>
        <v/>
      </c>
      <c r="R2484" s="1" t="str">
        <f t="shared" si="193"/>
        <v/>
      </c>
      <c r="S2484" s="1" t="str">
        <f t="shared" si="194"/>
        <v/>
      </c>
      <c r="T2484" s="1" t="str">
        <f>IF(OR(COUNT(O2484:R2484)&lt;&gt;4,COUNT('Top 25'!$B$45:$E$45)&lt;&gt;4,MIN('Top 25'!$B$45:$E$45)&lt;0,SUM('Top 25'!$B$45:$E$45)&lt;=0),"",ROUND(85*(O2484/30*'Top 25'!$B$45+P2484/25*'Top 25'!$C$45+Q2484/25*'Top 25'!$D$45+R2484/5*'Top 25'!$E$45)/SUM('Top 25'!$B$45:$E$45),6))</f>
        <v/>
      </c>
      <c r="U2484" s="1" t="str">
        <f t="shared" si="195"/>
        <v/>
      </c>
      <c r="V2484" s="1" t="str">
        <f>IF(A2484="","",IF(AK2484&lt;&gt;1,"Duplicate source ID",IF(COUNTIFS('Staff Review'!$A$8:$A$507,A2484)&gt;1,"Duplicate review ID",IF(H2484&lt;&gt;"Yes","Outside scope",IF(J2484="Yes","Already served",IF(NOT(ISNUMBER(T2484)),"Missing data","Candidate"))))))</f>
        <v/>
      </c>
      <c r="W2484" s="1" t="str">
        <f t="shared" si="196"/>
        <v/>
      </c>
      <c r="X2484" s="1" t="str">
        <f t="shared" si="197"/>
        <v/>
      </c>
      <c r="Y2484" s="1">
        <f>IF(AND(H2484="Yes",OR(LEN('School Search'!$B$5)=0,ISNUMBER(SEARCH('School Search'!$B$5,B2484&amp;" "&amp;E2484&amp;" "&amp;A2484))),OR('School Search'!$D$5="All",C2484='School Search'!$D$5),OR('School Search'!$G$5="All eligible",AND('School Search'!$G$5="Not marked served",J2484&lt;&gt;"Yes"),AND('School Search'!$G$5="Missing data",V2484="Missing data"),AND('School Search'!$G$5="Marked served",J2484="Yes"))),1,0)</f>
        <v>0</v>
      </c>
      <c r="Z2484" s="1" t="str">
        <f>IF(Y2484=0,"",COUNTIFS($Y$2051:$Y$2550,1,$AO$2051:$AO$2550,"&lt;"&amp;AO2484)+COUNTIFS($Y$2051:Y2484,1,$AO$2051:AO2484,AO2484))</f>
        <v/>
      </c>
      <c r="AA2484" s="1" t="str">
        <f t="shared" si="198"/>
        <v>Missing demographic or access input</v>
      </c>
      <c r="AB2484" s="1">
        <f t="shared" si="199"/>
        <v>0</v>
      </c>
      <c r="AC2484" s="1" t="str">
        <f t="shared" si="200"/>
        <v/>
      </c>
      <c r="AD2484" s="1" t="str">
        <f t="shared" si="201"/>
        <v/>
      </c>
      <c r="AE2484" s="1" t="str">
        <f t="shared" si="202"/>
        <v/>
      </c>
      <c r="AF2484" s="1" t="str">
        <f t="shared" si="203"/>
        <v/>
      </c>
      <c r="AG2484" s="1" t="str">
        <f t="shared" si="204"/>
        <v/>
      </c>
      <c r="AH2484" s="1" t="str">
        <f>IF(I2484=0,"Not contacted",IF(INDEX('Staff Review'!$J$8:$J$507,I2484)="","Not contacted",INDEX('Staff Review'!$J$8:$J$507,I2484)))</f>
        <v>Not contacted</v>
      </c>
      <c r="AI2484" s="1" t="str">
        <f>IF(I2484=0,"No",IF(AND(COUNT(INDEX('Staff Review'!$D$8:$D$507,I2484))=1,INDEX('Staff Review'!$D$8:$D$507,I2484)&gt;=0,COUNT(INDEX('Staff Review'!$E$8:$E$507,I2484))=1,INDEX('Staff Review'!$E$8:$E$507,I2484)&gt;0,INDEX('Staff Review'!$E$8:$E$507,I2484)&lt;='Top 25'!$E$5,'Top 25'!$E$5-INDEX('Staff Review'!$E$8:$E$507,I2484)&lt;='Top 25'!$H$5,LEN(INDEX('Staff Review'!$H$8:$H$507,I2484))&gt;0),"Yes","No"))</f>
        <v>No</v>
      </c>
      <c r="AJ2484" s="1" t="str">
        <f>IF(I2484=0,"No",IF(COUNT(INDEX('Staff Review'!$F$8:$F$507,I2484))&lt;&gt;1,"No",IF(AND(INDEX('Staff Review'!$F$8:$F$507,I2484)&gt;=0,MOD(INDEX('Staff Review'!$F$8:$F$507,I2484),1)=0,COUNT(INDEX('Staff Review'!$G$8:$G$507,I2484))=1,INDEX('Staff Review'!$G$8:$G$507,I2484)&gt;0,INDEX('Staff Review'!$G$8:$G$507,I2484)&lt;='Top 25'!$E$5,'Top 25'!$E$5-INDEX('Staff Review'!$G$8:$G$507,I2484)&lt;='Top 25'!$H$5,LEN(INDEX('Staff Review'!$H$8:$H$507,I2484))&gt;0),"Yes","No")))</f>
        <v>No</v>
      </c>
      <c r="AK2484" s="1">
        <f t="shared" si="205"/>
        <v>0</v>
      </c>
      <c r="AL2484" s="1">
        <f t="shared" si="206"/>
        <v>0</v>
      </c>
      <c r="AM2484" s="1">
        <f t="shared" si="207"/>
        <v>0</v>
      </c>
      <c r="AN2484" s="1">
        <f t="shared" si="208"/>
        <v>0</v>
      </c>
      <c r="AO2484">
        <f t="shared" si="209"/>
        <v>10000</v>
      </c>
      <c r="AP2484" s="105">
        <f>IF(AND(AL2484=1,OR('Top 25'!$A$10="All",C2484='Top 25'!$A$10),OR('Top 25'!$D$10="All",D2484='Top 25'!$D$10)),1,0)</f>
        <v>0</v>
      </c>
      <c r="AQ2484" s="105" t="str">
        <f>IF(AP2484=0,"",CHOOSE(MATCH('Top 25'!$G$10,{"Priority score","Economic need","Enrollment","Fresh miles","Nearby resources"},0),T2484,G2484,F2484,K2484,L2484))</f>
        <v/>
      </c>
      <c r="AR2484" s="105" t="str">
        <f>IF(AP2484=0,"",1+COUNTIFS($AP$2051:$AP$2550,1,$AQ$2051:$AQ$2550,IF('Top 25'!$J$10="Ascending","&lt;","&gt;")&amp;AQ2484)+COUNTIFS($AP$2051:$AP$2550,1,$AQ$2051:$AQ$2550,AQ2484,$W$2051:$W$2550,"&lt;"&amp;W2484))</f>
        <v/>
      </c>
      <c r="AT2484" s="105">
        <f>IF(AND(AL2484=1,OR(Master_rankableSchools!$A$10="All",C2484=Master_rankableSchools!$A$10),OR(Master_rankableSchools!$D$10="All",D2484=Master_rankableSchools!$D$10)),1,0)</f>
        <v>0</v>
      </c>
      <c r="AU2484" s="105" t="str">
        <f>IF(AT2484=0,"",CHOOSE(MATCH(Master_rankableSchools!$G$10,{"Priority score","Economic need","Enrollment","Fresh miles","Nearby resources"},0),T2484,G2484,F2484,K2484,L2484))</f>
        <v/>
      </c>
      <c r="AV2484" s="105" t="str">
        <f>IF(AT2484=0,"",1+COUNTIFS($AT$2051:$AT$2550,1,$AU$2051:$AU$2550,IF(Master_rankableSchools!$J$10="Ascending","&lt;","&gt;")&amp;AU2484)+COUNTIFS($AT$2051:$AT$2550,1,$AU$2051:$AU$2550,AU2484,$W$2051:$W$2550,"&lt;"&amp;W2484))</f>
        <v/>
      </c>
    </row>
    <row r="2485" spans="1:48" ht="22" customHeight="1">
      <c r="A2485" s="1" t="str">
        <f t="shared" si="180"/>
        <v/>
      </c>
      <c r="B2485" s="1" t="str">
        <f t="shared" si="181"/>
        <v/>
      </c>
      <c r="C2485" s="1" t="str">
        <f t="shared" si="182"/>
        <v/>
      </c>
      <c r="D2485" s="1" t="str">
        <f t="shared" si="183"/>
        <v/>
      </c>
      <c r="E2485" s="1" t="str">
        <f t="shared" si="184"/>
        <v/>
      </c>
      <c r="F2485" s="1" t="str">
        <f t="shared" si="185"/>
        <v/>
      </c>
      <c r="G2485" s="1" t="str">
        <f t="shared" si="186"/>
        <v/>
      </c>
      <c r="H2485" s="1" t="str">
        <f t="shared" si="187"/>
        <v/>
      </c>
      <c r="I2485" s="1">
        <f>IF(OR(A2485="",COUNTIFS('Staff Review'!$A$8:$A$507,A2485)&lt;&gt;1),0,MATCH(A2485,'Staff Review'!$A$8:$A$507,0))</f>
        <v>0</v>
      </c>
      <c r="J2485" s="1" t="str">
        <f>IF(I2485=0,"No",IF(INDEX('Staff Review'!$C$8:$C$507,I2485)="Yes","Yes","No"))</f>
        <v>No</v>
      </c>
      <c r="K2485" s="1" t="str">
        <f>IF(AI2485="Yes",INDEX('Staff Review'!$D$8:$D$507,I2485),IF(AB2485=0,"",IF(COUNT(INDEX($C$1531:$C$2030,AB2485))=1,INDEX($C$1531:$C$2030,AB2485),"")))</f>
        <v/>
      </c>
      <c r="L2485" s="1" t="str">
        <f>IF(AJ2485="Yes",INDEX('Staff Review'!$F$8:$F$507,I2485),IF(AB2485=0,"",IF(COUNT(INDEX($G$1531:$G$2030,AB2485))=1,INDEX($G$1531:$G$2030,AB2485),"")))</f>
        <v/>
      </c>
      <c r="M2485" s="1" t="str">
        <f t="shared" si="188"/>
        <v/>
      </c>
      <c r="N2485" s="1" t="str">
        <f t="shared" si="189"/>
        <v/>
      </c>
      <c r="O2485" s="1" t="str">
        <f t="shared" si="190"/>
        <v/>
      </c>
      <c r="P2485" s="1" t="str">
        <f t="shared" si="191"/>
        <v/>
      </c>
      <c r="Q2485" s="1" t="str">
        <f t="shared" si="192"/>
        <v/>
      </c>
      <c r="R2485" s="1" t="str">
        <f t="shared" si="193"/>
        <v/>
      </c>
      <c r="S2485" s="1" t="str">
        <f t="shared" si="194"/>
        <v/>
      </c>
      <c r="T2485" s="1" t="str">
        <f>IF(OR(COUNT(O2485:R2485)&lt;&gt;4,COUNT('Top 25'!$B$45:$E$45)&lt;&gt;4,MIN('Top 25'!$B$45:$E$45)&lt;0,SUM('Top 25'!$B$45:$E$45)&lt;=0),"",ROUND(85*(O2485/30*'Top 25'!$B$45+P2485/25*'Top 25'!$C$45+Q2485/25*'Top 25'!$D$45+R2485/5*'Top 25'!$E$45)/SUM('Top 25'!$B$45:$E$45),6))</f>
        <v/>
      </c>
      <c r="U2485" s="1" t="str">
        <f t="shared" si="195"/>
        <v/>
      </c>
      <c r="V2485" s="1" t="str">
        <f>IF(A2485="","",IF(AK2485&lt;&gt;1,"Duplicate source ID",IF(COUNTIFS('Staff Review'!$A$8:$A$507,A2485)&gt;1,"Duplicate review ID",IF(H2485&lt;&gt;"Yes","Outside scope",IF(J2485="Yes","Already served",IF(NOT(ISNUMBER(T2485)),"Missing data","Candidate"))))))</f>
        <v/>
      </c>
      <c r="W2485" s="1" t="str">
        <f t="shared" si="196"/>
        <v/>
      </c>
      <c r="X2485" s="1" t="str">
        <f t="shared" si="197"/>
        <v/>
      </c>
      <c r="Y2485" s="1">
        <f>IF(AND(H2485="Yes",OR(LEN('School Search'!$B$5)=0,ISNUMBER(SEARCH('School Search'!$B$5,B2485&amp;" "&amp;E2485&amp;" "&amp;A2485))),OR('School Search'!$D$5="All",C2485='School Search'!$D$5),OR('School Search'!$G$5="All eligible",AND('School Search'!$G$5="Not marked served",J2485&lt;&gt;"Yes"),AND('School Search'!$G$5="Missing data",V2485="Missing data"),AND('School Search'!$G$5="Marked served",J2485="Yes"))),1,0)</f>
        <v>0</v>
      </c>
      <c r="Z2485" s="1" t="str">
        <f>IF(Y2485=0,"",COUNTIFS($Y$2051:$Y$2550,1,$AO$2051:$AO$2550,"&lt;"&amp;AO2485)+COUNTIFS($Y$2051:Y2485,1,$AO$2051:AO2485,AO2485))</f>
        <v/>
      </c>
      <c r="AA2485" s="1" t="str">
        <f t="shared" si="198"/>
        <v>Missing demographic or access input</v>
      </c>
      <c r="AB2485" s="1">
        <f t="shared" si="199"/>
        <v>0</v>
      </c>
      <c r="AC2485" s="1" t="str">
        <f t="shared" si="200"/>
        <v/>
      </c>
      <c r="AD2485" s="1" t="str">
        <f t="shared" si="201"/>
        <v/>
      </c>
      <c r="AE2485" s="1" t="str">
        <f t="shared" si="202"/>
        <v/>
      </c>
      <c r="AF2485" s="1" t="str">
        <f t="shared" si="203"/>
        <v/>
      </c>
      <c r="AG2485" s="1" t="str">
        <f t="shared" si="204"/>
        <v/>
      </c>
      <c r="AH2485" s="1" t="str">
        <f>IF(I2485=0,"Not contacted",IF(INDEX('Staff Review'!$J$8:$J$507,I2485)="","Not contacted",INDEX('Staff Review'!$J$8:$J$507,I2485)))</f>
        <v>Not contacted</v>
      </c>
      <c r="AI2485" s="1" t="str">
        <f>IF(I2485=0,"No",IF(AND(COUNT(INDEX('Staff Review'!$D$8:$D$507,I2485))=1,INDEX('Staff Review'!$D$8:$D$507,I2485)&gt;=0,COUNT(INDEX('Staff Review'!$E$8:$E$507,I2485))=1,INDEX('Staff Review'!$E$8:$E$507,I2485)&gt;0,INDEX('Staff Review'!$E$8:$E$507,I2485)&lt;='Top 25'!$E$5,'Top 25'!$E$5-INDEX('Staff Review'!$E$8:$E$507,I2485)&lt;='Top 25'!$H$5,LEN(INDEX('Staff Review'!$H$8:$H$507,I2485))&gt;0),"Yes","No"))</f>
        <v>No</v>
      </c>
      <c r="AJ2485" s="1" t="str">
        <f>IF(I2485=0,"No",IF(COUNT(INDEX('Staff Review'!$F$8:$F$507,I2485))&lt;&gt;1,"No",IF(AND(INDEX('Staff Review'!$F$8:$F$507,I2485)&gt;=0,MOD(INDEX('Staff Review'!$F$8:$F$507,I2485),1)=0,COUNT(INDEX('Staff Review'!$G$8:$G$507,I2485))=1,INDEX('Staff Review'!$G$8:$G$507,I2485)&gt;0,INDEX('Staff Review'!$G$8:$G$507,I2485)&lt;='Top 25'!$E$5,'Top 25'!$E$5-INDEX('Staff Review'!$G$8:$G$507,I2485)&lt;='Top 25'!$H$5,LEN(INDEX('Staff Review'!$H$8:$H$507,I2485))&gt;0),"Yes","No")))</f>
        <v>No</v>
      </c>
      <c r="AK2485" s="1">
        <f t="shared" si="205"/>
        <v>0</v>
      </c>
      <c r="AL2485" s="1">
        <f t="shared" si="206"/>
        <v>0</v>
      </c>
      <c r="AM2485" s="1">
        <f t="shared" si="207"/>
        <v>0</v>
      </c>
      <c r="AN2485" s="1">
        <f t="shared" si="208"/>
        <v>0</v>
      </c>
      <c r="AO2485">
        <f t="shared" si="209"/>
        <v>10000</v>
      </c>
      <c r="AP2485" s="105">
        <f>IF(AND(AL2485=1,OR('Top 25'!$A$10="All",C2485='Top 25'!$A$10),OR('Top 25'!$D$10="All",D2485='Top 25'!$D$10)),1,0)</f>
        <v>0</v>
      </c>
      <c r="AQ2485" s="105" t="str">
        <f>IF(AP2485=0,"",CHOOSE(MATCH('Top 25'!$G$10,{"Priority score","Economic need","Enrollment","Fresh miles","Nearby resources"},0),T2485,G2485,F2485,K2485,L2485))</f>
        <v/>
      </c>
      <c r="AR2485" s="105" t="str">
        <f>IF(AP2485=0,"",1+COUNTIFS($AP$2051:$AP$2550,1,$AQ$2051:$AQ$2550,IF('Top 25'!$J$10="Ascending","&lt;","&gt;")&amp;AQ2485)+COUNTIFS($AP$2051:$AP$2550,1,$AQ$2051:$AQ$2550,AQ2485,$W$2051:$W$2550,"&lt;"&amp;W2485))</f>
        <v/>
      </c>
      <c r="AT2485" s="105">
        <f>IF(AND(AL2485=1,OR(Master_rankableSchools!$A$10="All",C2485=Master_rankableSchools!$A$10),OR(Master_rankableSchools!$D$10="All",D2485=Master_rankableSchools!$D$10)),1,0)</f>
        <v>0</v>
      </c>
      <c r="AU2485" s="105" t="str">
        <f>IF(AT2485=0,"",CHOOSE(MATCH(Master_rankableSchools!$G$10,{"Priority score","Economic need","Enrollment","Fresh miles","Nearby resources"},0),T2485,G2485,F2485,K2485,L2485))</f>
        <v/>
      </c>
      <c r="AV2485" s="105" t="str">
        <f>IF(AT2485=0,"",1+COUNTIFS($AT$2051:$AT$2550,1,$AU$2051:$AU$2550,IF(Master_rankableSchools!$J$10="Ascending","&lt;","&gt;")&amp;AU2485)+COUNTIFS($AT$2051:$AT$2550,1,$AU$2051:$AU$2550,AU2485,$W$2051:$W$2550,"&lt;"&amp;W2485))</f>
        <v/>
      </c>
    </row>
    <row r="2486" spans="1:48" ht="22" customHeight="1">
      <c r="A2486" s="1" t="str">
        <f t="shared" si="180"/>
        <v/>
      </c>
      <c r="B2486" s="1" t="str">
        <f t="shared" si="181"/>
        <v/>
      </c>
      <c r="C2486" s="1" t="str">
        <f t="shared" si="182"/>
        <v/>
      </c>
      <c r="D2486" s="1" t="str">
        <f t="shared" si="183"/>
        <v/>
      </c>
      <c r="E2486" s="1" t="str">
        <f t="shared" si="184"/>
        <v/>
      </c>
      <c r="F2486" s="1" t="str">
        <f t="shared" si="185"/>
        <v/>
      </c>
      <c r="G2486" s="1" t="str">
        <f t="shared" si="186"/>
        <v/>
      </c>
      <c r="H2486" s="1" t="str">
        <f t="shared" si="187"/>
        <v/>
      </c>
      <c r="I2486" s="1">
        <f>IF(OR(A2486="",COUNTIFS('Staff Review'!$A$8:$A$507,A2486)&lt;&gt;1),0,MATCH(A2486,'Staff Review'!$A$8:$A$507,0))</f>
        <v>0</v>
      </c>
      <c r="J2486" s="1" t="str">
        <f>IF(I2486=0,"No",IF(INDEX('Staff Review'!$C$8:$C$507,I2486)="Yes","Yes","No"))</f>
        <v>No</v>
      </c>
      <c r="K2486" s="1" t="str">
        <f>IF(AI2486="Yes",INDEX('Staff Review'!$D$8:$D$507,I2486),IF(AB2486=0,"",IF(COUNT(INDEX($C$1531:$C$2030,AB2486))=1,INDEX($C$1531:$C$2030,AB2486),"")))</f>
        <v/>
      </c>
      <c r="L2486" s="1" t="str">
        <f>IF(AJ2486="Yes",INDEX('Staff Review'!$F$8:$F$507,I2486),IF(AB2486=0,"",IF(COUNT(INDEX($G$1531:$G$2030,AB2486))=1,INDEX($G$1531:$G$2030,AB2486),"")))</f>
        <v/>
      </c>
      <c r="M2486" s="1" t="str">
        <f t="shared" si="188"/>
        <v/>
      </c>
      <c r="N2486" s="1" t="str">
        <f t="shared" si="189"/>
        <v/>
      </c>
      <c r="O2486" s="1" t="str">
        <f t="shared" si="190"/>
        <v/>
      </c>
      <c r="P2486" s="1" t="str">
        <f t="shared" si="191"/>
        <v/>
      </c>
      <c r="Q2486" s="1" t="str">
        <f t="shared" si="192"/>
        <v/>
      </c>
      <c r="R2486" s="1" t="str">
        <f t="shared" si="193"/>
        <v/>
      </c>
      <c r="S2486" s="1" t="str">
        <f t="shared" si="194"/>
        <v/>
      </c>
      <c r="T2486" s="1" t="str">
        <f>IF(OR(COUNT(O2486:R2486)&lt;&gt;4,COUNT('Top 25'!$B$45:$E$45)&lt;&gt;4,MIN('Top 25'!$B$45:$E$45)&lt;0,SUM('Top 25'!$B$45:$E$45)&lt;=0),"",ROUND(85*(O2486/30*'Top 25'!$B$45+P2486/25*'Top 25'!$C$45+Q2486/25*'Top 25'!$D$45+R2486/5*'Top 25'!$E$45)/SUM('Top 25'!$B$45:$E$45),6))</f>
        <v/>
      </c>
      <c r="U2486" s="1" t="str">
        <f t="shared" si="195"/>
        <v/>
      </c>
      <c r="V2486" s="1" t="str">
        <f>IF(A2486="","",IF(AK2486&lt;&gt;1,"Duplicate source ID",IF(COUNTIFS('Staff Review'!$A$8:$A$507,A2486)&gt;1,"Duplicate review ID",IF(H2486&lt;&gt;"Yes","Outside scope",IF(J2486="Yes","Already served",IF(NOT(ISNUMBER(T2486)),"Missing data","Candidate"))))))</f>
        <v/>
      </c>
      <c r="W2486" s="1" t="str">
        <f t="shared" si="196"/>
        <v/>
      </c>
      <c r="X2486" s="1" t="str">
        <f t="shared" si="197"/>
        <v/>
      </c>
      <c r="Y2486" s="1">
        <f>IF(AND(H2486="Yes",OR(LEN('School Search'!$B$5)=0,ISNUMBER(SEARCH('School Search'!$B$5,B2486&amp;" "&amp;E2486&amp;" "&amp;A2486))),OR('School Search'!$D$5="All",C2486='School Search'!$D$5),OR('School Search'!$G$5="All eligible",AND('School Search'!$G$5="Not marked served",J2486&lt;&gt;"Yes"),AND('School Search'!$G$5="Missing data",V2486="Missing data"),AND('School Search'!$G$5="Marked served",J2486="Yes"))),1,0)</f>
        <v>0</v>
      </c>
      <c r="Z2486" s="1" t="str">
        <f>IF(Y2486=0,"",COUNTIFS($Y$2051:$Y$2550,1,$AO$2051:$AO$2550,"&lt;"&amp;AO2486)+COUNTIFS($Y$2051:Y2486,1,$AO$2051:AO2486,AO2486))</f>
        <v/>
      </c>
      <c r="AA2486" s="1" t="str">
        <f t="shared" si="198"/>
        <v>Missing demographic or access input</v>
      </c>
      <c r="AB2486" s="1">
        <f t="shared" si="199"/>
        <v>0</v>
      </c>
      <c r="AC2486" s="1" t="str">
        <f t="shared" si="200"/>
        <v/>
      </c>
      <c r="AD2486" s="1" t="str">
        <f t="shared" si="201"/>
        <v/>
      </c>
      <c r="AE2486" s="1" t="str">
        <f t="shared" si="202"/>
        <v/>
      </c>
      <c r="AF2486" s="1" t="str">
        <f t="shared" si="203"/>
        <v/>
      </c>
      <c r="AG2486" s="1" t="str">
        <f t="shared" si="204"/>
        <v/>
      </c>
      <c r="AH2486" s="1" t="str">
        <f>IF(I2486=0,"Not contacted",IF(INDEX('Staff Review'!$J$8:$J$507,I2486)="","Not contacted",INDEX('Staff Review'!$J$8:$J$507,I2486)))</f>
        <v>Not contacted</v>
      </c>
      <c r="AI2486" s="1" t="str">
        <f>IF(I2486=0,"No",IF(AND(COUNT(INDEX('Staff Review'!$D$8:$D$507,I2486))=1,INDEX('Staff Review'!$D$8:$D$507,I2486)&gt;=0,COUNT(INDEX('Staff Review'!$E$8:$E$507,I2486))=1,INDEX('Staff Review'!$E$8:$E$507,I2486)&gt;0,INDEX('Staff Review'!$E$8:$E$507,I2486)&lt;='Top 25'!$E$5,'Top 25'!$E$5-INDEX('Staff Review'!$E$8:$E$507,I2486)&lt;='Top 25'!$H$5,LEN(INDEX('Staff Review'!$H$8:$H$507,I2486))&gt;0),"Yes","No"))</f>
        <v>No</v>
      </c>
      <c r="AJ2486" s="1" t="str">
        <f>IF(I2486=0,"No",IF(COUNT(INDEX('Staff Review'!$F$8:$F$507,I2486))&lt;&gt;1,"No",IF(AND(INDEX('Staff Review'!$F$8:$F$507,I2486)&gt;=0,MOD(INDEX('Staff Review'!$F$8:$F$507,I2486),1)=0,COUNT(INDEX('Staff Review'!$G$8:$G$507,I2486))=1,INDEX('Staff Review'!$G$8:$G$507,I2486)&gt;0,INDEX('Staff Review'!$G$8:$G$507,I2486)&lt;='Top 25'!$E$5,'Top 25'!$E$5-INDEX('Staff Review'!$G$8:$G$507,I2486)&lt;='Top 25'!$H$5,LEN(INDEX('Staff Review'!$H$8:$H$507,I2486))&gt;0),"Yes","No")))</f>
        <v>No</v>
      </c>
      <c r="AK2486" s="1">
        <f t="shared" si="205"/>
        <v>0</v>
      </c>
      <c r="AL2486" s="1">
        <f t="shared" si="206"/>
        <v>0</v>
      </c>
      <c r="AM2486" s="1">
        <f t="shared" si="207"/>
        <v>0</v>
      </c>
      <c r="AN2486" s="1">
        <f t="shared" si="208"/>
        <v>0</v>
      </c>
      <c r="AO2486">
        <f t="shared" si="209"/>
        <v>10000</v>
      </c>
      <c r="AP2486" s="105">
        <f>IF(AND(AL2486=1,OR('Top 25'!$A$10="All",C2486='Top 25'!$A$10),OR('Top 25'!$D$10="All",D2486='Top 25'!$D$10)),1,0)</f>
        <v>0</v>
      </c>
      <c r="AQ2486" s="105" t="str">
        <f>IF(AP2486=0,"",CHOOSE(MATCH('Top 25'!$G$10,{"Priority score","Economic need","Enrollment","Fresh miles","Nearby resources"},0),T2486,G2486,F2486,K2486,L2486))</f>
        <v/>
      </c>
      <c r="AR2486" s="105" t="str">
        <f>IF(AP2486=0,"",1+COUNTIFS($AP$2051:$AP$2550,1,$AQ$2051:$AQ$2550,IF('Top 25'!$J$10="Ascending","&lt;","&gt;")&amp;AQ2486)+COUNTIFS($AP$2051:$AP$2550,1,$AQ$2051:$AQ$2550,AQ2486,$W$2051:$W$2550,"&lt;"&amp;W2486))</f>
        <v/>
      </c>
      <c r="AT2486" s="105">
        <f>IF(AND(AL2486=1,OR(Master_rankableSchools!$A$10="All",C2486=Master_rankableSchools!$A$10),OR(Master_rankableSchools!$D$10="All",D2486=Master_rankableSchools!$D$10)),1,0)</f>
        <v>0</v>
      </c>
      <c r="AU2486" s="105" t="str">
        <f>IF(AT2486=0,"",CHOOSE(MATCH(Master_rankableSchools!$G$10,{"Priority score","Economic need","Enrollment","Fresh miles","Nearby resources"},0),T2486,G2486,F2486,K2486,L2486))</f>
        <v/>
      </c>
      <c r="AV2486" s="105" t="str">
        <f>IF(AT2486=0,"",1+COUNTIFS($AT$2051:$AT$2550,1,$AU$2051:$AU$2550,IF(Master_rankableSchools!$J$10="Ascending","&lt;","&gt;")&amp;AU2486)+COUNTIFS($AT$2051:$AT$2550,1,$AU$2051:$AU$2550,AU2486,$W$2051:$W$2550,"&lt;"&amp;W2486))</f>
        <v/>
      </c>
    </row>
    <row r="2487" spans="1:48" ht="22" customHeight="1">
      <c r="A2487" s="1" t="str">
        <f t="shared" si="180"/>
        <v/>
      </c>
      <c r="B2487" s="1" t="str">
        <f t="shared" si="181"/>
        <v/>
      </c>
      <c r="C2487" s="1" t="str">
        <f t="shared" si="182"/>
        <v/>
      </c>
      <c r="D2487" s="1" t="str">
        <f t="shared" si="183"/>
        <v/>
      </c>
      <c r="E2487" s="1" t="str">
        <f t="shared" si="184"/>
        <v/>
      </c>
      <c r="F2487" s="1" t="str">
        <f t="shared" si="185"/>
        <v/>
      </c>
      <c r="G2487" s="1" t="str">
        <f t="shared" si="186"/>
        <v/>
      </c>
      <c r="H2487" s="1" t="str">
        <f t="shared" si="187"/>
        <v/>
      </c>
      <c r="I2487" s="1">
        <f>IF(OR(A2487="",COUNTIFS('Staff Review'!$A$8:$A$507,A2487)&lt;&gt;1),0,MATCH(A2487,'Staff Review'!$A$8:$A$507,0))</f>
        <v>0</v>
      </c>
      <c r="J2487" s="1" t="str">
        <f>IF(I2487=0,"No",IF(INDEX('Staff Review'!$C$8:$C$507,I2487)="Yes","Yes","No"))</f>
        <v>No</v>
      </c>
      <c r="K2487" s="1" t="str">
        <f>IF(AI2487="Yes",INDEX('Staff Review'!$D$8:$D$507,I2487),IF(AB2487=0,"",IF(COUNT(INDEX($C$1531:$C$2030,AB2487))=1,INDEX($C$1531:$C$2030,AB2487),"")))</f>
        <v/>
      </c>
      <c r="L2487" s="1" t="str">
        <f>IF(AJ2487="Yes",INDEX('Staff Review'!$F$8:$F$507,I2487),IF(AB2487=0,"",IF(COUNT(INDEX($G$1531:$G$2030,AB2487))=1,INDEX($G$1531:$G$2030,AB2487),"")))</f>
        <v/>
      </c>
      <c r="M2487" s="1" t="str">
        <f t="shared" si="188"/>
        <v/>
      </c>
      <c r="N2487" s="1" t="str">
        <f t="shared" si="189"/>
        <v/>
      </c>
      <c r="O2487" s="1" t="str">
        <f t="shared" si="190"/>
        <v/>
      </c>
      <c r="P2487" s="1" t="str">
        <f t="shared" si="191"/>
        <v/>
      </c>
      <c r="Q2487" s="1" t="str">
        <f t="shared" si="192"/>
        <v/>
      </c>
      <c r="R2487" s="1" t="str">
        <f t="shared" si="193"/>
        <v/>
      </c>
      <c r="S2487" s="1" t="str">
        <f t="shared" si="194"/>
        <v/>
      </c>
      <c r="T2487" s="1" t="str">
        <f>IF(OR(COUNT(O2487:R2487)&lt;&gt;4,COUNT('Top 25'!$B$45:$E$45)&lt;&gt;4,MIN('Top 25'!$B$45:$E$45)&lt;0,SUM('Top 25'!$B$45:$E$45)&lt;=0),"",ROUND(85*(O2487/30*'Top 25'!$B$45+P2487/25*'Top 25'!$C$45+Q2487/25*'Top 25'!$D$45+R2487/5*'Top 25'!$E$45)/SUM('Top 25'!$B$45:$E$45),6))</f>
        <v/>
      </c>
      <c r="U2487" s="1" t="str">
        <f t="shared" si="195"/>
        <v/>
      </c>
      <c r="V2487" s="1" t="str">
        <f>IF(A2487="","",IF(AK2487&lt;&gt;1,"Duplicate source ID",IF(COUNTIFS('Staff Review'!$A$8:$A$507,A2487)&gt;1,"Duplicate review ID",IF(H2487&lt;&gt;"Yes","Outside scope",IF(J2487="Yes","Already served",IF(NOT(ISNUMBER(T2487)),"Missing data","Candidate"))))))</f>
        <v/>
      </c>
      <c r="W2487" s="1" t="str">
        <f t="shared" si="196"/>
        <v/>
      </c>
      <c r="X2487" s="1" t="str">
        <f t="shared" si="197"/>
        <v/>
      </c>
      <c r="Y2487" s="1">
        <f>IF(AND(H2487="Yes",OR(LEN('School Search'!$B$5)=0,ISNUMBER(SEARCH('School Search'!$B$5,B2487&amp;" "&amp;E2487&amp;" "&amp;A2487))),OR('School Search'!$D$5="All",C2487='School Search'!$D$5),OR('School Search'!$G$5="All eligible",AND('School Search'!$G$5="Not marked served",J2487&lt;&gt;"Yes"),AND('School Search'!$G$5="Missing data",V2487="Missing data"),AND('School Search'!$G$5="Marked served",J2487="Yes"))),1,0)</f>
        <v>0</v>
      </c>
      <c r="Z2487" s="1" t="str">
        <f>IF(Y2487=0,"",COUNTIFS($Y$2051:$Y$2550,1,$AO$2051:$AO$2550,"&lt;"&amp;AO2487)+COUNTIFS($Y$2051:Y2487,1,$AO$2051:AO2487,AO2487))</f>
        <v/>
      </c>
      <c r="AA2487" s="1" t="str">
        <f t="shared" si="198"/>
        <v>Missing demographic or access input</v>
      </c>
      <c r="AB2487" s="1">
        <f t="shared" si="199"/>
        <v>0</v>
      </c>
      <c r="AC2487" s="1" t="str">
        <f t="shared" si="200"/>
        <v/>
      </c>
      <c r="AD2487" s="1" t="str">
        <f t="shared" si="201"/>
        <v/>
      </c>
      <c r="AE2487" s="1" t="str">
        <f t="shared" si="202"/>
        <v/>
      </c>
      <c r="AF2487" s="1" t="str">
        <f t="shared" si="203"/>
        <v/>
      </c>
      <c r="AG2487" s="1" t="str">
        <f t="shared" si="204"/>
        <v/>
      </c>
      <c r="AH2487" s="1" t="str">
        <f>IF(I2487=0,"Not contacted",IF(INDEX('Staff Review'!$J$8:$J$507,I2487)="","Not contacted",INDEX('Staff Review'!$J$8:$J$507,I2487)))</f>
        <v>Not contacted</v>
      </c>
      <c r="AI2487" s="1" t="str">
        <f>IF(I2487=0,"No",IF(AND(COUNT(INDEX('Staff Review'!$D$8:$D$507,I2487))=1,INDEX('Staff Review'!$D$8:$D$507,I2487)&gt;=0,COUNT(INDEX('Staff Review'!$E$8:$E$507,I2487))=1,INDEX('Staff Review'!$E$8:$E$507,I2487)&gt;0,INDEX('Staff Review'!$E$8:$E$507,I2487)&lt;='Top 25'!$E$5,'Top 25'!$E$5-INDEX('Staff Review'!$E$8:$E$507,I2487)&lt;='Top 25'!$H$5,LEN(INDEX('Staff Review'!$H$8:$H$507,I2487))&gt;0),"Yes","No"))</f>
        <v>No</v>
      </c>
      <c r="AJ2487" s="1" t="str">
        <f>IF(I2487=0,"No",IF(COUNT(INDEX('Staff Review'!$F$8:$F$507,I2487))&lt;&gt;1,"No",IF(AND(INDEX('Staff Review'!$F$8:$F$507,I2487)&gt;=0,MOD(INDEX('Staff Review'!$F$8:$F$507,I2487),1)=0,COUNT(INDEX('Staff Review'!$G$8:$G$507,I2487))=1,INDEX('Staff Review'!$G$8:$G$507,I2487)&gt;0,INDEX('Staff Review'!$G$8:$G$507,I2487)&lt;='Top 25'!$E$5,'Top 25'!$E$5-INDEX('Staff Review'!$G$8:$G$507,I2487)&lt;='Top 25'!$H$5,LEN(INDEX('Staff Review'!$H$8:$H$507,I2487))&gt;0),"Yes","No")))</f>
        <v>No</v>
      </c>
      <c r="AK2487" s="1">
        <f t="shared" si="205"/>
        <v>0</v>
      </c>
      <c r="AL2487" s="1">
        <f t="shared" si="206"/>
        <v>0</v>
      </c>
      <c r="AM2487" s="1">
        <f t="shared" si="207"/>
        <v>0</v>
      </c>
      <c r="AN2487" s="1">
        <f t="shared" si="208"/>
        <v>0</v>
      </c>
      <c r="AO2487">
        <f t="shared" si="209"/>
        <v>10000</v>
      </c>
      <c r="AP2487" s="105">
        <f>IF(AND(AL2487=1,OR('Top 25'!$A$10="All",C2487='Top 25'!$A$10),OR('Top 25'!$D$10="All",D2487='Top 25'!$D$10)),1,0)</f>
        <v>0</v>
      </c>
      <c r="AQ2487" s="105" t="str">
        <f>IF(AP2487=0,"",CHOOSE(MATCH('Top 25'!$G$10,{"Priority score","Economic need","Enrollment","Fresh miles","Nearby resources"},0),T2487,G2487,F2487,K2487,L2487))</f>
        <v/>
      </c>
      <c r="AR2487" s="105" t="str">
        <f>IF(AP2487=0,"",1+COUNTIFS($AP$2051:$AP$2550,1,$AQ$2051:$AQ$2550,IF('Top 25'!$J$10="Ascending","&lt;","&gt;")&amp;AQ2487)+COUNTIFS($AP$2051:$AP$2550,1,$AQ$2051:$AQ$2550,AQ2487,$W$2051:$W$2550,"&lt;"&amp;W2487))</f>
        <v/>
      </c>
      <c r="AT2487" s="105">
        <f>IF(AND(AL2487=1,OR(Master_rankableSchools!$A$10="All",C2487=Master_rankableSchools!$A$10),OR(Master_rankableSchools!$D$10="All",D2487=Master_rankableSchools!$D$10)),1,0)</f>
        <v>0</v>
      </c>
      <c r="AU2487" s="105" t="str">
        <f>IF(AT2487=0,"",CHOOSE(MATCH(Master_rankableSchools!$G$10,{"Priority score","Economic need","Enrollment","Fresh miles","Nearby resources"},0),T2487,G2487,F2487,K2487,L2487))</f>
        <v/>
      </c>
      <c r="AV2487" s="105" t="str">
        <f>IF(AT2487=0,"",1+COUNTIFS($AT$2051:$AT$2550,1,$AU$2051:$AU$2550,IF(Master_rankableSchools!$J$10="Ascending","&lt;","&gt;")&amp;AU2487)+COUNTIFS($AT$2051:$AT$2550,1,$AU$2051:$AU$2550,AU2487,$W$2051:$W$2550,"&lt;"&amp;W2487))</f>
        <v/>
      </c>
    </row>
    <row r="2488" spans="1:48" ht="22" customHeight="1">
      <c r="A2488" s="1" t="str">
        <f t="shared" si="180"/>
        <v/>
      </c>
      <c r="B2488" s="1" t="str">
        <f t="shared" si="181"/>
        <v/>
      </c>
      <c r="C2488" s="1" t="str">
        <f t="shared" si="182"/>
        <v/>
      </c>
      <c r="D2488" s="1" t="str">
        <f t="shared" si="183"/>
        <v/>
      </c>
      <c r="E2488" s="1" t="str">
        <f t="shared" si="184"/>
        <v/>
      </c>
      <c r="F2488" s="1" t="str">
        <f t="shared" si="185"/>
        <v/>
      </c>
      <c r="G2488" s="1" t="str">
        <f t="shared" si="186"/>
        <v/>
      </c>
      <c r="H2488" s="1" t="str">
        <f t="shared" si="187"/>
        <v/>
      </c>
      <c r="I2488" s="1">
        <f>IF(OR(A2488="",COUNTIFS('Staff Review'!$A$8:$A$507,A2488)&lt;&gt;1),0,MATCH(A2488,'Staff Review'!$A$8:$A$507,0))</f>
        <v>0</v>
      </c>
      <c r="J2488" s="1" t="str">
        <f>IF(I2488=0,"No",IF(INDEX('Staff Review'!$C$8:$C$507,I2488)="Yes","Yes","No"))</f>
        <v>No</v>
      </c>
      <c r="K2488" s="1" t="str">
        <f>IF(AI2488="Yes",INDEX('Staff Review'!$D$8:$D$507,I2488),IF(AB2488=0,"",IF(COUNT(INDEX($C$1531:$C$2030,AB2488))=1,INDEX($C$1531:$C$2030,AB2488),"")))</f>
        <v/>
      </c>
      <c r="L2488" s="1" t="str">
        <f>IF(AJ2488="Yes",INDEX('Staff Review'!$F$8:$F$507,I2488),IF(AB2488=0,"",IF(COUNT(INDEX($G$1531:$G$2030,AB2488))=1,INDEX($G$1531:$G$2030,AB2488),"")))</f>
        <v/>
      </c>
      <c r="M2488" s="1" t="str">
        <f t="shared" si="188"/>
        <v/>
      </c>
      <c r="N2488" s="1" t="str">
        <f t="shared" si="189"/>
        <v/>
      </c>
      <c r="O2488" s="1" t="str">
        <f t="shared" si="190"/>
        <v/>
      </c>
      <c r="P2488" s="1" t="str">
        <f t="shared" si="191"/>
        <v/>
      </c>
      <c r="Q2488" s="1" t="str">
        <f t="shared" si="192"/>
        <v/>
      </c>
      <c r="R2488" s="1" t="str">
        <f t="shared" si="193"/>
        <v/>
      </c>
      <c r="S2488" s="1" t="str">
        <f t="shared" si="194"/>
        <v/>
      </c>
      <c r="T2488" s="1" t="str">
        <f>IF(OR(COUNT(O2488:R2488)&lt;&gt;4,COUNT('Top 25'!$B$45:$E$45)&lt;&gt;4,MIN('Top 25'!$B$45:$E$45)&lt;0,SUM('Top 25'!$B$45:$E$45)&lt;=0),"",ROUND(85*(O2488/30*'Top 25'!$B$45+P2488/25*'Top 25'!$C$45+Q2488/25*'Top 25'!$D$45+R2488/5*'Top 25'!$E$45)/SUM('Top 25'!$B$45:$E$45),6))</f>
        <v/>
      </c>
      <c r="U2488" s="1" t="str">
        <f t="shared" si="195"/>
        <v/>
      </c>
      <c r="V2488" s="1" t="str">
        <f>IF(A2488="","",IF(AK2488&lt;&gt;1,"Duplicate source ID",IF(COUNTIFS('Staff Review'!$A$8:$A$507,A2488)&gt;1,"Duplicate review ID",IF(H2488&lt;&gt;"Yes","Outside scope",IF(J2488="Yes","Already served",IF(NOT(ISNUMBER(T2488)),"Missing data","Candidate"))))))</f>
        <v/>
      </c>
      <c r="W2488" s="1" t="str">
        <f t="shared" si="196"/>
        <v/>
      </c>
      <c r="X2488" s="1" t="str">
        <f t="shared" si="197"/>
        <v/>
      </c>
      <c r="Y2488" s="1">
        <f>IF(AND(H2488="Yes",OR(LEN('School Search'!$B$5)=0,ISNUMBER(SEARCH('School Search'!$B$5,B2488&amp;" "&amp;E2488&amp;" "&amp;A2488))),OR('School Search'!$D$5="All",C2488='School Search'!$D$5),OR('School Search'!$G$5="All eligible",AND('School Search'!$G$5="Not marked served",J2488&lt;&gt;"Yes"),AND('School Search'!$G$5="Missing data",V2488="Missing data"),AND('School Search'!$G$5="Marked served",J2488="Yes"))),1,0)</f>
        <v>0</v>
      </c>
      <c r="Z2488" s="1" t="str">
        <f>IF(Y2488=0,"",COUNTIFS($Y$2051:$Y$2550,1,$AO$2051:$AO$2550,"&lt;"&amp;AO2488)+COUNTIFS($Y$2051:Y2488,1,$AO$2051:AO2488,AO2488))</f>
        <v/>
      </c>
      <c r="AA2488" s="1" t="str">
        <f t="shared" si="198"/>
        <v>Missing demographic or access input</v>
      </c>
      <c r="AB2488" s="1">
        <f t="shared" si="199"/>
        <v>0</v>
      </c>
      <c r="AC2488" s="1" t="str">
        <f t="shared" si="200"/>
        <v/>
      </c>
      <c r="AD2488" s="1" t="str">
        <f t="shared" si="201"/>
        <v/>
      </c>
      <c r="AE2488" s="1" t="str">
        <f t="shared" si="202"/>
        <v/>
      </c>
      <c r="AF2488" s="1" t="str">
        <f t="shared" si="203"/>
        <v/>
      </c>
      <c r="AG2488" s="1" t="str">
        <f t="shared" si="204"/>
        <v/>
      </c>
      <c r="AH2488" s="1" t="str">
        <f>IF(I2488=0,"Not contacted",IF(INDEX('Staff Review'!$J$8:$J$507,I2488)="","Not contacted",INDEX('Staff Review'!$J$8:$J$507,I2488)))</f>
        <v>Not contacted</v>
      </c>
      <c r="AI2488" s="1" t="str">
        <f>IF(I2488=0,"No",IF(AND(COUNT(INDEX('Staff Review'!$D$8:$D$507,I2488))=1,INDEX('Staff Review'!$D$8:$D$507,I2488)&gt;=0,COUNT(INDEX('Staff Review'!$E$8:$E$507,I2488))=1,INDEX('Staff Review'!$E$8:$E$507,I2488)&gt;0,INDEX('Staff Review'!$E$8:$E$507,I2488)&lt;='Top 25'!$E$5,'Top 25'!$E$5-INDEX('Staff Review'!$E$8:$E$507,I2488)&lt;='Top 25'!$H$5,LEN(INDEX('Staff Review'!$H$8:$H$507,I2488))&gt;0),"Yes","No"))</f>
        <v>No</v>
      </c>
      <c r="AJ2488" s="1" t="str">
        <f>IF(I2488=0,"No",IF(COUNT(INDEX('Staff Review'!$F$8:$F$507,I2488))&lt;&gt;1,"No",IF(AND(INDEX('Staff Review'!$F$8:$F$507,I2488)&gt;=0,MOD(INDEX('Staff Review'!$F$8:$F$507,I2488),1)=0,COUNT(INDEX('Staff Review'!$G$8:$G$507,I2488))=1,INDEX('Staff Review'!$G$8:$G$507,I2488)&gt;0,INDEX('Staff Review'!$G$8:$G$507,I2488)&lt;='Top 25'!$E$5,'Top 25'!$E$5-INDEX('Staff Review'!$G$8:$G$507,I2488)&lt;='Top 25'!$H$5,LEN(INDEX('Staff Review'!$H$8:$H$507,I2488))&gt;0),"Yes","No")))</f>
        <v>No</v>
      </c>
      <c r="AK2488" s="1">
        <f t="shared" si="205"/>
        <v>0</v>
      </c>
      <c r="AL2488" s="1">
        <f t="shared" si="206"/>
        <v>0</v>
      </c>
      <c r="AM2488" s="1">
        <f t="shared" si="207"/>
        <v>0</v>
      </c>
      <c r="AN2488" s="1">
        <f t="shared" si="208"/>
        <v>0</v>
      </c>
      <c r="AO2488">
        <f t="shared" si="209"/>
        <v>10000</v>
      </c>
      <c r="AP2488" s="105">
        <f>IF(AND(AL2488=1,OR('Top 25'!$A$10="All",C2488='Top 25'!$A$10),OR('Top 25'!$D$10="All",D2488='Top 25'!$D$10)),1,0)</f>
        <v>0</v>
      </c>
      <c r="AQ2488" s="105" t="str">
        <f>IF(AP2488=0,"",CHOOSE(MATCH('Top 25'!$G$10,{"Priority score","Economic need","Enrollment","Fresh miles","Nearby resources"},0),T2488,G2488,F2488,K2488,L2488))</f>
        <v/>
      </c>
      <c r="AR2488" s="105" t="str">
        <f>IF(AP2488=0,"",1+COUNTIFS($AP$2051:$AP$2550,1,$AQ$2051:$AQ$2550,IF('Top 25'!$J$10="Ascending","&lt;","&gt;")&amp;AQ2488)+COUNTIFS($AP$2051:$AP$2550,1,$AQ$2051:$AQ$2550,AQ2488,$W$2051:$W$2550,"&lt;"&amp;W2488))</f>
        <v/>
      </c>
      <c r="AT2488" s="105">
        <f>IF(AND(AL2488=1,OR(Master_rankableSchools!$A$10="All",C2488=Master_rankableSchools!$A$10),OR(Master_rankableSchools!$D$10="All",D2488=Master_rankableSchools!$D$10)),1,0)</f>
        <v>0</v>
      </c>
      <c r="AU2488" s="105" t="str">
        <f>IF(AT2488=0,"",CHOOSE(MATCH(Master_rankableSchools!$G$10,{"Priority score","Economic need","Enrollment","Fresh miles","Nearby resources"},0),T2488,G2488,F2488,K2488,L2488))</f>
        <v/>
      </c>
      <c r="AV2488" s="105" t="str">
        <f>IF(AT2488=0,"",1+COUNTIFS($AT$2051:$AT$2550,1,$AU$2051:$AU$2550,IF(Master_rankableSchools!$J$10="Ascending","&lt;","&gt;")&amp;AU2488)+COUNTIFS($AT$2051:$AT$2550,1,$AU$2051:$AU$2550,AU2488,$W$2051:$W$2550,"&lt;"&amp;W2488))</f>
        <v/>
      </c>
    </row>
    <row r="2489" spans="1:48" ht="22" customHeight="1">
      <c r="A2489" s="1" t="str">
        <f t="shared" si="180"/>
        <v/>
      </c>
      <c r="B2489" s="1" t="str">
        <f t="shared" si="181"/>
        <v/>
      </c>
      <c r="C2489" s="1" t="str">
        <f t="shared" si="182"/>
        <v/>
      </c>
      <c r="D2489" s="1" t="str">
        <f t="shared" si="183"/>
        <v/>
      </c>
      <c r="E2489" s="1" t="str">
        <f t="shared" si="184"/>
        <v/>
      </c>
      <c r="F2489" s="1" t="str">
        <f t="shared" si="185"/>
        <v/>
      </c>
      <c r="G2489" s="1" t="str">
        <f t="shared" si="186"/>
        <v/>
      </c>
      <c r="H2489" s="1" t="str">
        <f t="shared" si="187"/>
        <v/>
      </c>
      <c r="I2489" s="1">
        <f>IF(OR(A2489="",COUNTIFS('Staff Review'!$A$8:$A$507,A2489)&lt;&gt;1),0,MATCH(A2489,'Staff Review'!$A$8:$A$507,0))</f>
        <v>0</v>
      </c>
      <c r="J2489" s="1" t="str">
        <f>IF(I2489=0,"No",IF(INDEX('Staff Review'!$C$8:$C$507,I2489)="Yes","Yes","No"))</f>
        <v>No</v>
      </c>
      <c r="K2489" s="1" t="str">
        <f>IF(AI2489="Yes",INDEX('Staff Review'!$D$8:$D$507,I2489),IF(AB2489=0,"",IF(COUNT(INDEX($C$1531:$C$2030,AB2489))=1,INDEX($C$1531:$C$2030,AB2489),"")))</f>
        <v/>
      </c>
      <c r="L2489" s="1" t="str">
        <f>IF(AJ2489="Yes",INDEX('Staff Review'!$F$8:$F$507,I2489),IF(AB2489=0,"",IF(COUNT(INDEX($G$1531:$G$2030,AB2489))=1,INDEX($G$1531:$G$2030,AB2489),"")))</f>
        <v/>
      </c>
      <c r="M2489" s="1" t="str">
        <f t="shared" si="188"/>
        <v/>
      </c>
      <c r="N2489" s="1" t="str">
        <f t="shared" si="189"/>
        <v/>
      </c>
      <c r="O2489" s="1" t="str">
        <f t="shared" si="190"/>
        <v/>
      </c>
      <c r="P2489" s="1" t="str">
        <f t="shared" si="191"/>
        <v/>
      </c>
      <c r="Q2489" s="1" t="str">
        <f t="shared" si="192"/>
        <v/>
      </c>
      <c r="R2489" s="1" t="str">
        <f t="shared" si="193"/>
        <v/>
      </c>
      <c r="S2489" s="1" t="str">
        <f t="shared" si="194"/>
        <v/>
      </c>
      <c r="T2489" s="1" t="str">
        <f>IF(OR(COUNT(O2489:R2489)&lt;&gt;4,COUNT('Top 25'!$B$45:$E$45)&lt;&gt;4,MIN('Top 25'!$B$45:$E$45)&lt;0,SUM('Top 25'!$B$45:$E$45)&lt;=0),"",ROUND(85*(O2489/30*'Top 25'!$B$45+P2489/25*'Top 25'!$C$45+Q2489/25*'Top 25'!$D$45+R2489/5*'Top 25'!$E$45)/SUM('Top 25'!$B$45:$E$45),6))</f>
        <v/>
      </c>
      <c r="U2489" s="1" t="str">
        <f t="shared" si="195"/>
        <v/>
      </c>
      <c r="V2489" s="1" t="str">
        <f>IF(A2489="","",IF(AK2489&lt;&gt;1,"Duplicate source ID",IF(COUNTIFS('Staff Review'!$A$8:$A$507,A2489)&gt;1,"Duplicate review ID",IF(H2489&lt;&gt;"Yes","Outside scope",IF(J2489="Yes","Already served",IF(NOT(ISNUMBER(T2489)),"Missing data","Candidate"))))))</f>
        <v/>
      </c>
      <c r="W2489" s="1" t="str">
        <f t="shared" si="196"/>
        <v/>
      </c>
      <c r="X2489" s="1" t="str">
        <f t="shared" si="197"/>
        <v/>
      </c>
      <c r="Y2489" s="1">
        <f>IF(AND(H2489="Yes",OR(LEN('School Search'!$B$5)=0,ISNUMBER(SEARCH('School Search'!$B$5,B2489&amp;" "&amp;E2489&amp;" "&amp;A2489))),OR('School Search'!$D$5="All",C2489='School Search'!$D$5),OR('School Search'!$G$5="All eligible",AND('School Search'!$G$5="Not marked served",J2489&lt;&gt;"Yes"),AND('School Search'!$G$5="Missing data",V2489="Missing data"),AND('School Search'!$G$5="Marked served",J2489="Yes"))),1,0)</f>
        <v>0</v>
      </c>
      <c r="Z2489" s="1" t="str">
        <f>IF(Y2489=0,"",COUNTIFS($Y$2051:$Y$2550,1,$AO$2051:$AO$2550,"&lt;"&amp;AO2489)+COUNTIFS($Y$2051:Y2489,1,$AO$2051:AO2489,AO2489))</f>
        <v/>
      </c>
      <c r="AA2489" s="1" t="str">
        <f t="shared" si="198"/>
        <v>Missing demographic or access input</v>
      </c>
      <c r="AB2489" s="1">
        <f t="shared" si="199"/>
        <v>0</v>
      </c>
      <c r="AC2489" s="1" t="str">
        <f t="shared" si="200"/>
        <v/>
      </c>
      <c r="AD2489" s="1" t="str">
        <f t="shared" si="201"/>
        <v/>
      </c>
      <c r="AE2489" s="1" t="str">
        <f t="shared" si="202"/>
        <v/>
      </c>
      <c r="AF2489" s="1" t="str">
        <f t="shared" si="203"/>
        <v/>
      </c>
      <c r="AG2489" s="1" t="str">
        <f t="shared" si="204"/>
        <v/>
      </c>
      <c r="AH2489" s="1" t="str">
        <f>IF(I2489=0,"Not contacted",IF(INDEX('Staff Review'!$J$8:$J$507,I2489)="","Not contacted",INDEX('Staff Review'!$J$8:$J$507,I2489)))</f>
        <v>Not contacted</v>
      </c>
      <c r="AI2489" s="1" t="str">
        <f>IF(I2489=0,"No",IF(AND(COUNT(INDEX('Staff Review'!$D$8:$D$507,I2489))=1,INDEX('Staff Review'!$D$8:$D$507,I2489)&gt;=0,COUNT(INDEX('Staff Review'!$E$8:$E$507,I2489))=1,INDEX('Staff Review'!$E$8:$E$507,I2489)&gt;0,INDEX('Staff Review'!$E$8:$E$507,I2489)&lt;='Top 25'!$E$5,'Top 25'!$E$5-INDEX('Staff Review'!$E$8:$E$507,I2489)&lt;='Top 25'!$H$5,LEN(INDEX('Staff Review'!$H$8:$H$507,I2489))&gt;0),"Yes","No"))</f>
        <v>No</v>
      </c>
      <c r="AJ2489" s="1" t="str">
        <f>IF(I2489=0,"No",IF(COUNT(INDEX('Staff Review'!$F$8:$F$507,I2489))&lt;&gt;1,"No",IF(AND(INDEX('Staff Review'!$F$8:$F$507,I2489)&gt;=0,MOD(INDEX('Staff Review'!$F$8:$F$507,I2489),1)=0,COUNT(INDEX('Staff Review'!$G$8:$G$507,I2489))=1,INDEX('Staff Review'!$G$8:$G$507,I2489)&gt;0,INDEX('Staff Review'!$G$8:$G$507,I2489)&lt;='Top 25'!$E$5,'Top 25'!$E$5-INDEX('Staff Review'!$G$8:$G$507,I2489)&lt;='Top 25'!$H$5,LEN(INDEX('Staff Review'!$H$8:$H$507,I2489))&gt;0),"Yes","No")))</f>
        <v>No</v>
      </c>
      <c r="AK2489" s="1">
        <f t="shared" si="205"/>
        <v>0</v>
      </c>
      <c r="AL2489" s="1">
        <f t="shared" si="206"/>
        <v>0</v>
      </c>
      <c r="AM2489" s="1">
        <f t="shared" si="207"/>
        <v>0</v>
      </c>
      <c r="AN2489" s="1">
        <f t="shared" si="208"/>
        <v>0</v>
      </c>
      <c r="AO2489">
        <f t="shared" si="209"/>
        <v>10000</v>
      </c>
      <c r="AP2489" s="105">
        <f>IF(AND(AL2489=1,OR('Top 25'!$A$10="All",C2489='Top 25'!$A$10),OR('Top 25'!$D$10="All",D2489='Top 25'!$D$10)),1,0)</f>
        <v>0</v>
      </c>
      <c r="AQ2489" s="105" t="str">
        <f>IF(AP2489=0,"",CHOOSE(MATCH('Top 25'!$G$10,{"Priority score","Economic need","Enrollment","Fresh miles","Nearby resources"},0),T2489,G2489,F2489,K2489,L2489))</f>
        <v/>
      </c>
      <c r="AR2489" s="105" t="str">
        <f>IF(AP2489=0,"",1+COUNTIFS($AP$2051:$AP$2550,1,$AQ$2051:$AQ$2550,IF('Top 25'!$J$10="Ascending","&lt;","&gt;")&amp;AQ2489)+COUNTIFS($AP$2051:$AP$2550,1,$AQ$2051:$AQ$2550,AQ2489,$W$2051:$W$2550,"&lt;"&amp;W2489))</f>
        <v/>
      </c>
      <c r="AT2489" s="105">
        <f>IF(AND(AL2489=1,OR(Master_rankableSchools!$A$10="All",C2489=Master_rankableSchools!$A$10),OR(Master_rankableSchools!$D$10="All",D2489=Master_rankableSchools!$D$10)),1,0)</f>
        <v>0</v>
      </c>
      <c r="AU2489" s="105" t="str">
        <f>IF(AT2489=0,"",CHOOSE(MATCH(Master_rankableSchools!$G$10,{"Priority score","Economic need","Enrollment","Fresh miles","Nearby resources"},0),T2489,G2489,F2489,K2489,L2489))</f>
        <v/>
      </c>
      <c r="AV2489" s="105" t="str">
        <f>IF(AT2489=0,"",1+COUNTIFS($AT$2051:$AT$2550,1,$AU$2051:$AU$2550,IF(Master_rankableSchools!$J$10="Ascending","&lt;","&gt;")&amp;AU2489)+COUNTIFS($AT$2051:$AT$2550,1,$AU$2051:$AU$2550,AU2489,$W$2051:$W$2550,"&lt;"&amp;W2489))</f>
        <v/>
      </c>
    </row>
    <row r="2490" spans="1:48" ht="22" customHeight="1">
      <c r="A2490" s="1" t="str">
        <f t="shared" si="180"/>
        <v/>
      </c>
      <c r="B2490" s="1" t="str">
        <f t="shared" si="181"/>
        <v/>
      </c>
      <c r="C2490" s="1" t="str">
        <f t="shared" si="182"/>
        <v/>
      </c>
      <c r="D2490" s="1" t="str">
        <f t="shared" si="183"/>
        <v/>
      </c>
      <c r="E2490" s="1" t="str">
        <f t="shared" si="184"/>
        <v/>
      </c>
      <c r="F2490" s="1" t="str">
        <f t="shared" si="185"/>
        <v/>
      </c>
      <c r="G2490" s="1" t="str">
        <f t="shared" si="186"/>
        <v/>
      </c>
      <c r="H2490" s="1" t="str">
        <f t="shared" si="187"/>
        <v/>
      </c>
      <c r="I2490" s="1">
        <f>IF(OR(A2490="",COUNTIFS('Staff Review'!$A$8:$A$507,A2490)&lt;&gt;1),0,MATCH(A2490,'Staff Review'!$A$8:$A$507,0))</f>
        <v>0</v>
      </c>
      <c r="J2490" s="1" t="str">
        <f>IF(I2490=0,"No",IF(INDEX('Staff Review'!$C$8:$C$507,I2490)="Yes","Yes","No"))</f>
        <v>No</v>
      </c>
      <c r="K2490" s="1" t="str">
        <f>IF(AI2490="Yes",INDEX('Staff Review'!$D$8:$D$507,I2490),IF(AB2490=0,"",IF(COUNT(INDEX($C$1531:$C$2030,AB2490))=1,INDEX($C$1531:$C$2030,AB2490),"")))</f>
        <v/>
      </c>
      <c r="L2490" s="1" t="str">
        <f>IF(AJ2490="Yes",INDEX('Staff Review'!$F$8:$F$507,I2490),IF(AB2490=0,"",IF(COUNT(INDEX($G$1531:$G$2030,AB2490))=1,INDEX($G$1531:$G$2030,AB2490),"")))</f>
        <v/>
      </c>
      <c r="M2490" s="1" t="str">
        <f t="shared" si="188"/>
        <v/>
      </c>
      <c r="N2490" s="1" t="str">
        <f t="shared" si="189"/>
        <v/>
      </c>
      <c r="O2490" s="1" t="str">
        <f t="shared" si="190"/>
        <v/>
      </c>
      <c r="P2490" s="1" t="str">
        <f t="shared" si="191"/>
        <v/>
      </c>
      <c r="Q2490" s="1" t="str">
        <f t="shared" si="192"/>
        <v/>
      </c>
      <c r="R2490" s="1" t="str">
        <f t="shared" si="193"/>
        <v/>
      </c>
      <c r="S2490" s="1" t="str">
        <f t="shared" si="194"/>
        <v/>
      </c>
      <c r="T2490" s="1" t="str">
        <f>IF(OR(COUNT(O2490:R2490)&lt;&gt;4,COUNT('Top 25'!$B$45:$E$45)&lt;&gt;4,MIN('Top 25'!$B$45:$E$45)&lt;0,SUM('Top 25'!$B$45:$E$45)&lt;=0),"",ROUND(85*(O2490/30*'Top 25'!$B$45+P2490/25*'Top 25'!$C$45+Q2490/25*'Top 25'!$D$45+R2490/5*'Top 25'!$E$45)/SUM('Top 25'!$B$45:$E$45),6))</f>
        <v/>
      </c>
      <c r="U2490" s="1" t="str">
        <f t="shared" si="195"/>
        <v/>
      </c>
      <c r="V2490" s="1" t="str">
        <f>IF(A2490="","",IF(AK2490&lt;&gt;1,"Duplicate source ID",IF(COUNTIFS('Staff Review'!$A$8:$A$507,A2490)&gt;1,"Duplicate review ID",IF(H2490&lt;&gt;"Yes","Outside scope",IF(J2490="Yes","Already served",IF(NOT(ISNUMBER(T2490)),"Missing data","Candidate"))))))</f>
        <v/>
      </c>
      <c r="W2490" s="1" t="str">
        <f t="shared" si="196"/>
        <v/>
      </c>
      <c r="X2490" s="1" t="str">
        <f t="shared" si="197"/>
        <v/>
      </c>
      <c r="Y2490" s="1">
        <f>IF(AND(H2490="Yes",OR(LEN('School Search'!$B$5)=0,ISNUMBER(SEARCH('School Search'!$B$5,B2490&amp;" "&amp;E2490&amp;" "&amp;A2490))),OR('School Search'!$D$5="All",C2490='School Search'!$D$5),OR('School Search'!$G$5="All eligible",AND('School Search'!$G$5="Not marked served",J2490&lt;&gt;"Yes"),AND('School Search'!$G$5="Missing data",V2490="Missing data"),AND('School Search'!$G$5="Marked served",J2490="Yes"))),1,0)</f>
        <v>0</v>
      </c>
      <c r="Z2490" s="1" t="str">
        <f>IF(Y2490=0,"",COUNTIFS($Y$2051:$Y$2550,1,$AO$2051:$AO$2550,"&lt;"&amp;AO2490)+COUNTIFS($Y$2051:Y2490,1,$AO$2051:AO2490,AO2490))</f>
        <v/>
      </c>
      <c r="AA2490" s="1" t="str">
        <f t="shared" si="198"/>
        <v>Missing demographic or access input</v>
      </c>
      <c r="AB2490" s="1">
        <f t="shared" si="199"/>
        <v>0</v>
      </c>
      <c r="AC2490" s="1" t="str">
        <f t="shared" si="200"/>
        <v/>
      </c>
      <c r="AD2490" s="1" t="str">
        <f t="shared" si="201"/>
        <v/>
      </c>
      <c r="AE2490" s="1" t="str">
        <f t="shared" si="202"/>
        <v/>
      </c>
      <c r="AF2490" s="1" t="str">
        <f t="shared" si="203"/>
        <v/>
      </c>
      <c r="AG2490" s="1" t="str">
        <f t="shared" si="204"/>
        <v/>
      </c>
      <c r="AH2490" s="1" t="str">
        <f>IF(I2490=0,"Not contacted",IF(INDEX('Staff Review'!$J$8:$J$507,I2490)="","Not contacted",INDEX('Staff Review'!$J$8:$J$507,I2490)))</f>
        <v>Not contacted</v>
      </c>
      <c r="AI2490" s="1" t="str">
        <f>IF(I2490=0,"No",IF(AND(COUNT(INDEX('Staff Review'!$D$8:$D$507,I2490))=1,INDEX('Staff Review'!$D$8:$D$507,I2490)&gt;=0,COUNT(INDEX('Staff Review'!$E$8:$E$507,I2490))=1,INDEX('Staff Review'!$E$8:$E$507,I2490)&gt;0,INDEX('Staff Review'!$E$8:$E$507,I2490)&lt;='Top 25'!$E$5,'Top 25'!$E$5-INDEX('Staff Review'!$E$8:$E$507,I2490)&lt;='Top 25'!$H$5,LEN(INDEX('Staff Review'!$H$8:$H$507,I2490))&gt;0),"Yes","No"))</f>
        <v>No</v>
      </c>
      <c r="AJ2490" s="1" t="str">
        <f>IF(I2490=0,"No",IF(COUNT(INDEX('Staff Review'!$F$8:$F$507,I2490))&lt;&gt;1,"No",IF(AND(INDEX('Staff Review'!$F$8:$F$507,I2490)&gt;=0,MOD(INDEX('Staff Review'!$F$8:$F$507,I2490),1)=0,COUNT(INDEX('Staff Review'!$G$8:$G$507,I2490))=1,INDEX('Staff Review'!$G$8:$G$507,I2490)&gt;0,INDEX('Staff Review'!$G$8:$G$507,I2490)&lt;='Top 25'!$E$5,'Top 25'!$E$5-INDEX('Staff Review'!$G$8:$G$507,I2490)&lt;='Top 25'!$H$5,LEN(INDEX('Staff Review'!$H$8:$H$507,I2490))&gt;0),"Yes","No")))</f>
        <v>No</v>
      </c>
      <c r="AK2490" s="1">
        <f t="shared" si="205"/>
        <v>0</v>
      </c>
      <c r="AL2490" s="1">
        <f t="shared" si="206"/>
        <v>0</v>
      </c>
      <c r="AM2490" s="1">
        <f t="shared" si="207"/>
        <v>0</v>
      </c>
      <c r="AN2490" s="1">
        <f t="shared" si="208"/>
        <v>0</v>
      </c>
      <c r="AO2490">
        <f t="shared" si="209"/>
        <v>10000</v>
      </c>
      <c r="AP2490" s="105">
        <f>IF(AND(AL2490=1,OR('Top 25'!$A$10="All",C2490='Top 25'!$A$10),OR('Top 25'!$D$10="All",D2490='Top 25'!$D$10)),1,0)</f>
        <v>0</v>
      </c>
      <c r="AQ2490" s="105" t="str">
        <f>IF(AP2490=0,"",CHOOSE(MATCH('Top 25'!$G$10,{"Priority score","Economic need","Enrollment","Fresh miles","Nearby resources"},0),T2490,G2490,F2490,K2490,L2490))</f>
        <v/>
      </c>
      <c r="AR2490" s="105" t="str">
        <f>IF(AP2490=0,"",1+COUNTIFS($AP$2051:$AP$2550,1,$AQ$2051:$AQ$2550,IF('Top 25'!$J$10="Ascending","&lt;","&gt;")&amp;AQ2490)+COUNTIFS($AP$2051:$AP$2550,1,$AQ$2051:$AQ$2550,AQ2490,$W$2051:$W$2550,"&lt;"&amp;W2490))</f>
        <v/>
      </c>
      <c r="AT2490" s="105">
        <f>IF(AND(AL2490=1,OR(Master_rankableSchools!$A$10="All",C2490=Master_rankableSchools!$A$10),OR(Master_rankableSchools!$D$10="All",D2490=Master_rankableSchools!$D$10)),1,0)</f>
        <v>0</v>
      </c>
      <c r="AU2490" s="105" t="str">
        <f>IF(AT2490=0,"",CHOOSE(MATCH(Master_rankableSchools!$G$10,{"Priority score","Economic need","Enrollment","Fresh miles","Nearby resources"},0),T2490,G2490,F2490,K2490,L2490))</f>
        <v/>
      </c>
      <c r="AV2490" s="105" t="str">
        <f>IF(AT2490=0,"",1+COUNTIFS($AT$2051:$AT$2550,1,$AU$2051:$AU$2550,IF(Master_rankableSchools!$J$10="Ascending","&lt;","&gt;")&amp;AU2490)+COUNTIFS($AT$2051:$AT$2550,1,$AU$2051:$AU$2550,AU2490,$W$2051:$W$2550,"&lt;"&amp;W2490))</f>
        <v/>
      </c>
    </row>
    <row r="2491" spans="1:48" ht="22" customHeight="1">
      <c r="A2491" s="1" t="str">
        <f t="shared" si="180"/>
        <v/>
      </c>
      <c r="B2491" s="1" t="str">
        <f t="shared" si="181"/>
        <v/>
      </c>
      <c r="C2491" s="1" t="str">
        <f t="shared" si="182"/>
        <v/>
      </c>
      <c r="D2491" s="1" t="str">
        <f t="shared" si="183"/>
        <v/>
      </c>
      <c r="E2491" s="1" t="str">
        <f t="shared" si="184"/>
        <v/>
      </c>
      <c r="F2491" s="1" t="str">
        <f t="shared" si="185"/>
        <v/>
      </c>
      <c r="G2491" s="1" t="str">
        <f t="shared" si="186"/>
        <v/>
      </c>
      <c r="H2491" s="1" t="str">
        <f t="shared" si="187"/>
        <v/>
      </c>
      <c r="I2491" s="1">
        <f>IF(OR(A2491="",COUNTIFS('Staff Review'!$A$8:$A$507,A2491)&lt;&gt;1),0,MATCH(A2491,'Staff Review'!$A$8:$A$507,0))</f>
        <v>0</v>
      </c>
      <c r="J2491" s="1" t="str">
        <f>IF(I2491=0,"No",IF(INDEX('Staff Review'!$C$8:$C$507,I2491)="Yes","Yes","No"))</f>
        <v>No</v>
      </c>
      <c r="K2491" s="1" t="str">
        <f>IF(AI2491="Yes",INDEX('Staff Review'!$D$8:$D$507,I2491),IF(AB2491=0,"",IF(COUNT(INDEX($C$1531:$C$2030,AB2491))=1,INDEX($C$1531:$C$2030,AB2491),"")))</f>
        <v/>
      </c>
      <c r="L2491" s="1" t="str">
        <f>IF(AJ2491="Yes",INDEX('Staff Review'!$F$8:$F$507,I2491),IF(AB2491=0,"",IF(COUNT(INDEX($G$1531:$G$2030,AB2491))=1,INDEX($G$1531:$G$2030,AB2491),"")))</f>
        <v/>
      </c>
      <c r="M2491" s="1" t="str">
        <f t="shared" si="188"/>
        <v/>
      </c>
      <c r="N2491" s="1" t="str">
        <f t="shared" si="189"/>
        <v/>
      </c>
      <c r="O2491" s="1" t="str">
        <f t="shared" si="190"/>
        <v/>
      </c>
      <c r="P2491" s="1" t="str">
        <f t="shared" si="191"/>
        <v/>
      </c>
      <c r="Q2491" s="1" t="str">
        <f t="shared" si="192"/>
        <v/>
      </c>
      <c r="R2491" s="1" t="str">
        <f t="shared" si="193"/>
        <v/>
      </c>
      <c r="S2491" s="1" t="str">
        <f t="shared" si="194"/>
        <v/>
      </c>
      <c r="T2491" s="1" t="str">
        <f>IF(OR(COUNT(O2491:R2491)&lt;&gt;4,COUNT('Top 25'!$B$45:$E$45)&lt;&gt;4,MIN('Top 25'!$B$45:$E$45)&lt;0,SUM('Top 25'!$B$45:$E$45)&lt;=0),"",ROUND(85*(O2491/30*'Top 25'!$B$45+P2491/25*'Top 25'!$C$45+Q2491/25*'Top 25'!$D$45+R2491/5*'Top 25'!$E$45)/SUM('Top 25'!$B$45:$E$45),6))</f>
        <v/>
      </c>
      <c r="U2491" s="1" t="str">
        <f t="shared" si="195"/>
        <v/>
      </c>
      <c r="V2491" s="1" t="str">
        <f>IF(A2491="","",IF(AK2491&lt;&gt;1,"Duplicate source ID",IF(COUNTIFS('Staff Review'!$A$8:$A$507,A2491)&gt;1,"Duplicate review ID",IF(H2491&lt;&gt;"Yes","Outside scope",IF(J2491="Yes","Already served",IF(NOT(ISNUMBER(T2491)),"Missing data","Candidate"))))))</f>
        <v/>
      </c>
      <c r="W2491" s="1" t="str">
        <f t="shared" si="196"/>
        <v/>
      </c>
      <c r="X2491" s="1" t="str">
        <f t="shared" si="197"/>
        <v/>
      </c>
      <c r="Y2491" s="1">
        <f>IF(AND(H2491="Yes",OR(LEN('School Search'!$B$5)=0,ISNUMBER(SEARCH('School Search'!$B$5,B2491&amp;" "&amp;E2491&amp;" "&amp;A2491))),OR('School Search'!$D$5="All",C2491='School Search'!$D$5),OR('School Search'!$G$5="All eligible",AND('School Search'!$G$5="Not marked served",J2491&lt;&gt;"Yes"),AND('School Search'!$G$5="Missing data",V2491="Missing data"),AND('School Search'!$G$5="Marked served",J2491="Yes"))),1,0)</f>
        <v>0</v>
      </c>
      <c r="Z2491" s="1" t="str">
        <f>IF(Y2491=0,"",COUNTIFS($Y$2051:$Y$2550,1,$AO$2051:$AO$2550,"&lt;"&amp;AO2491)+COUNTIFS($Y$2051:Y2491,1,$AO$2051:AO2491,AO2491))</f>
        <v/>
      </c>
      <c r="AA2491" s="1" t="str">
        <f t="shared" si="198"/>
        <v>Missing demographic or access input</v>
      </c>
      <c r="AB2491" s="1">
        <f t="shared" si="199"/>
        <v>0</v>
      </c>
      <c r="AC2491" s="1" t="str">
        <f t="shared" si="200"/>
        <v/>
      </c>
      <c r="AD2491" s="1" t="str">
        <f t="shared" si="201"/>
        <v/>
      </c>
      <c r="AE2491" s="1" t="str">
        <f t="shared" si="202"/>
        <v/>
      </c>
      <c r="AF2491" s="1" t="str">
        <f t="shared" si="203"/>
        <v/>
      </c>
      <c r="AG2491" s="1" t="str">
        <f t="shared" si="204"/>
        <v/>
      </c>
      <c r="AH2491" s="1" t="str">
        <f>IF(I2491=0,"Not contacted",IF(INDEX('Staff Review'!$J$8:$J$507,I2491)="","Not contacted",INDEX('Staff Review'!$J$8:$J$507,I2491)))</f>
        <v>Not contacted</v>
      </c>
      <c r="AI2491" s="1" t="str">
        <f>IF(I2491=0,"No",IF(AND(COUNT(INDEX('Staff Review'!$D$8:$D$507,I2491))=1,INDEX('Staff Review'!$D$8:$D$507,I2491)&gt;=0,COUNT(INDEX('Staff Review'!$E$8:$E$507,I2491))=1,INDEX('Staff Review'!$E$8:$E$507,I2491)&gt;0,INDEX('Staff Review'!$E$8:$E$507,I2491)&lt;='Top 25'!$E$5,'Top 25'!$E$5-INDEX('Staff Review'!$E$8:$E$507,I2491)&lt;='Top 25'!$H$5,LEN(INDEX('Staff Review'!$H$8:$H$507,I2491))&gt;0),"Yes","No"))</f>
        <v>No</v>
      </c>
      <c r="AJ2491" s="1" t="str">
        <f>IF(I2491=0,"No",IF(COUNT(INDEX('Staff Review'!$F$8:$F$507,I2491))&lt;&gt;1,"No",IF(AND(INDEX('Staff Review'!$F$8:$F$507,I2491)&gt;=0,MOD(INDEX('Staff Review'!$F$8:$F$507,I2491),1)=0,COUNT(INDEX('Staff Review'!$G$8:$G$507,I2491))=1,INDEX('Staff Review'!$G$8:$G$507,I2491)&gt;0,INDEX('Staff Review'!$G$8:$G$507,I2491)&lt;='Top 25'!$E$5,'Top 25'!$E$5-INDEX('Staff Review'!$G$8:$G$507,I2491)&lt;='Top 25'!$H$5,LEN(INDEX('Staff Review'!$H$8:$H$507,I2491))&gt;0),"Yes","No")))</f>
        <v>No</v>
      </c>
      <c r="AK2491" s="1">
        <f t="shared" si="205"/>
        <v>0</v>
      </c>
      <c r="AL2491" s="1">
        <f t="shared" si="206"/>
        <v>0</v>
      </c>
      <c r="AM2491" s="1">
        <f t="shared" si="207"/>
        <v>0</v>
      </c>
      <c r="AN2491" s="1">
        <f t="shared" si="208"/>
        <v>0</v>
      </c>
      <c r="AO2491">
        <f t="shared" si="209"/>
        <v>10000</v>
      </c>
      <c r="AP2491" s="105">
        <f>IF(AND(AL2491=1,OR('Top 25'!$A$10="All",C2491='Top 25'!$A$10),OR('Top 25'!$D$10="All",D2491='Top 25'!$D$10)),1,0)</f>
        <v>0</v>
      </c>
      <c r="AQ2491" s="105" t="str">
        <f>IF(AP2491=0,"",CHOOSE(MATCH('Top 25'!$G$10,{"Priority score","Economic need","Enrollment","Fresh miles","Nearby resources"},0),T2491,G2491,F2491,K2491,L2491))</f>
        <v/>
      </c>
      <c r="AR2491" s="105" t="str">
        <f>IF(AP2491=0,"",1+COUNTIFS($AP$2051:$AP$2550,1,$AQ$2051:$AQ$2550,IF('Top 25'!$J$10="Ascending","&lt;","&gt;")&amp;AQ2491)+COUNTIFS($AP$2051:$AP$2550,1,$AQ$2051:$AQ$2550,AQ2491,$W$2051:$W$2550,"&lt;"&amp;W2491))</f>
        <v/>
      </c>
      <c r="AT2491" s="105">
        <f>IF(AND(AL2491=1,OR(Master_rankableSchools!$A$10="All",C2491=Master_rankableSchools!$A$10),OR(Master_rankableSchools!$D$10="All",D2491=Master_rankableSchools!$D$10)),1,0)</f>
        <v>0</v>
      </c>
      <c r="AU2491" s="105" t="str">
        <f>IF(AT2491=0,"",CHOOSE(MATCH(Master_rankableSchools!$G$10,{"Priority score","Economic need","Enrollment","Fresh miles","Nearby resources"},0),T2491,G2491,F2491,K2491,L2491))</f>
        <v/>
      </c>
      <c r="AV2491" s="105" t="str">
        <f>IF(AT2491=0,"",1+COUNTIFS($AT$2051:$AT$2550,1,$AU$2051:$AU$2550,IF(Master_rankableSchools!$J$10="Ascending","&lt;","&gt;")&amp;AU2491)+COUNTIFS($AT$2051:$AT$2550,1,$AU$2051:$AU$2550,AU2491,$W$2051:$W$2550,"&lt;"&amp;W2491))</f>
        <v/>
      </c>
    </row>
    <row r="2492" spans="1:48" ht="22" customHeight="1">
      <c r="A2492" s="1" t="str">
        <f t="shared" si="180"/>
        <v/>
      </c>
      <c r="B2492" s="1" t="str">
        <f t="shared" si="181"/>
        <v/>
      </c>
      <c r="C2492" s="1" t="str">
        <f t="shared" si="182"/>
        <v/>
      </c>
      <c r="D2492" s="1" t="str">
        <f t="shared" si="183"/>
        <v/>
      </c>
      <c r="E2492" s="1" t="str">
        <f t="shared" si="184"/>
        <v/>
      </c>
      <c r="F2492" s="1" t="str">
        <f t="shared" si="185"/>
        <v/>
      </c>
      <c r="G2492" s="1" t="str">
        <f t="shared" si="186"/>
        <v/>
      </c>
      <c r="H2492" s="1" t="str">
        <f t="shared" si="187"/>
        <v/>
      </c>
      <c r="I2492" s="1">
        <f>IF(OR(A2492="",COUNTIFS('Staff Review'!$A$8:$A$507,A2492)&lt;&gt;1),0,MATCH(A2492,'Staff Review'!$A$8:$A$507,0))</f>
        <v>0</v>
      </c>
      <c r="J2492" s="1" t="str">
        <f>IF(I2492=0,"No",IF(INDEX('Staff Review'!$C$8:$C$507,I2492)="Yes","Yes","No"))</f>
        <v>No</v>
      </c>
      <c r="K2492" s="1" t="str">
        <f>IF(AI2492="Yes",INDEX('Staff Review'!$D$8:$D$507,I2492),IF(AB2492=0,"",IF(COUNT(INDEX($C$1531:$C$2030,AB2492))=1,INDEX($C$1531:$C$2030,AB2492),"")))</f>
        <v/>
      </c>
      <c r="L2492" s="1" t="str">
        <f>IF(AJ2492="Yes",INDEX('Staff Review'!$F$8:$F$507,I2492),IF(AB2492=0,"",IF(COUNT(INDEX($G$1531:$G$2030,AB2492))=1,INDEX($G$1531:$G$2030,AB2492),"")))</f>
        <v/>
      </c>
      <c r="M2492" s="1" t="str">
        <f t="shared" si="188"/>
        <v/>
      </c>
      <c r="N2492" s="1" t="str">
        <f t="shared" si="189"/>
        <v/>
      </c>
      <c r="O2492" s="1" t="str">
        <f t="shared" si="190"/>
        <v/>
      </c>
      <c r="P2492" s="1" t="str">
        <f t="shared" si="191"/>
        <v/>
      </c>
      <c r="Q2492" s="1" t="str">
        <f t="shared" si="192"/>
        <v/>
      </c>
      <c r="R2492" s="1" t="str">
        <f t="shared" si="193"/>
        <v/>
      </c>
      <c r="S2492" s="1" t="str">
        <f t="shared" si="194"/>
        <v/>
      </c>
      <c r="T2492" s="1" t="str">
        <f>IF(OR(COUNT(O2492:R2492)&lt;&gt;4,COUNT('Top 25'!$B$45:$E$45)&lt;&gt;4,MIN('Top 25'!$B$45:$E$45)&lt;0,SUM('Top 25'!$B$45:$E$45)&lt;=0),"",ROUND(85*(O2492/30*'Top 25'!$B$45+P2492/25*'Top 25'!$C$45+Q2492/25*'Top 25'!$D$45+R2492/5*'Top 25'!$E$45)/SUM('Top 25'!$B$45:$E$45),6))</f>
        <v/>
      </c>
      <c r="U2492" s="1" t="str">
        <f t="shared" si="195"/>
        <v/>
      </c>
      <c r="V2492" s="1" t="str">
        <f>IF(A2492="","",IF(AK2492&lt;&gt;1,"Duplicate source ID",IF(COUNTIFS('Staff Review'!$A$8:$A$507,A2492)&gt;1,"Duplicate review ID",IF(H2492&lt;&gt;"Yes","Outside scope",IF(J2492="Yes","Already served",IF(NOT(ISNUMBER(T2492)),"Missing data","Candidate"))))))</f>
        <v/>
      </c>
      <c r="W2492" s="1" t="str">
        <f t="shared" si="196"/>
        <v/>
      </c>
      <c r="X2492" s="1" t="str">
        <f t="shared" si="197"/>
        <v/>
      </c>
      <c r="Y2492" s="1">
        <f>IF(AND(H2492="Yes",OR(LEN('School Search'!$B$5)=0,ISNUMBER(SEARCH('School Search'!$B$5,B2492&amp;" "&amp;E2492&amp;" "&amp;A2492))),OR('School Search'!$D$5="All",C2492='School Search'!$D$5),OR('School Search'!$G$5="All eligible",AND('School Search'!$G$5="Not marked served",J2492&lt;&gt;"Yes"),AND('School Search'!$G$5="Missing data",V2492="Missing data"),AND('School Search'!$G$5="Marked served",J2492="Yes"))),1,0)</f>
        <v>0</v>
      </c>
      <c r="Z2492" s="1" t="str">
        <f>IF(Y2492=0,"",COUNTIFS($Y$2051:$Y$2550,1,$AO$2051:$AO$2550,"&lt;"&amp;AO2492)+COUNTIFS($Y$2051:Y2492,1,$AO$2051:AO2492,AO2492))</f>
        <v/>
      </c>
      <c r="AA2492" s="1" t="str">
        <f t="shared" si="198"/>
        <v>Missing demographic or access input</v>
      </c>
      <c r="AB2492" s="1">
        <f t="shared" si="199"/>
        <v>0</v>
      </c>
      <c r="AC2492" s="1" t="str">
        <f t="shared" si="200"/>
        <v/>
      </c>
      <c r="AD2492" s="1" t="str">
        <f t="shared" si="201"/>
        <v/>
      </c>
      <c r="AE2492" s="1" t="str">
        <f t="shared" si="202"/>
        <v/>
      </c>
      <c r="AF2492" s="1" t="str">
        <f t="shared" si="203"/>
        <v/>
      </c>
      <c r="AG2492" s="1" t="str">
        <f t="shared" si="204"/>
        <v/>
      </c>
      <c r="AH2492" s="1" t="str">
        <f>IF(I2492=0,"Not contacted",IF(INDEX('Staff Review'!$J$8:$J$507,I2492)="","Not contacted",INDEX('Staff Review'!$J$8:$J$507,I2492)))</f>
        <v>Not contacted</v>
      </c>
      <c r="AI2492" s="1" t="str">
        <f>IF(I2492=0,"No",IF(AND(COUNT(INDEX('Staff Review'!$D$8:$D$507,I2492))=1,INDEX('Staff Review'!$D$8:$D$507,I2492)&gt;=0,COUNT(INDEX('Staff Review'!$E$8:$E$507,I2492))=1,INDEX('Staff Review'!$E$8:$E$507,I2492)&gt;0,INDEX('Staff Review'!$E$8:$E$507,I2492)&lt;='Top 25'!$E$5,'Top 25'!$E$5-INDEX('Staff Review'!$E$8:$E$507,I2492)&lt;='Top 25'!$H$5,LEN(INDEX('Staff Review'!$H$8:$H$507,I2492))&gt;0),"Yes","No"))</f>
        <v>No</v>
      </c>
      <c r="AJ2492" s="1" t="str">
        <f>IF(I2492=0,"No",IF(COUNT(INDEX('Staff Review'!$F$8:$F$507,I2492))&lt;&gt;1,"No",IF(AND(INDEX('Staff Review'!$F$8:$F$507,I2492)&gt;=0,MOD(INDEX('Staff Review'!$F$8:$F$507,I2492),1)=0,COUNT(INDEX('Staff Review'!$G$8:$G$507,I2492))=1,INDEX('Staff Review'!$G$8:$G$507,I2492)&gt;0,INDEX('Staff Review'!$G$8:$G$507,I2492)&lt;='Top 25'!$E$5,'Top 25'!$E$5-INDEX('Staff Review'!$G$8:$G$507,I2492)&lt;='Top 25'!$H$5,LEN(INDEX('Staff Review'!$H$8:$H$507,I2492))&gt;0),"Yes","No")))</f>
        <v>No</v>
      </c>
      <c r="AK2492" s="1">
        <f t="shared" si="205"/>
        <v>0</v>
      </c>
      <c r="AL2492" s="1">
        <f t="shared" si="206"/>
        <v>0</v>
      </c>
      <c r="AM2492" s="1">
        <f t="shared" si="207"/>
        <v>0</v>
      </c>
      <c r="AN2492" s="1">
        <f t="shared" si="208"/>
        <v>0</v>
      </c>
      <c r="AO2492">
        <f t="shared" si="209"/>
        <v>10000</v>
      </c>
      <c r="AP2492" s="105">
        <f>IF(AND(AL2492=1,OR('Top 25'!$A$10="All",C2492='Top 25'!$A$10),OR('Top 25'!$D$10="All",D2492='Top 25'!$D$10)),1,0)</f>
        <v>0</v>
      </c>
      <c r="AQ2492" s="105" t="str">
        <f>IF(AP2492=0,"",CHOOSE(MATCH('Top 25'!$G$10,{"Priority score","Economic need","Enrollment","Fresh miles","Nearby resources"},0),T2492,G2492,F2492,K2492,L2492))</f>
        <v/>
      </c>
      <c r="AR2492" s="105" t="str">
        <f>IF(AP2492=0,"",1+COUNTIFS($AP$2051:$AP$2550,1,$AQ$2051:$AQ$2550,IF('Top 25'!$J$10="Ascending","&lt;","&gt;")&amp;AQ2492)+COUNTIFS($AP$2051:$AP$2550,1,$AQ$2051:$AQ$2550,AQ2492,$W$2051:$W$2550,"&lt;"&amp;W2492))</f>
        <v/>
      </c>
      <c r="AT2492" s="105">
        <f>IF(AND(AL2492=1,OR(Master_rankableSchools!$A$10="All",C2492=Master_rankableSchools!$A$10),OR(Master_rankableSchools!$D$10="All",D2492=Master_rankableSchools!$D$10)),1,0)</f>
        <v>0</v>
      </c>
      <c r="AU2492" s="105" t="str">
        <f>IF(AT2492=0,"",CHOOSE(MATCH(Master_rankableSchools!$G$10,{"Priority score","Economic need","Enrollment","Fresh miles","Nearby resources"},0),T2492,G2492,F2492,K2492,L2492))</f>
        <v/>
      </c>
      <c r="AV2492" s="105" t="str">
        <f>IF(AT2492=0,"",1+COUNTIFS($AT$2051:$AT$2550,1,$AU$2051:$AU$2550,IF(Master_rankableSchools!$J$10="Ascending","&lt;","&gt;")&amp;AU2492)+COUNTIFS($AT$2051:$AT$2550,1,$AU$2051:$AU$2550,AU2492,$W$2051:$W$2550,"&lt;"&amp;W2492))</f>
        <v/>
      </c>
    </row>
    <row r="2493" spans="1:48" ht="22" customHeight="1">
      <c r="A2493" s="1" t="str">
        <f t="shared" si="180"/>
        <v/>
      </c>
      <c r="B2493" s="1" t="str">
        <f t="shared" si="181"/>
        <v/>
      </c>
      <c r="C2493" s="1" t="str">
        <f t="shared" si="182"/>
        <v/>
      </c>
      <c r="D2493" s="1" t="str">
        <f t="shared" si="183"/>
        <v/>
      </c>
      <c r="E2493" s="1" t="str">
        <f t="shared" si="184"/>
        <v/>
      </c>
      <c r="F2493" s="1" t="str">
        <f t="shared" si="185"/>
        <v/>
      </c>
      <c r="G2493" s="1" t="str">
        <f t="shared" si="186"/>
        <v/>
      </c>
      <c r="H2493" s="1" t="str">
        <f t="shared" si="187"/>
        <v/>
      </c>
      <c r="I2493" s="1">
        <f>IF(OR(A2493="",COUNTIFS('Staff Review'!$A$8:$A$507,A2493)&lt;&gt;1),0,MATCH(A2493,'Staff Review'!$A$8:$A$507,0))</f>
        <v>0</v>
      </c>
      <c r="J2493" s="1" t="str">
        <f>IF(I2493=0,"No",IF(INDEX('Staff Review'!$C$8:$C$507,I2493)="Yes","Yes","No"))</f>
        <v>No</v>
      </c>
      <c r="K2493" s="1" t="str">
        <f>IF(AI2493="Yes",INDEX('Staff Review'!$D$8:$D$507,I2493),IF(AB2493=0,"",IF(COUNT(INDEX($C$1531:$C$2030,AB2493))=1,INDEX($C$1531:$C$2030,AB2493),"")))</f>
        <v/>
      </c>
      <c r="L2493" s="1" t="str">
        <f>IF(AJ2493="Yes",INDEX('Staff Review'!$F$8:$F$507,I2493),IF(AB2493=0,"",IF(COUNT(INDEX($G$1531:$G$2030,AB2493))=1,INDEX($G$1531:$G$2030,AB2493),"")))</f>
        <v/>
      </c>
      <c r="M2493" s="1" t="str">
        <f t="shared" si="188"/>
        <v/>
      </c>
      <c r="N2493" s="1" t="str">
        <f t="shared" si="189"/>
        <v/>
      </c>
      <c r="O2493" s="1" t="str">
        <f t="shared" si="190"/>
        <v/>
      </c>
      <c r="P2493" s="1" t="str">
        <f t="shared" si="191"/>
        <v/>
      </c>
      <c r="Q2493" s="1" t="str">
        <f t="shared" si="192"/>
        <v/>
      </c>
      <c r="R2493" s="1" t="str">
        <f t="shared" si="193"/>
        <v/>
      </c>
      <c r="S2493" s="1" t="str">
        <f t="shared" si="194"/>
        <v/>
      </c>
      <c r="T2493" s="1" t="str">
        <f>IF(OR(COUNT(O2493:R2493)&lt;&gt;4,COUNT('Top 25'!$B$45:$E$45)&lt;&gt;4,MIN('Top 25'!$B$45:$E$45)&lt;0,SUM('Top 25'!$B$45:$E$45)&lt;=0),"",ROUND(85*(O2493/30*'Top 25'!$B$45+P2493/25*'Top 25'!$C$45+Q2493/25*'Top 25'!$D$45+R2493/5*'Top 25'!$E$45)/SUM('Top 25'!$B$45:$E$45),6))</f>
        <v/>
      </c>
      <c r="U2493" s="1" t="str">
        <f t="shared" si="195"/>
        <v/>
      </c>
      <c r="V2493" s="1" t="str">
        <f>IF(A2493="","",IF(AK2493&lt;&gt;1,"Duplicate source ID",IF(COUNTIFS('Staff Review'!$A$8:$A$507,A2493)&gt;1,"Duplicate review ID",IF(H2493&lt;&gt;"Yes","Outside scope",IF(J2493="Yes","Already served",IF(NOT(ISNUMBER(T2493)),"Missing data","Candidate"))))))</f>
        <v/>
      </c>
      <c r="W2493" s="1" t="str">
        <f t="shared" si="196"/>
        <v/>
      </c>
      <c r="X2493" s="1" t="str">
        <f t="shared" si="197"/>
        <v/>
      </c>
      <c r="Y2493" s="1">
        <f>IF(AND(H2493="Yes",OR(LEN('School Search'!$B$5)=0,ISNUMBER(SEARCH('School Search'!$B$5,B2493&amp;" "&amp;E2493&amp;" "&amp;A2493))),OR('School Search'!$D$5="All",C2493='School Search'!$D$5),OR('School Search'!$G$5="All eligible",AND('School Search'!$G$5="Not marked served",J2493&lt;&gt;"Yes"),AND('School Search'!$G$5="Missing data",V2493="Missing data"),AND('School Search'!$G$5="Marked served",J2493="Yes"))),1,0)</f>
        <v>0</v>
      </c>
      <c r="Z2493" s="1" t="str">
        <f>IF(Y2493=0,"",COUNTIFS($Y$2051:$Y$2550,1,$AO$2051:$AO$2550,"&lt;"&amp;AO2493)+COUNTIFS($Y$2051:Y2493,1,$AO$2051:AO2493,AO2493))</f>
        <v/>
      </c>
      <c r="AA2493" s="1" t="str">
        <f t="shared" si="198"/>
        <v>Missing demographic or access input</v>
      </c>
      <c r="AB2493" s="1">
        <f t="shared" si="199"/>
        <v>0</v>
      </c>
      <c r="AC2493" s="1" t="str">
        <f t="shared" si="200"/>
        <v/>
      </c>
      <c r="AD2493" s="1" t="str">
        <f t="shared" si="201"/>
        <v/>
      </c>
      <c r="AE2493" s="1" t="str">
        <f t="shared" si="202"/>
        <v/>
      </c>
      <c r="AF2493" s="1" t="str">
        <f t="shared" si="203"/>
        <v/>
      </c>
      <c r="AG2493" s="1" t="str">
        <f t="shared" si="204"/>
        <v/>
      </c>
      <c r="AH2493" s="1" t="str">
        <f>IF(I2493=0,"Not contacted",IF(INDEX('Staff Review'!$J$8:$J$507,I2493)="","Not contacted",INDEX('Staff Review'!$J$8:$J$507,I2493)))</f>
        <v>Not contacted</v>
      </c>
      <c r="AI2493" s="1" t="str">
        <f>IF(I2493=0,"No",IF(AND(COUNT(INDEX('Staff Review'!$D$8:$D$507,I2493))=1,INDEX('Staff Review'!$D$8:$D$507,I2493)&gt;=0,COUNT(INDEX('Staff Review'!$E$8:$E$507,I2493))=1,INDEX('Staff Review'!$E$8:$E$507,I2493)&gt;0,INDEX('Staff Review'!$E$8:$E$507,I2493)&lt;='Top 25'!$E$5,'Top 25'!$E$5-INDEX('Staff Review'!$E$8:$E$507,I2493)&lt;='Top 25'!$H$5,LEN(INDEX('Staff Review'!$H$8:$H$507,I2493))&gt;0),"Yes","No"))</f>
        <v>No</v>
      </c>
      <c r="AJ2493" s="1" t="str">
        <f>IF(I2493=0,"No",IF(COUNT(INDEX('Staff Review'!$F$8:$F$507,I2493))&lt;&gt;1,"No",IF(AND(INDEX('Staff Review'!$F$8:$F$507,I2493)&gt;=0,MOD(INDEX('Staff Review'!$F$8:$F$507,I2493),1)=0,COUNT(INDEX('Staff Review'!$G$8:$G$507,I2493))=1,INDEX('Staff Review'!$G$8:$G$507,I2493)&gt;0,INDEX('Staff Review'!$G$8:$G$507,I2493)&lt;='Top 25'!$E$5,'Top 25'!$E$5-INDEX('Staff Review'!$G$8:$G$507,I2493)&lt;='Top 25'!$H$5,LEN(INDEX('Staff Review'!$H$8:$H$507,I2493))&gt;0),"Yes","No")))</f>
        <v>No</v>
      </c>
      <c r="AK2493" s="1">
        <f t="shared" si="205"/>
        <v>0</v>
      </c>
      <c r="AL2493" s="1">
        <f t="shared" si="206"/>
        <v>0</v>
      </c>
      <c r="AM2493" s="1">
        <f t="shared" si="207"/>
        <v>0</v>
      </c>
      <c r="AN2493" s="1">
        <f t="shared" si="208"/>
        <v>0</v>
      </c>
      <c r="AO2493">
        <f t="shared" si="209"/>
        <v>10000</v>
      </c>
      <c r="AP2493" s="105">
        <f>IF(AND(AL2493=1,OR('Top 25'!$A$10="All",C2493='Top 25'!$A$10),OR('Top 25'!$D$10="All",D2493='Top 25'!$D$10)),1,0)</f>
        <v>0</v>
      </c>
      <c r="AQ2493" s="105" t="str">
        <f>IF(AP2493=0,"",CHOOSE(MATCH('Top 25'!$G$10,{"Priority score","Economic need","Enrollment","Fresh miles","Nearby resources"},0),T2493,G2493,F2493,K2493,L2493))</f>
        <v/>
      </c>
      <c r="AR2493" s="105" t="str">
        <f>IF(AP2493=0,"",1+COUNTIFS($AP$2051:$AP$2550,1,$AQ$2051:$AQ$2550,IF('Top 25'!$J$10="Ascending","&lt;","&gt;")&amp;AQ2493)+COUNTIFS($AP$2051:$AP$2550,1,$AQ$2051:$AQ$2550,AQ2493,$W$2051:$W$2550,"&lt;"&amp;W2493))</f>
        <v/>
      </c>
      <c r="AT2493" s="105">
        <f>IF(AND(AL2493=1,OR(Master_rankableSchools!$A$10="All",C2493=Master_rankableSchools!$A$10),OR(Master_rankableSchools!$D$10="All",D2493=Master_rankableSchools!$D$10)),1,0)</f>
        <v>0</v>
      </c>
      <c r="AU2493" s="105" t="str">
        <f>IF(AT2493=0,"",CHOOSE(MATCH(Master_rankableSchools!$G$10,{"Priority score","Economic need","Enrollment","Fresh miles","Nearby resources"},0),T2493,G2493,F2493,K2493,L2493))</f>
        <v/>
      </c>
      <c r="AV2493" s="105" t="str">
        <f>IF(AT2493=0,"",1+COUNTIFS($AT$2051:$AT$2550,1,$AU$2051:$AU$2550,IF(Master_rankableSchools!$J$10="Ascending","&lt;","&gt;")&amp;AU2493)+COUNTIFS($AT$2051:$AT$2550,1,$AU$2051:$AU$2550,AU2493,$W$2051:$W$2550,"&lt;"&amp;W2493))</f>
        <v/>
      </c>
    </row>
    <row r="2494" spans="1:48" ht="22" customHeight="1">
      <c r="A2494" s="1" t="str">
        <f t="shared" si="180"/>
        <v/>
      </c>
      <c r="B2494" s="1" t="str">
        <f t="shared" si="181"/>
        <v/>
      </c>
      <c r="C2494" s="1" t="str">
        <f t="shared" si="182"/>
        <v/>
      </c>
      <c r="D2494" s="1" t="str">
        <f t="shared" si="183"/>
        <v/>
      </c>
      <c r="E2494" s="1" t="str">
        <f t="shared" si="184"/>
        <v/>
      </c>
      <c r="F2494" s="1" t="str">
        <f t="shared" si="185"/>
        <v/>
      </c>
      <c r="G2494" s="1" t="str">
        <f t="shared" si="186"/>
        <v/>
      </c>
      <c r="H2494" s="1" t="str">
        <f t="shared" si="187"/>
        <v/>
      </c>
      <c r="I2494" s="1">
        <f>IF(OR(A2494="",COUNTIFS('Staff Review'!$A$8:$A$507,A2494)&lt;&gt;1),0,MATCH(A2494,'Staff Review'!$A$8:$A$507,0))</f>
        <v>0</v>
      </c>
      <c r="J2494" s="1" t="str">
        <f>IF(I2494=0,"No",IF(INDEX('Staff Review'!$C$8:$C$507,I2494)="Yes","Yes","No"))</f>
        <v>No</v>
      </c>
      <c r="K2494" s="1" t="str">
        <f>IF(AI2494="Yes",INDEX('Staff Review'!$D$8:$D$507,I2494),IF(AB2494=0,"",IF(COUNT(INDEX($C$1531:$C$2030,AB2494))=1,INDEX($C$1531:$C$2030,AB2494),"")))</f>
        <v/>
      </c>
      <c r="L2494" s="1" t="str">
        <f>IF(AJ2494="Yes",INDEX('Staff Review'!$F$8:$F$507,I2494),IF(AB2494=0,"",IF(COUNT(INDEX($G$1531:$G$2030,AB2494))=1,INDEX($G$1531:$G$2030,AB2494),"")))</f>
        <v/>
      </c>
      <c r="M2494" s="1" t="str">
        <f t="shared" si="188"/>
        <v/>
      </c>
      <c r="N2494" s="1" t="str">
        <f t="shared" si="189"/>
        <v/>
      </c>
      <c r="O2494" s="1" t="str">
        <f t="shared" si="190"/>
        <v/>
      </c>
      <c r="P2494" s="1" t="str">
        <f t="shared" si="191"/>
        <v/>
      </c>
      <c r="Q2494" s="1" t="str">
        <f t="shared" si="192"/>
        <v/>
      </c>
      <c r="R2494" s="1" t="str">
        <f t="shared" si="193"/>
        <v/>
      </c>
      <c r="S2494" s="1" t="str">
        <f t="shared" si="194"/>
        <v/>
      </c>
      <c r="T2494" s="1" t="str">
        <f>IF(OR(COUNT(O2494:R2494)&lt;&gt;4,COUNT('Top 25'!$B$45:$E$45)&lt;&gt;4,MIN('Top 25'!$B$45:$E$45)&lt;0,SUM('Top 25'!$B$45:$E$45)&lt;=0),"",ROUND(85*(O2494/30*'Top 25'!$B$45+P2494/25*'Top 25'!$C$45+Q2494/25*'Top 25'!$D$45+R2494/5*'Top 25'!$E$45)/SUM('Top 25'!$B$45:$E$45),6))</f>
        <v/>
      </c>
      <c r="U2494" s="1" t="str">
        <f t="shared" si="195"/>
        <v/>
      </c>
      <c r="V2494" s="1" t="str">
        <f>IF(A2494="","",IF(AK2494&lt;&gt;1,"Duplicate source ID",IF(COUNTIFS('Staff Review'!$A$8:$A$507,A2494)&gt;1,"Duplicate review ID",IF(H2494&lt;&gt;"Yes","Outside scope",IF(J2494="Yes","Already served",IF(NOT(ISNUMBER(T2494)),"Missing data","Candidate"))))))</f>
        <v/>
      </c>
      <c r="W2494" s="1" t="str">
        <f t="shared" si="196"/>
        <v/>
      </c>
      <c r="X2494" s="1" t="str">
        <f t="shared" si="197"/>
        <v/>
      </c>
      <c r="Y2494" s="1">
        <f>IF(AND(H2494="Yes",OR(LEN('School Search'!$B$5)=0,ISNUMBER(SEARCH('School Search'!$B$5,B2494&amp;" "&amp;E2494&amp;" "&amp;A2494))),OR('School Search'!$D$5="All",C2494='School Search'!$D$5),OR('School Search'!$G$5="All eligible",AND('School Search'!$G$5="Not marked served",J2494&lt;&gt;"Yes"),AND('School Search'!$G$5="Missing data",V2494="Missing data"),AND('School Search'!$G$5="Marked served",J2494="Yes"))),1,0)</f>
        <v>0</v>
      </c>
      <c r="Z2494" s="1" t="str">
        <f>IF(Y2494=0,"",COUNTIFS($Y$2051:$Y$2550,1,$AO$2051:$AO$2550,"&lt;"&amp;AO2494)+COUNTIFS($Y$2051:Y2494,1,$AO$2051:AO2494,AO2494))</f>
        <v/>
      </c>
      <c r="AA2494" s="1" t="str">
        <f t="shared" si="198"/>
        <v>Missing demographic or access input</v>
      </c>
      <c r="AB2494" s="1">
        <f t="shared" si="199"/>
        <v>0</v>
      </c>
      <c r="AC2494" s="1" t="str">
        <f t="shared" si="200"/>
        <v/>
      </c>
      <c r="AD2494" s="1" t="str">
        <f t="shared" si="201"/>
        <v/>
      </c>
      <c r="AE2494" s="1" t="str">
        <f t="shared" si="202"/>
        <v/>
      </c>
      <c r="AF2494" s="1" t="str">
        <f t="shared" si="203"/>
        <v/>
      </c>
      <c r="AG2494" s="1" t="str">
        <f t="shared" si="204"/>
        <v/>
      </c>
      <c r="AH2494" s="1" t="str">
        <f>IF(I2494=0,"Not contacted",IF(INDEX('Staff Review'!$J$8:$J$507,I2494)="","Not contacted",INDEX('Staff Review'!$J$8:$J$507,I2494)))</f>
        <v>Not contacted</v>
      </c>
      <c r="AI2494" s="1" t="str">
        <f>IF(I2494=0,"No",IF(AND(COUNT(INDEX('Staff Review'!$D$8:$D$507,I2494))=1,INDEX('Staff Review'!$D$8:$D$507,I2494)&gt;=0,COUNT(INDEX('Staff Review'!$E$8:$E$507,I2494))=1,INDEX('Staff Review'!$E$8:$E$507,I2494)&gt;0,INDEX('Staff Review'!$E$8:$E$507,I2494)&lt;='Top 25'!$E$5,'Top 25'!$E$5-INDEX('Staff Review'!$E$8:$E$507,I2494)&lt;='Top 25'!$H$5,LEN(INDEX('Staff Review'!$H$8:$H$507,I2494))&gt;0),"Yes","No"))</f>
        <v>No</v>
      </c>
      <c r="AJ2494" s="1" t="str">
        <f>IF(I2494=0,"No",IF(COUNT(INDEX('Staff Review'!$F$8:$F$507,I2494))&lt;&gt;1,"No",IF(AND(INDEX('Staff Review'!$F$8:$F$507,I2494)&gt;=0,MOD(INDEX('Staff Review'!$F$8:$F$507,I2494),1)=0,COUNT(INDEX('Staff Review'!$G$8:$G$507,I2494))=1,INDEX('Staff Review'!$G$8:$G$507,I2494)&gt;0,INDEX('Staff Review'!$G$8:$G$507,I2494)&lt;='Top 25'!$E$5,'Top 25'!$E$5-INDEX('Staff Review'!$G$8:$G$507,I2494)&lt;='Top 25'!$H$5,LEN(INDEX('Staff Review'!$H$8:$H$507,I2494))&gt;0),"Yes","No")))</f>
        <v>No</v>
      </c>
      <c r="AK2494" s="1">
        <f t="shared" si="205"/>
        <v>0</v>
      </c>
      <c r="AL2494" s="1">
        <f t="shared" si="206"/>
        <v>0</v>
      </c>
      <c r="AM2494" s="1">
        <f t="shared" si="207"/>
        <v>0</v>
      </c>
      <c r="AN2494" s="1">
        <f t="shared" si="208"/>
        <v>0</v>
      </c>
      <c r="AO2494">
        <f t="shared" si="209"/>
        <v>10000</v>
      </c>
      <c r="AP2494" s="105">
        <f>IF(AND(AL2494=1,OR('Top 25'!$A$10="All",C2494='Top 25'!$A$10),OR('Top 25'!$D$10="All",D2494='Top 25'!$D$10)),1,0)</f>
        <v>0</v>
      </c>
      <c r="AQ2494" s="105" t="str">
        <f>IF(AP2494=0,"",CHOOSE(MATCH('Top 25'!$G$10,{"Priority score","Economic need","Enrollment","Fresh miles","Nearby resources"},0),T2494,G2494,F2494,K2494,L2494))</f>
        <v/>
      </c>
      <c r="AR2494" s="105" t="str">
        <f>IF(AP2494=0,"",1+COUNTIFS($AP$2051:$AP$2550,1,$AQ$2051:$AQ$2550,IF('Top 25'!$J$10="Ascending","&lt;","&gt;")&amp;AQ2494)+COUNTIFS($AP$2051:$AP$2550,1,$AQ$2051:$AQ$2550,AQ2494,$W$2051:$W$2550,"&lt;"&amp;W2494))</f>
        <v/>
      </c>
      <c r="AT2494" s="105">
        <f>IF(AND(AL2494=1,OR(Master_rankableSchools!$A$10="All",C2494=Master_rankableSchools!$A$10),OR(Master_rankableSchools!$D$10="All",D2494=Master_rankableSchools!$D$10)),1,0)</f>
        <v>0</v>
      </c>
      <c r="AU2494" s="105" t="str">
        <f>IF(AT2494=0,"",CHOOSE(MATCH(Master_rankableSchools!$G$10,{"Priority score","Economic need","Enrollment","Fresh miles","Nearby resources"},0),T2494,G2494,F2494,K2494,L2494))</f>
        <v/>
      </c>
      <c r="AV2494" s="105" t="str">
        <f>IF(AT2494=0,"",1+COUNTIFS($AT$2051:$AT$2550,1,$AU$2051:$AU$2550,IF(Master_rankableSchools!$J$10="Ascending","&lt;","&gt;")&amp;AU2494)+COUNTIFS($AT$2051:$AT$2550,1,$AU$2051:$AU$2550,AU2494,$W$2051:$W$2550,"&lt;"&amp;W2494))</f>
        <v/>
      </c>
    </row>
    <row r="2495" spans="1:48" ht="22" customHeight="1">
      <c r="A2495" s="1" t="str">
        <f t="shared" si="180"/>
        <v/>
      </c>
      <c r="B2495" s="1" t="str">
        <f t="shared" si="181"/>
        <v/>
      </c>
      <c r="C2495" s="1" t="str">
        <f t="shared" si="182"/>
        <v/>
      </c>
      <c r="D2495" s="1" t="str">
        <f t="shared" si="183"/>
        <v/>
      </c>
      <c r="E2495" s="1" t="str">
        <f t="shared" si="184"/>
        <v/>
      </c>
      <c r="F2495" s="1" t="str">
        <f t="shared" si="185"/>
        <v/>
      </c>
      <c r="G2495" s="1" t="str">
        <f t="shared" si="186"/>
        <v/>
      </c>
      <c r="H2495" s="1" t="str">
        <f t="shared" si="187"/>
        <v/>
      </c>
      <c r="I2495" s="1">
        <f>IF(OR(A2495="",COUNTIFS('Staff Review'!$A$8:$A$507,A2495)&lt;&gt;1),0,MATCH(A2495,'Staff Review'!$A$8:$A$507,0))</f>
        <v>0</v>
      </c>
      <c r="J2495" s="1" t="str">
        <f>IF(I2495=0,"No",IF(INDEX('Staff Review'!$C$8:$C$507,I2495)="Yes","Yes","No"))</f>
        <v>No</v>
      </c>
      <c r="K2495" s="1" t="str">
        <f>IF(AI2495="Yes",INDEX('Staff Review'!$D$8:$D$507,I2495),IF(AB2495=0,"",IF(COUNT(INDEX($C$1531:$C$2030,AB2495))=1,INDEX($C$1531:$C$2030,AB2495),"")))</f>
        <v/>
      </c>
      <c r="L2495" s="1" t="str">
        <f>IF(AJ2495="Yes",INDEX('Staff Review'!$F$8:$F$507,I2495),IF(AB2495=0,"",IF(COUNT(INDEX($G$1531:$G$2030,AB2495))=1,INDEX($G$1531:$G$2030,AB2495),"")))</f>
        <v/>
      </c>
      <c r="M2495" s="1" t="str">
        <f t="shared" si="188"/>
        <v/>
      </c>
      <c r="N2495" s="1" t="str">
        <f t="shared" si="189"/>
        <v/>
      </c>
      <c r="O2495" s="1" t="str">
        <f t="shared" si="190"/>
        <v/>
      </c>
      <c r="P2495" s="1" t="str">
        <f t="shared" si="191"/>
        <v/>
      </c>
      <c r="Q2495" s="1" t="str">
        <f t="shared" si="192"/>
        <v/>
      </c>
      <c r="R2495" s="1" t="str">
        <f t="shared" si="193"/>
        <v/>
      </c>
      <c r="S2495" s="1" t="str">
        <f t="shared" si="194"/>
        <v/>
      </c>
      <c r="T2495" s="1" t="str">
        <f>IF(OR(COUNT(O2495:R2495)&lt;&gt;4,COUNT('Top 25'!$B$45:$E$45)&lt;&gt;4,MIN('Top 25'!$B$45:$E$45)&lt;0,SUM('Top 25'!$B$45:$E$45)&lt;=0),"",ROUND(85*(O2495/30*'Top 25'!$B$45+P2495/25*'Top 25'!$C$45+Q2495/25*'Top 25'!$D$45+R2495/5*'Top 25'!$E$45)/SUM('Top 25'!$B$45:$E$45),6))</f>
        <v/>
      </c>
      <c r="U2495" s="1" t="str">
        <f t="shared" si="195"/>
        <v/>
      </c>
      <c r="V2495" s="1" t="str">
        <f>IF(A2495="","",IF(AK2495&lt;&gt;1,"Duplicate source ID",IF(COUNTIFS('Staff Review'!$A$8:$A$507,A2495)&gt;1,"Duplicate review ID",IF(H2495&lt;&gt;"Yes","Outside scope",IF(J2495="Yes","Already served",IF(NOT(ISNUMBER(T2495)),"Missing data","Candidate"))))))</f>
        <v/>
      </c>
      <c r="W2495" s="1" t="str">
        <f t="shared" si="196"/>
        <v/>
      </c>
      <c r="X2495" s="1" t="str">
        <f t="shared" si="197"/>
        <v/>
      </c>
      <c r="Y2495" s="1">
        <f>IF(AND(H2495="Yes",OR(LEN('School Search'!$B$5)=0,ISNUMBER(SEARCH('School Search'!$B$5,B2495&amp;" "&amp;E2495&amp;" "&amp;A2495))),OR('School Search'!$D$5="All",C2495='School Search'!$D$5),OR('School Search'!$G$5="All eligible",AND('School Search'!$G$5="Not marked served",J2495&lt;&gt;"Yes"),AND('School Search'!$G$5="Missing data",V2495="Missing data"),AND('School Search'!$G$5="Marked served",J2495="Yes"))),1,0)</f>
        <v>0</v>
      </c>
      <c r="Z2495" s="1" t="str">
        <f>IF(Y2495=0,"",COUNTIFS($Y$2051:$Y$2550,1,$AO$2051:$AO$2550,"&lt;"&amp;AO2495)+COUNTIFS($Y$2051:Y2495,1,$AO$2051:AO2495,AO2495))</f>
        <v/>
      </c>
      <c r="AA2495" s="1" t="str">
        <f t="shared" si="198"/>
        <v>Missing demographic or access input</v>
      </c>
      <c r="AB2495" s="1">
        <f t="shared" si="199"/>
        <v>0</v>
      </c>
      <c r="AC2495" s="1" t="str">
        <f t="shared" si="200"/>
        <v/>
      </c>
      <c r="AD2495" s="1" t="str">
        <f t="shared" si="201"/>
        <v/>
      </c>
      <c r="AE2495" s="1" t="str">
        <f t="shared" si="202"/>
        <v/>
      </c>
      <c r="AF2495" s="1" t="str">
        <f t="shared" si="203"/>
        <v/>
      </c>
      <c r="AG2495" s="1" t="str">
        <f t="shared" si="204"/>
        <v/>
      </c>
      <c r="AH2495" s="1" t="str">
        <f>IF(I2495=0,"Not contacted",IF(INDEX('Staff Review'!$J$8:$J$507,I2495)="","Not contacted",INDEX('Staff Review'!$J$8:$J$507,I2495)))</f>
        <v>Not contacted</v>
      </c>
      <c r="AI2495" s="1" t="str">
        <f>IF(I2495=0,"No",IF(AND(COUNT(INDEX('Staff Review'!$D$8:$D$507,I2495))=1,INDEX('Staff Review'!$D$8:$D$507,I2495)&gt;=0,COUNT(INDEX('Staff Review'!$E$8:$E$507,I2495))=1,INDEX('Staff Review'!$E$8:$E$507,I2495)&gt;0,INDEX('Staff Review'!$E$8:$E$507,I2495)&lt;='Top 25'!$E$5,'Top 25'!$E$5-INDEX('Staff Review'!$E$8:$E$507,I2495)&lt;='Top 25'!$H$5,LEN(INDEX('Staff Review'!$H$8:$H$507,I2495))&gt;0),"Yes","No"))</f>
        <v>No</v>
      </c>
      <c r="AJ2495" s="1" t="str">
        <f>IF(I2495=0,"No",IF(COUNT(INDEX('Staff Review'!$F$8:$F$507,I2495))&lt;&gt;1,"No",IF(AND(INDEX('Staff Review'!$F$8:$F$507,I2495)&gt;=0,MOD(INDEX('Staff Review'!$F$8:$F$507,I2495),1)=0,COUNT(INDEX('Staff Review'!$G$8:$G$507,I2495))=1,INDEX('Staff Review'!$G$8:$G$507,I2495)&gt;0,INDEX('Staff Review'!$G$8:$G$507,I2495)&lt;='Top 25'!$E$5,'Top 25'!$E$5-INDEX('Staff Review'!$G$8:$G$507,I2495)&lt;='Top 25'!$H$5,LEN(INDEX('Staff Review'!$H$8:$H$507,I2495))&gt;0),"Yes","No")))</f>
        <v>No</v>
      </c>
      <c r="AK2495" s="1">
        <f t="shared" si="205"/>
        <v>0</v>
      </c>
      <c r="AL2495" s="1">
        <f t="shared" si="206"/>
        <v>0</v>
      </c>
      <c r="AM2495" s="1">
        <f t="shared" si="207"/>
        <v>0</v>
      </c>
      <c r="AN2495" s="1">
        <f t="shared" si="208"/>
        <v>0</v>
      </c>
      <c r="AO2495">
        <f t="shared" si="209"/>
        <v>10000</v>
      </c>
      <c r="AP2495" s="105">
        <f>IF(AND(AL2495=1,OR('Top 25'!$A$10="All",C2495='Top 25'!$A$10),OR('Top 25'!$D$10="All",D2495='Top 25'!$D$10)),1,0)</f>
        <v>0</v>
      </c>
      <c r="AQ2495" s="105" t="str">
        <f>IF(AP2495=0,"",CHOOSE(MATCH('Top 25'!$G$10,{"Priority score","Economic need","Enrollment","Fresh miles","Nearby resources"},0),T2495,G2495,F2495,K2495,L2495))</f>
        <v/>
      </c>
      <c r="AR2495" s="105" t="str">
        <f>IF(AP2495=0,"",1+COUNTIFS($AP$2051:$AP$2550,1,$AQ$2051:$AQ$2550,IF('Top 25'!$J$10="Ascending","&lt;","&gt;")&amp;AQ2495)+COUNTIFS($AP$2051:$AP$2550,1,$AQ$2051:$AQ$2550,AQ2495,$W$2051:$W$2550,"&lt;"&amp;W2495))</f>
        <v/>
      </c>
      <c r="AT2495" s="105">
        <f>IF(AND(AL2495=1,OR(Master_rankableSchools!$A$10="All",C2495=Master_rankableSchools!$A$10),OR(Master_rankableSchools!$D$10="All",D2495=Master_rankableSchools!$D$10)),1,0)</f>
        <v>0</v>
      </c>
      <c r="AU2495" s="105" t="str">
        <f>IF(AT2495=0,"",CHOOSE(MATCH(Master_rankableSchools!$G$10,{"Priority score","Economic need","Enrollment","Fresh miles","Nearby resources"},0),T2495,G2495,F2495,K2495,L2495))</f>
        <v/>
      </c>
      <c r="AV2495" s="105" t="str">
        <f>IF(AT2495=0,"",1+COUNTIFS($AT$2051:$AT$2550,1,$AU$2051:$AU$2550,IF(Master_rankableSchools!$J$10="Ascending","&lt;","&gt;")&amp;AU2495)+COUNTIFS($AT$2051:$AT$2550,1,$AU$2051:$AU$2550,AU2495,$W$2051:$W$2550,"&lt;"&amp;W2495))</f>
        <v/>
      </c>
    </row>
    <row r="2496" spans="1:48" ht="22" customHeight="1">
      <c r="A2496" s="1" t="str">
        <f t="shared" si="180"/>
        <v/>
      </c>
      <c r="B2496" s="1" t="str">
        <f t="shared" si="181"/>
        <v/>
      </c>
      <c r="C2496" s="1" t="str">
        <f t="shared" si="182"/>
        <v/>
      </c>
      <c r="D2496" s="1" t="str">
        <f t="shared" si="183"/>
        <v/>
      </c>
      <c r="E2496" s="1" t="str">
        <f t="shared" si="184"/>
        <v/>
      </c>
      <c r="F2496" s="1" t="str">
        <f t="shared" si="185"/>
        <v/>
      </c>
      <c r="G2496" s="1" t="str">
        <f t="shared" si="186"/>
        <v/>
      </c>
      <c r="H2496" s="1" t="str">
        <f t="shared" si="187"/>
        <v/>
      </c>
      <c r="I2496" s="1">
        <f>IF(OR(A2496="",COUNTIFS('Staff Review'!$A$8:$A$507,A2496)&lt;&gt;1),0,MATCH(A2496,'Staff Review'!$A$8:$A$507,0))</f>
        <v>0</v>
      </c>
      <c r="J2496" s="1" t="str">
        <f>IF(I2496=0,"No",IF(INDEX('Staff Review'!$C$8:$C$507,I2496)="Yes","Yes","No"))</f>
        <v>No</v>
      </c>
      <c r="K2496" s="1" t="str">
        <f>IF(AI2496="Yes",INDEX('Staff Review'!$D$8:$D$507,I2496),IF(AB2496=0,"",IF(COUNT(INDEX($C$1531:$C$2030,AB2496))=1,INDEX($C$1531:$C$2030,AB2496),"")))</f>
        <v/>
      </c>
      <c r="L2496" s="1" t="str">
        <f>IF(AJ2496="Yes",INDEX('Staff Review'!$F$8:$F$507,I2496),IF(AB2496=0,"",IF(COUNT(INDEX($G$1531:$G$2030,AB2496))=1,INDEX($G$1531:$G$2030,AB2496),"")))</f>
        <v/>
      </c>
      <c r="M2496" s="1" t="str">
        <f t="shared" si="188"/>
        <v/>
      </c>
      <c r="N2496" s="1" t="str">
        <f t="shared" si="189"/>
        <v/>
      </c>
      <c r="O2496" s="1" t="str">
        <f t="shared" si="190"/>
        <v/>
      </c>
      <c r="P2496" s="1" t="str">
        <f t="shared" si="191"/>
        <v/>
      </c>
      <c r="Q2496" s="1" t="str">
        <f t="shared" si="192"/>
        <v/>
      </c>
      <c r="R2496" s="1" t="str">
        <f t="shared" si="193"/>
        <v/>
      </c>
      <c r="S2496" s="1" t="str">
        <f t="shared" si="194"/>
        <v/>
      </c>
      <c r="T2496" s="1" t="str">
        <f>IF(OR(COUNT(O2496:R2496)&lt;&gt;4,COUNT('Top 25'!$B$45:$E$45)&lt;&gt;4,MIN('Top 25'!$B$45:$E$45)&lt;0,SUM('Top 25'!$B$45:$E$45)&lt;=0),"",ROUND(85*(O2496/30*'Top 25'!$B$45+P2496/25*'Top 25'!$C$45+Q2496/25*'Top 25'!$D$45+R2496/5*'Top 25'!$E$45)/SUM('Top 25'!$B$45:$E$45),6))</f>
        <v/>
      </c>
      <c r="U2496" s="1" t="str">
        <f t="shared" si="195"/>
        <v/>
      </c>
      <c r="V2496" s="1" t="str">
        <f>IF(A2496="","",IF(AK2496&lt;&gt;1,"Duplicate source ID",IF(COUNTIFS('Staff Review'!$A$8:$A$507,A2496)&gt;1,"Duplicate review ID",IF(H2496&lt;&gt;"Yes","Outside scope",IF(J2496="Yes","Already served",IF(NOT(ISNUMBER(T2496)),"Missing data","Candidate"))))))</f>
        <v/>
      </c>
      <c r="W2496" s="1" t="str">
        <f t="shared" si="196"/>
        <v/>
      </c>
      <c r="X2496" s="1" t="str">
        <f t="shared" si="197"/>
        <v/>
      </c>
      <c r="Y2496" s="1">
        <f>IF(AND(H2496="Yes",OR(LEN('School Search'!$B$5)=0,ISNUMBER(SEARCH('School Search'!$B$5,B2496&amp;" "&amp;E2496&amp;" "&amp;A2496))),OR('School Search'!$D$5="All",C2496='School Search'!$D$5),OR('School Search'!$G$5="All eligible",AND('School Search'!$G$5="Not marked served",J2496&lt;&gt;"Yes"),AND('School Search'!$G$5="Missing data",V2496="Missing data"),AND('School Search'!$G$5="Marked served",J2496="Yes"))),1,0)</f>
        <v>0</v>
      </c>
      <c r="Z2496" s="1" t="str">
        <f>IF(Y2496=0,"",COUNTIFS($Y$2051:$Y$2550,1,$AO$2051:$AO$2550,"&lt;"&amp;AO2496)+COUNTIFS($Y$2051:Y2496,1,$AO$2051:AO2496,AO2496))</f>
        <v/>
      </c>
      <c r="AA2496" s="1" t="str">
        <f t="shared" si="198"/>
        <v>Missing demographic or access input</v>
      </c>
      <c r="AB2496" s="1">
        <f t="shared" si="199"/>
        <v>0</v>
      </c>
      <c r="AC2496" s="1" t="str">
        <f t="shared" si="200"/>
        <v/>
      </c>
      <c r="AD2496" s="1" t="str">
        <f t="shared" si="201"/>
        <v/>
      </c>
      <c r="AE2496" s="1" t="str">
        <f t="shared" si="202"/>
        <v/>
      </c>
      <c r="AF2496" s="1" t="str">
        <f t="shared" si="203"/>
        <v/>
      </c>
      <c r="AG2496" s="1" t="str">
        <f t="shared" si="204"/>
        <v/>
      </c>
      <c r="AH2496" s="1" t="str">
        <f>IF(I2496=0,"Not contacted",IF(INDEX('Staff Review'!$J$8:$J$507,I2496)="","Not contacted",INDEX('Staff Review'!$J$8:$J$507,I2496)))</f>
        <v>Not contacted</v>
      </c>
      <c r="AI2496" s="1" t="str">
        <f>IF(I2496=0,"No",IF(AND(COUNT(INDEX('Staff Review'!$D$8:$D$507,I2496))=1,INDEX('Staff Review'!$D$8:$D$507,I2496)&gt;=0,COUNT(INDEX('Staff Review'!$E$8:$E$507,I2496))=1,INDEX('Staff Review'!$E$8:$E$507,I2496)&gt;0,INDEX('Staff Review'!$E$8:$E$507,I2496)&lt;='Top 25'!$E$5,'Top 25'!$E$5-INDEX('Staff Review'!$E$8:$E$507,I2496)&lt;='Top 25'!$H$5,LEN(INDEX('Staff Review'!$H$8:$H$507,I2496))&gt;0),"Yes","No"))</f>
        <v>No</v>
      </c>
      <c r="AJ2496" s="1" t="str">
        <f>IF(I2496=0,"No",IF(COUNT(INDEX('Staff Review'!$F$8:$F$507,I2496))&lt;&gt;1,"No",IF(AND(INDEX('Staff Review'!$F$8:$F$507,I2496)&gt;=0,MOD(INDEX('Staff Review'!$F$8:$F$507,I2496),1)=0,COUNT(INDEX('Staff Review'!$G$8:$G$507,I2496))=1,INDEX('Staff Review'!$G$8:$G$507,I2496)&gt;0,INDEX('Staff Review'!$G$8:$G$507,I2496)&lt;='Top 25'!$E$5,'Top 25'!$E$5-INDEX('Staff Review'!$G$8:$G$507,I2496)&lt;='Top 25'!$H$5,LEN(INDEX('Staff Review'!$H$8:$H$507,I2496))&gt;0),"Yes","No")))</f>
        <v>No</v>
      </c>
      <c r="AK2496" s="1">
        <f t="shared" si="205"/>
        <v>0</v>
      </c>
      <c r="AL2496" s="1">
        <f t="shared" si="206"/>
        <v>0</v>
      </c>
      <c r="AM2496" s="1">
        <f t="shared" si="207"/>
        <v>0</v>
      </c>
      <c r="AN2496" s="1">
        <f t="shared" si="208"/>
        <v>0</v>
      </c>
      <c r="AO2496">
        <f t="shared" si="209"/>
        <v>10000</v>
      </c>
      <c r="AP2496" s="105">
        <f>IF(AND(AL2496=1,OR('Top 25'!$A$10="All",C2496='Top 25'!$A$10),OR('Top 25'!$D$10="All",D2496='Top 25'!$D$10)),1,0)</f>
        <v>0</v>
      </c>
      <c r="AQ2496" s="105" t="str">
        <f>IF(AP2496=0,"",CHOOSE(MATCH('Top 25'!$G$10,{"Priority score","Economic need","Enrollment","Fresh miles","Nearby resources"},0),T2496,G2496,F2496,K2496,L2496))</f>
        <v/>
      </c>
      <c r="AR2496" s="105" t="str">
        <f>IF(AP2496=0,"",1+COUNTIFS($AP$2051:$AP$2550,1,$AQ$2051:$AQ$2550,IF('Top 25'!$J$10="Ascending","&lt;","&gt;")&amp;AQ2496)+COUNTIFS($AP$2051:$AP$2550,1,$AQ$2051:$AQ$2550,AQ2496,$W$2051:$W$2550,"&lt;"&amp;W2496))</f>
        <v/>
      </c>
      <c r="AT2496" s="105">
        <f>IF(AND(AL2496=1,OR(Master_rankableSchools!$A$10="All",C2496=Master_rankableSchools!$A$10),OR(Master_rankableSchools!$D$10="All",D2496=Master_rankableSchools!$D$10)),1,0)</f>
        <v>0</v>
      </c>
      <c r="AU2496" s="105" t="str">
        <f>IF(AT2496=0,"",CHOOSE(MATCH(Master_rankableSchools!$G$10,{"Priority score","Economic need","Enrollment","Fresh miles","Nearby resources"},0),T2496,G2496,F2496,K2496,L2496))</f>
        <v/>
      </c>
      <c r="AV2496" s="105" t="str">
        <f>IF(AT2496=0,"",1+COUNTIFS($AT$2051:$AT$2550,1,$AU$2051:$AU$2550,IF(Master_rankableSchools!$J$10="Ascending","&lt;","&gt;")&amp;AU2496)+COUNTIFS($AT$2051:$AT$2550,1,$AU$2051:$AU$2550,AU2496,$W$2051:$W$2550,"&lt;"&amp;W2496))</f>
        <v/>
      </c>
    </row>
    <row r="2497" spans="1:48" ht="22" customHeight="1">
      <c r="A2497" s="1" t="str">
        <f t="shared" si="180"/>
        <v/>
      </c>
      <c r="B2497" s="1" t="str">
        <f t="shared" si="181"/>
        <v/>
      </c>
      <c r="C2497" s="1" t="str">
        <f t="shared" si="182"/>
        <v/>
      </c>
      <c r="D2497" s="1" t="str">
        <f t="shared" si="183"/>
        <v/>
      </c>
      <c r="E2497" s="1" t="str">
        <f t="shared" si="184"/>
        <v/>
      </c>
      <c r="F2497" s="1" t="str">
        <f t="shared" si="185"/>
        <v/>
      </c>
      <c r="G2497" s="1" t="str">
        <f t="shared" si="186"/>
        <v/>
      </c>
      <c r="H2497" s="1" t="str">
        <f t="shared" si="187"/>
        <v/>
      </c>
      <c r="I2497" s="1">
        <f>IF(OR(A2497="",COUNTIFS('Staff Review'!$A$8:$A$507,A2497)&lt;&gt;1),0,MATCH(A2497,'Staff Review'!$A$8:$A$507,0))</f>
        <v>0</v>
      </c>
      <c r="J2497" s="1" t="str">
        <f>IF(I2497=0,"No",IF(INDEX('Staff Review'!$C$8:$C$507,I2497)="Yes","Yes","No"))</f>
        <v>No</v>
      </c>
      <c r="K2497" s="1" t="str">
        <f>IF(AI2497="Yes",INDEX('Staff Review'!$D$8:$D$507,I2497),IF(AB2497=0,"",IF(COUNT(INDEX($C$1531:$C$2030,AB2497))=1,INDEX($C$1531:$C$2030,AB2497),"")))</f>
        <v/>
      </c>
      <c r="L2497" s="1" t="str">
        <f>IF(AJ2497="Yes",INDEX('Staff Review'!$F$8:$F$507,I2497),IF(AB2497=0,"",IF(COUNT(INDEX($G$1531:$G$2030,AB2497))=1,INDEX($G$1531:$G$2030,AB2497),"")))</f>
        <v/>
      </c>
      <c r="M2497" s="1" t="str">
        <f t="shared" si="188"/>
        <v/>
      </c>
      <c r="N2497" s="1" t="str">
        <f t="shared" si="189"/>
        <v/>
      </c>
      <c r="O2497" s="1" t="str">
        <f t="shared" si="190"/>
        <v/>
      </c>
      <c r="P2497" s="1" t="str">
        <f t="shared" si="191"/>
        <v/>
      </c>
      <c r="Q2497" s="1" t="str">
        <f t="shared" si="192"/>
        <v/>
      </c>
      <c r="R2497" s="1" t="str">
        <f t="shared" si="193"/>
        <v/>
      </c>
      <c r="S2497" s="1" t="str">
        <f t="shared" si="194"/>
        <v/>
      </c>
      <c r="T2497" s="1" t="str">
        <f>IF(OR(COUNT(O2497:R2497)&lt;&gt;4,COUNT('Top 25'!$B$45:$E$45)&lt;&gt;4,MIN('Top 25'!$B$45:$E$45)&lt;0,SUM('Top 25'!$B$45:$E$45)&lt;=0),"",ROUND(85*(O2497/30*'Top 25'!$B$45+P2497/25*'Top 25'!$C$45+Q2497/25*'Top 25'!$D$45+R2497/5*'Top 25'!$E$45)/SUM('Top 25'!$B$45:$E$45),6))</f>
        <v/>
      </c>
      <c r="U2497" s="1" t="str">
        <f t="shared" si="195"/>
        <v/>
      </c>
      <c r="V2497" s="1" t="str">
        <f>IF(A2497="","",IF(AK2497&lt;&gt;1,"Duplicate source ID",IF(COUNTIFS('Staff Review'!$A$8:$A$507,A2497)&gt;1,"Duplicate review ID",IF(H2497&lt;&gt;"Yes","Outside scope",IF(J2497="Yes","Already served",IF(NOT(ISNUMBER(T2497)),"Missing data","Candidate"))))))</f>
        <v/>
      </c>
      <c r="W2497" s="1" t="str">
        <f t="shared" si="196"/>
        <v/>
      </c>
      <c r="X2497" s="1" t="str">
        <f t="shared" si="197"/>
        <v/>
      </c>
      <c r="Y2497" s="1">
        <f>IF(AND(H2497="Yes",OR(LEN('School Search'!$B$5)=0,ISNUMBER(SEARCH('School Search'!$B$5,B2497&amp;" "&amp;E2497&amp;" "&amp;A2497))),OR('School Search'!$D$5="All",C2497='School Search'!$D$5),OR('School Search'!$G$5="All eligible",AND('School Search'!$G$5="Not marked served",J2497&lt;&gt;"Yes"),AND('School Search'!$G$5="Missing data",V2497="Missing data"),AND('School Search'!$G$5="Marked served",J2497="Yes"))),1,0)</f>
        <v>0</v>
      </c>
      <c r="Z2497" s="1" t="str">
        <f>IF(Y2497=0,"",COUNTIFS($Y$2051:$Y$2550,1,$AO$2051:$AO$2550,"&lt;"&amp;AO2497)+COUNTIFS($Y$2051:Y2497,1,$AO$2051:AO2497,AO2497))</f>
        <v/>
      </c>
      <c r="AA2497" s="1" t="str">
        <f t="shared" si="198"/>
        <v>Missing demographic or access input</v>
      </c>
      <c r="AB2497" s="1">
        <f t="shared" si="199"/>
        <v>0</v>
      </c>
      <c r="AC2497" s="1" t="str">
        <f t="shared" si="200"/>
        <v/>
      </c>
      <c r="AD2497" s="1" t="str">
        <f t="shared" si="201"/>
        <v/>
      </c>
      <c r="AE2497" s="1" t="str">
        <f t="shared" si="202"/>
        <v/>
      </c>
      <c r="AF2497" s="1" t="str">
        <f t="shared" si="203"/>
        <v/>
      </c>
      <c r="AG2497" s="1" t="str">
        <f t="shared" si="204"/>
        <v/>
      </c>
      <c r="AH2497" s="1" t="str">
        <f>IF(I2497=0,"Not contacted",IF(INDEX('Staff Review'!$J$8:$J$507,I2497)="","Not contacted",INDEX('Staff Review'!$J$8:$J$507,I2497)))</f>
        <v>Not contacted</v>
      </c>
      <c r="AI2497" s="1" t="str">
        <f>IF(I2497=0,"No",IF(AND(COUNT(INDEX('Staff Review'!$D$8:$D$507,I2497))=1,INDEX('Staff Review'!$D$8:$D$507,I2497)&gt;=0,COUNT(INDEX('Staff Review'!$E$8:$E$507,I2497))=1,INDEX('Staff Review'!$E$8:$E$507,I2497)&gt;0,INDEX('Staff Review'!$E$8:$E$507,I2497)&lt;='Top 25'!$E$5,'Top 25'!$E$5-INDEX('Staff Review'!$E$8:$E$507,I2497)&lt;='Top 25'!$H$5,LEN(INDEX('Staff Review'!$H$8:$H$507,I2497))&gt;0),"Yes","No"))</f>
        <v>No</v>
      </c>
      <c r="AJ2497" s="1" t="str">
        <f>IF(I2497=0,"No",IF(COUNT(INDEX('Staff Review'!$F$8:$F$507,I2497))&lt;&gt;1,"No",IF(AND(INDEX('Staff Review'!$F$8:$F$507,I2497)&gt;=0,MOD(INDEX('Staff Review'!$F$8:$F$507,I2497),1)=0,COUNT(INDEX('Staff Review'!$G$8:$G$507,I2497))=1,INDEX('Staff Review'!$G$8:$G$507,I2497)&gt;0,INDEX('Staff Review'!$G$8:$G$507,I2497)&lt;='Top 25'!$E$5,'Top 25'!$E$5-INDEX('Staff Review'!$G$8:$G$507,I2497)&lt;='Top 25'!$H$5,LEN(INDEX('Staff Review'!$H$8:$H$507,I2497))&gt;0),"Yes","No")))</f>
        <v>No</v>
      </c>
      <c r="AK2497" s="1">
        <f t="shared" si="205"/>
        <v>0</v>
      </c>
      <c r="AL2497" s="1">
        <f t="shared" si="206"/>
        <v>0</v>
      </c>
      <c r="AM2497" s="1">
        <f t="shared" si="207"/>
        <v>0</v>
      </c>
      <c r="AN2497" s="1">
        <f t="shared" si="208"/>
        <v>0</v>
      </c>
      <c r="AO2497">
        <f t="shared" si="209"/>
        <v>10000</v>
      </c>
      <c r="AP2497" s="105">
        <f>IF(AND(AL2497=1,OR('Top 25'!$A$10="All",C2497='Top 25'!$A$10),OR('Top 25'!$D$10="All",D2497='Top 25'!$D$10)),1,0)</f>
        <v>0</v>
      </c>
      <c r="AQ2497" s="105" t="str">
        <f>IF(AP2497=0,"",CHOOSE(MATCH('Top 25'!$G$10,{"Priority score","Economic need","Enrollment","Fresh miles","Nearby resources"},0),T2497,G2497,F2497,K2497,L2497))</f>
        <v/>
      </c>
      <c r="AR2497" s="105" t="str">
        <f>IF(AP2497=0,"",1+COUNTIFS($AP$2051:$AP$2550,1,$AQ$2051:$AQ$2550,IF('Top 25'!$J$10="Ascending","&lt;","&gt;")&amp;AQ2497)+COUNTIFS($AP$2051:$AP$2550,1,$AQ$2051:$AQ$2550,AQ2497,$W$2051:$W$2550,"&lt;"&amp;W2497))</f>
        <v/>
      </c>
      <c r="AT2497" s="105">
        <f>IF(AND(AL2497=1,OR(Master_rankableSchools!$A$10="All",C2497=Master_rankableSchools!$A$10),OR(Master_rankableSchools!$D$10="All",D2497=Master_rankableSchools!$D$10)),1,0)</f>
        <v>0</v>
      </c>
      <c r="AU2497" s="105" t="str">
        <f>IF(AT2497=0,"",CHOOSE(MATCH(Master_rankableSchools!$G$10,{"Priority score","Economic need","Enrollment","Fresh miles","Nearby resources"},0),T2497,G2497,F2497,K2497,L2497))</f>
        <v/>
      </c>
      <c r="AV2497" s="105" t="str">
        <f>IF(AT2497=0,"",1+COUNTIFS($AT$2051:$AT$2550,1,$AU$2051:$AU$2550,IF(Master_rankableSchools!$J$10="Ascending","&lt;","&gt;")&amp;AU2497)+COUNTIFS($AT$2051:$AT$2550,1,$AU$2051:$AU$2550,AU2497,$W$2051:$W$2550,"&lt;"&amp;W2497))</f>
        <v/>
      </c>
    </row>
    <row r="2498" spans="1:48" ht="22" customHeight="1">
      <c r="A2498" s="1" t="str">
        <f t="shared" si="180"/>
        <v/>
      </c>
      <c r="B2498" s="1" t="str">
        <f t="shared" si="181"/>
        <v/>
      </c>
      <c r="C2498" s="1" t="str">
        <f t="shared" si="182"/>
        <v/>
      </c>
      <c r="D2498" s="1" t="str">
        <f t="shared" si="183"/>
        <v/>
      </c>
      <c r="E2498" s="1" t="str">
        <f t="shared" si="184"/>
        <v/>
      </c>
      <c r="F2498" s="1" t="str">
        <f t="shared" si="185"/>
        <v/>
      </c>
      <c r="G2498" s="1" t="str">
        <f t="shared" si="186"/>
        <v/>
      </c>
      <c r="H2498" s="1" t="str">
        <f t="shared" si="187"/>
        <v/>
      </c>
      <c r="I2498" s="1">
        <f>IF(OR(A2498="",COUNTIFS('Staff Review'!$A$8:$A$507,A2498)&lt;&gt;1),0,MATCH(A2498,'Staff Review'!$A$8:$A$507,0))</f>
        <v>0</v>
      </c>
      <c r="J2498" s="1" t="str">
        <f>IF(I2498=0,"No",IF(INDEX('Staff Review'!$C$8:$C$507,I2498)="Yes","Yes","No"))</f>
        <v>No</v>
      </c>
      <c r="K2498" s="1" t="str">
        <f>IF(AI2498="Yes",INDEX('Staff Review'!$D$8:$D$507,I2498),IF(AB2498=0,"",IF(COUNT(INDEX($C$1531:$C$2030,AB2498))=1,INDEX($C$1531:$C$2030,AB2498),"")))</f>
        <v/>
      </c>
      <c r="L2498" s="1" t="str">
        <f>IF(AJ2498="Yes",INDEX('Staff Review'!$F$8:$F$507,I2498),IF(AB2498=0,"",IF(COUNT(INDEX($G$1531:$G$2030,AB2498))=1,INDEX($G$1531:$G$2030,AB2498),"")))</f>
        <v/>
      </c>
      <c r="M2498" s="1" t="str">
        <f t="shared" si="188"/>
        <v/>
      </c>
      <c r="N2498" s="1" t="str">
        <f t="shared" si="189"/>
        <v/>
      </c>
      <c r="O2498" s="1" t="str">
        <f t="shared" si="190"/>
        <v/>
      </c>
      <c r="P2498" s="1" t="str">
        <f t="shared" si="191"/>
        <v/>
      </c>
      <c r="Q2498" s="1" t="str">
        <f t="shared" si="192"/>
        <v/>
      </c>
      <c r="R2498" s="1" t="str">
        <f t="shared" si="193"/>
        <v/>
      </c>
      <c r="S2498" s="1" t="str">
        <f t="shared" si="194"/>
        <v/>
      </c>
      <c r="T2498" s="1" t="str">
        <f>IF(OR(COUNT(O2498:R2498)&lt;&gt;4,COUNT('Top 25'!$B$45:$E$45)&lt;&gt;4,MIN('Top 25'!$B$45:$E$45)&lt;0,SUM('Top 25'!$B$45:$E$45)&lt;=0),"",ROUND(85*(O2498/30*'Top 25'!$B$45+P2498/25*'Top 25'!$C$45+Q2498/25*'Top 25'!$D$45+R2498/5*'Top 25'!$E$45)/SUM('Top 25'!$B$45:$E$45),6))</f>
        <v/>
      </c>
      <c r="U2498" s="1" t="str">
        <f t="shared" si="195"/>
        <v/>
      </c>
      <c r="V2498" s="1" t="str">
        <f>IF(A2498="","",IF(AK2498&lt;&gt;1,"Duplicate source ID",IF(COUNTIFS('Staff Review'!$A$8:$A$507,A2498)&gt;1,"Duplicate review ID",IF(H2498&lt;&gt;"Yes","Outside scope",IF(J2498="Yes","Already served",IF(NOT(ISNUMBER(T2498)),"Missing data","Candidate"))))))</f>
        <v/>
      </c>
      <c r="W2498" s="1" t="str">
        <f t="shared" si="196"/>
        <v/>
      </c>
      <c r="X2498" s="1" t="str">
        <f t="shared" si="197"/>
        <v/>
      </c>
      <c r="Y2498" s="1">
        <f>IF(AND(H2498="Yes",OR(LEN('School Search'!$B$5)=0,ISNUMBER(SEARCH('School Search'!$B$5,B2498&amp;" "&amp;E2498&amp;" "&amp;A2498))),OR('School Search'!$D$5="All",C2498='School Search'!$D$5),OR('School Search'!$G$5="All eligible",AND('School Search'!$G$5="Not marked served",J2498&lt;&gt;"Yes"),AND('School Search'!$G$5="Missing data",V2498="Missing data"),AND('School Search'!$G$5="Marked served",J2498="Yes"))),1,0)</f>
        <v>0</v>
      </c>
      <c r="Z2498" s="1" t="str">
        <f>IF(Y2498=0,"",COUNTIFS($Y$2051:$Y$2550,1,$AO$2051:$AO$2550,"&lt;"&amp;AO2498)+COUNTIFS($Y$2051:Y2498,1,$AO$2051:AO2498,AO2498))</f>
        <v/>
      </c>
      <c r="AA2498" s="1" t="str">
        <f t="shared" si="198"/>
        <v>Missing demographic or access input</v>
      </c>
      <c r="AB2498" s="1">
        <f t="shared" si="199"/>
        <v>0</v>
      </c>
      <c r="AC2498" s="1" t="str">
        <f t="shared" si="200"/>
        <v/>
      </c>
      <c r="AD2498" s="1" t="str">
        <f t="shared" si="201"/>
        <v/>
      </c>
      <c r="AE2498" s="1" t="str">
        <f t="shared" si="202"/>
        <v/>
      </c>
      <c r="AF2498" s="1" t="str">
        <f t="shared" si="203"/>
        <v/>
      </c>
      <c r="AG2498" s="1" t="str">
        <f t="shared" si="204"/>
        <v/>
      </c>
      <c r="AH2498" s="1" t="str">
        <f>IF(I2498=0,"Not contacted",IF(INDEX('Staff Review'!$J$8:$J$507,I2498)="","Not contacted",INDEX('Staff Review'!$J$8:$J$507,I2498)))</f>
        <v>Not contacted</v>
      </c>
      <c r="AI2498" s="1" t="str">
        <f>IF(I2498=0,"No",IF(AND(COUNT(INDEX('Staff Review'!$D$8:$D$507,I2498))=1,INDEX('Staff Review'!$D$8:$D$507,I2498)&gt;=0,COUNT(INDEX('Staff Review'!$E$8:$E$507,I2498))=1,INDEX('Staff Review'!$E$8:$E$507,I2498)&gt;0,INDEX('Staff Review'!$E$8:$E$507,I2498)&lt;='Top 25'!$E$5,'Top 25'!$E$5-INDEX('Staff Review'!$E$8:$E$507,I2498)&lt;='Top 25'!$H$5,LEN(INDEX('Staff Review'!$H$8:$H$507,I2498))&gt;0),"Yes","No"))</f>
        <v>No</v>
      </c>
      <c r="AJ2498" s="1" t="str">
        <f>IF(I2498=0,"No",IF(COUNT(INDEX('Staff Review'!$F$8:$F$507,I2498))&lt;&gt;1,"No",IF(AND(INDEX('Staff Review'!$F$8:$F$507,I2498)&gt;=0,MOD(INDEX('Staff Review'!$F$8:$F$507,I2498),1)=0,COUNT(INDEX('Staff Review'!$G$8:$G$507,I2498))=1,INDEX('Staff Review'!$G$8:$G$507,I2498)&gt;0,INDEX('Staff Review'!$G$8:$G$507,I2498)&lt;='Top 25'!$E$5,'Top 25'!$E$5-INDEX('Staff Review'!$G$8:$G$507,I2498)&lt;='Top 25'!$H$5,LEN(INDEX('Staff Review'!$H$8:$H$507,I2498))&gt;0),"Yes","No")))</f>
        <v>No</v>
      </c>
      <c r="AK2498" s="1">
        <f t="shared" si="205"/>
        <v>0</v>
      </c>
      <c r="AL2498" s="1">
        <f t="shared" si="206"/>
        <v>0</v>
      </c>
      <c r="AM2498" s="1">
        <f t="shared" si="207"/>
        <v>0</v>
      </c>
      <c r="AN2498" s="1">
        <f t="shared" si="208"/>
        <v>0</v>
      </c>
      <c r="AO2498">
        <f t="shared" si="209"/>
        <v>10000</v>
      </c>
      <c r="AP2498" s="105">
        <f>IF(AND(AL2498=1,OR('Top 25'!$A$10="All",C2498='Top 25'!$A$10),OR('Top 25'!$D$10="All",D2498='Top 25'!$D$10)),1,0)</f>
        <v>0</v>
      </c>
      <c r="AQ2498" s="105" t="str">
        <f>IF(AP2498=0,"",CHOOSE(MATCH('Top 25'!$G$10,{"Priority score","Economic need","Enrollment","Fresh miles","Nearby resources"},0),T2498,G2498,F2498,K2498,L2498))</f>
        <v/>
      </c>
      <c r="AR2498" s="105" t="str">
        <f>IF(AP2498=0,"",1+COUNTIFS($AP$2051:$AP$2550,1,$AQ$2051:$AQ$2550,IF('Top 25'!$J$10="Ascending","&lt;","&gt;")&amp;AQ2498)+COUNTIFS($AP$2051:$AP$2550,1,$AQ$2051:$AQ$2550,AQ2498,$W$2051:$W$2550,"&lt;"&amp;W2498))</f>
        <v/>
      </c>
      <c r="AT2498" s="105">
        <f>IF(AND(AL2498=1,OR(Master_rankableSchools!$A$10="All",C2498=Master_rankableSchools!$A$10),OR(Master_rankableSchools!$D$10="All",D2498=Master_rankableSchools!$D$10)),1,0)</f>
        <v>0</v>
      </c>
      <c r="AU2498" s="105" t="str">
        <f>IF(AT2498=0,"",CHOOSE(MATCH(Master_rankableSchools!$G$10,{"Priority score","Economic need","Enrollment","Fresh miles","Nearby resources"},0),T2498,G2498,F2498,K2498,L2498))</f>
        <v/>
      </c>
      <c r="AV2498" s="105" t="str">
        <f>IF(AT2498=0,"",1+COUNTIFS($AT$2051:$AT$2550,1,$AU$2051:$AU$2550,IF(Master_rankableSchools!$J$10="Ascending","&lt;","&gt;")&amp;AU2498)+COUNTIFS($AT$2051:$AT$2550,1,$AU$2051:$AU$2550,AU2498,$W$2051:$W$2550,"&lt;"&amp;W2498))</f>
        <v/>
      </c>
    </row>
    <row r="2499" spans="1:48" ht="22" customHeight="1">
      <c r="A2499" s="1" t="str">
        <f t="shared" ref="A2499:A2550" si="210">IF(A450="","",A450)</f>
        <v/>
      </c>
      <c r="B2499" s="1" t="str">
        <f t="shared" ref="B2499:B2550" si="211">IF(A2499="","",B450)</f>
        <v/>
      </c>
      <c r="C2499" s="1" t="str">
        <f t="shared" ref="C2499:C2550" si="212">IF(A2499="","",C450)</f>
        <v/>
      </c>
      <c r="D2499" s="1" t="str">
        <f t="shared" ref="D2499:D2550" si="213">IF(A2499="","",E450)</f>
        <v/>
      </c>
      <c r="E2499" s="1" t="str">
        <f t="shared" ref="E2499:E2550" si="214">IF(A2499="","",H450)</f>
        <v/>
      </c>
      <c r="F2499" s="1" t="str">
        <f t="shared" ref="F2499:F2550" si="215">IF(ISNUMBER(K450),K450,"")</f>
        <v/>
      </c>
      <c r="G2499" s="1" t="str">
        <f t="shared" ref="G2499:G2550" si="216">IF(ISNUMBER(L450),L450,"")</f>
        <v/>
      </c>
      <c r="H2499" s="1" t="str">
        <f t="shared" ref="H2499:H2550" si="217">IF(A2499="","",IF(AND(UPPER(G450)="PHILADELPHIA",OR(C2499="District",AND(C2499="Charter",D450="Yes"))),"Yes","No"))</f>
        <v/>
      </c>
      <c r="I2499" s="1">
        <f>IF(OR(A2499="",COUNTIFS('Staff Review'!$A$8:$A$507,A2499)&lt;&gt;1),0,MATCH(A2499,'Staff Review'!$A$8:$A$507,0))</f>
        <v>0</v>
      </c>
      <c r="J2499" s="1" t="str">
        <f>IF(I2499=0,"No",IF(INDEX('Staff Review'!$C$8:$C$507,I2499)="Yes","Yes","No"))</f>
        <v>No</v>
      </c>
      <c r="K2499" s="1" t="str">
        <f>IF(AI2499="Yes",INDEX('Staff Review'!$D$8:$D$507,I2499),IF(AB2499=0,"",IF(COUNT(INDEX($C$1531:$C$2030,AB2499))=1,INDEX($C$1531:$C$2030,AB2499),"")))</f>
        <v/>
      </c>
      <c r="L2499" s="1" t="str">
        <f>IF(AJ2499="Yes",INDEX('Staff Review'!$F$8:$F$507,I2499),IF(AB2499=0,"",IF(COUNT(INDEX($G$1531:$G$2030,AB2499))=1,INDEX($G$1531:$G$2030,AB2499),"")))</f>
        <v/>
      </c>
      <c r="M2499" s="1" t="str">
        <f t="shared" ref="M2499:M2550" si="218">IF(A2499="","",IF(AI2499="Yes","Verified","Listed"))</f>
        <v/>
      </c>
      <c r="N2499" s="1" t="str">
        <f t="shared" ref="N2499:N2550" si="219">IF(A2499="","",IF(AJ2499="Yes","Verified","Listed"))</f>
        <v/>
      </c>
      <c r="O2499" s="1" t="str">
        <f t="shared" ref="O2499:O2550" si="220">IF(AND(ISNUMBER(G2499),G2499&gt;=0,G2499&lt;=1),IF(G2499&gt;=0.9,30,IF(G2499&gt;=0.8,25,IF(G2499&gt;=0.7,20,IF(G2499&gt;=0.6,15,IF(G2499&gt;=0.5,10,IF(G2499&gt;=0.4,5,0)))))),"")</f>
        <v/>
      </c>
      <c r="P2499" s="1" t="str">
        <f t="shared" ref="P2499:P2550" si="221">IF(ISNUMBER(K2499),IF(K2499&lt;0,"",IF(K2499&gt;1,25,IF(K2499&gt;=0.75,20,IF(K2499&gt;=0.5,15,IF(K2499&gt;=0.25,10,5))))),"")</f>
        <v/>
      </c>
      <c r="Q2499" s="1" t="str">
        <f t="shared" ref="Q2499:Q2550" si="222">IF(NOT(ISNUMBER(L2499)),"",IF(AND(L2499&gt;=0,MOD(L2499,1)=0),MAX(0,25-5*L2499),""))</f>
        <v/>
      </c>
      <c r="R2499" s="1" t="str">
        <f t="shared" ref="R2499:R2550" si="223">IF(NOT(ISNUMBER(F2499)),"",IF(AND(F2499&gt;0,MOD(F2499,1)=0),IF(F2499&gt;=700,5,IF(F2499&gt;=500,4,IF(F2499&gt;=350,3,IF(F2499&gt;=200,2,1)))),""))</f>
        <v/>
      </c>
      <c r="S2499" s="1" t="str">
        <f t="shared" ref="S2499:S2550" si="224">IF(COUNT(O2499:R2499)=4,SUM(O2499:R2499),"")</f>
        <v/>
      </c>
      <c r="T2499" s="1" t="str">
        <f>IF(OR(COUNT(O2499:R2499)&lt;&gt;4,COUNT('Top 25'!$B$45:$E$45)&lt;&gt;4,MIN('Top 25'!$B$45:$E$45)&lt;0,SUM('Top 25'!$B$45:$E$45)&lt;=0),"",ROUND(85*(O2499/30*'Top 25'!$B$45+P2499/25*'Top 25'!$C$45+Q2499/25*'Top 25'!$D$45+R2499/5*'Top 25'!$E$45)/SUM('Top 25'!$B$45:$E$45),6))</f>
        <v/>
      </c>
      <c r="U2499" s="1" t="str">
        <f t="shared" ref="U2499:U2550" si="225">IF(A2499="","",IF(AND(M2499="Verified",N2499="Verified"),"Verified",IF(AND(M2499="Listed",N2499="Listed"),"Listed","Mixed")))</f>
        <v/>
      </c>
      <c r="V2499" s="1" t="str">
        <f>IF(A2499="","",IF(AK2499&lt;&gt;1,"Duplicate source ID",IF(COUNTIFS('Staff Review'!$A$8:$A$507,A2499)&gt;1,"Duplicate review ID",IF(H2499&lt;&gt;"Yes","Outside scope",IF(J2499="Yes","Already served",IF(NOT(ISNUMBER(T2499)),"Missing data","Candidate"))))))</f>
        <v/>
      </c>
      <c r="W2499" s="1" t="str">
        <f t="shared" ref="W2499:W2550" si="226">IF(AL2499=0,"",1+COUNTIFS($AL$2051:$AL$2550,1,$T$2051:$T$2550,"&gt;"&amp;T2499)+COUNTIFS($AL$2051:$AL$2550,1,$T$2051:$T$2550,T2499,$G$2051:$G$2550,"&gt;"&amp;G2499)+COUNTIFS($AL$2051:$AL$2550,1,$T$2051:$T$2550,T2499,$G$2051:$G$2550,G2499,$F$2051:$F$2550,"&gt;"&amp;F2499)+COUNTIFS($AL$2051:$AL$2550,1,$T$2051:$T$2550,T2499,$G$2051:$G$2550,G2499,$F$2051:$F$2550,F2499,$AM$2051:$AM$2550,"&lt;"&amp;AM2499))</f>
        <v/>
      </c>
      <c r="X2499" s="1" t="str">
        <f t="shared" ref="X2499:X2550" si="227">IF(AL2499=0,"",1+COUNTIFS($AL$2051:$AL$2550,1,$T$2051:$T$2550,"&gt;"&amp;T2499))</f>
        <v/>
      </c>
      <c r="Y2499" s="1">
        <f>IF(AND(H2499="Yes",OR(LEN('School Search'!$B$5)=0,ISNUMBER(SEARCH('School Search'!$B$5,B2499&amp;" "&amp;E2499&amp;" "&amp;A2499))),OR('School Search'!$D$5="All",C2499='School Search'!$D$5),OR('School Search'!$G$5="All eligible",AND('School Search'!$G$5="Not marked served",J2499&lt;&gt;"Yes"),AND('School Search'!$G$5="Missing data",V2499="Missing data"),AND('School Search'!$G$5="Marked served",J2499="Yes"))),1,0)</f>
        <v>0</v>
      </c>
      <c r="Z2499" s="1" t="str">
        <f>IF(Y2499=0,"",COUNTIFS($Y$2051:$Y$2550,1,$AO$2051:$AO$2550,"&lt;"&amp;AO2499)+COUNTIFS($Y$2051:Y2499,1,$AO$2051:AO2499,AO2499))</f>
        <v/>
      </c>
      <c r="AA2499" s="1" t="str">
        <f t="shared" ref="AA2499:AA2550" si="228">IF(NOT(ISNUMBER(S2499)),"Missing demographic or access input",TEXT(G2499,"0%")&amp;" economic need; "&amp;TEXT(K2499,"0.00")&amp;" mi fresh access; "&amp;L2499&amp;" nearby resources")</f>
        <v>Missing demographic or access input</v>
      </c>
      <c r="AB2499" s="1">
        <f t="shared" ref="AB2499:AB2550" si="229">IF(OR(A2499="",COUNTIFS($A$1531:$A$2030,A2499)&lt;&gt;1),0,MATCH(A2499,$A$1531:$A$2030,0))</f>
        <v>0</v>
      </c>
      <c r="AC2499" s="1" t="str">
        <f t="shared" ref="AC2499:AC2550" si="230">IF(AB2499=0,"",INDEX($E$1531:$E$2030,AB2499))</f>
        <v/>
      </c>
      <c r="AD2499" s="1" t="str">
        <f t="shared" ref="AD2499:AD2550" si="231">IF(AB2499=0,"",INDEX($F$1531:$F$2030,AB2499))</f>
        <v/>
      </c>
      <c r="AE2499" s="1" t="str">
        <f t="shared" ref="AE2499:AE2550" si="232">IF(A2499="","",F450)</f>
        <v/>
      </c>
      <c r="AF2499" s="1" t="str">
        <f t="shared" ref="AF2499:AF2550" si="233">IF(ISNUMBER(I450),I450,"")</f>
        <v/>
      </c>
      <c r="AG2499" s="1" t="str">
        <f t="shared" ref="AG2499:AG2550" si="234">IF(ISNUMBER(J450),J450,"")</f>
        <v/>
      </c>
      <c r="AH2499" s="1" t="str">
        <f>IF(I2499=0,"Not contacted",IF(INDEX('Staff Review'!$J$8:$J$507,I2499)="","Not contacted",INDEX('Staff Review'!$J$8:$J$507,I2499)))</f>
        <v>Not contacted</v>
      </c>
      <c r="AI2499" s="1" t="str">
        <f>IF(I2499=0,"No",IF(AND(COUNT(INDEX('Staff Review'!$D$8:$D$507,I2499))=1,INDEX('Staff Review'!$D$8:$D$507,I2499)&gt;=0,COUNT(INDEX('Staff Review'!$E$8:$E$507,I2499))=1,INDEX('Staff Review'!$E$8:$E$507,I2499)&gt;0,INDEX('Staff Review'!$E$8:$E$507,I2499)&lt;='Top 25'!$E$5,'Top 25'!$E$5-INDEX('Staff Review'!$E$8:$E$507,I2499)&lt;='Top 25'!$H$5,LEN(INDEX('Staff Review'!$H$8:$H$507,I2499))&gt;0),"Yes","No"))</f>
        <v>No</v>
      </c>
      <c r="AJ2499" s="1" t="str">
        <f>IF(I2499=0,"No",IF(COUNT(INDEX('Staff Review'!$F$8:$F$507,I2499))&lt;&gt;1,"No",IF(AND(INDEX('Staff Review'!$F$8:$F$507,I2499)&gt;=0,MOD(INDEX('Staff Review'!$F$8:$F$507,I2499),1)=0,COUNT(INDEX('Staff Review'!$G$8:$G$507,I2499))=1,INDEX('Staff Review'!$G$8:$G$507,I2499)&gt;0,INDEX('Staff Review'!$G$8:$G$507,I2499)&lt;='Top 25'!$E$5,'Top 25'!$E$5-INDEX('Staff Review'!$G$8:$G$507,I2499)&lt;='Top 25'!$H$5,LEN(INDEX('Staff Review'!$H$8:$H$507,I2499))&gt;0),"Yes","No")))</f>
        <v>No</v>
      </c>
      <c r="AK2499" s="1">
        <f t="shared" ref="AK2499:AK2550" si="235">IF(A2499="",0,COUNTIFS($A$2:$A$501,A2499))</f>
        <v>0</v>
      </c>
      <c r="AL2499" s="1">
        <f t="shared" ref="AL2499:AL2550" si="236">IF(V2499="Candidate",1,0)</f>
        <v>0</v>
      </c>
      <c r="AM2499" s="1">
        <f t="shared" ref="AM2499:AM2550" si="237">IF(A2499="",0,VALUE(A2499))</f>
        <v>0</v>
      </c>
      <c r="AN2499" s="1">
        <f t="shared" ref="AN2499:AN2550" si="238">IF(OR(A2499="",COUNTIFS($T$41:$T$540,A2499)&lt;&gt;1),0,MATCH(A2499,$T$41:$T$540,0))</f>
        <v>0</v>
      </c>
      <c r="AO2499">
        <f t="shared" ref="AO2499:AO2550" si="239">IF(ISNUMBER(W2499),W2499,10000+AM2499)</f>
        <v>10000</v>
      </c>
      <c r="AP2499" s="105">
        <f>IF(AND(AL2499=1,OR('Top 25'!$A$10="All",C2499='Top 25'!$A$10),OR('Top 25'!$D$10="All",D2499='Top 25'!$D$10)),1,0)</f>
        <v>0</v>
      </c>
      <c r="AQ2499" s="105" t="str">
        <f>IF(AP2499=0,"",CHOOSE(MATCH('Top 25'!$G$10,{"Priority score","Economic need","Enrollment","Fresh miles","Nearby resources"},0),T2499,G2499,F2499,K2499,L2499))</f>
        <v/>
      </c>
      <c r="AR2499" s="105" t="str">
        <f>IF(AP2499=0,"",1+COUNTIFS($AP$2051:$AP$2550,1,$AQ$2051:$AQ$2550,IF('Top 25'!$J$10="Ascending","&lt;","&gt;")&amp;AQ2499)+COUNTIFS($AP$2051:$AP$2550,1,$AQ$2051:$AQ$2550,AQ2499,$W$2051:$W$2550,"&lt;"&amp;W2499))</f>
        <v/>
      </c>
      <c r="AT2499" s="105">
        <f>IF(AND(AL2499=1,OR(Master_rankableSchools!$A$10="All",C2499=Master_rankableSchools!$A$10),OR(Master_rankableSchools!$D$10="All",D2499=Master_rankableSchools!$D$10)),1,0)</f>
        <v>0</v>
      </c>
      <c r="AU2499" s="105" t="str">
        <f>IF(AT2499=0,"",CHOOSE(MATCH(Master_rankableSchools!$G$10,{"Priority score","Economic need","Enrollment","Fresh miles","Nearby resources"},0),T2499,G2499,F2499,K2499,L2499))</f>
        <v/>
      </c>
      <c r="AV2499" s="105" t="str">
        <f>IF(AT2499=0,"",1+COUNTIFS($AT$2051:$AT$2550,1,$AU$2051:$AU$2550,IF(Master_rankableSchools!$J$10="Ascending","&lt;","&gt;")&amp;AU2499)+COUNTIFS($AT$2051:$AT$2550,1,$AU$2051:$AU$2550,AU2499,$W$2051:$W$2550,"&lt;"&amp;W2499))</f>
        <v/>
      </c>
    </row>
    <row r="2500" spans="1:48" ht="22" customHeight="1">
      <c r="A2500" s="1" t="str">
        <f t="shared" si="210"/>
        <v/>
      </c>
      <c r="B2500" s="1" t="str">
        <f t="shared" si="211"/>
        <v/>
      </c>
      <c r="C2500" s="1" t="str">
        <f t="shared" si="212"/>
        <v/>
      </c>
      <c r="D2500" s="1" t="str">
        <f t="shared" si="213"/>
        <v/>
      </c>
      <c r="E2500" s="1" t="str">
        <f t="shared" si="214"/>
        <v/>
      </c>
      <c r="F2500" s="1" t="str">
        <f t="shared" si="215"/>
        <v/>
      </c>
      <c r="G2500" s="1" t="str">
        <f t="shared" si="216"/>
        <v/>
      </c>
      <c r="H2500" s="1" t="str">
        <f t="shared" si="217"/>
        <v/>
      </c>
      <c r="I2500" s="1">
        <f>IF(OR(A2500="",COUNTIFS('Staff Review'!$A$8:$A$507,A2500)&lt;&gt;1),0,MATCH(A2500,'Staff Review'!$A$8:$A$507,0))</f>
        <v>0</v>
      </c>
      <c r="J2500" s="1" t="str">
        <f>IF(I2500=0,"No",IF(INDEX('Staff Review'!$C$8:$C$507,I2500)="Yes","Yes","No"))</f>
        <v>No</v>
      </c>
      <c r="K2500" s="1" t="str">
        <f>IF(AI2500="Yes",INDEX('Staff Review'!$D$8:$D$507,I2500),IF(AB2500=0,"",IF(COUNT(INDEX($C$1531:$C$2030,AB2500))=1,INDEX($C$1531:$C$2030,AB2500),"")))</f>
        <v/>
      </c>
      <c r="L2500" s="1" t="str">
        <f>IF(AJ2500="Yes",INDEX('Staff Review'!$F$8:$F$507,I2500),IF(AB2500=0,"",IF(COUNT(INDEX($G$1531:$G$2030,AB2500))=1,INDEX($G$1531:$G$2030,AB2500),"")))</f>
        <v/>
      </c>
      <c r="M2500" s="1" t="str">
        <f t="shared" si="218"/>
        <v/>
      </c>
      <c r="N2500" s="1" t="str">
        <f t="shared" si="219"/>
        <v/>
      </c>
      <c r="O2500" s="1" t="str">
        <f t="shared" si="220"/>
        <v/>
      </c>
      <c r="P2500" s="1" t="str">
        <f t="shared" si="221"/>
        <v/>
      </c>
      <c r="Q2500" s="1" t="str">
        <f t="shared" si="222"/>
        <v/>
      </c>
      <c r="R2500" s="1" t="str">
        <f t="shared" si="223"/>
        <v/>
      </c>
      <c r="S2500" s="1" t="str">
        <f t="shared" si="224"/>
        <v/>
      </c>
      <c r="T2500" s="1" t="str">
        <f>IF(OR(COUNT(O2500:R2500)&lt;&gt;4,COUNT('Top 25'!$B$45:$E$45)&lt;&gt;4,MIN('Top 25'!$B$45:$E$45)&lt;0,SUM('Top 25'!$B$45:$E$45)&lt;=0),"",ROUND(85*(O2500/30*'Top 25'!$B$45+P2500/25*'Top 25'!$C$45+Q2500/25*'Top 25'!$D$45+R2500/5*'Top 25'!$E$45)/SUM('Top 25'!$B$45:$E$45),6))</f>
        <v/>
      </c>
      <c r="U2500" s="1" t="str">
        <f t="shared" si="225"/>
        <v/>
      </c>
      <c r="V2500" s="1" t="str">
        <f>IF(A2500="","",IF(AK2500&lt;&gt;1,"Duplicate source ID",IF(COUNTIFS('Staff Review'!$A$8:$A$507,A2500)&gt;1,"Duplicate review ID",IF(H2500&lt;&gt;"Yes","Outside scope",IF(J2500="Yes","Already served",IF(NOT(ISNUMBER(T2500)),"Missing data","Candidate"))))))</f>
        <v/>
      </c>
      <c r="W2500" s="1" t="str">
        <f t="shared" si="226"/>
        <v/>
      </c>
      <c r="X2500" s="1" t="str">
        <f t="shared" si="227"/>
        <v/>
      </c>
      <c r="Y2500" s="1">
        <f>IF(AND(H2500="Yes",OR(LEN('School Search'!$B$5)=0,ISNUMBER(SEARCH('School Search'!$B$5,B2500&amp;" "&amp;E2500&amp;" "&amp;A2500))),OR('School Search'!$D$5="All",C2500='School Search'!$D$5),OR('School Search'!$G$5="All eligible",AND('School Search'!$G$5="Not marked served",J2500&lt;&gt;"Yes"),AND('School Search'!$G$5="Missing data",V2500="Missing data"),AND('School Search'!$G$5="Marked served",J2500="Yes"))),1,0)</f>
        <v>0</v>
      </c>
      <c r="Z2500" s="1" t="str">
        <f>IF(Y2500=0,"",COUNTIFS($Y$2051:$Y$2550,1,$AO$2051:$AO$2550,"&lt;"&amp;AO2500)+COUNTIFS($Y$2051:Y2500,1,$AO$2051:AO2500,AO2500))</f>
        <v/>
      </c>
      <c r="AA2500" s="1" t="str">
        <f t="shared" si="228"/>
        <v>Missing demographic or access input</v>
      </c>
      <c r="AB2500" s="1">
        <f t="shared" si="229"/>
        <v>0</v>
      </c>
      <c r="AC2500" s="1" t="str">
        <f t="shared" si="230"/>
        <v/>
      </c>
      <c r="AD2500" s="1" t="str">
        <f t="shared" si="231"/>
        <v/>
      </c>
      <c r="AE2500" s="1" t="str">
        <f t="shared" si="232"/>
        <v/>
      </c>
      <c r="AF2500" s="1" t="str">
        <f t="shared" si="233"/>
        <v/>
      </c>
      <c r="AG2500" s="1" t="str">
        <f t="shared" si="234"/>
        <v/>
      </c>
      <c r="AH2500" s="1" t="str">
        <f>IF(I2500=0,"Not contacted",IF(INDEX('Staff Review'!$J$8:$J$507,I2500)="","Not contacted",INDEX('Staff Review'!$J$8:$J$507,I2500)))</f>
        <v>Not contacted</v>
      </c>
      <c r="AI2500" s="1" t="str">
        <f>IF(I2500=0,"No",IF(AND(COUNT(INDEX('Staff Review'!$D$8:$D$507,I2500))=1,INDEX('Staff Review'!$D$8:$D$507,I2500)&gt;=0,COUNT(INDEX('Staff Review'!$E$8:$E$507,I2500))=1,INDEX('Staff Review'!$E$8:$E$507,I2500)&gt;0,INDEX('Staff Review'!$E$8:$E$507,I2500)&lt;='Top 25'!$E$5,'Top 25'!$E$5-INDEX('Staff Review'!$E$8:$E$507,I2500)&lt;='Top 25'!$H$5,LEN(INDEX('Staff Review'!$H$8:$H$507,I2500))&gt;0),"Yes","No"))</f>
        <v>No</v>
      </c>
      <c r="AJ2500" s="1" t="str">
        <f>IF(I2500=0,"No",IF(COUNT(INDEX('Staff Review'!$F$8:$F$507,I2500))&lt;&gt;1,"No",IF(AND(INDEX('Staff Review'!$F$8:$F$507,I2500)&gt;=0,MOD(INDEX('Staff Review'!$F$8:$F$507,I2500),1)=0,COUNT(INDEX('Staff Review'!$G$8:$G$507,I2500))=1,INDEX('Staff Review'!$G$8:$G$507,I2500)&gt;0,INDEX('Staff Review'!$G$8:$G$507,I2500)&lt;='Top 25'!$E$5,'Top 25'!$E$5-INDEX('Staff Review'!$G$8:$G$507,I2500)&lt;='Top 25'!$H$5,LEN(INDEX('Staff Review'!$H$8:$H$507,I2500))&gt;0),"Yes","No")))</f>
        <v>No</v>
      </c>
      <c r="AK2500" s="1">
        <f t="shared" si="235"/>
        <v>0</v>
      </c>
      <c r="AL2500" s="1">
        <f t="shared" si="236"/>
        <v>0</v>
      </c>
      <c r="AM2500" s="1">
        <f t="shared" si="237"/>
        <v>0</v>
      </c>
      <c r="AN2500" s="1">
        <f t="shared" si="238"/>
        <v>0</v>
      </c>
      <c r="AO2500">
        <f t="shared" si="239"/>
        <v>10000</v>
      </c>
      <c r="AP2500" s="105">
        <f>IF(AND(AL2500=1,OR('Top 25'!$A$10="All",C2500='Top 25'!$A$10),OR('Top 25'!$D$10="All",D2500='Top 25'!$D$10)),1,0)</f>
        <v>0</v>
      </c>
      <c r="AQ2500" s="105" t="str">
        <f>IF(AP2500=0,"",CHOOSE(MATCH('Top 25'!$G$10,{"Priority score","Economic need","Enrollment","Fresh miles","Nearby resources"},0),T2500,G2500,F2500,K2500,L2500))</f>
        <v/>
      </c>
      <c r="AR2500" s="105" t="str">
        <f>IF(AP2500=0,"",1+COUNTIFS($AP$2051:$AP$2550,1,$AQ$2051:$AQ$2550,IF('Top 25'!$J$10="Ascending","&lt;","&gt;")&amp;AQ2500)+COUNTIFS($AP$2051:$AP$2550,1,$AQ$2051:$AQ$2550,AQ2500,$W$2051:$W$2550,"&lt;"&amp;W2500))</f>
        <v/>
      </c>
      <c r="AT2500" s="105">
        <f>IF(AND(AL2500=1,OR(Master_rankableSchools!$A$10="All",C2500=Master_rankableSchools!$A$10),OR(Master_rankableSchools!$D$10="All",D2500=Master_rankableSchools!$D$10)),1,0)</f>
        <v>0</v>
      </c>
      <c r="AU2500" s="105" t="str">
        <f>IF(AT2500=0,"",CHOOSE(MATCH(Master_rankableSchools!$G$10,{"Priority score","Economic need","Enrollment","Fresh miles","Nearby resources"},0),T2500,G2500,F2500,K2500,L2500))</f>
        <v/>
      </c>
      <c r="AV2500" s="105" t="str">
        <f>IF(AT2500=0,"",1+COUNTIFS($AT$2051:$AT$2550,1,$AU$2051:$AU$2550,IF(Master_rankableSchools!$J$10="Ascending","&lt;","&gt;")&amp;AU2500)+COUNTIFS($AT$2051:$AT$2550,1,$AU$2051:$AU$2550,AU2500,$W$2051:$W$2550,"&lt;"&amp;W2500))</f>
        <v/>
      </c>
    </row>
    <row r="2501" spans="1:48" ht="22" customHeight="1">
      <c r="A2501" s="1" t="str">
        <f t="shared" si="210"/>
        <v/>
      </c>
      <c r="B2501" s="1" t="str">
        <f t="shared" si="211"/>
        <v/>
      </c>
      <c r="C2501" s="1" t="str">
        <f t="shared" si="212"/>
        <v/>
      </c>
      <c r="D2501" s="1" t="str">
        <f t="shared" si="213"/>
        <v/>
      </c>
      <c r="E2501" s="1" t="str">
        <f t="shared" si="214"/>
        <v/>
      </c>
      <c r="F2501" s="1" t="str">
        <f t="shared" si="215"/>
        <v/>
      </c>
      <c r="G2501" s="1" t="str">
        <f t="shared" si="216"/>
        <v/>
      </c>
      <c r="H2501" s="1" t="str">
        <f t="shared" si="217"/>
        <v/>
      </c>
      <c r="I2501" s="1">
        <f>IF(OR(A2501="",COUNTIFS('Staff Review'!$A$8:$A$507,A2501)&lt;&gt;1),0,MATCH(A2501,'Staff Review'!$A$8:$A$507,0))</f>
        <v>0</v>
      </c>
      <c r="J2501" s="1" t="str">
        <f>IF(I2501=0,"No",IF(INDEX('Staff Review'!$C$8:$C$507,I2501)="Yes","Yes","No"))</f>
        <v>No</v>
      </c>
      <c r="K2501" s="1" t="str">
        <f>IF(AI2501="Yes",INDEX('Staff Review'!$D$8:$D$507,I2501),IF(AB2501=0,"",IF(COUNT(INDEX($C$1531:$C$2030,AB2501))=1,INDEX($C$1531:$C$2030,AB2501),"")))</f>
        <v/>
      </c>
      <c r="L2501" s="1" t="str">
        <f>IF(AJ2501="Yes",INDEX('Staff Review'!$F$8:$F$507,I2501),IF(AB2501=0,"",IF(COUNT(INDEX($G$1531:$G$2030,AB2501))=1,INDEX($G$1531:$G$2030,AB2501),"")))</f>
        <v/>
      </c>
      <c r="M2501" s="1" t="str">
        <f t="shared" si="218"/>
        <v/>
      </c>
      <c r="N2501" s="1" t="str">
        <f t="shared" si="219"/>
        <v/>
      </c>
      <c r="O2501" s="1" t="str">
        <f t="shared" si="220"/>
        <v/>
      </c>
      <c r="P2501" s="1" t="str">
        <f t="shared" si="221"/>
        <v/>
      </c>
      <c r="Q2501" s="1" t="str">
        <f t="shared" si="222"/>
        <v/>
      </c>
      <c r="R2501" s="1" t="str">
        <f t="shared" si="223"/>
        <v/>
      </c>
      <c r="S2501" s="1" t="str">
        <f t="shared" si="224"/>
        <v/>
      </c>
      <c r="T2501" s="1" t="str">
        <f>IF(OR(COUNT(O2501:R2501)&lt;&gt;4,COUNT('Top 25'!$B$45:$E$45)&lt;&gt;4,MIN('Top 25'!$B$45:$E$45)&lt;0,SUM('Top 25'!$B$45:$E$45)&lt;=0),"",ROUND(85*(O2501/30*'Top 25'!$B$45+P2501/25*'Top 25'!$C$45+Q2501/25*'Top 25'!$D$45+R2501/5*'Top 25'!$E$45)/SUM('Top 25'!$B$45:$E$45),6))</f>
        <v/>
      </c>
      <c r="U2501" s="1" t="str">
        <f t="shared" si="225"/>
        <v/>
      </c>
      <c r="V2501" s="1" t="str">
        <f>IF(A2501="","",IF(AK2501&lt;&gt;1,"Duplicate source ID",IF(COUNTIFS('Staff Review'!$A$8:$A$507,A2501)&gt;1,"Duplicate review ID",IF(H2501&lt;&gt;"Yes","Outside scope",IF(J2501="Yes","Already served",IF(NOT(ISNUMBER(T2501)),"Missing data","Candidate"))))))</f>
        <v/>
      </c>
      <c r="W2501" s="1" t="str">
        <f t="shared" si="226"/>
        <v/>
      </c>
      <c r="X2501" s="1" t="str">
        <f t="shared" si="227"/>
        <v/>
      </c>
      <c r="Y2501" s="1">
        <f>IF(AND(H2501="Yes",OR(LEN('School Search'!$B$5)=0,ISNUMBER(SEARCH('School Search'!$B$5,B2501&amp;" "&amp;E2501&amp;" "&amp;A2501))),OR('School Search'!$D$5="All",C2501='School Search'!$D$5),OR('School Search'!$G$5="All eligible",AND('School Search'!$G$5="Not marked served",J2501&lt;&gt;"Yes"),AND('School Search'!$G$5="Missing data",V2501="Missing data"),AND('School Search'!$G$5="Marked served",J2501="Yes"))),1,0)</f>
        <v>0</v>
      </c>
      <c r="Z2501" s="1" t="str">
        <f>IF(Y2501=0,"",COUNTIFS($Y$2051:$Y$2550,1,$AO$2051:$AO$2550,"&lt;"&amp;AO2501)+COUNTIFS($Y$2051:Y2501,1,$AO$2051:AO2501,AO2501))</f>
        <v/>
      </c>
      <c r="AA2501" s="1" t="str">
        <f t="shared" si="228"/>
        <v>Missing demographic or access input</v>
      </c>
      <c r="AB2501" s="1">
        <f t="shared" si="229"/>
        <v>0</v>
      </c>
      <c r="AC2501" s="1" t="str">
        <f t="shared" si="230"/>
        <v/>
      </c>
      <c r="AD2501" s="1" t="str">
        <f t="shared" si="231"/>
        <v/>
      </c>
      <c r="AE2501" s="1" t="str">
        <f t="shared" si="232"/>
        <v/>
      </c>
      <c r="AF2501" s="1" t="str">
        <f t="shared" si="233"/>
        <v/>
      </c>
      <c r="AG2501" s="1" t="str">
        <f t="shared" si="234"/>
        <v/>
      </c>
      <c r="AH2501" s="1" t="str">
        <f>IF(I2501=0,"Not contacted",IF(INDEX('Staff Review'!$J$8:$J$507,I2501)="","Not contacted",INDEX('Staff Review'!$J$8:$J$507,I2501)))</f>
        <v>Not contacted</v>
      </c>
      <c r="AI2501" s="1" t="str">
        <f>IF(I2501=0,"No",IF(AND(COUNT(INDEX('Staff Review'!$D$8:$D$507,I2501))=1,INDEX('Staff Review'!$D$8:$D$507,I2501)&gt;=0,COUNT(INDEX('Staff Review'!$E$8:$E$507,I2501))=1,INDEX('Staff Review'!$E$8:$E$507,I2501)&gt;0,INDEX('Staff Review'!$E$8:$E$507,I2501)&lt;='Top 25'!$E$5,'Top 25'!$E$5-INDEX('Staff Review'!$E$8:$E$507,I2501)&lt;='Top 25'!$H$5,LEN(INDEX('Staff Review'!$H$8:$H$507,I2501))&gt;0),"Yes","No"))</f>
        <v>No</v>
      </c>
      <c r="AJ2501" s="1" t="str">
        <f>IF(I2501=0,"No",IF(COUNT(INDEX('Staff Review'!$F$8:$F$507,I2501))&lt;&gt;1,"No",IF(AND(INDEX('Staff Review'!$F$8:$F$507,I2501)&gt;=0,MOD(INDEX('Staff Review'!$F$8:$F$507,I2501),1)=0,COUNT(INDEX('Staff Review'!$G$8:$G$507,I2501))=1,INDEX('Staff Review'!$G$8:$G$507,I2501)&gt;0,INDEX('Staff Review'!$G$8:$G$507,I2501)&lt;='Top 25'!$E$5,'Top 25'!$E$5-INDEX('Staff Review'!$G$8:$G$507,I2501)&lt;='Top 25'!$H$5,LEN(INDEX('Staff Review'!$H$8:$H$507,I2501))&gt;0),"Yes","No")))</f>
        <v>No</v>
      </c>
      <c r="AK2501" s="1">
        <f t="shared" si="235"/>
        <v>0</v>
      </c>
      <c r="AL2501" s="1">
        <f t="shared" si="236"/>
        <v>0</v>
      </c>
      <c r="AM2501" s="1">
        <f t="shared" si="237"/>
        <v>0</v>
      </c>
      <c r="AN2501" s="1">
        <f t="shared" si="238"/>
        <v>0</v>
      </c>
      <c r="AO2501">
        <f t="shared" si="239"/>
        <v>10000</v>
      </c>
      <c r="AP2501" s="105">
        <f>IF(AND(AL2501=1,OR('Top 25'!$A$10="All",C2501='Top 25'!$A$10),OR('Top 25'!$D$10="All",D2501='Top 25'!$D$10)),1,0)</f>
        <v>0</v>
      </c>
      <c r="AQ2501" s="105" t="str">
        <f>IF(AP2501=0,"",CHOOSE(MATCH('Top 25'!$G$10,{"Priority score","Economic need","Enrollment","Fresh miles","Nearby resources"},0),T2501,G2501,F2501,K2501,L2501))</f>
        <v/>
      </c>
      <c r="AR2501" s="105" t="str">
        <f>IF(AP2501=0,"",1+COUNTIFS($AP$2051:$AP$2550,1,$AQ$2051:$AQ$2550,IF('Top 25'!$J$10="Ascending","&lt;","&gt;")&amp;AQ2501)+COUNTIFS($AP$2051:$AP$2550,1,$AQ$2051:$AQ$2550,AQ2501,$W$2051:$W$2550,"&lt;"&amp;W2501))</f>
        <v/>
      </c>
      <c r="AT2501" s="105">
        <f>IF(AND(AL2501=1,OR(Master_rankableSchools!$A$10="All",C2501=Master_rankableSchools!$A$10),OR(Master_rankableSchools!$D$10="All",D2501=Master_rankableSchools!$D$10)),1,0)</f>
        <v>0</v>
      </c>
      <c r="AU2501" s="105" t="str">
        <f>IF(AT2501=0,"",CHOOSE(MATCH(Master_rankableSchools!$G$10,{"Priority score","Economic need","Enrollment","Fresh miles","Nearby resources"},0),T2501,G2501,F2501,K2501,L2501))</f>
        <v/>
      </c>
      <c r="AV2501" s="105" t="str">
        <f>IF(AT2501=0,"",1+COUNTIFS($AT$2051:$AT$2550,1,$AU$2051:$AU$2550,IF(Master_rankableSchools!$J$10="Ascending","&lt;","&gt;")&amp;AU2501)+COUNTIFS($AT$2051:$AT$2550,1,$AU$2051:$AU$2550,AU2501,$W$2051:$W$2550,"&lt;"&amp;W2501))</f>
        <v/>
      </c>
    </row>
    <row r="2502" spans="1:48" ht="22" customHeight="1">
      <c r="A2502" s="1" t="str">
        <f t="shared" si="210"/>
        <v/>
      </c>
      <c r="B2502" s="1" t="str">
        <f t="shared" si="211"/>
        <v/>
      </c>
      <c r="C2502" s="1" t="str">
        <f t="shared" si="212"/>
        <v/>
      </c>
      <c r="D2502" s="1" t="str">
        <f t="shared" si="213"/>
        <v/>
      </c>
      <c r="E2502" s="1" t="str">
        <f t="shared" si="214"/>
        <v/>
      </c>
      <c r="F2502" s="1" t="str">
        <f t="shared" si="215"/>
        <v/>
      </c>
      <c r="G2502" s="1" t="str">
        <f t="shared" si="216"/>
        <v/>
      </c>
      <c r="H2502" s="1" t="str">
        <f t="shared" si="217"/>
        <v/>
      </c>
      <c r="I2502" s="1">
        <f>IF(OR(A2502="",COUNTIFS('Staff Review'!$A$8:$A$507,A2502)&lt;&gt;1),0,MATCH(A2502,'Staff Review'!$A$8:$A$507,0))</f>
        <v>0</v>
      </c>
      <c r="J2502" s="1" t="str">
        <f>IF(I2502=0,"No",IF(INDEX('Staff Review'!$C$8:$C$507,I2502)="Yes","Yes","No"))</f>
        <v>No</v>
      </c>
      <c r="K2502" s="1" t="str">
        <f>IF(AI2502="Yes",INDEX('Staff Review'!$D$8:$D$507,I2502),IF(AB2502=0,"",IF(COUNT(INDEX($C$1531:$C$2030,AB2502))=1,INDEX($C$1531:$C$2030,AB2502),"")))</f>
        <v/>
      </c>
      <c r="L2502" s="1" t="str">
        <f>IF(AJ2502="Yes",INDEX('Staff Review'!$F$8:$F$507,I2502),IF(AB2502=0,"",IF(COUNT(INDEX($G$1531:$G$2030,AB2502))=1,INDEX($G$1531:$G$2030,AB2502),"")))</f>
        <v/>
      </c>
      <c r="M2502" s="1" t="str">
        <f t="shared" si="218"/>
        <v/>
      </c>
      <c r="N2502" s="1" t="str">
        <f t="shared" si="219"/>
        <v/>
      </c>
      <c r="O2502" s="1" t="str">
        <f t="shared" si="220"/>
        <v/>
      </c>
      <c r="P2502" s="1" t="str">
        <f t="shared" si="221"/>
        <v/>
      </c>
      <c r="Q2502" s="1" t="str">
        <f t="shared" si="222"/>
        <v/>
      </c>
      <c r="R2502" s="1" t="str">
        <f t="shared" si="223"/>
        <v/>
      </c>
      <c r="S2502" s="1" t="str">
        <f t="shared" si="224"/>
        <v/>
      </c>
      <c r="T2502" s="1" t="str">
        <f>IF(OR(COUNT(O2502:R2502)&lt;&gt;4,COUNT('Top 25'!$B$45:$E$45)&lt;&gt;4,MIN('Top 25'!$B$45:$E$45)&lt;0,SUM('Top 25'!$B$45:$E$45)&lt;=0),"",ROUND(85*(O2502/30*'Top 25'!$B$45+P2502/25*'Top 25'!$C$45+Q2502/25*'Top 25'!$D$45+R2502/5*'Top 25'!$E$45)/SUM('Top 25'!$B$45:$E$45),6))</f>
        <v/>
      </c>
      <c r="U2502" s="1" t="str">
        <f t="shared" si="225"/>
        <v/>
      </c>
      <c r="V2502" s="1" t="str">
        <f>IF(A2502="","",IF(AK2502&lt;&gt;1,"Duplicate source ID",IF(COUNTIFS('Staff Review'!$A$8:$A$507,A2502)&gt;1,"Duplicate review ID",IF(H2502&lt;&gt;"Yes","Outside scope",IF(J2502="Yes","Already served",IF(NOT(ISNUMBER(T2502)),"Missing data","Candidate"))))))</f>
        <v/>
      </c>
      <c r="W2502" s="1" t="str">
        <f t="shared" si="226"/>
        <v/>
      </c>
      <c r="X2502" s="1" t="str">
        <f t="shared" si="227"/>
        <v/>
      </c>
      <c r="Y2502" s="1">
        <f>IF(AND(H2502="Yes",OR(LEN('School Search'!$B$5)=0,ISNUMBER(SEARCH('School Search'!$B$5,B2502&amp;" "&amp;E2502&amp;" "&amp;A2502))),OR('School Search'!$D$5="All",C2502='School Search'!$D$5),OR('School Search'!$G$5="All eligible",AND('School Search'!$G$5="Not marked served",J2502&lt;&gt;"Yes"),AND('School Search'!$G$5="Missing data",V2502="Missing data"),AND('School Search'!$G$5="Marked served",J2502="Yes"))),1,0)</f>
        <v>0</v>
      </c>
      <c r="Z2502" s="1" t="str">
        <f>IF(Y2502=0,"",COUNTIFS($Y$2051:$Y$2550,1,$AO$2051:$AO$2550,"&lt;"&amp;AO2502)+COUNTIFS($Y$2051:Y2502,1,$AO$2051:AO2502,AO2502))</f>
        <v/>
      </c>
      <c r="AA2502" s="1" t="str">
        <f t="shared" si="228"/>
        <v>Missing demographic or access input</v>
      </c>
      <c r="AB2502" s="1">
        <f t="shared" si="229"/>
        <v>0</v>
      </c>
      <c r="AC2502" s="1" t="str">
        <f t="shared" si="230"/>
        <v/>
      </c>
      <c r="AD2502" s="1" t="str">
        <f t="shared" si="231"/>
        <v/>
      </c>
      <c r="AE2502" s="1" t="str">
        <f t="shared" si="232"/>
        <v/>
      </c>
      <c r="AF2502" s="1" t="str">
        <f t="shared" si="233"/>
        <v/>
      </c>
      <c r="AG2502" s="1" t="str">
        <f t="shared" si="234"/>
        <v/>
      </c>
      <c r="AH2502" s="1" t="str">
        <f>IF(I2502=0,"Not contacted",IF(INDEX('Staff Review'!$J$8:$J$507,I2502)="","Not contacted",INDEX('Staff Review'!$J$8:$J$507,I2502)))</f>
        <v>Not contacted</v>
      </c>
      <c r="AI2502" s="1" t="str">
        <f>IF(I2502=0,"No",IF(AND(COUNT(INDEX('Staff Review'!$D$8:$D$507,I2502))=1,INDEX('Staff Review'!$D$8:$D$507,I2502)&gt;=0,COUNT(INDEX('Staff Review'!$E$8:$E$507,I2502))=1,INDEX('Staff Review'!$E$8:$E$507,I2502)&gt;0,INDEX('Staff Review'!$E$8:$E$507,I2502)&lt;='Top 25'!$E$5,'Top 25'!$E$5-INDEX('Staff Review'!$E$8:$E$507,I2502)&lt;='Top 25'!$H$5,LEN(INDEX('Staff Review'!$H$8:$H$507,I2502))&gt;0),"Yes","No"))</f>
        <v>No</v>
      </c>
      <c r="AJ2502" s="1" t="str">
        <f>IF(I2502=0,"No",IF(COUNT(INDEX('Staff Review'!$F$8:$F$507,I2502))&lt;&gt;1,"No",IF(AND(INDEX('Staff Review'!$F$8:$F$507,I2502)&gt;=0,MOD(INDEX('Staff Review'!$F$8:$F$507,I2502),1)=0,COUNT(INDEX('Staff Review'!$G$8:$G$507,I2502))=1,INDEX('Staff Review'!$G$8:$G$507,I2502)&gt;0,INDEX('Staff Review'!$G$8:$G$507,I2502)&lt;='Top 25'!$E$5,'Top 25'!$E$5-INDEX('Staff Review'!$G$8:$G$507,I2502)&lt;='Top 25'!$H$5,LEN(INDEX('Staff Review'!$H$8:$H$507,I2502))&gt;0),"Yes","No")))</f>
        <v>No</v>
      </c>
      <c r="AK2502" s="1">
        <f t="shared" si="235"/>
        <v>0</v>
      </c>
      <c r="AL2502" s="1">
        <f t="shared" si="236"/>
        <v>0</v>
      </c>
      <c r="AM2502" s="1">
        <f t="shared" si="237"/>
        <v>0</v>
      </c>
      <c r="AN2502" s="1">
        <f t="shared" si="238"/>
        <v>0</v>
      </c>
      <c r="AO2502">
        <f t="shared" si="239"/>
        <v>10000</v>
      </c>
      <c r="AP2502" s="105">
        <f>IF(AND(AL2502=1,OR('Top 25'!$A$10="All",C2502='Top 25'!$A$10),OR('Top 25'!$D$10="All",D2502='Top 25'!$D$10)),1,0)</f>
        <v>0</v>
      </c>
      <c r="AQ2502" s="105" t="str">
        <f>IF(AP2502=0,"",CHOOSE(MATCH('Top 25'!$G$10,{"Priority score","Economic need","Enrollment","Fresh miles","Nearby resources"},0),T2502,G2502,F2502,K2502,L2502))</f>
        <v/>
      </c>
      <c r="AR2502" s="105" t="str">
        <f>IF(AP2502=0,"",1+COUNTIFS($AP$2051:$AP$2550,1,$AQ$2051:$AQ$2550,IF('Top 25'!$J$10="Ascending","&lt;","&gt;")&amp;AQ2502)+COUNTIFS($AP$2051:$AP$2550,1,$AQ$2051:$AQ$2550,AQ2502,$W$2051:$W$2550,"&lt;"&amp;W2502))</f>
        <v/>
      </c>
      <c r="AT2502" s="105">
        <f>IF(AND(AL2502=1,OR(Master_rankableSchools!$A$10="All",C2502=Master_rankableSchools!$A$10),OR(Master_rankableSchools!$D$10="All",D2502=Master_rankableSchools!$D$10)),1,0)</f>
        <v>0</v>
      </c>
      <c r="AU2502" s="105" t="str">
        <f>IF(AT2502=0,"",CHOOSE(MATCH(Master_rankableSchools!$G$10,{"Priority score","Economic need","Enrollment","Fresh miles","Nearby resources"},0),T2502,G2502,F2502,K2502,L2502))</f>
        <v/>
      </c>
      <c r="AV2502" s="105" t="str">
        <f>IF(AT2502=0,"",1+COUNTIFS($AT$2051:$AT$2550,1,$AU$2051:$AU$2550,IF(Master_rankableSchools!$J$10="Ascending","&lt;","&gt;")&amp;AU2502)+COUNTIFS($AT$2051:$AT$2550,1,$AU$2051:$AU$2550,AU2502,$W$2051:$W$2550,"&lt;"&amp;W2502))</f>
        <v/>
      </c>
    </row>
    <row r="2503" spans="1:48" ht="22" customHeight="1">
      <c r="A2503" s="1" t="str">
        <f t="shared" si="210"/>
        <v/>
      </c>
      <c r="B2503" s="1" t="str">
        <f t="shared" si="211"/>
        <v/>
      </c>
      <c r="C2503" s="1" t="str">
        <f t="shared" si="212"/>
        <v/>
      </c>
      <c r="D2503" s="1" t="str">
        <f t="shared" si="213"/>
        <v/>
      </c>
      <c r="E2503" s="1" t="str">
        <f t="shared" si="214"/>
        <v/>
      </c>
      <c r="F2503" s="1" t="str">
        <f t="shared" si="215"/>
        <v/>
      </c>
      <c r="G2503" s="1" t="str">
        <f t="shared" si="216"/>
        <v/>
      </c>
      <c r="H2503" s="1" t="str">
        <f t="shared" si="217"/>
        <v/>
      </c>
      <c r="I2503" s="1">
        <f>IF(OR(A2503="",COUNTIFS('Staff Review'!$A$8:$A$507,A2503)&lt;&gt;1),0,MATCH(A2503,'Staff Review'!$A$8:$A$507,0))</f>
        <v>0</v>
      </c>
      <c r="J2503" s="1" t="str">
        <f>IF(I2503=0,"No",IF(INDEX('Staff Review'!$C$8:$C$507,I2503)="Yes","Yes","No"))</f>
        <v>No</v>
      </c>
      <c r="K2503" s="1" t="str">
        <f>IF(AI2503="Yes",INDEX('Staff Review'!$D$8:$D$507,I2503),IF(AB2503=0,"",IF(COUNT(INDEX($C$1531:$C$2030,AB2503))=1,INDEX($C$1531:$C$2030,AB2503),"")))</f>
        <v/>
      </c>
      <c r="L2503" s="1" t="str">
        <f>IF(AJ2503="Yes",INDEX('Staff Review'!$F$8:$F$507,I2503),IF(AB2503=0,"",IF(COUNT(INDEX($G$1531:$G$2030,AB2503))=1,INDEX($G$1531:$G$2030,AB2503),"")))</f>
        <v/>
      </c>
      <c r="M2503" s="1" t="str">
        <f t="shared" si="218"/>
        <v/>
      </c>
      <c r="N2503" s="1" t="str">
        <f t="shared" si="219"/>
        <v/>
      </c>
      <c r="O2503" s="1" t="str">
        <f t="shared" si="220"/>
        <v/>
      </c>
      <c r="P2503" s="1" t="str">
        <f t="shared" si="221"/>
        <v/>
      </c>
      <c r="Q2503" s="1" t="str">
        <f t="shared" si="222"/>
        <v/>
      </c>
      <c r="R2503" s="1" t="str">
        <f t="shared" si="223"/>
        <v/>
      </c>
      <c r="S2503" s="1" t="str">
        <f t="shared" si="224"/>
        <v/>
      </c>
      <c r="T2503" s="1" t="str">
        <f>IF(OR(COUNT(O2503:R2503)&lt;&gt;4,COUNT('Top 25'!$B$45:$E$45)&lt;&gt;4,MIN('Top 25'!$B$45:$E$45)&lt;0,SUM('Top 25'!$B$45:$E$45)&lt;=0),"",ROUND(85*(O2503/30*'Top 25'!$B$45+P2503/25*'Top 25'!$C$45+Q2503/25*'Top 25'!$D$45+R2503/5*'Top 25'!$E$45)/SUM('Top 25'!$B$45:$E$45),6))</f>
        <v/>
      </c>
      <c r="U2503" s="1" t="str">
        <f t="shared" si="225"/>
        <v/>
      </c>
      <c r="V2503" s="1" t="str">
        <f>IF(A2503="","",IF(AK2503&lt;&gt;1,"Duplicate source ID",IF(COUNTIFS('Staff Review'!$A$8:$A$507,A2503)&gt;1,"Duplicate review ID",IF(H2503&lt;&gt;"Yes","Outside scope",IF(J2503="Yes","Already served",IF(NOT(ISNUMBER(T2503)),"Missing data","Candidate"))))))</f>
        <v/>
      </c>
      <c r="W2503" s="1" t="str">
        <f t="shared" si="226"/>
        <v/>
      </c>
      <c r="X2503" s="1" t="str">
        <f t="shared" si="227"/>
        <v/>
      </c>
      <c r="Y2503" s="1">
        <f>IF(AND(H2503="Yes",OR(LEN('School Search'!$B$5)=0,ISNUMBER(SEARCH('School Search'!$B$5,B2503&amp;" "&amp;E2503&amp;" "&amp;A2503))),OR('School Search'!$D$5="All",C2503='School Search'!$D$5),OR('School Search'!$G$5="All eligible",AND('School Search'!$G$5="Not marked served",J2503&lt;&gt;"Yes"),AND('School Search'!$G$5="Missing data",V2503="Missing data"),AND('School Search'!$G$5="Marked served",J2503="Yes"))),1,0)</f>
        <v>0</v>
      </c>
      <c r="Z2503" s="1" t="str">
        <f>IF(Y2503=0,"",COUNTIFS($Y$2051:$Y$2550,1,$AO$2051:$AO$2550,"&lt;"&amp;AO2503)+COUNTIFS($Y$2051:Y2503,1,$AO$2051:AO2503,AO2503))</f>
        <v/>
      </c>
      <c r="AA2503" s="1" t="str">
        <f t="shared" si="228"/>
        <v>Missing demographic or access input</v>
      </c>
      <c r="AB2503" s="1">
        <f t="shared" si="229"/>
        <v>0</v>
      </c>
      <c r="AC2503" s="1" t="str">
        <f t="shared" si="230"/>
        <v/>
      </c>
      <c r="AD2503" s="1" t="str">
        <f t="shared" si="231"/>
        <v/>
      </c>
      <c r="AE2503" s="1" t="str">
        <f t="shared" si="232"/>
        <v/>
      </c>
      <c r="AF2503" s="1" t="str">
        <f t="shared" si="233"/>
        <v/>
      </c>
      <c r="AG2503" s="1" t="str">
        <f t="shared" si="234"/>
        <v/>
      </c>
      <c r="AH2503" s="1" t="str">
        <f>IF(I2503=0,"Not contacted",IF(INDEX('Staff Review'!$J$8:$J$507,I2503)="","Not contacted",INDEX('Staff Review'!$J$8:$J$507,I2503)))</f>
        <v>Not contacted</v>
      </c>
      <c r="AI2503" s="1" t="str">
        <f>IF(I2503=0,"No",IF(AND(COUNT(INDEX('Staff Review'!$D$8:$D$507,I2503))=1,INDEX('Staff Review'!$D$8:$D$507,I2503)&gt;=0,COUNT(INDEX('Staff Review'!$E$8:$E$507,I2503))=1,INDEX('Staff Review'!$E$8:$E$507,I2503)&gt;0,INDEX('Staff Review'!$E$8:$E$507,I2503)&lt;='Top 25'!$E$5,'Top 25'!$E$5-INDEX('Staff Review'!$E$8:$E$507,I2503)&lt;='Top 25'!$H$5,LEN(INDEX('Staff Review'!$H$8:$H$507,I2503))&gt;0),"Yes","No"))</f>
        <v>No</v>
      </c>
      <c r="AJ2503" s="1" t="str">
        <f>IF(I2503=0,"No",IF(COUNT(INDEX('Staff Review'!$F$8:$F$507,I2503))&lt;&gt;1,"No",IF(AND(INDEX('Staff Review'!$F$8:$F$507,I2503)&gt;=0,MOD(INDEX('Staff Review'!$F$8:$F$507,I2503),1)=0,COUNT(INDEX('Staff Review'!$G$8:$G$507,I2503))=1,INDEX('Staff Review'!$G$8:$G$507,I2503)&gt;0,INDEX('Staff Review'!$G$8:$G$507,I2503)&lt;='Top 25'!$E$5,'Top 25'!$E$5-INDEX('Staff Review'!$G$8:$G$507,I2503)&lt;='Top 25'!$H$5,LEN(INDEX('Staff Review'!$H$8:$H$507,I2503))&gt;0),"Yes","No")))</f>
        <v>No</v>
      </c>
      <c r="AK2503" s="1">
        <f t="shared" si="235"/>
        <v>0</v>
      </c>
      <c r="AL2503" s="1">
        <f t="shared" si="236"/>
        <v>0</v>
      </c>
      <c r="AM2503" s="1">
        <f t="shared" si="237"/>
        <v>0</v>
      </c>
      <c r="AN2503" s="1">
        <f t="shared" si="238"/>
        <v>0</v>
      </c>
      <c r="AO2503">
        <f t="shared" si="239"/>
        <v>10000</v>
      </c>
      <c r="AP2503" s="105">
        <f>IF(AND(AL2503=1,OR('Top 25'!$A$10="All",C2503='Top 25'!$A$10),OR('Top 25'!$D$10="All",D2503='Top 25'!$D$10)),1,0)</f>
        <v>0</v>
      </c>
      <c r="AQ2503" s="105" t="str">
        <f>IF(AP2503=0,"",CHOOSE(MATCH('Top 25'!$G$10,{"Priority score","Economic need","Enrollment","Fresh miles","Nearby resources"},0),T2503,G2503,F2503,K2503,L2503))</f>
        <v/>
      </c>
      <c r="AR2503" s="105" t="str">
        <f>IF(AP2503=0,"",1+COUNTIFS($AP$2051:$AP$2550,1,$AQ$2051:$AQ$2550,IF('Top 25'!$J$10="Ascending","&lt;","&gt;")&amp;AQ2503)+COUNTIFS($AP$2051:$AP$2550,1,$AQ$2051:$AQ$2550,AQ2503,$W$2051:$W$2550,"&lt;"&amp;W2503))</f>
        <v/>
      </c>
      <c r="AT2503" s="105">
        <f>IF(AND(AL2503=1,OR(Master_rankableSchools!$A$10="All",C2503=Master_rankableSchools!$A$10),OR(Master_rankableSchools!$D$10="All",D2503=Master_rankableSchools!$D$10)),1,0)</f>
        <v>0</v>
      </c>
      <c r="AU2503" s="105" t="str">
        <f>IF(AT2503=0,"",CHOOSE(MATCH(Master_rankableSchools!$G$10,{"Priority score","Economic need","Enrollment","Fresh miles","Nearby resources"},0),T2503,G2503,F2503,K2503,L2503))</f>
        <v/>
      </c>
      <c r="AV2503" s="105" t="str">
        <f>IF(AT2503=0,"",1+COUNTIFS($AT$2051:$AT$2550,1,$AU$2051:$AU$2550,IF(Master_rankableSchools!$J$10="Ascending","&lt;","&gt;")&amp;AU2503)+COUNTIFS($AT$2051:$AT$2550,1,$AU$2051:$AU$2550,AU2503,$W$2051:$W$2550,"&lt;"&amp;W2503))</f>
        <v/>
      </c>
    </row>
    <row r="2504" spans="1:48" ht="22" customHeight="1">
      <c r="A2504" s="1" t="str">
        <f t="shared" si="210"/>
        <v/>
      </c>
      <c r="B2504" s="1" t="str">
        <f t="shared" si="211"/>
        <v/>
      </c>
      <c r="C2504" s="1" t="str">
        <f t="shared" si="212"/>
        <v/>
      </c>
      <c r="D2504" s="1" t="str">
        <f t="shared" si="213"/>
        <v/>
      </c>
      <c r="E2504" s="1" t="str">
        <f t="shared" si="214"/>
        <v/>
      </c>
      <c r="F2504" s="1" t="str">
        <f t="shared" si="215"/>
        <v/>
      </c>
      <c r="G2504" s="1" t="str">
        <f t="shared" si="216"/>
        <v/>
      </c>
      <c r="H2504" s="1" t="str">
        <f t="shared" si="217"/>
        <v/>
      </c>
      <c r="I2504" s="1">
        <f>IF(OR(A2504="",COUNTIFS('Staff Review'!$A$8:$A$507,A2504)&lt;&gt;1),0,MATCH(A2504,'Staff Review'!$A$8:$A$507,0))</f>
        <v>0</v>
      </c>
      <c r="J2504" s="1" t="str">
        <f>IF(I2504=0,"No",IF(INDEX('Staff Review'!$C$8:$C$507,I2504)="Yes","Yes","No"))</f>
        <v>No</v>
      </c>
      <c r="K2504" s="1" t="str">
        <f>IF(AI2504="Yes",INDEX('Staff Review'!$D$8:$D$507,I2504),IF(AB2504=0,"",IF(COUNT(INDEX($C$1531:$C$2030,AB2504))=1,INDEX($C$1531:$C$2030,AB2504),"")))</f>
        <v/>
      </c>
      <c r="L2504" s="1" t="str">
        <f>IF(AJ2504="Yes",INDEX('Staff Review'!$F$8:$F$507,I2504),IF(AB2504=0,"",IF(COUNT(INDEX($G$1531:$G$2030,AB2504))=1,INDEX($G$1531:$G$2030,AB2504),"")))</f>
        <v/>
      </c>
      <c r="M2504" s="1" t="str">
        <f t="shared" si="218"/>
        <v/>
      </c>
      <c r="N2504" s="1" t="str">
        <f t="shared" si="219"/>
        <v/>
      </c>
      <c r="O2504" s="1" t="str">
        <f t="shared" si="220"/>
        <v/>
      </c>
      <c r="P2504" s="1" t="str">
        <f t="shared" si="221"/>
        <v/>
      </c>
      <c r="Q2504" s="1" t="str">
        <f t="shared" si="222"/>
        <v/>
      </c>
      <c r="R2504" s="1" t="str">
        <f t="shared" si="223"/>
        <v/>
      </c>
      <c r="S2504" s="1" t="str">
        <f t="shared" si="224"/>
        <v/>
      </c>
      <c r="T2504" s="1" t="str">
        <f>IF(OR(COUNT(O2504:R2504)&lt;&gt;4,COUNT('Top 25'!$B$45:$E$45)&lt;&gt;4,MIN('Top 25'!$B$45:$E$45)&lt;0,SUM('Top 25'!$B$45:$E$45)&lt;=0),"",ROUND(85*(O2504/30*'Top 25'!$B$45+P2504/25*'Top 25'!$C$45+Q2504/25*'Top 25'!$D$45+R2504/5*'Top 25'!$E$45)/SUM('Top 25'!$B$45:$E$45),6))</f>
        <v/>
      </c>
      <c r="U2504" s="1" t="str">
        <f t="shared" si="225"/>
        <v/>
      </c>
      <c r="V2504" s="1" t="str">
        <f>IF(A2504="","",IF(AK2504&lt;&gt;1,"Duplicate source ID",IF(COUNTIFS('Staff Review'!$A$8:$A$507,A2504)&gt;1,"Duplicate review ID",IF(H2504&lt;&gt;"Yes","Outside scope",IF(J2504="Yes","Already served",IF(NOT(ISNUMBER(T2504)),"Missing data","Candidate"))))))</f>
        <v/>
      </c>
      <c r="W2504" s="1" t="str">
        <f t="shared" si="226"/>
        <v/>
      </c>
      <c r="X2504" s="1" t="str">
        <f t="shared" si="227"/>
        <v/>
      </c>
      <c r="Y2504" s="1">
        <f>IF(AND(H2504="Yes",OR(LEN('School Search'!$B$5)=0,ISNUMBER(SEARCH('School Search'!$B$5,B2504&amp;" "&amp;E2504&amp;" "&amp;A2504))),OR('School Search'!$D$5="All",C2504='School Search'!$D$5),OR('School Search'!$G$5="All eligible",AND('School Search'!$G$5="Not marked served",J2504&lt;&gt;"Yes"),AND('School Search'!$G$5="Missing data",V2504="Missing data"),AND('School Search'!$G$5="Marked served",J2504="Yes"))),1,0)</f>
        <v>0</v>
      </c>
      <c r="Z2504" s="1" t="str">
        <f>IF(Y2504=0,"",COUNTIFS($Y$2051:$Y$2550,1,$AO$2051:$AO$2550,"&lt;"&amp;AO2504)+COUNTIFS($Y$2051:Y2504,1,$AO$2051:AO2504,AO2504))</f>
        <v/>
      </c>
      <c r="AA2504" s="1" t="str">
        <f t="shared" si="228"/>
        <v>Missing demographic or access input</v>
      </c>
      <c r="AB2504" s="1">
        <f t="shared" si="229"/>
        <v>0</v>
      </c>
      <c r="AC2504" s="1" t="str">
        <f t="shared" si="230"/>
        <v/>
      </c>
      <c r="AD2504" s="1" t="str">
        <f t="shared" si="231"/>
        <v/>
      </c>
      <c r="AE2504" s="1" t="str">
        <f t="shared" si="232"/>
        <v/>
      </c>
      <c r="AF2504" s="1" t="str">
        <f t="shared" si="233"/>
        <v/>
      </c>
      <c r="AG2504" s="1" t="str">
        <f t="shared" si="234"/>
        <v/>
      </c>
      <c r="AH2504" s="1" t="str">
        <f>IF(I2504=0,"Not contacted",IF(INDEX('Staff Review'!$J$8:$J$507,I2504)="","Not contacted",INDEX('Staff Review'!$J$8:$J$507,I2504)))</f>
        <v>Not contacted</v>
      </c>
      <c r="AI2504" s="1" t="str">
        <f>IF(I2504=0,"No",IF(AND(COUNT(INDEX('Staff Review'!$D$8:$D$507,I2504))=1,INDEX('Staff Review'!$D$8:$D$507,I2504)&gt;=0,COUNT(INDEX('Staff Review'!$E$8:$E$507,I2504))=1,INDEX('Staff Review'!$E$8:$E$507,I2504)&gt;0,INDEX('Staff Review'!$E$8:$E$507,I2504)&lt;='Top 25'!$E$5,'Top 25'!$E$5-INDEX('Staff Review'!$E$8:$E$507,I2504)&lt;='Top 25'!$H$5,LEN(INDEX('Staff Review'!$H$8:$H$507,I2504))&gt;0),"Yes","No"))</f>
        <v>No</v>
      </c>
      <c r="AJ2504" s="1" t="str">
        <f>IF(I2504=0,"No",IF(COUNT(INDEX('Staff Review'!$F$8:$F$507,I2504))&lt;&gt;1,"No",IF(AND(INDEX('Staff Review'!$F$8:$F$507,I2504)&gt;=0,MOD(INDEX('Staff Review'!$F$8:$F$507,I2504),1)=0,COUNT(INDEX('Staff Review'!$G$8:$G$507,I2504))=1,INDEX('Staff Review'!$G$8:$G$507,I2504)&gt;0,INDEX('Staff Review'!$G$8:$G$507,I2504)&lt;='Top 25'!$E$5,'Top 25'!$E$5-INDEX('Staff Review'!$G$8:$G$507,I2504)&lt;='Top 25'!$H$5,LEN(INDEX('Staff Review'!$H$8:$H$507,I2504))&gt;0),"Yes","No")))</f>
        <v>No</v>
      </c>
      <c r="AK2504" s="1">
        <f t="shared" si="235"/>
        <v>0</v>
      </c>
      <c r="AL2504" s="1">
        <f t="shared" si="236"/>
        <v>0</v>
      </c>
      <c r="AM2504" s="1">
        <f t="shared" si="237"/>
        <v>0</v>
      </c>
      <c r="AN2504" s="1">
        <f t="shared" si="238"/>
        <v>0</v>
      </c>
      <c r="AO2504">
        <f t="shared" si="239"/>
        <v>10000</v>
      </c>
      <c r="AP2504" s="105">
        <f>IF(AND(AL2504=1,OR('Top 25'!$A$10="All",C2504='Top 25'!$A$10),OR('Top 25'!$D$10="All",D2504='Top 25'!$D$10)),1,0)</f>
        <v>0</v>
      </c>
      <c r="AQ2504" s="105" t="str">
        <f>IF(AP2504=0,"",CHOOSE(MATCH('Top 25'!$G$10,{"Priority score","Economic need","Enrollment","Fresh miles","Nearby resources"},0),T2504,G2504,F2504,K2504,L2504))</f>
        <v/>
      </c>
      <c r="AR2504" s="105" t="str">
        <f>IF(AP2504=0,"",1+COUNTIFS($AP$2051:$AP$2550,1,$AQ$2051:$AQ$2550,IF('Top 25'!$J$10="Ascending","&lt;","&gt;")&amp;AQ2504)+COUNTIFS($AP$2051:$AP$2550,1,$AQ$2051:$AQ$2550,AQ2504,$W$2051:$W$2550,"&lt;"&amp;W2504))</f>
        <v/>
      </c>
      <c r="AT2504" s="105">
        <f>IF(AND(AL2504=1,OR(Master_rankableSchools!$A$10="All",C2504=Master_rankableSchools!$A$10),OR(Master_rankableSchools!$D$10="All",D2504=Master_rankableSchools!$D$10)),1,0)</f>
        <v>0</v>
      </c>
      <c r="AU2504" s="105" t="str">
        <f>IF(AT2504=0,"",CHOOSE(MATCH(Master_rankableSchools!$G$10,{"Priority score","Economic need","Enrollment","Fresh miles","Nearby resources"},0),T2504,G2504,F2504,K2504,L2504))</f>
        <v/>
      </c>
      <c r="AV2504" s="105" t="str">
        <f>IF(AT2504=0,"",1+COUNTIFS($AT$2051:$AT$2550,1,$AU$2051:$AU$2550,IF(Master_rankableSchools!$J$10="Ascending","&lt;","&gt;")&amp;AU2504)+COUNTIFS($AT$2051:$AT$2550,1,$AU$2051:$AU$2550,AU2504,$W$2051:$W$2550,"&lt;"&amp;W2504))</f>
        <v/>
      </c>
    </row>
    <row r="2505" spans="1:48" ht="22" customHeight="1">
      <c r="A2505" s="1" t="str">
        <f t="shared" si="210"/>
        <v/>
      </c>
      <c r="B2505" s="1" t="str">
        <f t="shared" si="211"/>
        <v/>
      </c>
      <c r="C2505" s="1" t="str">
        <f t="shared" si="212"/>
        <v/>
      </c>
      <c r="D2505" s="1" t="str">
        <f t="shared" si="213"/>
        <v/>
      </c>
      <c r="E2505" s="1" t="str">
        <f t="shared" si="214"/>
        <v/>
      </c>
      <c r="F2505" s="1" t="str">
        <f t="shared" si="215"/>
        <v/>
      </c>
      <c r="G2505" s="1" t="str">
        <f t="shared" si="216"/>
        <v/>
      </c>
      <c r="H2505" s="1" t="str">
        <f t="shared" si="217"/>
        <v/>
      </c>
      <c r="I2505" s="1">
        <f>IF(OR(A2505="",COUNTIFS('Staff Review'!$A$8:$A$507,A2505)&lt;&gt;1),0,MATCH(A2505,'Staff Review'!$A$8:$A$507,0))</f>
        <v>0</v>
      </c>
      <c r="J2505" s="1" t="str">
        <f>IF(I2505=0,"No",IF(INDEX('Staff Review'!$C$8:$C$507,I2505)="Yes","Yes","No"))</f>
        <v>No</v>
      </c>
      <c r="K2505" s="1" t="str">
        <f>IF(AI2505="Yes",INDEX('Staff Review'!$D$8:$D$507,I2505),IF(AB2505=0,"",IF(COUNT(INDEX($C$1531:$C$2030,AB2505))=1,INDEX($C$1531:$C$2030,AB2505),"")))</f>
        <v/>
      </c>
      <c r="L2505" s="1" t="str">
        <f>IF(AJ2505="Yes",INDEX('Staff Review'!$F$8:$F$507,I2505),IF(AB2505=0,"",IF(COUNT(INDEX($G$1531:$G$2030,AB2505))=1,INDEX($G$1531:$G$2030,AB2505),"")))</f>
        <v/>
      </c>
      <c r="M2505" s="1" t="str">
        <f t="shared" si="218"/>
        <v/>
      </c>
      <c r="N2505" s="1" t="str">
        <f t="shared" si="219"/>
        <v/>
      </c>
      <c r="O2505" s="1" t="str">
        <f t="shared" si="220"/>
        <v/>
      </c>
      <c r="P2505" s="1" t="str">
        <f t="shared" si="221"/>
        <v/>
      </c>
      <c r="Q2505" s="1" t="str">
        <f t="shared" si="222"/>
        <v/>
      </c>
      <c r="R2505" s="1" t="str">
        <f t="shared" si="223"/>
        <v/>
      </c>
      <c r="S2505" s="1" t="str">
        <f t="shared" si="224"/>
        <v/>
      </c>
      <c r="T2505" s="1" t="str">
        <f>IF(OR(COUNT(O2505:R2505)&lt;&gt;4,COUNT('Top 25'!$B$45:$E$45)&lt;&gt;4,MIN('Top 25'!$B$45:$E$45)&lt;0,SUM('Top 25'!$B$45:$E$45)&lt;=0),"",ROUND(85*(O2505/30*'Top 25'!$B$45+P2505/25*'Top 25'!$C$45+Q2505/25*'Top 25'!$D$45+R2505/5*'Top 25'!$E$45)/SUM('Top 25'!$B$45:$E$45),6))</f>
        <v/>
      </c>
      <c r="U2505" s="1" t="str">
        <f t="shared" si="225"/>
        <v/>
      </c>
      <c r="V2505" s="1" t="str">
        <f>IF(A2505="","",IF(AK2505&lt;&gt;1,"Duplicate source ID",IF(COUNTIFS('Staff Review'!$A$8:$A$507,A2505)&gt;1,"Duplicate review ID",IF(H2505&lt;&gt;"Yes","Outside scope",IF(J2505="Yes","Already served",IF(NOT(ISNUMBER(T2505)),"Missing data","Candidate"))))))</f>
        <v/>
      </c>
      <c r="W2505" s="1" t="str">
        <f t="shared" si="226"/>
        <v/>
      </c>
      <c r="X2505" s="1" t="str">
        <f t="shared" si="227"/>
        <v/>
      </c>
      <c r="Y2505" s="1">
        <f>IF(AND(H2505="Yes",OR(LEN('School Search'!$B$5)=0,ISNUMBER(SEARCH('School Search'!$B$5,B2505&amp;" "&amp;E2505&amp;" "&amp;A2505))),OR('School Search'!$D$5="All",C2505='School Search'!$D$5),OR('School Search'!$G$5="All eligible",AND('School Search'!$G$5="Not marked served",J2505&lt;&gt;"Yes"),AND('School Search'!$G$5="Missing data",V2505="Missing data"),AND('School Search'!$G$5="Marked served",J2505="Yes"))),1,0)</f>
        <v>0</v>
      </c>
      <c r="Z2505" s="1" t="str">
        <f>IF(Y2505=0,"",COUNTIFS($Y$2051:$Y$2550,1,$AO$2051:$AO$2550,"&lt;"&amp;AO2505)+COUNTIFS($Y$2051:Y2505,1,$AO$2051:AO2505,AO2505))</f>
        <v/>
      </c>
      <c r="AA2505" s="1" t="str">
        <f t="shared" si="228"/>
        <v>Missing demographic or access input</v>
      </c>
      <c r="AB2505" s="1">
        <f t="shared" si="229"/>
        <v>0</v>
      </c>
      <c r="AC2505" s="1" t="str">
        <f t="shared" si="230"/>
        <v/>
      </c>
      <c r="AD2505" s="1" t="str">
        <f t="shared" si="231"/>
        <v/>
      </c>
      <c r="AE2505" s="1" t="str">
        <f t="shared" si="232"/>
        <v/>
      </c>
      <c r="AF2505" s="1" t="str">
        <f t="shared" si="233"/>
        <v/>
      </c>
      <c r="AG2505" s="1" t="str">
        <f t="shared" si="234"/>
        <v/>
      </c>
      <c r="AH2505" s="1" t="str">
        <f>IF(I2505=0,"Not contacted",IF(INDEX('Staff Review'!$J$8:$J$507,I2505)="","Not contacted",INDEX('Staff Review'!$J$8:$J$507,I2505)))</f>
        <v>Not contacted</v>
      </c>
      <c r="AI2505" s="1" t="str">
        <f>IF(I2505=0,"No",IF(AND(COUNT(INDEX('Staff Review'!$D$8:$D$507,I2505))=1,INDEX('Staff Review'!$D$8:$D$507,I2505)&gt;=0,COUNT(INDEX('Staff Review'!$E$8:$E$507,I2505))=1,INDEX('Staff Review'!$E$8:$E$507,I2505)&gt;0,INDEX('Staff Review'!$E$8:$E$507,I2505)&lt;='Top 25'!$E$5,'Top 25'!$E$5-INDEX('Staff Review'!$E$8:$E$507,I2505)&lt;='Top 25'!$H$5,LEN(INDEX('Staff Review'!$H$8:$H$507,I2505))&gt;0),"Yes","No"))</f>
        <v>No</v>
      </c>
      <c r="AJ2505" s="1" t="str">
        <f>IF(I2505=0,"No",IF(COUNT(INDEX('Staff Review'!$F$8:$F$507,I2505))&lt;&gt;1,"No",IF(AND(INDEX('Staff Review'!$F$8:$F$507,I2505)&gt;=0,MOD(INDEX('Staff Review'!$F$8:$F$507,I2505),1)=0,COUNT(INDEX('Staff Review'!$G$8:$G$507,I2505))=1,INDEX('Staff Review'!$G$8:$G$507,I2505)&gt;0,INDEX('Staff Review'!$G$8:$G$507,I2505)&lt;='Top 25'!$E$5,'Top 25'!$E$5-INDEX('Staff Review'!$G$8:$G$507,I2505)&lt;='Top 25'!$H$5,LEN(INDEX('Staff Review'!$H$8:$H$507,I2505))&gt;0),"Yes","No")))</f>
        <v>No</v>
      </c>
      <c r="AK2505" s="1">
        <f t="shared" si="235"/>
        <v>0</v>
      </c>
      <c r="AL2505" s="1">
        <f t="shared" si="236"/>
        <v>0</v>
      </c>
      <c r="AM2505" s="1">
        <f t="shared" si="237"/>
        <v>0</v>
      </c>
      <c r="AN2505" s="1">
        <f t="shared" si="238"/>
        <v>0</v>
      </c>
      <c r="AO2505">
        <f t="shared" si="239"/>
        <v>10000</v>
      </c>
      <c r="AP2505" s="105">
        <f>IF(AND(AL2505=1,OR('Top 25'!$A$10="All",C2505='Top 25'!$A$10),OR('Top 25'!$D$10="All",D2505='Top 25'!$D$10)),1,0)</f>
        <v>0</v>
      </c>
      <c r="AQ2505" s="105" t="str">
        <f>IF(AP2505=0,"",CHOOSE(MATCH('Top 25'!$G$10,{"Priority score","Economic need","Enrollment","Fresh miles","Nearby resources"},0),T2505,G2505,F2505,K2505,L2505))</f>
        <v/>
      </c>
      <c r="AR2505" s="105" t="str">
        <f>IF(AP2505=0,"",1+COUNTIFS($AP$2051:$AP$2550,1,$AQ$2051:$AQ$2550,IF('Top 25'!$J$10="Ascending","&lt;","&gt;")&amp;AQ2505)+COUNTIFS($AP$2051:$AP$2550,1,$AQ$2051:$AQ$2550,AQ2505,$W$2051:$W$2550,"&lt;"&amp;W2505))</f>
        <v/>
      </c>
      <c r="AT2505" s="105">
        <f>IF(AND(AL2505=1,OR(Master_rankableSchools!$A$10="All",C2505=Master_rankableSchools!$A$10),OR(Master_rankableSchools!$D$10="All",D2505=Master_rankableSchools!$D$10)),1,0)</f>
        <v>0</v>
      </c>
      <c r="AU2505" s="105" t="str">
        <f>IF(AT2505=0,"",CHOOSE(MATCH(Master_rankableSchools!$G$10,{"Priority score","Economic need","Enrollment","Fresh miles","Nearby resources"},0),T2505,G2505,F2505,K2505,L2505))</f>
        <v/>
      </c>
      <c r="AV2505" s="105" t="str">
        <f>IF(AT2505=0,"",1+COUNTIFS($AT$2051:$AT$2550,1,$AU$2051:$AU$2550,IF(Master_rankableSchools!$J$10="Ascending","&lt;","&gt;")&amp;AU2505)+COUNTIFS($AT$2051:$AT$2550,1,$AU$2051:$AU$2550,AU2505,$W$2051:$W$2550,"&lt;"&amp;W2505))</f>
        <v/>
      </c>
    </row>
    <row r="2506" spans="1:48" ht="22" customHeight="1">
      <c r="A2506" s="1" t="str">
        <f t="shared" si="210"/>
        <v/>
      </c>
      <c r="B2506" s="1" t="str">
        <f t="shared" si="211"/>
        <v/>
      </c>
      <c r="C2506" s="1" t="str">
        <f t="shared" si="212"/>
        <v/>
      </c>
      <c r="D2506" s="1" t="str">
        <f t="shared" si="213"/>
        <v/>
      </c>
      <c r="E2506" s="1" t="str">
        <f t="shared" si="214"/>
        <v/>
      </c>
      <c r="F2506" s="1" t="str">
        <f t="shared" si="215"/>
        <v/>
      </c>
      <c r="G2506" s="1" t="str">
        <f t="shared" si="216"/>
        <v/>
      </c>
      <c r="H2506" s="1" t="str">
        <f t="shared" si="217"/>
        <v/>
      </c>
      <c r="I2506" s="1">
        <f>IF(OR(A2506="",COUNTIFS('Staff Review'!$A$8:$A$507,A2506)&lt;&gt;1),0,MATCH(A2506,'Staff Review'!$A$8:$A$507,0))</f>
        <v>0</v>
      </c>
      <c r="J2506" s="1" t="str">
        <f>IF(I2506=0,"No",IF(INDEX('Staff Review'!$C$8:$C$507,I2506)="Yes","Yes","No"))</f>
        <v>No</v>
      </c>
      <c r="K2506" s="1" t="str">
        <f>IF(AI2506="Yes",INDEX('Staff Review'!$D$8:$D$507,I2506),IF(AB2506=0,"",IF(COUNT(INDEX($C$1531:$C$2030,AB2506))=1,INDEX($C$1531:$C$2030,AB2506),"")))</f>
        <v/>
      </c>
      <c r="L2506" s="1" t="str">
        <f>IF(AJ2506="Yes",INDEX('Staff Review'!$F$8:$F$507,I2506),IF(AB2506=0,"",IF(COUNT(INDEX($G$1531:$G$2030,AB2506))=1,INDEX($G$1531:$G$2030,AB2506),"")))</f>
        <v/>
      </c>
      <c r="M2506" s="1" t="str">
        <f t="shared" si="218"/>
        <v/>
      </c>
      <c r="N2506" s="1" t="str">
        <f t="shared" si="219"/>
        <v/>
      </c>
      <c r="O2506" s="1" t="str">
        <f t="shared" si="220"/>
        <v/>
      </c>
      <c r="P2506" s="1" t="str">
        <f t="shared" si="221"/>
        <v/>
      </c>
      <c r="Q2506" s="1" t="str">
        <f t="shared" si="222"/>
        <v/>
      </c>
      <c r="R2506" s="1" t="str">
        <f t="shared" si="223"/>
        <v/>
      </c>
      <c r="S2506" s="1" t="str">
        <f t="shared" si="224"/>
        <v/>
      </c>
      <c r="T2506" s="1" t="str">
        <f>IF(OR(COUNT(O2506:R2506)&lt;&gt;4,COUNT('Top 25'!$B$45:$E$45)&lt;&gt;4,MIN('Top 25'!$B$45:$E$45)&lt;0,SUM('Top 25'!$B$45:$E$45)&lt;=0),"",ROUND(85*(O2506/30*'Top 25'!$B$45+P2506/25*'Top 25'!$C$45+Q2506/25*'Top 25'!$D$45+R2506/5*'Top 25'!$E$45)/SUM('Top 25'!$B$45:$E$45),6))</f>
        <v/>
      </c>
      <c r="U2506" s="1" t="str">
        <f t="shared" si="225"/>
        <v/>
      </c>
      <c r="V2506" s="1" t="str">
        <f>IF(A2506="","",IF(AK2506&lt;&gt;1,"Duplicate source ID",IF(COUNTIFS('Staff Review'!$A$8:$A$507,A2506)&gt;1,"Duplicate review ID",IF(H2506&lt;&gt;"Yes","Outside scope",IF(J2506="Yes","Already served",IF(NOT(ISNUMBER(T2506)),"Missing data","Candidate"))))))</f>
        <v/>
      </c>
      <c r="W2506" s="1" t="str">
        <f t="shared" si="226"/>
        <v/>
      </c>
      <c r="X2506" s="1" t="str">
        <f t="shared" si="227"/>
        <v/>
      </c>
      <c r="Y2506" s="1">
        <f>IF(AND(H2506="Yes",OR(LEN('School Search'!$B$5)=0,ISNUMBER(SEARCH('School Search'!$B$5,B2506&amp;" "&amp;E2506&amp;" "&amp;A2506))),OR('School Search'!$D$5="All",C2506='School Search'!$D$5),OR('School Search'!$G$5="All eligible",AND('School Search'!$G$5="Not marked served",J2506&lt;&gt;"Yes"),AND('School Search'!$G$5="Missing data",V2506="Missing data"),AND('School Search'!$G$5="Marked served",J2506="Yes"))),1,0)</f>
        <v>0</v>
      </c>
      <c r="Z2506" s="1" t="str">
        <f>IF(Y2506=0,"",COUNTIFS($Y$2051:$Y$2550,1,$AO$2051:$AO$2550,"&lt;"&amp;AO2506)+COUNTIFS($Y$2051:Y2506,1,$AO$2051:AO2506,AO2506))</f>
        <v/>
      </c>
      <c r="AA2506" s="1" t="str">
        <f t="shared" si="228"/>
        <v>Missing demographic or access input</v>
      </c>
      <c r="AB2506" s="1">
        <f t="shared" si="229"/>
        <v>0</v>
      </c>
      <c r="AC2506" s="1" t="str">
        <f t="shared" si="230"/>
        <v/>
      </c>
      <c r="AD2506" s="1" t="str">
        <f t="shared" si="231"/>
        <v/>
      </c>
      <c r="AE2506" s="1" t="str">
        <f t="shared" si="232"/>
        <v/>
      </c>
      <c r="AF2506" s="1" t="str">
        <f t="shared" si="233"/>
        <v/>
      </c>
      <c r="AG2506" s="1" t="str">
        <f t="shared" si="234"/>
        <v/>
      </c>
      <c r="AH2506" s="1" t="str">
        <f>IF(I2506=0,"Not contacted",IF(INDEX('Staff Review'!$J$8:$J$507,I2506)="","Not contacted",INDEX('Staff Review'!$J$8:$J$507,I2506)))</f>
        <v>Not contacted</v>
      </c>
      <c r="AI2506" s="1" t="str">
        <f>IF(I2506=0,"No",IF(AND(COUNT(INDEX('Staff Review'!$D$8:$D$507,I2506))=1,INDEX('Staff Review'!$D$8:$D$507,I2506)&gt;=0,COUNT(INDEX('Staff Review'!$E$8:$E$507,I2506))=1,INDEX('Staff Review'!$E$8:$E$507,I2506)&gt;0,INDEX('Staff Review'!$E$8:$E$507,I2506)&lt;='Top 25'!$E$5,'Top 25'!$E$5-INDEX('Staff Review'!$E$8:$E$507,I2506)&lt;='Top 25'!$H$5,LEN(INDEX('Staff Review'!$H$8:$H$507,I2506))&gt;0),"Yes","No"))</f>
        <v>No</v>
      </c>
      <c r="AJ2506" s="1" t="str">
        <f>IF(I2506=0,"No",IF(COUNT(INDEX('Staff Review'!$F$8:$F$507,I2506))&lt;&gt;1,"No",IF(AND(INDEX('Staff Review'!$F$8:$F$507,I2506)&gt;=0,MOD(INDEX('Staff Review'!$F$8:$F$507,I2506),1)=0,COUNT(INDEX('Staff Review'!$G$8:$G$507,I2506))=1,INDEX('Staff Review'!$G$8:$G$507,I2506)&gt;0,INDEX('Staff Review'!$G$8:$G$507,I2506)&lt;='Top 25'!$E$5,'Top 25'!$E$5-INDEX('Staff Review'!$G$8:$G$507,I2506)&lt;='Top 25'!$H$5,LEN(INDEX('Staff Review'!$H$8:$H$507,I2506))&gt;0),"Yes","No")))</f>
        <v>No</v>
      </c>
      <c r="AK2506" s="1">
        <f t="shared" si="235"/>
        <v>0</v>
      </c>
      <c r="AL2506" s="1">
        <f t="shared" si="236"/>
        <v>0</v>
      </c>
      <c r="AM2506" s="1">
        <f t="shared" si="237"/>
        <v>0</v>
      </c>
      <c r="AN2506" s="1">
        <f t="shared" si="238"/>
        <v>0</v>
      </c>
      <c r="AO2506">
        <f t="shared" si="239"/>
        <v>10000</v>
      </c>
      <c r="AP2506" s="105">
        <f>IF(AND(AL2506=1,OR('Top 25'!$A$10="All",C2506='Top 25'!$A$10),OR('Top 25'!$D$10="All",D2506='Top 25'!$D$10)),1,0)</f>
        <v>0</v>
      </c>
      <c r="AQ2506" s="105" t="str">
        <f>IF(AP2506=0,"",CHOOSE(MATCH('Top 25'!$G$10,{"Priority score","Economic need","Enrollment","Fresh miles","Nearby resources"},0),T2506,G2506,F2506,K2506,L2506))</f>
        <v/>
      </c>
      <c r="AR2506" s="105" t="str">
        <f>IF(AP2506=0,"",1+COUNTIFS($AP$2051:$AP$2550,1,$AQ$2051:$AQ$2550,IF('Top 25'!$J$10="Ascending","&lt;","&gt;")&amp;AQ2506)+COUNTIFS($AP$2051:$AP$2550,1,$AQ$2051:$AQ$2550,AQ2506,$W$2051:$W$2550,"&lt;"&amp;W2506))</f>
        <v/>
      </c>
      <c r="AT2506" s="105">
        <f>IF(AND(AL2506=1,OR(Master_rankableSchools!$A$10="All",C2506=Master_rankableSchools!$A$10),OR(Master_rankableSchools!$D$10="All",D2506=Master_rankableSchools!$D$10)),1,0)</f>
        <v>0</v>
      </c>
      <c r="AU2506" s="105" t="str">
        <f>IF(AT2506=0,"",CHOOSE(MATCH(Master_rankableSchools!$G$10,{"Priority score","Economic need","Enrollment","Fresh miles","Nearby resources"},0),T2506,G2506,F2506,K2506,L2506))</f>
        <v/>
      </c>
      <c r="AV2506" s="105" t="str">
        <f>IF(AT2506=0,"",1+COUNTIFS($AT$2051:$AT$2550,1,$AU$2051:$AU$2550,IF(Master_rankableSchools!$J$10="Ascending","&lt;","&gt;")&amp;AU2506)+COUNTIFS($AT$2051:$AT$2550,1,$AU$2051:$AU$2550,AU2506,$W$2051:$W$2550,"&lt;"&amp;W2506))</f>
        <v/>
      </c>
    </row>
    <row r="2507" spans="1:48" ht="22" customHeight="1">
      <c r="A2507" s="1" t="str">
        <f t="shared" si="210"/>
        <v/>
      </c>
      <c r="B2507" s="1" t="str">
        <f t="shared" si="211"/>
        <v/>
      </c>
      <c r="C2507" s="1" t="str">
        <f t="shared" si="212"/>
        <v/>
      </c>
      <c r="D2507" s="1" t="str">
        <f t="shared" si="213"/>
        <v/>
      </c>
      <c r="E2507" s="1" t="str">
        <f t="shared" si="214"/>
        <v/>
      </c>
      <c r="F2507" s="1" t="str">
        <f t="shared" si="215"/>
        <v/>
      </c>
      <c r="G2507" s="1" t="str">
        <f t="shared" si="216"/>
        <v/>
      </c>
      <c r="H2507" s="1" t="str">
        <f t="shared" si="217"/>
        <v/>
      </c>
      <c r="I2507" s="1">
        <f>IF(OR(A2507="",COUNTIFS('Staff Review'!$A$8:$A$507,A2507)&lt;&gt;1),0,MATCH(A2507,'Staff Review'!$A$8:$A$507,0))</f>
        <v>0</v>
      </c>
      <c r="J2507" s="1" t="str">
        <f>IF(I2507=0,"No",IF(INDEX('Staff Review'!$C$8:$C$507,I2507)="Yes","Yes","No"))</f>
        <v>No</v>
      </c>
      <c r="K2507" s="1" t="str">
        <f>IF(AI2507="Yes",INDEX('Staff Review'!$D$8:$D$507,I2507),IF(AB2507=0,"",IF(COUNT(INDEX($C$1531:$C$2030,AB2507))=1,INDEX($C$1531:$C$2030,AB2507),"")))</f>
        <v/>
      </c>
      <c r="L2507" s="1" t="str">
        <f>IF(AJ2507="Yes",INDEX('Staff Review'!$F$8:$F$507,I2507),IF(AB2507=0,"",IF(COUNT(INDEX($G$1531:$G$2030,AB2507))=1,INDEX($G$1531:$G$2030,AB2507),"")))</f>
        <v/>
      </c>
      <c r="M2507" s="1" t="str">
        <f t="shared" si="218"/>
        <v/>
      </c>
      <c r="N2507" s="1" t="str">
        <f t="shared" si="219"/>
        <v/>
      </c>
      <c r="O2507" s="1" t="str">
        <f t="shared" si="220"/>
        <v/>
      </c>
      <c r="P2507" s="1" t="str">
        <f t="shared" si="221"/>
        <v/>
      </c>
      <c r="Q2507" s="1" t="str">
        <f t="shared" si="222"/>
        <v/>
      </c>
      <c r="R2507" s="1" t="str">
        <f t="shared" si="223"/>
        <v/>
      </c>
      <c r="S2507" s="1" t="str">
        <f t="shared" si="224"/>
        <v/>
      </c>
      <c r="T2507" s="1" t="str">
        <f>IF(OR(COUNT(O2507:R2507)&lt;&gt;4,COUNT('Top 25'!$B$45:$E$45)&lt;&gt;4,MIN('Top 25'!$B$45:$E$45)&lt;0,SUM('Top 25'!$B$45:$E$45)&lt;=0),"",ROUND(85*(O2507/30*'Top 25'!$B$45+P2507/25*'Top 25'!$C$45+Q2507/25*'Top 25'!$D$45+R2507/5*'Top 25'!$E$45)/SUM('Top 25'!$B$45:$E$45),6))</f>
        <v/>
      </c>
      <c r="U2507" s="1" t="str">
        <f t="shared" si="225"/>
        <v/>
      </c>
      <c r="V2507" s="1" t="str">
        <f>IF(A2507="","",IF(AK2507&lt;&gt;1,"Duplicate source ID",IF(COUNTIFS('Staff Review'!$A$8:$A$507,A2507)&gt;1,"Duplicate review ID",IF(H2507&lt;&gt;"Yes","Outside scope",IF(J2507="Yes","Already served",IF(NOT(ISNUMBER(T2507)),"Missing data","Candidate"))))))</f>
        <v/>
      </c>
      <c r="W2507" s="1" t="str">
        <f t="shared" si="226"/>
        <v/>
      </c>
      <c r="X2507" s="1" t="str">
        <f t="shared" si="227"/>
        <v/>
      </c>
      <c r="Y2507" s="1">
        <f>IF(AND(H2507="Yes",OR(LEN('School Search'!$B$5)=0,ISNUMBER(SEARCH('School Search'!$B$5,B2507&amp;" "&amp;E2507&amp;" "&amp;A2507))),OR('School Search'!$D$5="All",C2507='School Search'!$D$5),OR('School Search'!$G$5="All eligible",AND('School Search'!$G$5="Not marked served",J2507&lt;&gt;"Yes"),AND('School Search'!$G$5="Missing data",V2507="Missing data"),AND('School Search'!$G$5="Marked served",J2507="Yes"))),1,0)</f>
        <v>0</v>
      </c>
      <c r="Z2507" s="1" t="str">
        <f>IF(Y2507=0,"",COUNTIFS($Y$2051:$Y$2550,1,$AO$2051:$AO$2550,"&lt;"&amp;AO2507)+COUNTIFS($Y$2051:Y2507,1,$AO$2051:AO2507,AO2507))</f>
        <v/>
      </c>
      <c r="AA2507" s="1" t="str">
        <f t="shared" si="228"/>
        <v>Missing demographic or access input</v>
      </c>
      <c r="AB2507" s="1">
        <f t="shared" si="229"/>
        <v>0</v>
      </c>
      <c r="AC2507" s="1" t="str">
        <f t="shared" si="230"/>
        <v/>
      </c>
      <c r="AD2507" s="1" t="str">
        <f t="shared" si="231"/>
        <v/>
      </c>
      <c r="AE2507" s="1" t="str">
        <f t="shared" si="232"/>
        <v/>
      </c>
      <c r="AF2507" s="1" t="str">
        <f t="shared" si="233"/>
        <v/>
      </c>
      <c r="AG2507" s="1" t="str">
        <f t="shared" si="234"/>
        <v/>
      </c>
      <c r="AH2507" s="1" t="str">
        <f>IF(I2507=0,"Not contacted",IF(INDEX('Staff Review'!$J$8:$J$507,I2507)="","Not contacted",INDEX('Staff Review'!$J$8:$J$507,I2507)))</f>
        <v>Not contacted</v>
      </c>
      <c r="AI2507" s="1" t="str">
        <f>IF(I2507=0,"No",IF(AND(COUNT(INDEX('Staff Review'!$D$8:$D$507,I2507))=1,INDEX('Staff Review'!$D$8:$D$507,I2507)&gt;=0,COUNT(INDEX('Staff Review'!$E$8:$E$507,I2507))=1,INDEX('Staff Review'!$E$8:$E$507,I2507)&gt;0,INDEX('Staff Review'!$E$8:$E$507,I2507)&lt;='Top 25'!$E$5,'Top 25'!$E$5-INDEX('Staff Review'!$E$8:$E$507,I2507)&lt;='Top 25'!$H$5,LEN(INDEX('Staff Review'!$H$8:$H$507,I2507))&gt;0),"Yes","No"))</f>
        <v>No</v>
      </c>
      <c r="AJ2507" s="1" t="str">
        <f>IF(I2507=0,"No",IF(COUNT(INDEX('Staff Review'!$F$8:$F$507,I2507))&lt;&gt;1,"No",IF(AND(INDEX('Staff Review'!$F$8:$F$507,I2507)&gt;=0,MOD(INDEX('Staff Review'!$F$8:$F$507,I2507),1)=0,COUNT(INDEX('Staff Review'!$G$8:$G$507,I2507))=1,INDEX('Staff Review'!$G$8:$G$507,I2507)&gt;0,INDEX('Staff Review'!$G$8:$G$507,I2507)&lt;='Top 25'!$E$5,'Top 25'!$E$5-INDEX('Staff Review'!$G$8:$G$507,I2507)&lt;='Top 25'!$H$5,LEN(INDEX('Staff Review'!$H$8:$H$507,I2507))&gt;0),"Yes","No")))</f>
        <v>No</v>
      </c>
      <c r="AK2507" s="1">
        <f t="shared" si="235"/>
        <v>0</v>
      </c>
      <c r="AL2507" s="1">
        <f t="shared" si="236"/>
        <v>0</v>
      </c>
      <c r="AM2507" s="1">
        <f t="shared" si="237"/>
        <v>0</v>
      </c>
      <c r="AN2507" s="1">
        <f t="shared" si="238"/>
        <v>0</v>
      </c>
      <c r="AO2507">
        <f t="shared" si="239"/>
        <v>10000</v>
      </c>
      <c r="AP2507" s="105">
        <f>IF(AND(AL2507=1,OR('Top 25'!$A$10="All",C2507='Top 25'!$A$10),OR('Top 25'!$D$10="All",D2507='Top 25'!$D$10)),1,0)</f>
        <v>0</v>
      </c>
      <c r="AQ2507" s="105" t="str">
        <f>IF(AP2507=0,"",CHOOSE(MATCH('Top 25'!$G$10,{"Priority score","Economic need","Enrollment","Fresh miles","Nearby resources"},0),T2507,G2507,F2507,K2507,L2507))</f>
        <v/>
      </c>
      <c r="AR2507" s="105" t="str">
        <f>IF(AP2507=0,"",1+COUNTIFS($AP$2051:$AP$2550,1,$AQ$2051:$AQ$2550,IF('Top 25'!$J$10="Ascending","&lt;","&gt;")&amp;AQ2507)+COUNTIFS($AP$2051:$AP$2550,1,$AQ$2051:$AQ$2550,AQ2507,$W$2051:$W$2550,"&lt;"&amp;W2507))</f>
        <v/>
      </c>
      <c r="AT2507" s="105">
        <f>IF(AND(AL2507=1,OR(Master_rankableSchools!$A$10="All",C2507=Master_rankableSchools!$A$10),OR(Master_rankableSchools!$D$10="All",D2507=Master_rankableSchools!$D$10)),1,0)</f>
        <v>0</v>
      </c>
      <c r="AU2507" s="105" t="str">
        <f>IF(AT2507=0,"",CHOOSE(MATCH(Master_rankableSchools!$G$10,{"Priority score","Economic need","Enrollment","Fresh miles","Nearby resources"},0),T2507,G2507,F2507,K2507,L2507))</f>
        <v/>
      </c>
      <c r="AV2507" s="105" t="str">
        <f>IF(AT2507=0,"",1+COUNTIFS($AT$2051:$AT$2550,1,$AU$2051:$AU$2550,IF(Master_rankableSchools!$J$10="Ascending","&lt;","&gt;")&amp;AU2507)+COUNTIFS($AT$2051:$AT$2550,1,$AU$2051:$AU$2550,AU2507,$W$2051:$W$2550,"&lt;"&amp;W2507))</f>
        <v/>
      </c>
    </row>
    <row r="2508" spans="1:48" ht="22" customHeight="1">
      <c r="A2508" s="1" t="str">
        <f t="shared" si="210"/>
        <v/>
      </c>
      <c r="B2508" s="1" t="str">
        <f t="shared" si="211"/>
        <v/>
      </c>
      <c r="C2508" s="1" t="str">
        <f t="shared" si="212"/>
        <v/>
      </c>
      <c r="D2508" s="1" t="str">
        <f t="shared" si="213"/>
        <v/>
      </c>
      <c r="E2508" s="1" t="str">
        <f t="shared" si="214"/>
        <v/>
      </c>
      <c r="F2508" s="1" t="str">
        <f t="shared" si="215"/>
        <v/>
      </c>
      <c r="G2508" s="1" t="str">
        <f t="shared" si="216"/>
        <v/>
      </c>
      <c r="H2508" s="1" t="str">
        <f t="shared" si="217"/>
        <v/>
      </c>
      <c r="I2508" s="1">
        <f>IF(OR(A2508="",COUNTIFS('Staff Review'!$A$8:$A$507,A2508)&lt;&gt;1),0,MATCH(A2508,'Staff Review'!$A$8:$A$507,0))</f>
        <v>0</v>
      </c>
      <c r="J2508" s="1" t="str">
        <f>IF(I2508=0,"No",IF(INDEX('Staff Review'!$C$8:$C$507,I2508)="Yes","Yes","No"))</f>
        <v>No</v>
      </c>
      <c r="K2508" s="1" t="str">
        <f>IF(AI2508="Yes",INDEX('Staff Review'!$D$8:$D$507,I2508),IF(AB2508=0,"",IF(COUNT(INDEX($C$1531:$C$2030,AB2508))=1,INDEX($C$1531:$C$2030,AB2508),"")))</f>
        <v/>
      </c>
      <c r="L2508" s="1" t="str">
        <f>IF(AJ2508="Yes",INDEX('Staff Review'!$F$8:$F$507,I2508),IF(AB2508=0,"",IF(COUNT(INDEX($G$1531:$G$2030,AB2508))=1,INDEX($G$1531:$G$2030,AB2508),"")))</f>
        <v/>
      </c>
      <c r="M2508" s="1" t="str">
        <f t="shared" si="218"/>
        <v/>
      </c>
      <c r="N2508" s="1" t="str">
        <f t="shared" si="219"/>
        <v/>
      </c>
      <c r="O2508" s="1" t="str">
        <f t="shared" si="220"/>
        <v/>
      </c>
      <c r="P2508" s="1" t="str">
        <f t="shared" si="221"/>
        <v/>
      </c>
      <c r="Q2508" s="1" t="str">
        <f t="shared" si="222"/>
        <v/>
      </c>
      <c r="R2508" s="1" t="str">
        <f t="shared" si="223"/>
        <v/>
      </c>
      <c r="S2508" s="1" t="str">
        <f t="shared" si="224"/>
        <v/>
      </c>
      <c r="T2508" s="1" t="str">
        <f>IF(OR(COUNT(O2508:R2508)&lt;&gt;4,COUNT('Top 25'!$B$45:$E$45)&lt;&gt;4,MIN('Top 25'!$B$45:$E$45)&lt;0,SUM('Top 25'!$B$45:$E$45)&lt;=0),"",ROUND(85*(O2508/30*'Top 25'!$B$45+P2508/25*'Top 25'!$C$45+Q2508/25*'Top 25'!$D$45+R2508/5*'Top 25'!$E$45)/SUM('Top 25'!$B$45:$E$45),6))</f>
        <v/>
      </c>
      <c r="U2508" s="1" t="str">
        <f t="shared" si="225"/>
        <v/>
      </c>
      <c r="V2508" s="1" t="str">
        <f>IF(A2508="","",IF(AK2508&lt;&gt;1,"Duplicate source ID",IF(COUNTIFS('Staff Review'!$A$8:$A$507,A2508)&gt;1,"Duplicate review ID",IF(H2508&lt;&gt;"Yes","Outside scope",IF(J2508="Yes","Already served",IF(NOT(ISNUMBER(T2508)),"Missing data","Candidate"))))))</f>
        <v/>
      </c>
      <c r="W2508" s="1" t="str">
        <f t="shared" si="226"/>
        <v/>
      </c>
      <c r="X2508" s="1" t="str">
        <f t="shared" si="227"/>
        <v/>
      </c>
      <c r="Y2508" s="1">
        <f>IF(AND(H2508="Yes",OR(LEN('School Search'!$B$5)=0,ISNUMBER(SEARCH('School Search'!$B$5,B2508&amp;" "&amp;E2508&amp;" "&amp;A2508))),OR('School Search'!$D$5="All",C2508='School Search'!$D$5),OR('School Search'!$G$5="All eligible",AND('School Search'!$G$5="Not marked served",J2508&lt;&gt;"Yes"),AND('School Search'!$G$5="Missing data",V2508="Missing data"),AND('School Search'!$G$5="Marked served",J2508="Yes"))),1,0)</f>
        <v>0</v>
      </c>
      <c r="Z2508" s="1" t="str">
        <f>IF(Y2508=0,"",COUNTIFS($Y$2051:$Y$2550,1,$AO$2051:$AO$2550,"&lt;"&amp;AO2508)+COUNTIFS($Y$2051:Y2508,1,$AO$2051:AO2508,AO2508))</f>
        <v/>
      </c>
      <c r="AA2508" s="1" t="str">
        <f t="shared" si="228"/>
        <v>Missing demographic or access input</v>
      </c>
      <c r="AB2508" s="1">
        <f t="shared" si="229"/>
        <v>0</v>
      </c>
      <c r="AC2508" s="1" t="str">
        <f t="shared" si="230"/>
        <v/>
      </c>
      <c r="AD2508" s="1" t="str">
        <f t="shared" si="231"/>
        <v/>
      </c>
      <c r="AE2508" s="1" t="str">
        <f t="shared" si="232"/>
        <v/>
      </c>
      <c r="AF2508" s="1" t="str">
        <f t="shared" si="233"/>
        <v/>
      </c>
      <c r="AG2508" s="1" t="str">
        <f t="shared" si="234"/>
        <v/>
      </c>
      <c r="AH2508" s="1" t="str">
        <f>IF(I2508=0,"Not contacted",IF(INDEX('Staff Review'!$J$8:$J$507,I2508)="","Not contacted",INDEX('Staff Review'!$J$8:$J$507,I2508)))</f>
        <v>Not contacted</v>
      </c>
      <c r="AI2508" s="1" t="str">
        <f>IF(I2508=0,"No",IF(AND(COUNT(INDEX('Staff Review'!$D$8:$D$507,I2508))=1,INDEX('Staff Review'!$D$8:$D$507,I2508)&gt;=0,COUNT(INDEX('Staff Review'!$E$8:$E$507,I2508))=1,INDEX('Staff Review'!$E$8:$E$507,I2508)&gt;0,INDEX('Staff Review'!$E$8:$E$507,I2508)&lt;='Top 25'!$E$5,'Top 25'!$E$5-INDEX('Staff Review'!$E$8:$E$507,I2508)&lt;='Top 25'!$H$5,LEN(INDEX('Staff Review'!$H$8:$H$507,I2508))&gt;0),"Yes","No"))</f>
        <v>No</v>
      </c>
      <c r="AJ2508" s="1" t="str">
        <f>IF(I2508=0,"No",IF(COUNT(INDEX('Staff Review'!$F$8:$F$507,I2508))&lt;&gt;1,"No",IF(AND(INDEX('Staff Review'!$F$8:$F$507,I2508)&gt;=0,MOD(INDEX('Staff Review'!$F$8:$F$507,I2508),1)=0,COUNT(INDEX('Staff Review'!$G$8:$G$507,I2508))=1,INDEX('Staff Review'!$G$8:$G$507,I2508)&gt;0,INDEX('Staff Review'!$G$8:$G$507,I2508)&lt;='Top 25'!$E$5,'Top 25'!$E$5-INDEX('Staff Review'!$G$8:$G$507,I2508)&lt;='Top 25'!$H$5,LEN(INDEX('Staff Review'!$H$8:$H$507,I2508))&gt;0),"Yes","No")))</f>
        <v>No</v>
      </c>
      <c r="AK2508" s="1">
        <f t="shared" si="235"/>
        <v>0</v>
      </c>
      <c r="AL2508" s="1">
        <f t="shared" si="236"/>
        <v>0</v>
      </c>
      <c r="AM2508" s="1">
        <f t="shared" si="237"/>
        <v>0</v>
      </c>
      <c r="AN2508" s="1">
        <f t="shared" si="238"/>
        <v>0</v>
      </c>
      <c r="AO2508">
        <f t="shared" si="239"/>
        <v>10000</v>
      </c>
      <c r="AP2508" s="105">
        <f>IF(AND(AL2508=1,OR('Top 25'!$A$10="All",C2508='Top 25'!$A$10),OR('Top 25'!$D$10="All",D2508='Top 25'!$D$10)),1,0)</f>
        <v>0</v>
      </c>
      <c r="AQ2508" s="105" t="str">
        <f>IF(AP2508=0,"",CHOOSE(MATCH('Top 25'!$G$10,{"Priority score","Economic need","Enrollment","Fresh miles","Nearby resources"},0),T2508,G2508,F2508,K2508,L2508))</f>
        <v/>
      </c>
      <c r="AR2508" s="105" t="str">
        <f>IF(AP2508=0,"",1+COUNTIFS($AP$2051:$AP$2550,1,$AQ$2051:$AQ$2550,IF('Top 25'!$J$10="Ascending","&lt;","&gt;")&amp;AQ2508)+COUNTIFS($AP$2051:$AP$2550,1,$AQ$2051:$AQ$2550,AQ2508,$W$2051:$W$2550,"&lt;"&amp;W2508))</f>
        <v/>
      </c>
      <c r="AT2508" s="105">
        <f>IF(AND(AL2508=1,OR(Master_rankableSchools!$A$10="All",C2508=Master_rankableSchools!$A$10),OR(Master_rankableSchools!$D$10="All",D2508=Master_rankableSchools!$D$10)),1,0)</f>
        <v>0</v>
      </c>
      <c r="AU2508" s="105" t="str">
        <f>IF(AT2508=0,"",CHOOSE(MATCH(Master_rankableSchools!$G$10,{"Priority score","Economic need","Enrollment","Fresh miles","Nearby resources"},0),T2508,G2508,F2508,K2508,L2508))</f>
        <v/>
      </c>
      <c r="AV2508" s="105" t="str">
        <f>IF(AT2508=0,"",1+COUNTIFS($AT$2051:$AT$2550,1,$AU$2051:$AU$2550,IF(Master_rankableSchools!$J$10="Ascending","&lt;","&gt;")&amp;AU2508)+COUNTIFS($AT$2051:$AT$2550,1,$AU$2051:$AU$2550,AU2508,$W$2051:$W$2550,"&lt;"&amp;W2508))</f>
        <v/>
      </c>
    </row>
    <row r="2509" spans="1:48" ht="22" customHeight="1">
      <c r="A2509" s="1" t="str">
        <f t="shared" si="210"/>
        <v/>
      </c>
      <c r="B2509" s="1" t="str">
        <f t="shared" si="211"/>
        <v/>
      </c>
      <c r="C2509" s="1" t="str">
        <f t="shared" si="212"/>
        <v/>
      </c>
      <c r="D2509" s="1" t="str">
        <f t="shared" si="213"/>
        <v/>
      </c>
      <c r="E2509" s="1" t="str">
        <f t="shared" si="214"/>
        <v/>
      </c>
      <c r="F2509" s="1" t="str">
        <f t="shared" si="215"/>
        <v/>
      </c>
      <c r="G2509" s="1" t="str">
        <f t="shared" si="216"/>
        <v/>
      </c>
      <c r="H2509" s="1" t="str">
        <f t="shared" si="217"/>
        <v/>
      </c>
      <c r="I2509" s="1">
        <f>IF(OR(A2509="",COUNTIFS('Staff Review'!$A$8:$A$507,A2509)&lt;&gt;1),0,MATCH(A2509,'Staff Review'!$A$8:$A$507,0))</f>
        <v>0</v>
      </c>
      <c r="J2509" s="1" t="str">
        <f>IF(I2509=0,"No",IF(INDEX('Staff Review'!$C$8:$C$507,I2509)="Yes","Yes","No"))</f>
        <v>No</v>
      </c>
      <c r="K2509" s="1" t="str">
        <f>IF(AI2509="Yes",INDEX('Staff Review'!$D$8:$D$507,I2509),IF(AB2509=0,"",IF(COUNT(INDEX($C$1531:$C$2030,AB2509))=1,INDEX($C$1531:$C$2030,AB2509),"")))</f>
        <v/>
      </c>
      <c r="L2509" s="1" t="str">
        <f>IF(AJ2509="Yes",INDEX('Staff Review'!$F$8:$F$507,I2509),IF(AB2509=0,"",IF(COUNT(INDEX($G$1531:$G$2030,AB2509))=1,INDEX($G$1531:$G$2030,AB2509),"")))</f>
        <v/>
      </c>
      <c r="M2509" s="1" t="str">
        <f t="shared" si="218"/>
        <v/>
      </c>
      <c r="N2509" s="1" t="str">
        <f t="shared" si="219"/>
        <v/>
      </c>
      <c r="O2509" s="1" t="str">
        <f t="shared" si="220"/>
        <v/>
      </c>
      <c r="P2509" s="1" t="str">
        <f t="shared" si="221"/>
        <v/>
      </c>
      <c r="Q2509" s="1" t="str">
        <f t="shared" si="222"/>
        <v/>
      </c>
      <c r="R2509" s="1" t="str">
        <f t="shared" si="223"/>
        <v/>
      </c>
      <c r="S2509" s="1" t="str">
        <f t="shared" si="224"/>
        <v/>
      </c>
      <c r="T2509" s="1" t="str">
        <f>IF(OR(COUNT(O2509:R2509)&lt;&gt;4,COUNT('Top 25'!$B$45:$E$45)&lt;&gt;4,MIN('Top 25'!$B$45:$E$45)&lt;0,SUM('Top 25'!$B$45:$E$45)&lt;=0),"",ROUND(85*(O2509/30*'Top 25'!$B$45+P2509/25*'Top 25'!$C$45+Q2509/25*'Top 25'!$D$45+R2509/5*'Top 25'!$E$45)/SUM('Top 25'!$B$45:$E$45),6))</f>
        <v/>
      </c>
      <c r="U2509" s="1" t="str">
        <f t="shared" si="225"/>
        <v/>
      </c>
      <c r="V2509" s="1" t="str">
        <f>IF(A2509="","",IF(AK2509&lt;&gt;1,"Duplicate source ID",IF(COUNTIFS('Staff Review'!$A$8:$A$507,A2509)&gt;1,"Duplicate review ID",IF(H2509&lt;&gt;"Yes","Outside scope",IF(J2509="Yes","Already served",IF(NOT(ISNUMBER(T2509)),"Missing data","Candidate"))))))</f>
        <v/>
      </c>
      <c r="W2509" s="1" t="str">
        <f t="shared" si="226"/>
        <v/>
      </c>
      <c r="X2509" s="1" t="str">
        <f t="shared" si="227"/>
        <v/>
      </c>
      <c r="Y2509" s="1">
        <f>IF(AND(H2509="Yes",OR(LEN('School Search'!$B$5)=0,ISNUMBER(SEARCH('School Search'!$B$5,B2509&amp;" "&amp;E2509&amp;" "&amp;A2509))),OR('School Search'!$D$5="All",C2509='School Search'!$D$5),OR('School Search'!$G$5="All eligible",AND('School Search'!$G$5="Not marked served",J2509&lt;&gt;"Yes"),AND('School Search'!$G$5="Missing data",V2509="Missing data"),AND('School Search'!$G$5="Marked served",J2509="Yes"))),1,0)</f>
        <v>0</v>
      </c>
      <c r="Z2509" s="1" t="str">
        <f>IF(Y2509=0,"",COUNTIFS($Y$2051:$Y$2550,1,$AO$2051:$AO$2550,"&lt;"&amp;AO2509)+COUNTIFS($Y$2051:Y2509,1,$AO$2051:AO2509,AO2509))</f>
        <v/>
      </c>
      <c r="AA2509" s="1" t="str">
        <f t="shared" si="228"/>
        <v>Missing demographic or access input</v>
      </c>
      <c r="AB2509" s="1">
        <f t="shared" si="229"/>
        <v>0</v>
      </c>
      <c r="AC2509" s="1" t="str">
        <f t="shared" si="230"/>
        <v/>
      </c>
      <c r="AD2509" s="1" t="str">
        <f t="shared" si="231"/>
        <v/>
      </c>
      <c r="AE2509" s="1" t="str">
        <f t="shared" si="232"/>
        <v/>
      </c>
      <c r="AF2509" s="1" t="str">
        <f t="shared" si="233"/>
        <v/>
      </c>
      <c r="AG2509" s="1" t="str">
        <f t="shared" si="234"/>
        <v/>
      </c>
      <c r="AH2509" s="1" t="str">
        <f>IF(I2509=0,"Not contacted",IF(INDEX('Staff Review'!$J$8:$J$507,I2509)="","Not contacted",INDEX('Staff Review'!$J$8:$J$507,I2509)))</f>
        <v>Not contacted</v>
      </c>
      <c r="AI2509" s="1" t="str">
        <f>IF(I2509=0,"No",IF(AND(COUNT(INDEX('Staff Review'!$D$8:$D$507,I2509))=1,INDEX('Staff Review'!$D$8:$D$507,I2509)&gt;=0,COUNT(INDEX('Staff Review'!$E$8:$E$507,I2509))=1,INDEX('Staff Review'!$E$8:$E$507,I2509)&gt;0,INDEX('Staff Review'!$E$8:$E$507,I2509)&lt;='Top 25'!$E$5,'Top 25'!$E$5-INDEX('Staff Review'!$E$8:$E$507,I2509)&lt;='Top 25'!$H$5,LEN(INDEX('Staff Review'!$H$8:$H$507,I2509))&gt;0),"Yes","No"))</f>
        <v>No</v>
      </c>
      <c r="AJ2509" s="1" t="str">
        <f>IF(I2509=0,"No",IF(COUNT(INDEX('Staff Review'!$F$8:$F$507,I2509))&lt;&gt;1,"No",IF(AND(INDEX('Staff Review'!$F$8:$F$507,I2509)&gt;=0,MOD(INDEX('Staff Review'!$F$8:$F$507,I2509),1)=0,COUNT(INDEX('Staff Review'!$G$8:$G$507,I2509))=1,INDEX('Staff Review'!$G$8:$G$507,I2509)&gt;0,INDEX('Staff Review'!$G$8:$G$507,I2509)&lt;='Top 25'!$E$5,'Top 25'!$E$5-INDEX('Staff Review'!$G$8:$G$507,I2509)&lt;='Top 25'!$H$5,LEN(INDEX('Staff Review'!$H$8:$H$507,I2509))&gt;0),"Yes","No")))</f>
        <v>No</v>
      </c>
      <c r="AK2509" s="1">
        <f t="shared" si="235"/>
        <v>0</v>
      </c>
      <c r="AL2509" s="1">
        <f t="shared" si="236"/>
        <v>0</v>
      </c>
      <c r="AM2509" s="1">
        <f t="shared" si="237"/>
        <v>0</v>
      </c>
      <c r="AN2509" s="1">
        <f t="shared" si="238"/>
        <v>0</v>
      </c>
      <c r="AO2509">
        <f t="shared" si="239"/>
        <v>10000</v>
      </c>
      <c r="AP2509" s="105">
        <f>IF(AND(AL2509=1,OR('Top 25'!$A$10="All",C2509='Top 25'!$A$10),OR('Top 25'!$D$10="All",D2509='Top 25'!$D$10)),1,0)</f>
        <v>0</v>
      </c>
      <c r="AQ2509" s="105" t="str">
        <f>IF(AP2509=0,"",CHOOSE(MATCH('Top 25'!$G$10,{"Priority score","Economic need","Enrollment","Fresh miles","Nearby resources"},0),T2509,G2509,F2509,K2509,L2509))</f>
        <v/>
      </c>
      <c r="AR2509" s="105" t="str">
        <f>IF(AP2509=0,"",1+COUNTIFS($AP$2051:$AP$2550,1,$AQ$2051:$AQ$2550,IF('Top 25'!$J$10="Ascending","&lt;","&gt;")&amp;AQ2509)+COUNTIFS($AP$2051:$AP$2550,1,$AQ$2051:$AQ$2550,AQ2509,$W$2051:$W$2550,"&lt;"&amp;W2509))</f>
        <v/>
      </c>
      <c r="AT2509" s="105">
        <f>IF(AND(AL2509=1,OR(Master_rankableSchools!$A$10="All",C2509=Master_rankableSchools!$A$10),OR(Master_rankableSchools!$D$10="All",D2509=Master_rankableSchools!$D$10)),1,0)</f>
        <v>0</v>
      </c>
      <c r="AU2509" s="105" t="str">
        <f>IF(AT2509=0,"",CHOOSE(MATCH(Master_rankableSchools!$G$10,{"Priority score","Economic need","Enrollment","Fresh miles","Nearby resources"},0),T2509,G2509,F2509,K2509,L2509))</f>
        <v/>
      </c>
      <c r="AV2509" s="105" t="str">
        <f>IF(AT2509=0,"",1+COUNTIFS($AT$2051:$AT$2550,1,$AU$2051:$AU$2550,IF(Master_rankableSchools!$J$10="Ascending","&lt;","&gt;")&amp;AU2509)+COUNTIFS($AT$2051:$AT$2550,1,$AU$2051:$AU$2550,AU2509,$W$2051:$W$2550,"&lt;"&amp;W2509))</f>
        <v/>
      </c>
    </row>
    <row r="2510" spans="1:48" ht="22" customHeight="1">
      <c r="A2510" s="1" t="str">
        <f t="shared" si="210"/>
        <v/>
      </c>
      <c r="B2510" s="1" t="str">
        <f t="shared" si="211"/>
        <v/>
      </c>
      <c r="C2510" s="1" t="str">
        <f t="shared" si="212"/>
        <v/>
      </c>
      <c r="D2510" s="1" t="str">
        <f t="shared" si="213"/>
        <v/>
      </c>
      <c r="E2510" s="1" t="str">
        <f t="shared" si="214"/>
        <v/>
      </c>
      <c r="F2510" s="1" t="str">
        <f t="shared" si="215"/>
        <v/>
      </c>
      <c r="G2510" s="1" t="str">
        <f t="shared" si="216"/>
        <v/>
      </c>
      <c r="H2510" s="1" t="str">
        <f t="shared" si="217"/>
        <v/>
      </c>
      <c r="I2510" s="1">
        <f>IF(OR(A2510="",COUNTIFS('Staff Review'!$A$8:$A$507,A2510)&lt;&gt;1),0,MATCH(A2510,'Staff Review'!$A$8:$A$507,0))</f>
        <v>0</v>
      </c>
      <c r="J2510" s="1" t="str">
        <f>IF(I2510=0,"No",IF(INDEX('Staff Review'!$C$8:$C$507,I2510)="Yes","Yes","No"))</f>
        <v>No</v>
      </c>
      <c r="K2510" s="1" t="str">
        <f>IF(AI2510="Yes",INDEX('Staff Review'!$D$8:$D$507,I2510),IF(AB2510=0,"",IF(COUNT(INDEX($C$1531:$C$2030,AB2510))=1,INDEX($C$1531:$C$2030,AB2510),"")))</f>
        <v/>
      </c>
      <c r="L2510" s="1" t="str">
        <f>IF(AJ2510="Yes",INDEX('Staff Review'!$F$8:$F$507,I2510),IF(AB2510=0,"",IF(COUNT(INDEX($G$1531:$G$2030,AB2510))=1,INDEX($G$1531:$G$2030,AB2510),"")))</f>
        <v/>
      </c>
      <c r="M2510" s="1" t="str">
        <f t="shared" si="218"/>
        <v/>
      </c>
      <c r="N2510" s="1" t="str">
        <f t="shared" si="219"/>
        <v/>
      </c>
      <c r="O2510" s="1" t="str">
        <f t="shared" si="220"/>
        <v/>
      </c>
      <c r="P2510" s="1" t="str">
        <f t="shared" si="221"/>
        <v/>
      </c>
      <c r="Q2510" s="1" t="str">
        <f t="shared" si="222"/>
        <v/>
      </c>
      <c r="R2510" s="1" t="str">
        <f t="shared" si="223"/>
        <v/>
      </c>
      <c r="S2510" s="1" t="str">
        <f t="shared" si="224"/>
        <v/>
      </c>
      <c r="T2510" s="1" t="str">
        <f>IF(OR(COUNT(O2510:R2510)&lt;&gt;4,COUNT('Top 25'!$B$45:$E$45)&lt;&gt;4,MIN('Top 25'!$B$45:$E$45)&lt;0,SUM('Top 25'!$B$45:$E$45)&lt;=0),"",ROUND(85*(O2510/30*'Top 25'!$B$45+P2510/25*'Top 25'!$C$45+Q2510/25*'Top 25'!$D$45+R2510/5*'Top 25'!$E$45)/SUM('Top 25'!$B$45:$E$45),6))</f>
        <v/>
      </c>
      <c r="U2510" s="1" t="str">
        <f t="shared" si="225"/>
        <v/>
      </c>
      <c r="V2510" s="1" t="str">
        <f>IF(A2510="","",IF(AK2510&lt;&gt;1,"Duplicate source ID",IF(COUNTIFS('Staff Review'!$A$8:$A$507,A2510)&gt;1,"Duplicate review ID",IF(H2510&lt;&gt;"Yes","Outside scope",IF(J2510="Yes","Already served",IF(NOT(ISNUMBER(T2510)),"Missing data","Candidate"))))))</f>
        <v/>
      </c>
      <c r="W2510" s="1" t="str">
        <f t="shared" si="226"/>
        <v/>
      </c>
      <c r="X2510" s="1" t="str">
        <f t="shared" si="227"/>
        <v/>
      </c>
      <c r="Y2510" s="1">
        <f>IF(AND(H2510="Yes",OR(LEN('School Search'!$B$5)=0,ISNUMBER(SEARCH('School Search'!$B$5,B2510&amp;" "&amp;E2510&amp;" "&amp;A2510))),OR('School Search'!$D$5="All",C2510='School Search'!$D$5),OR('School Search'!$G$5="All eligible",AND('School Search'!$G$5="Not marked served",J2510&lt;&gt;"Yes"),AND('School Search'!$G$5="Missing data",V2510="Missing data"),AND('School Search'!$G$5="Marked served",J2510="Yes"))),1,0)</f>
        <v>0</v>
      </c>
      <c r="Z2510" s="1" t="str">
        <f>IF(Y2510=0,"",COUNTIFS($Y$2051:$Y$2550,1,$AO$2051:$AO$2550,"&lt;"&amp;AO2510)+COUNTIFS($Y$2051:Y2510,1,$AO$2051:AO2510,AO2510))</f>
        <v/>
      </c>
      <c r="AA2510" s="1" t="str">
        <f t="shared" si="228"/>
        <v>Missing demographic or access input</v>
      </c>
      <c r="AB2510" s="1">
        <f t="shared" si="229"/>
        <v>0</v>
      </c>
      <c r="AC2510" s="1" t="str">
        <f t="shared" si="230"/>
        <v/>
      </c>
      <c r="AD2510" s="1" t="str">
        <f t="shared" si="231"/>
        <v/>
      </c>
      <c r="AE2510" s="1" t="str">
        <f t="shared" si="232"/>
        <v/>
      </c>
      <c r="AF2510" s="1" t="str">
        <f t="shared" si="233"/>
        <v/>
      </c>
      <c r="AG2510" s="1" t="str">
        <f t="shared" si="234"/>
        <v/>
      </c>
      <c r="AH2510" s="1" t="str">
        <f>IF(I2510=0,"Not contacted",IF(INDEX('Staff Review'!$J$8:$J$507,I2510)="","Not contacted",INDEX('Staff Review'!$J$8:$J$507,I2510)))</f>
        <v>Not contacted</v>
      </c>
      <c r="AI2510" s="1" t="str">
        <f>IF(I2510=0,"No",IF(AND(COUNT(INDEX('Staff Review'!$D$8:$D$507,I2510))=1,INDEX('Staff Review'!$D$8:$D$507,I2510)&gt;=0,COUNT(INDEX('Staff Review'!$E$8:$E$507,I2510))=1,INDEX('Staff Review'!$E$8:$E$507,I2510)&gt;0,INDEX('Staff Review'!$E$8:$E$507,I2510)&lt;='Top 25'!$E$5,'Top 25'!$E$5-INDEX('Staff Review'!$E$8:$E$507,I2510)&lt;='Top 25'!$H$5,LEN(INDEX('Staff Review'!$H$8:$H$507,I2510))&gt;0),"Yes","No"))</f>
        <v>No</v>
      </c>
      <c r="AJ2510" s="1" t="str">
        <f>IF(I2510=0,"No",IF(COUNT(INDEX('Staff Review'!$F$8:$F$507,I2510))&lt;&gt;1,"No",IF(AND(INDEX('Staff Review'!$F$8:$F$507,I2510)&gt;=0,MOD(INDEX('Staff Review'!$F$8:$F$507,I2510),1)=0,COUNT(INDEX('Staff Review'!$G$8:$G$507,I2510))=1,INDEX('Staff Review'!$G$8:$G$507,I2510)&gt;0,INDEX('Staff Review'!$G$8:$G$507,I2510)&lt;='Top 25'!$E$5,'Top 25'!$E$5-INDEX('Staff Review'!$G$8:$G$507,I2510)&lt;='Top 25'!$H$5,LEN(INDEX('Staff Review'!$H$8:$H$507,I2510))&gt;0),"Yes","No")))</f>
        <v>No</v>
      </c>
      <c r="AK2510" s="1">
        <f t="shared" si="235"/>
        <v>0</v>
      </c>
      <c r="AL2510" s="1">
        <f t="shared" si="236"/>
        <v>0</v>
      </c>
      <c r="AM2510" s="1">
        <f t="shared" si="237"/>
        <v>0</v>
      </c>
      <c r="AN2510" s="1">
        <f t="shared" si="238"/>
        <v>0</v>
      </c>
      <c r="AO2510">
        <f t="shared" si="239"/>
        <v>10000</v>
      </c>
      <c r="AP2510" s="105">
        <f>IF(AND(AL2510=1,OR('Top 25'!$A$10="All",C2510='Top 25'!$A$10),OR('Top 25'!$D$10="All",D2510='Top 25'!$D$10)),1,0)</f>
        <v>0</v>
      </c>
      <c r="AQ2510" s="105" t="str">
        <f>IF(AP2510=0,"",CHOOSE(MATCH('Top 25'!$G$10,{"Priority score","Economic need","Enrollment","Fresh miles","Nearby resources"},0),T2510,G2510,F2510,K2510,L2510))</f>
        <v/>
      </c>
      <c r="AR2510" s="105" t="str">
        <f>IF(AP2510=0,"",1+COUNTIFS($AP$2051:$AP$2550,1,$AQ$2051:$AQ$2550,IF('Top 25'!$J$10="Ascending","&lt;","&gt;")&amp;AQ2510)+COUNTIFS($AP$2051:$AP$2550,1,$AQ$2051:$AQ$2550,AQ2510,$W$2051:$W$2550,"&lt;"&amp;W2510))</f>
        <v/>
      </c>
      <c r="AT2510" s="105">
        <f>IF(AND(AL2510=1,OR(Master_rankableSchools!$A$10="All",C2510=Master_rankableSchools!$A$10),OR(Master_rankableSchools!$D$10="All",D2510=Master_rankableSchools!$D$10)),1,0)</f>
        <v>0</v>
      </c>
      <c r="AU2510" s="105" t="str">
        <f>IF(AT2510=0,"",CHOOSE(MATCH(Master_rankableSchools!$G$10,{"Priority score","Economic need","Enrollment","Fresh miles","Nearby resources"},0),T2510,G2510,F2510,K2510,L2510))</f>
        <v/>
      </c>
      <c r="AV2510" s="105" t="str">
        <f>IF(AT2510=0,"",1+COUNTIFS($AT$2051:$AT$2550,1,$AU$2051:$AU$2550,IF(Master_rankableSchools!$J$10="Ascending","&lt;","&gt;")&amp;AU2510)+COUNTIFS($AT$2051:$AT$2550,1,$AU$2051:$AU$2550,AU2510,$W$2051:$W$2550,"&lt;"&amp;W2510))</f>
        <v/>
      </c>
    </row>
    <row r="2511" spans="1:48" ht="22" customHeight="1">
      <c r="A2511" s="1" t="str">
        <f t="shared" si="210"/>
        <v/>
      </c>
      <c r="B2511" s="1" t="str">
        <f t="shared" si="211"/>
        <v/>
      </c>
      <c r="C2511" s="1" t="str">
        <f t="shared" si="212"/>
        <v/>
      </c>
      <c r="D2511" s="1" t="str">
        <f t="shared" si="213"/>
        <v/>
      </c>
      <c r="E2511" s="1" t="str">
        <f t="shared" si="214"/>
        <v/>
      </c>
      <c r="F2511" s="1" t="str">
        <f t="shared" si="215"/>
        <v/>
      </c>
      <c r="G2511" s="1" t="str">
        <f t="shared" si="216"/>
        <v/>
      </c>
      <c r="H2511" s="1" t="str">
        <f t="shared" si="217"/>
        <v/>
      </c>
      <c r="I2511" s="1">
        <f>IF(OR(A2511="",COUNTIFS('Staff Review'!$A$8:$A$507,A2511)&lt;&gt;1),0,MATCH(A2511,'Staff Review'!$A$8:$A$507,0))</f>
        <v>0</v>
      </c>
      <c r="J2511" s="1" t="str">
        <f>IF(I2511=0,"No",IF(INDEX('Staff Review'!$C$8:$C$507,I2511)="Yes","Yes","No"))</f>
        <v>No</v>
      </c>
      <c r="K2511" s="1" t="str">
        <f>IF(AI2511="Yes",INDEX('Staff Review'!$D$8:$D$507,I2511),IF(AB2511=0,"",IF(COUNT(INDEX($C$1531:$C$2030,AB2511))=1,INDEX($C$1531:$C$2030,AB2511),"")))</f>
        <v/>
      </c>
      <c r="L2511" s="1" t="str">
        <f>IF(AJ2511="Yes",INDEX('Staff Review'!$F$8:$F$507,I2511),IF(AB2511=0,"",IF(COUNT(INDEX($G$1531:$G$2030,AB2511))=1,INDEX($G$1531:$G$2030,AB2511),"")))</f>
        <v/>
      </c>
      <c r="M2511" s="1" t="str">
        <f t="shared" si="218"/>
        <v/>
      </c>
      <c r="N2511" s="1" t="str">
        <f t="shared" si="219"/>
        <v/>
      </c>
      <c r="O2511" s="1" t="str">
        <f t="shared" si="220"/>
        <v/>
      </c>
      <c r="P2511" s="1" t="str">
        <f t="shared" si="221"/>
        <v/>
      </c>
      <c r="Q2511" s="1" t="str">
        <f t="shared" si="222"/>
        <v/>
      </c>
      <c r="R2511" s="1" t="str">
        <f t="shared" si="223"/>
        <v/>
      </c>
      <c r="S2511" s="1" t="str">
        <f t="shared" si="224"/>
        <v/>
      </c>
      <c r="T2511" s="1" t="str">
        <f>IF(OR(COUNT(O2511:R2511)&lt;&gt;4,COUNT('Top 25'!$B$45:$E$45)&lt;&gt;4,MIN('Top 25'!$B$45:$E$45)&lt;0,SUM('Top 25'!$B$45:$E$45)&lt;=0),"",ROUND(85*(O2511/30*'Top 25'!$B$45+P2511/25*'Top 25'!$C$45+Q2511/25*'Top 25'!$D$45+R2511/5*'Top 25'!$E$45)/SUM('Top 25'!$B$45:$E$45),6))</f>
        <v/>
      </c>
      <c r="U2511" s="1" t="str">
        <f t="shared" si="225"/>
        <v/>
      </c>
      <c r="V2511" s="1" t="str">
        <f>IF(A2511="","",IF(AK2511&lt;&gt;1,"Duplicate source ID",IF(COUNTIFS('Staff Review'!$A$8:$A$507,A2511)&gt;1,"Duplicate review ID",IF(H2511&lt;&gt;"Yes","Outside scope",IF(J2511="Yes","Already served",IF(NOT(ISNUMBER(T2511)),"Missing data","Candidate"))))))</f>
        <v/>
      </c>
      <c r="W2511" s="1" t="str">
        <f t="shared" si="226"/>
        <v/>
      </c>
      <c r="X2511" s="1" t="str">
        <f t="shared" si="227"/>
        <v/>
      </c>
      <c r="Y2511" s="1">
        <f>IF(AND(H2511="Yes",OR(LEN('School Search'!$B$5)=0,ISNUMBER(SEARCH('School Search'!$B$5,B2511&amp;" "&amp;E2511&amp;" "&amp;A2511))),OR('School Search'!$D$5="All",C2511='School Search'!$D$5),OR('School Search'!$G$5="All eligible",AND('School Search'!$G$5="Not marked served",J2511&lt;&gt;"Yes"),AND('School Search'!$G$5="Missing data",V2511="Missing data"),AND('School Search'!$G$5="Marked served",J2511="Yes"))),1,0)</f>
        <v>0</v>
      </c>
      <c r="Z2511" s="1" t="str">
        <f>IF(Y2511=0,"",COUNTIFS($Y$2051:$Y$2550,1,$AO$2051:$AO$2550,"&lt;"&amp;AO2511)+COUNTIFS($Y$2051:Y2511,1,$AO$2051:AO2511,AO2511))</f>
        <v/>
      </c>
      <c r="AA2511" s="1" t="str">
        <f t="shared" si="228"/>
        <v>Missing demographic or access input</v>
      </c>
      <c r="AB2511" s="1">
        <f t="shared" si="229"/>
        <v>0</v>
      </c>
      <c r="AC2511" s="1" t="str">
        <f t="shared" si="230"/>
        <v/>
      </c>
      <c r="AD2511" s="1" t="str">
        <f t="shared" si="231"/>
        <v/>
      </c>
      <c r="AE2511" s="1" t="str">
        <f t="shared" si="232"/>
        <v/>
      </c>
      <c r="AF2511" s="1" t="str">
        <f t="shared" si="233"/>
        <v/>
      </c>
      <c r="AG2511" s="1" t="str">
        <f t="shared" si="234"/>
        <v/>
      </c>
      <c r="AH2511" s="1" t="str">
        <f>IF(I2511=0,"Not contacted",IF(INDEX('Staff Review'!$J$8:$J$507,I2511)="","Not contacted",INDEX('Staff Review'!$J$8:$J$507,I2511)))</f>
        <v>Not contacted</v>
      </c>
      <c r="AI2511" s="1" t="str">
        <f>IF(I2511=0,"No",IF(AND(COUNT(INDEX('Staff Review'!$D$8:$D$507,I2511))=1,INDEX('Staff Review'!$D$8:$D$507,I2511)&gt;=0,COUNT(INDEX('Staff Review'!$E$8:$E$507,I2511))=1,INDEX('Staff Review'!$E$8:$E$507,I2511)&gt;0,INDEX('Staff Review'!$E$8:$E$507,I2511)&lt;='Top 25'!$E$5,'Top 25'!$E$5-INDEX('Staff Review'!$E$8:$E$507,I2511)&lt;='Top 25'!$H$5,LEN(INDEX('Staff Review'!$H$8:$H$507,I2511))&gt;0),"Yes","No"))</f>
        <v>No</v>
      </c>
      <c r="AJ2511" s="1" t="str">
        <f>IF(I2511=0,"No",IF(COUNT(INDEX('Staff Review'!$F$8:$F$507,I2511))&lt;&gt;1,"No",IF(AND(INDEX('Staff Review'!$F$8:$F$507,I2511)&gt;=0,MOD(INDEX('Staff Review'!$F$8:$F$507,I2511),1)=0,COUNT(INDEX('Staff Review'!$G$8:$G$507,I2511))=1,INDEX('Staff Review'!$G$8:$G$507,I2511)&gt;0,INDEX('Staff Review'!$G$8:$G$507,I2511)&lt;='Top 25'!$E$5,'Top 25'!$E$5-INDEX('Staff Review'!$G$8:$G$507,I2511)&lt;='Top 25'!$H$5,LEN(INDEX('Staff Review'!$H$8:$H$507,I2511))&gt;0),"Yes","No")))</f>
        <v>No</v>
      </c>
      <c r="AK2511" s="1">
        <f t="shared" si="235"/>
        <v>0</v>
      </c>
      <c r="AL2511" s="1">
        <f t="shared" si="236"/>
        <v>0</v>
      </c>
      <c r="AM2511" s="1">
        <f t="shared" si="237"/>
        <v>0</v>
      </c>
      <c r="AN2511" s="1">
        <f t="shared" si="238"/>
        <v>0</v>
      </c>
      <c r="AO2511">
        <f t="shared" si="239"/>
        <v>10000</v>
      </c>
      <c r="AP2511" s="105">
        <f>IF(AND(AL2511=1,OR('Top 25'!$A$10="All",C2511='Top 25'!$A$10),OR('Top 25'!$D$10="All",D2511='Top 25'!$D$10)),1,0)</f>
        <v>0</v>
      </c>
      <c r="AQ2511" s="105" t="str">
        <f>IF(AP2511=0,"",CHOOSE(MATCH('Top 25'!$G$10,{"Priority score","Economic need","Enrollment","Fresh miles","Nearby resources"},0),T2511,G2511,F2511,K2511,L2511))</f>
        <v/>
      </c>
      <c r="AR2511" s="105" t="str">
        <f>IF(AP2511=0,"",1+COUNTIFS($AP$2051:$AP$2550,1,$AQ$2051:$AQ$2550,IF('Top 25'!$J$10="Ascending","&lt;","&gt;")&amp;AQ2511)+COUNTIFS($AP$2051:$AP$2550,1,$AQ$2051:$AQ$2550,AQ2511,$W$2051:$W$2550,"&lt;"&amp;W2511))</f>
        <v/>
      </c>
      <c r="AT2511" s="105">
        <f>IF(AND(AL2511=1,OR(Master_rankableSchools!$A$10="All",C2511=Master_rankableSchools!$A$10),OR(Master_rankableSchools!$D$10="All",D2511=Master_rankableSchools!$D$10)),1,0)</f>
        <v>0</v>
      </c>
      <c r="AU2511" s="105" t="str">
        <f>IF(AT2511=0,"",CHOOSE(MATCH(Master_rankableSchools!$G$10,{"Priority score","Economic need","Enrollment","Fresh miles","Nearby resources"},0),T2511,G2511,F2511,K2511,L2511))</f>
        <v/>
      </c>
      <c r="AV2511" s="105" t="str">
        <f>IF(AT2511=0,"",1+COUNTIFS($AT$2051:$AT$2550,1,$AU$2051:$AU$2550,IF(Master_rankableSchools!$J$10="Ascending","&lt;","&gt;")&amp;AU2511)+COUNTIFS($AT$2051:$AT$2550,1,$AU$2051:$AU$2550,AU2511,$W$2051:$W$2550,"&lt;"&amp;W2511))</f>
        <v/>
      </c>
    </row>
    <row r="2512" spans="1:48" ht="22" customHeight="1">
      <c r="A2512" s="1" t="str">
        <f t="shared" si="210"/>
        <v/>
      </c>
      <c r="B2512" s="1" t="str">
        <f t="shared" si="211"/>
        <v/>
      </c>
      <c r="C2512" s="1" t="str">
        <f t="shared" si="212"/>
        <v/>
      </c>
      <c r="D2512" s="1" t="str">
        <f t="shared" si="213"/>
        <v/>
      </c>
      <c r="E2512" s="1" t="str">
        <f t="shared" si="214"/>
        <v/>
      </c>
      <c r="F2512" s="1" t="str">
        <f t="shared" si="215"/>
        <v/>
      </c>
      <c r="G2512" s="1" t="str">
        <f t="shared" si="216"/>
        <v/>
      </c>
      <c r="H2512" s="1" t="str">
        <f t="shared" si="217"/>
        <v/>
      </c>
      <c r="I2512" s="1">
        <f>IF(OR(A2512="",COUNTIFS('Staff Review'!$A$8:$A$507,A2512)&lt;&gt;1),0,MATCH(A2512,'Staff Review'!$A$8:$A$507,0))</f>
        <v>0</v>
      </c>
      <c r="J2512" s="1" t="str">
        <f>IF(I2512=0,"No",IF(INDEX('Staff Review'!$C$8:$C$507,I2512)="Yes","Yes","No"))</f>
        <v>No</v>
      </c>
      <c r="K2512" s="1" t="str">
        <f>IF(AI2512="Yes",INDEX('Staff Review'!$D$8:$D$507,I2512),IF(AB2512=0,"",IF(COUNT(INDEX($C$1531:$C$2030,AB2512))=1,INDEX($C$1531:$C$2030,AB2512),"")))</f>
        <v/>
      </c>
      <c r="L2512" s="1" t="str">
        <f>IF(AJ2512="Yes",INDEX('Staff Review'!$F$8:$F$507,I2512),IF(AB2512=0,"",IF(COUNT(INDEX($G$1531:$G$2030,AB2512))=1,INDEX($G$1531:$G$2030,AB2512),"")))</f>
        <v/>
      </c>
      <c r="M2512" s="1" t="str">
        <f t="shared" si="218"/>
        <v/>
      </c>
      <c r="N2512" s="1" t="str">
        <f t="shared" si="219"/>
        <v/>
      </c>
      <c r="O2512" s="1" t="str">
        <f t="shared" si="220"/>
        <v/>
      </c>
      <c r="P2512" s="1" t="str">
        <f t="shared" si="221"/>
        <v/>
      </c>
      <c r="Q2512" s="1" t="str">
        <f t="shared" si="222"/>
        <v/>
      </c>
      <c r="R2512" s="1" t="str">
        <f t="shared" si="223"/>
        <v/>
      </c>
      <c r="S2512" s="1" t="str">
        <f t="shared" si="224"/>
        <v/>
      </c>
      <c r="T2512" s="1" t="str">
        <f>IF(OR(COUNT(O2512:R2512)&lt;&gt;4,COUNT('Top 25'!$B$45:$E$45)&lt;&gt;4,MIN('Top 25'!$B$45:$E$45)&lt;0,SUM('Top 25'!$B$45:$E$45)&lt;=0),"",ROUND(85*(O2512/30*'Top 25'!$B$45+P2512/25*'Top 25'!$C$45+Q2512/25*'Top 25'!$D$45+R2512/5*'Top 25'!$E$45)/SUM('Top 25'!$B$45:$E$45),6))</f>
        <v/>
      </c>
      <c r="U2512" s="1" t="str">
        <f t="shared" si="225"/>
        <v/>
      </c>
      <c r="V2512" s="1" t="str">
        <f>IF(A2512="","",IF(AK2512&lt;&gt;1,"Duplicate source ID",IF(COUNTIFS('Staff Review'!$A$8:$A$507,A2512)&gt;1,"Duplicate review ID",IF(H2512&lt;&gt;"Yes","Outside scope",IF(J2512="Yes","Already served",IF(NOT(ISNUMBER(T2512)),"Missing data","Candidate"))))))</f>
        <v/>
      </c>
      <c r="W2512" s="1" t="str">
        <f t="shared" si="226"/>
        <v/>
      </c>
      <c r="X2512" s="1" t="str">
        <f t="shared" si="227"/>
        <v/>
      </c>
      <c r="Y2512" s="1">
        <f>IF(AND(H2512="Yes",OR(LEN('School Search'!$B$5)=0,ISNUMBER(SEARCH('School Search'!$B$5,B2512&amp;" "&amp;E2512&amp;" "&amp;A2512))),OR('School Search'!$D$5="All",C2512='School Search'!$D$5),OR('School Search'!$G$5="All eligible",AND('School Search'!$G$5="Not marked served",J2512&lt;&gt;"Yes"),AND('School Search'!$G$5="Missing data",V2512="Missing data"),AND('School Search'!$G$5="Marked served",J2512="Yes"))),1,0)</f>
        <v>0</v>
      </c>
      <c r="Z2512" s="1" t="str">
        <f>IF(Y2512=0,"",COUNTIFS($Y$2051:$Y$2550,1,$AO$2051:$AO$2550,"&lt;"&amp;AO2512)+COUNTIFS($Y$2051:Y2512,1,$AO$2051:AO2512,AO2512))</f>
        <v/>
      </c>
      <c r="AA2512" s="1" t="str">
        <f t="shared" si="228"/>
        <v>Missing demographic or access input</v>
      </c>
      <c r="AB2512" s="1">
        <f t="shared" si="229"/>
        <v>0</v>
      </c>
      <c r="AC2512" s="1" t="str">
        <f t="shared" si="230"/>
        <v/>
      </c>
      <c r="AD2512" s="1" t="str">
        <f t="shared" si="231"/>
        <v/>
      </c>
      <c r="AE2512" s="1" t="str">
        <f t="shared" si="232"/>
        <v/>
      </c>
      <c r="AF2512" s="1" t="str">
        <f t="shared" si="233"/>
        <v/>
      </c>
      <c r="AG2512" s="1" t="str">
        <f t="shared" si="234"/>
        <v/>
      </c>
      <c r="AH2512" s="1" t="str">
        <f>IF(I2512=0,"Not contacted",IF(INDEX('Staff Review'!$J$8:$J$507,I2512)="","Not contacted",INDEX('Staff Review'!$J$8:$J$507,I2512)))</f>
        <v>Not contacted</v>
      </c>
      <c r="AI2512" s="1" t="str">
        <f>IF(I2512=0,"No",IF(AND(COUNT(INDEX('Staff Review'!$D$8:$D$507,I2512))=1,INDEX('Staff Review'!$D$8:$D$507,I2512)&gt;=0,COUNT(INDEX('Staff Review'!$E$8:$E$507,I2512))=1,INDEX('Staff Review'!$E$8:$E$507,I2512)&gt;0,INDEX('Staff Review'!$E$8:$E$507,I2512)&lt;='Top 25'!$E$5,'Top 25'!$E$5-INDEX('Staff Review'!$E$8:$E$507,I2512)&lt;='Top 25'!$H$5,LEN(INDEX('Staff Review'!$H$8:$H$507,I2512))&gt;0),"Yes","No"))</f>
        <v>No</v>
      </c>
      <c r="AJ2512" s="1" t="str">
        <f>IF(I2512=0,"No",IF(COUNT(INDEX('Staff Review'!$F$8:$F$507,I2512))&lt;&gt;1,"No",IF(AND(INDEX('Staff Review'!$F$8:$F$507,I2512)&gt;=0,MOD(INDEX('Staff Review'!$F$8:$F$507,I2512),1)=0,COUNT(INDEX('Staff Review'!$G$8:$G$507,I2512))=1,INDEX('Staff Review'!$G$8:$G$507,I2512)&gt;0,INDEX('Staff Review'!$G$8:$G$507,I2512)&lt;='Top 25'!$E$5,'Top 25'!$E$5-INDEX('Staff Review'!$G$8:$G$507,I2512)&lt;='Top 25'!$H$5,LEN(INDEX('Staff Review'!$H$8:$H$507,I2512))&gt;0),"Yes","No")))</f>
        <v>No</v>
      </c>
      <c r="AK2512" s="1">
        <f t="shared" si="235"/>
        <v>0</v>
      </c>
      <c r="AL2512" s="1">
        <f t="shared" si="236"/>
        <v>0</v>
      </c>
      <c r="AM2512" s="1">
        <f t="shared" si="237"/>
        <v>0</v>
      </c>
      <c r="AN2512" s="1">
        <f t="shared" si="238"/>
        <v>0</v>
      </c>
      <c r="AO2512">
        <f t="shared" si="239"/>
        <v>10000</v>
      </c>
      <c r="AP2512" s="105">
        <f>IF(AND(AL2512=1,OR('Top 25'!$A$10="All",C2512='Top 25'!$A$10),OR('Top 25'!$D$10="All",D2512='Top 25'!$D$10)),1,0)</f>
        <v>0</v>
      </c>
      <c r="AQ2512" s="105" t="str">
        <f>IF(AP2512=0,"",CHOOSE(MATCH('Top 25'!$G$10,{"Priority score","Economic need","Enrollment","Fresh miles","Nearby resources"},0),T2512,G2512,F2512,K2512,L2512))</f>
        <v/>
      </c>
      <c r="AR2512" s="105" t="str">
        <f>IF(AP2512=0,"",1+COUNTIFS($AP$2051:$AP$2550,1,$AQ$2051:$AQ$2550,IF('Top 25'!$J$10="Ascending","&lt;","&gt;")&amp;AQ2512)+COUNTIFS($AP$2051:$AP$2550,1,$AQ$2051:$AQ$2550,AQ2512,$W$2051:$W$2550,"&lt;"&amp;W2512))</f>
        <v/>
      </c>
      <c r="AT2512" s="105">
        <f>IF(AND(AL2512=1,OR(Master_rankableSchools!$A$10="All",C2512=Master_rankableSchools!$A$10),OR(Master_rankableSchools!$D$10="All",D2512=Master_rankableSchools!$D$10)),1,0)</f>
        <v>0</v>
      </c>
      <c r="AU2512" s="105" t="str">
        <f>IF(AT2512=0,"",CHOOSE(MATCH(Master_rankableSchools!$G$10,{"Priority score","Economic need","Enrollment","Fresh miles","Nearby resources"},0),T2512,G2512,F2512,K2512,L2512))</f>
        <v/>
      </c>
      <c r="AV2512" s="105" t="str">
        <f>IF(AT2512=0,"",1+COUNTIFS($AT$2051:$AT$2550,1,$AU$2051:$AU$2550,IF(Master_rankableSchools!$J$10="Ascending","&lt;","&gt;")&amp;AU2512)+COUNTIFS($AT$2051:$AT$2550,1,$AU$2051:$AU$2550,AU2512,$W$2051:$W$2550,"&lt;"&amp;W2512))</f>
        <v/>
      </c>
    </row>
    <row r="2513" spans="1:48" ht="22" customHeight="1">
      <c r="A2513" s="1" t="str">
        <f t="shared" si="210"/>
        <v/>
      </c>
      <c r="B2513" s="1" t="str">
        <f t="shared" si="211"/>
        <v/>
      </c>
      <c r="C2513" s="1" t="str">
        <f t="shared" si="212"/>
        <v/>
      </c>
      <c r="D2513" s="1" t="str">
        <f t="shared" si="213"/>
        <v/>
      </c>
      <c r="E2513" s="1" t="str">
        <f t="shared" si="214"/>
        <v/>
      </c>
      <c r="F2513" s="1" t="str">
        <f t="shared" si="215"/>
        <v/>
      </c>
      <c r="G2513" s="1" t="str">
        <f t="shared" si="216"/>
        <v/>
      </c>
      <c r="H2513" s="1" t="str">
        <f t="shared" si="217"/>
        <v/>
      </c>
      <c r="I2513" s="1">
        <f>IF(OR(A2513="",COUNTIFS('Staff Review'!$A$8:$A$507,A2513)&lt;&gt;1),0,MATCH(A2513,'Staff Review'!$A$8:$A$507,0))</f>
        <v>0</v>
      </c>
      <c r="J2513" s="1" t="str">
        <f>IF(I2513=0,"No",IF(INDEX('Staff Review'!$C$8:$C$507,I2513)="Yes","Yes","No"))</f>
        <v>No</v>
      </c>
      <c r="K2513" s="1" t="str">
        <f>IF(AI2513="Yes",INDEX('Staff Review'!$D$8:$D$507,I2513),IF(AB2513=0,"",IF(COUNT(INDEX($C$1531:$C$2030,AB2513))=1,INDEX($C$1531:$C$2030,AB2513),"")))</f>
        <v/>
      </c>
      <c r="L2513" s="1" t="str">
        <f>IF(AJ2513="Yes",INDEX('Staff Review'!$F$8:$F$507,I2513),IF(AB2513=0,"",IF(COUNT(INDEX($G$1531:$G$2030,AB2513))=1,INDEX($G$1531:$G$2030,AB2513),"")))</f>
        <v/>
      </c>
      <c r="M2513" s="1" t="str">
        <f t="shared" si="218"/>
        <v/>
      </c>
      <c r="N2513" s="1" t="str">
        <f t="shared" si="219"/>
        <v/>
      </c>
      <c r="O2513" s="1" t="str">
        <f t="shared" si="220"/>
        <v/>
      </c>
      <c r="P2513" s="1" t="str">
        <f t="shared" si="221"/>
        <v/>
      </c>
      <c r="Q2513" s="1" t="str">
        <f t="shared" si="222"/>
        <v/>
      </c>
      <c r="R2513" s="1" t="str">
        <f t="shared" si="223"/>
        <v/>
      </c>
      <c r="S2513" s="1" t="str">
        <f t="shared" si="224"/>
        <v/>
      </c>
      <c r="T2513" s="1" t="str">
        <f>IF(OR(COUNT(O2513:R2513)&lt;&gt;4,COUNT('Top 25'!$B$45:$E$45)&lt;&gt;4,MIN('Top 25'!$B$45:$E$45)&lt;0,SUM('Top 25'!$B$45:$E$45)&lt;=0),"",ROUND(85*(O2513/30*'Top 25'!$B$45+P2513/25*'Top 25'!$C$45+Q2513/25*'Top 25'!$D$45+R2513/5*'Top 25'!$E$45)/SUM('Top 25'!$B$45:$E$45),6))</f>
        <v/>
      </c>
      <c r="U2513" s="1" t="str">
        <f t="shared" si="225"/>
        <v/>
      </c>
      <c r="V2513" s="1" t="str">
        <f>IF(A2513="","",IF(AK2513&lt;&gt;1,"Duplicate source ID",IF(COUNTIFS('Staff Review'!$A$8:$A$507,A2513)&gt;1,"Duplicate review ID",IF(H2513&lt;&gt;"Yes","Outside scope",IF(J2513="Yes","Already served",IF(NOT(ISNUMBER(T2513)),"Missing data","Candidate"))))))</f>
        <v/>
      </c>
      <c r="W2513" s="1" t="str">
        <f t="shared" si="226"/>
        <v/>
      </c>
      <c r="X2513" s="1" t="str">
        <f t="shared" si="227"/>
        <v/>
      </c>
      <c r="Y2513" s="1">
        <f>IF(AND(H2513="Yes",OR(LEN('School Search'!$B$5)=0,ISNUMBER(SEARCH('School Search'!$B$5,B2513&amp;" "&amp;E2513&amp;" "&amp;A2513))),OR('School Search'!$D$5="All",C2513='School Search'!$D$5),OR('School Search'!$G$5="All eligible",AND('School Search'!$G$5="Not marked served",J2513&lt;&gt;"Yes"),AND('School Search'!$G$5="Missing data",V2513="Missing data"),AND('School Search'!$G$5="Marked served",J2513="Yes"))),1,0)</f>
        <v>0</v>
      </c>
      <c r="Z2513" s="1" t="str">
        <f>IF(Y2513=0,"",COUNTIFS($Y$2051:$Y$2550,1,$AO$2051:$AO$2550,"&lt;"&amp;AO2513)+COUNTIFS($Y$2051:Y2513,1,$AO$2051:AO2513,AO2513))</f>
        <v/>
      </c>
      <c r="AA2513" s="1" t="str">
        <f t="shared" si="228"/>
        <v>Missing demographic or access input</v>
      </c>
      <c r="AB2513" s="1">
        <f t="shared" si="229"/>
        <v>0</v>
      </c>
      <c r="AC2513" s="1" t="str">
        <f t="shared" si="230"/>
        <v/>
      </c>
      <c r="AD2513" s="1" t="str">
        <f t="shared" si="231"/>
        <v/>
      </c>
      <c r="AE2513" s="1" t="str">
        <f t="shared" si="232"/>
        <v/>
      </c>
      <c r="AF2513" s="1" t="str">
        <f t="shared" si="233"/>
        <v/>
      </c>
      <c r="AG2513" s="1" t="str">
        <f t="shared" si="234"/>
        <v/>
      </c>
      <c r="AH2513" s="1" t="str">
        <f>IF(I2513=0,"Not contacted",IF(INDEX('Staff Review'!$J$8:$J$507,I2513)="","Not contacted",INDEX('Staff Review'!$J$8:$J$507,I2513)))</f>
        <v>Not contacted</v>
      </c>
      <c r="AI2513" s="1" t="str">
        <f>IF(I2513=0,"No",IF(AND(COUNT(INDEX('Staff Review'!$D$8:$D$507,I2513))=1,INDEX('Staff Review'!$D$8:$D$507,I2513)&gt;=0,COUNT(INDEX('Staff Review'!$E$8:$E$507,I2513))=1,INDEX('Staff Review'!$E$8:$E$507,I2513)&gt;0,INDEX('Staff Review'!$E$8:$E$507,I2513)&lt;='Top 25'!$E$5,'Top 25'!$E$5-INDEX('Staff Review'!$E$8:$E$507,I2513)&lt;='Top 25'!$H$5,LEN(INDEX('Staff Review'!$H$8:$H$507,I2513))&gt;0),"Yes","No"))</f>
        <v>No</v>
      </c>
      <c r="AJ2513" s="1" t="str">
        <f>IF(I2513=0,"No",IF(COUNT(INDEX('Staff Review'!$F$8:$F$507,I2513))&lt;&gt;1,"No",IF(AND(INDEX('Staff Review'!$F$8:$F$507,I2513)&gt;=0,MOD(INDEX('Staff Review'!$F$8:$F$507,I2513),1)=0,COUNT(INDEX('Staff Review'!$G$8:$G$507,I2513))=1,INDEX('Staff Review'!$G$8:$G$507,I2513)&gt;0,INDEX('Staff Review'!$G$8:$G$507,I2513)&lt;='Top 25'!$E$5,'Top 25'!$E$5-INDEX('Staff Review'!$G$8:$G$507,I2513)&lt;='Top 25'!$H$5,LEN(INDEX('Staff Review'!$H$8:$H$507,I2513))&gt;0),"Yes","No")))</f>
        <v>No</v>
      </c>
      <c r="AK2513" s="1">
        <f t="shared" si="235"/>
        <v>0</v>
      </c>
      <c r="AL2513" s="1">
        <f t="shared" si="236"/>
        <v>0</v>
      </c>
      <c r="AM2513" s="1">
        <f t="shared" si="237"/>
        <v>0</v>
      </c>
      <c r="AN2513" s="1">
        <f t="shared" si="238"/>
        <v>0</v>
      </c>
      <c r="AO2513">
        <f t="shared" si="239"/>
        <v>10000</v>
      </c>
      <c r="AP2513" s="105">
        <f>IF(AND(AL2513=1,OR('Top 25'!$A$10="All",C2513='Top 25'!$A$10),OR('Top 25'!$D$10="All",D2513='Top 25'!$D$10)),1,0)</f>
        <v>0</v>
      </c>
      <c r="AQ2513" s="105" t="str">
        <f>IF(AP2513=0,"",CHOOSE(MATCH('Top 25'!$G$10,{"Priority score","Economic need","Enrollment","Fresh miles","Nearby resources"},0),T2513,G2513,F2513,K2513,L2513))</f>
        <v/>
      </c>
      <c r="AR2513" s="105" t="str">
        <f>IF(AP2513=0,"",1+COUNTIFS($AP$2051:$AP$2550,1,$AQ$2051:$AQ$2550,IF('Top 25'!$J$10="Ascending","&lt;","&gt;")&amp;AQ2513)+COUNTIFS($AP$2051:$AP$2550,1,$AQ$2051:$AQ$2550,AQ2513,$W$2051:$W$2550,"&lt;"&amp;W2513))</f>
        <v/>
      </c>
      <c r="AT2513" s="105">
        <f>IF(AND(AL2513=1,OR(Master_rankableSchools!$A$10="All",C2513=Master_rankableSchools!$A$10),OR(Master_rankableSchools!$D$10="All",D2513=Master_rankableSchools!$D$10)),1,0)</f>
        <v>0</v>
      </c>
      <c r="AU2513" s="105" t="str">
        <f>IF(AT2513=0,"",CHOOSE(MATCH(Master_rankableSchools!$G$10,{"Priority score","Economic need","Enrollment","Fresh miles","Nearby resources"},0),T2513,G2513,F2513,K2513,L2513))</f>
        <v/>
      </c>
      <c r="AV2513" s="105" t="str">
        <f>IF(AT2513=0,"",1+COUNTIFS($AT$2051:$AT$2550,1,$AU$2051:$AU$2550,IF(Master_rankableSchools!$J$10="Ascending","&lt;","&gt;")&amp;AU2513)+COUNTIFS($AT$2051:$AT$2550,1,$AU$2051:$AU$2550,AU2513,$W$2051:$W$2550,"&lt;"&amp;W2513))</f>
        <v/>
      </c>
    </row>
    <row r="2514" spans="1:48" ht="22" customHeight="1">
      <c r="A2514" s="1" t="str">
        <f t="shared" si="210"/>
        <v/>
      </c>
      <c r="B2514" s="1" t="str">
        <f t="shared" si="211"/>
        <v/>
      </c>
      <c r="C2514" s="1" t="str">
        <f t="shared" si="212"/>
        <v/>
      </c>
      <c r="D2514" s="1" t="str">
        <f t="shared" si="213"/>
        <v/>
      </c>
      <c r="E2514" s="1" t="str">
        <f t="shared" si="214"/>
        <v/>
      </c>
      <c r="F2514" s="1" t="str">
        <f t="shared" si="215"/>
        <v/>
      </c>
      <c r="G2514" s="1" t="str">
        <f t="shared" si="216"/>
        <v/>
      </c>
      <c r="H2514" s="1" t="str">
        <f t="shared" si="217"/>
        <v/>
      </c>
      <c r="I2514" s="1">
        <f>IF(OR(A2514="",COUNTIFS('Staff Review'!$A$8:$A$507,A2514)&lt;&gt;1),0,MATCH(A2514,'Staff Review'!$A$8:$A$507,0))</f>
        <v>0</v>
      </c>
      <c r="J2514" s="1" t="str">
        <f>IF(I2514=0,"No",IF(INDEX('Staff Review'!$C$8:$C$507,I2514)="Yes","Yes","No"))</f>
        <v>No</v>
      </c>
      <c r="K2514" s="1" t="str">
        <f>IF(AI2514="Yes",INDEX('Staff Review'!$D$8:$D$507,I2514),IF(AB2514=0,"",IF(COUNT(INDEX($C$1531:$C$2030,AB2514))=1,INDEX($C$1531:$C$2030,AB2514),"")))</f>
        <v/>
      </c>
      <c r="L2514" s="1" t="str">
        <f>IF(AJ2514="Yes",INDEX('Staff Review'!$F$8:$F$507,I2514),IF(AB2514=0,"",IF(COUNT(INDEX($G$1531:$G$2030,AB2514))=1,INDEX($G$1531:$G$2030,AB2514),"")))</f>
        <v/>
      </c>
      <c r="M2514" s="1" t="str">
        <f t="shared" si="218"/>
        <v/>
      </c>
      <c r="N2514" s="1" t="str">
        <f t="shared" si="219"/>
        <v/>
      </c>
      <c r="O2514" s="1" t="str">
        <f t="shared" si="220"/>
        <v/>
      </c>
      <c r="P2514" s="1" t="str">
        <f t="shared" si="221"/>
        <v/>
      </c>
      <c r="Q2514" s="1" t="str">
        <f t="shared" si="222"/>
        <v/>
      </c>
      <c r="R2514" s="1" t="str">
        <f t="shared" si="223"/>
        <v/>
      </c>
      <c r="S2514" s="1" t="str">
        <f t="shared" si="224"/>
        <v/>
      </c>
      <c r="T2514" s="1" t="str">
        <f>IF(OR(COUNT(O2514:R2514)&lt;&gt;4,COUNT('Top 25'!$B$45:$E$45)&lt;&gt;4,MIN('Top 25'!$B$45:$E$45)&lt;0,SUM('Top 25'!$B$45:$E$45)&lt;=0),"",ROUND(85*(O2514/30*'Top 25'!$B$45+P2514/25*'Top 25'!$C$45+Q2514/25*'Top 25'!$D$45+R2514/5*'Top 25'!$E$45)/SUM('Top 25'!$B$45:$E$45),6))</f>
        <v/>
      </c>
      <c r="U2514" s="1" t="str">
        <f t="shared" si="225"/>
        <v/>
      </c>
      <c r="V2514" s="1" t="str">
        <f>IF(A2514="","",IF(AK2514&lt;&gt;1,"Duplicate source ID",IF(COUNTIFS('Staff Review'!$A$8:$A$507,A2514)&gt;1,"Duplicate review ID",IF(H2514&lt;&gt;"Yes","Outside scope",IF(J2514="Yes","Already served",IF(NOT(ISNUMBER(T2514)),"Missing data","Candidate"))))))</f>
        <v/>
      </c>
      <c r="W2514" s="1" t="str">
        <f t="shared" si="226"/>
        <v/>
      </c>
      <c r="X2514" s="1" t="str">
        <f t="shared" si="227"/>
        <v/>
      </c>
      <c r="Y2514" s="1">
        <f>IF(AND(H2514="Yes",OR(LEN('School Search'!$B$5)=0,ISNUMBER(SEARCH('School Search'!$B$5,B2514&amp;" "&amp;E2514&amp;" "&amp;A2514))),OR('School Search'!$D$5="All",C2514='School Search'!$D$5),OR('School Search'!$G$5="All eligible",AND('School Search'!$G$5="Not marked served",J2514&lt;&gt;"Yes"),AND('School Search'!$G$5="Missing data",V2514="Missing data"),AND('School Search'!$G$5="Marked served",J2514="Yes"))),1,0)</f>
        <v>0</v>
      </c>
      <c r="Z2514" s="1" t="str">
        <f>IF(Y2514=0,"",COUNTIFS($Y$2051:$Y$2550,1,$AO$2051:$AO$2550,"&lt;"&amp;AO2514)+COUNTIFS($Y$2051:Y2514,1,$AO$2051:AO2514,AO2514))</f>
        <v/>
      </c>
      <c r="AA2514" s="1" t="str">
        <f t="shared" si="228"/>
        <v>Missing demographic or access input</v>
      </c>
      <c r="AB2514" s="1">
        <f t="shared" si="229"/>
        <v>0</v>
      </c>
      <c r="AC2514" s="1" t="str">
        <f t="shared" si="230"/>
        <v/>
      </c>
      <c r="AD2514" s="1" t="str">
        <f t="shared" si="231"/>
        <v/>
      </c>
      <c r="AE2514" s="1" t="str">
        <f t="shared" si="232"/>
        <v/>
      </c>
      <c r="AF2514" s="1" t="str">
        <f t="shared" si="233"/>
        <v/>
      </c>
      <c r="AG2514" s="1" t="str">
        <f t="shared" si="234"/>
        <v/>
      </c>
      <c r="AH2514" s="1" t="str">
        <f>IF(I2514=0,"Not contacted",IF(INDEX('Staff Review'!$J$8:$J$507,I2514)="","Not contacted",INDEX('Staff Review'!$J$8:$J$507,I2514)))</f>
        <v>Not contacted</v>
      </c>
      <c r="AI2514" s="1" t="str">
        <f>IF(I2514=0,"No",IF(AND(COUNT(INDEX('Staff Review'!$D$8:$D$507,I2514))=1,INDEX('Staff Review'!$D$8:$D$507,I2514)&gt;=0,COUNT(INDEX('Staff Review'!$E$8:$E$507,I2514))=1,INDEX('Staff Review'!$E$8:$E$507,I2514)&gt;0,INDEX('Staff Review'!$E$8:$E$507,I2514)&lt;='Top 25'!$E$5,'Top 25'!$E$5-INDEX('Staff Review'!$E$8:$E$507,I2514)&lt;='Top 25'!$H$5,LEN(INDEX('Staff Review'!$H$8:$H$507,I2514))&gt;0),"Yes","No"))</f>
        <v>No</v>
      </c>
      <c r="AJ2514" s="1" t="str">
        <f>IF(I2514=0,"No",IF(COUNT(INDEX('Staff Review'!$F$8:$F$507,I2514))&lt;&gt;1,"No",IF(AND(INDEX('Staff Review'!$F$8:$F$507,I2514)&gt;=0,MOD(INDEX('Staff Review'!$F$8:$F$507,I2514),1)=0,COUNT(INDEX('Staff Review'!$G$8:$G$507,I2514))=1,INDEX('Staff Review'!$G$8:$G$507,I2514)&gt;0,INDEX('Staff Review'!$G$8:$G$507,I2514)&lt;='Top 25'!$E$5,'Top 25'!$E$5-INDEX('Staff Review'!$G$8:$G$507,I2514)&lt;='Top 25'!$H$5,LEN(INDEX('Staff Review'!$H$8:$H$507,I2514))&gt;0),"Yes","No")))</f>
        <v>No</v>
      </c>
      <c r="AK2514" s="1">
        <f t="shared" si="235"/>
        <v>0</v>
      </c>
      <c r="AL2514" s="1">
        <f t="shared" si="236"/>
        <v>0</v>
      </c>
      <c r="AM2514" s="1">
        <f t="shared" si="237"/>
        <v>0</v>
      </c>
      <c r="AN2514" s="1">
        <f t="shared" si="238"/>
        <v>0</v>
      </c>
      <c r="AO2514">
        <f t="shared" si="239"/>
        <v>10000</v>
      </c>
      <c r="AP2514" s="105">
        <f>IF(AND(AL2514=1,OR('Top 25'!$A$10="All",C2514='Top 25'!$A$10),OR('Top 25'!$D$10="All",D2514='Top 25'!$D$10)),1,0)</f>
        <v>0</v>
      </c>
      <c r="AQ2514" s="105" t="str">
        <f>IF(AP2514=0,"",CHOOSE(MATCH('Top 25'!$G$10,{"Priority score","Economic need","Enrollment","Fresh miles","Nearby resources"},0),T2514,G2514,F2514,K2514,L2514))</f>
        <v/>
      </c>
      <c r="AR2514" s="105" t="str">
        <f>IF(AP2514=0,"",1+COUNTIFS($AP$2051:$AP$2550,1,$AQ$2051:$AQ$2550,IF('Top 25'!$J$10="Ascending","&lt;","&gt;")&amp;AQ2514)+COUNTIFS($AP$2051:$AP$2550,1,$AQ$2051:$AQ$2550,AQ2514,$W$2051:$W$2550,"&lt;"&amp;W2514))</f>
        <v/>
      </c>
      <c r="AT2514" s="105">
        <f>IF(AND(AL2514=1,OR(Master_rankableSchools!$A$10="All",C2514=Master_rankableSchools!$A$10),OR(Master_rankableSchools!$D$10="All",D2514=Master_rankableSchools!$D$10)),1,0)</f>
        <v>0</v>
      </c>
      <c r="AU2514" s="105" t="str">
        <f>IF(AT2514=0,"",CHOOSE(MATCH(Master_rankableSchools!$G$10,{"Priority score","Economic need","Enrollment","Fresh miles","Nearby resources"},0),T2514,G2514,F2514,K2514,L2514))</f>
        <v/>
      </c>
      <c r="AV2514" s="105" t="str">
        <f>IF(AT2514=0,"",1+COUNTIFS($AT$2051:$AT$2550,1,$AU$2051:$AU$2550,IF(Master_rankableSchools!$J$10="Ascending","&lt;","&gt;")&amp;AU2514)+COUNTIFS($AT$2051:$AT$2550,1,$AU$2051:$AU$2550,AU2514,$W$2051:$W$2550,"&lt;"&amp;W2514))</f>
        <v/>
      </c>
    </row>
    <row r="2515" spans="1:48" ht="22" customHeight="1">
      <c r="A2515" s="1" t="str">
        <f t="shared" si="210"/>
        <v/>
      </c>
      <c r="B2515" s="1" t="str">
        <f t="shared" si="211"/>
        <v/>
      </c>
      <c r="C2515" s="1" t="str">
        <f t="shared" si="212"/>
        <v/>
      </c>
      <c r="D2515" s="1" t="str">
        <f t="shared" si="213"/>
        <v/>
      </c>
      <c r="E2515" s="1" t="str">
        <f t="shared" si="214"/>
        <v/>
      </c>
      <c r="F2515" s="1" t="str">
        <f t="shared" si="215"/>
        <v/>
      </c>
      <c r="G2515" s="1" t="str">
        <f t="shared" si="216"/>
        <v/>
      </c>
      <c r="H2515" s="1" t="str">
        <f t="shared" si="217"/>
        <v/>
      </c>
      <c r="I2515" s="1">
        <f>IF(OR(A2515="",COUNTIFS('Staff Review'!$A$8:$A$507,A2515)&lt;&gt;1),0,MATCH(A2515,'Staff Review'!$A$8:$A$507,0))</f>
        <v>0</v>
      </c>
      <c r="J2515" s="1" t="str">
        <f>IF(I2515=0,"No",IF(INDEX('Staff Review'!$C$8:$C$507,I2515)="Yes","Yes","No"))</f>
        <v>No</v>
      </c>
      <c r="K2515" s="1" t="str">
        <f>IF(AI2515="Yes",INDEX('Staff Review'!$D$8:$D$507,I2515),IF(AB2515=0,"",IF(COUNT(INDEX($C$1531:$C$2030,AB2515))=1,INDEX($C$1531:$C$2030,AB2515),"")))</f>
        <v/>
      </c>
      <c r="L2515" s="1" t="str">
        <f>IF(AJ2515="Yes",INDEX('Staff Review'!$F$8:$F$507,I2515),IF(AB2515=0,"",IF(COUNT(INDEX($G$1531:$G$2030,AB2515))=1,INDEX($G$1531:$G$2030,AB2515),"")))</f>
        <v/>
      </c>
      <c r="M2515" s="1" t="str">
        <f t="shared" si="218"/>
        <v/>
      </c>
      <c r="N2515" s="1" t="str">
        <f t="shared" si="219"/>
        <v/>
      </c>
      <c r="O2515" s="1" t="str">
        <f t="shared" si="220"/>
        <v/>
      </c>
      <c r="P2515" s="1" t="str">
        <f t="shared" si="221"/>
        <v/>
      </c>
      <c r="Q2515" s="1" t="str">
        <f t="shared" si="222"/>
        <v/>
      </c>
      <c r="R2515" s="1" t="str">
        <f t="shared" si="223"/>
        <v/>
      </c>
      <c r="S2515" s="1" t="str">
        <f t="shared" si="224"/>
        <v/>
      </c>
      <c r="T2515" s="1" t="str">
        <f>IF(OR(COUNT(O2515:R2515)&lt;&gt;4,COUNT('Top 25'!$B$45:$E$45)&lt;&gt;4,MIN('Top 25'!$B$45:$E$45)&lt;0,SUM('Top 25'!$B$45:$E$45)&lt;=0),"",ROUND(85*(O2515/30*'Top 25'!$B$45+P2515/25*'Top 25'!$C$45+Q2515/25*'Top 25'!$D$45+R2515/5*'Top 25'!$E$45)/SUM('Top 25'!$B$45:$E$45),6))</f>
        <v/>
      </c>
      <c r="U2515" s="1" t="str">
        <f t="shared" si="225"/>
        <v/>
      </c>
      <c r="V2515" s="1" t="str">
        <f>IF(A2515="","",IF(AK2515&lt;&gt;1,"Duplicate source ID",IF(COUNTIFS('Staff Review'!$A$8:$A$507,A2515)&gt;1,"Duplicate review ID",IF(H2515&lt;&gt;"Yes","Outside scope",IF(J2515="Yes","Already served",IF(NOT(ISNUMBER(T2515)),"Missing data","Candidate"))))))</f>
        <v/>
      </c>
      <c r="W2515" s="1" t="str">
        <f t="shared" si="226"/>
        <v/>
      </c>
      <c r="X2515" s="1" t="str">
        <f t="shared" si="227"/>
        <v/>
      </c>
      <c r="Y2515" s="1">
        <f>IF(AND(H2515="Yes",OR(LEN('School Search'!$B$5)=0,ISNUMBER(SEARCH('School Search'!$B$5,B2515&amp;" "&amp;E2515&amp;" "&amp;A2515))),OR('School Search'!$D$5="All",C2515='School Search'!$D$5),OR('School Search'!$G$5="All eligible",AND('School Search'!$G$5="Not marked served",J2515&lt;&gt;"Yes"),AND('School Search'!$G$5="Missing data",V2515="Missing data"),AND('School Search'!$G$5="Marked served",J2515="Yes"))),1,0)</f>
        <v>0</v>
      </c>
      <c r="Z2515" s="1" t="str">
        <f>IF(Y2515=0,"",COUNTIFS($Y$2051:$Y$2550,1,$AO$2051:$AO$2550,"&lt;"&amp;AO2515)+COUNTIFS($Y$2051:Y2515,1,$AO$2051:AO2515,AO2515))</f>
        <v/>
      </c>
      <c r="AA2515" s="1" t="str">
        <f t="shared" si="228"/>
        <v>Missing demographic or access input</v>
      </c>
      <c r="AB2515" s="1">
        <f t="shared" si="229"/>
        <v>0</v>
      </c>
      <c r="AC2515" s="1" t="str">
        <f t="shared" si="230"/>
        <v/>
      </c>
      <c r="AD2515" s="1" t="str">
        <f t="shared" si="231"/>
        <v/>
      </c>
      <c r="AE2515" s="1" t="str">
        <f t="shared" si="232"/>
        <v/>
      </c>
      <c r="AF2515" s="1" t="str">
        <f t="shared" si="233"/>
        <v/>
      </c>
      <c r="AG2515" s="1" t="str">
        <f t="shared" si="234"/>
        <v/>
      </c>
      <c r="AH2515" s="1" t="str">
        <f>IF(I2515=0,"Not contacted",IF(INDEX('Staff Review'!$J$8:$J$507,I2515)="","Not contacted",INDEX('Staff Review'!$J$8:$J$507,I2515)))</f>
        <v>Not contacted</v>
      </c>
      <c r="AI2515" s="1" t="str">
        <f>IF(I2515=0,"No",IF(AND(COUNT(INDEX('Staff Review'!$D$8:$D$507,I2515))=1,INDEX('Staff Review'!$D$8:$D$507,I2515)&gt;=0,COUNT(INDEX('Staff Review'!$E$8:$E$507,I2515))=1,INDEX('Staff Review'!$E$8:$E$507,I2515)&gt;0,INDEX('Staff Review'!$E$8:$E$507,I2515)&lt;='Top 25'!$E$5,'Top 25'!$E$5-INDEX('Staff Review'!$E$8:$E$507,I2515)&lt;='Top 25'!$H$5,LEN(INDEX('Staff Review'!$H$8:$H$507,I2515))&gt;0),"Yes","No"))</f>
        <v>No</v>
      </c>
      <c r="AJ2515" s="1" t="str">
        <f>IF(I2515=0,"No",IF(COUNT(INDEX('Staff Review'!$F$8:$F$507,I2515))&lt;&gt;1,"No",IF(AND(INDEX('Staff Review'!$F$8:$F$507,I2515)&gt;=0,MOD(INDEX('Staff Review'!$F$8:$F$507,I2515),1)=0,COUNT(INDEX('Staff Review'!$G$8:$G$507,I2515))=1,INDEX('Staff Review'!$G$8:$G$507,I2515)&gt;0,INDEX('Staff Review'!$G$8:$G$507,I2515)&lt;='Top 25'!$E$5,'Top 25'!$E$5-INDEX('Staff Review'!$G$8:$G$507,I2515)&lt;='Top 25'!$H$5,LEN(INDEX('Staff Review'!$H$8:$H$507,I2515))&gt;0),"Yes","No")))</f>
        <v>No</v>
      </c>
      <c r="AK2515" s="1">
        <f t="shared" si="235"/>
        <v>0</v>
      </c>
      <c r="AL2515" s="1">
        <f t="shared" si="236"/>
        <v>0</v>
      </c>
      <c r="AM2515" s="1">
        <f t="shared" si="237"/>
        <v>0</v>
      </c>
      <c r="AN2515" s="1">
        <f t="shared" si="238"/>
        <v>0</v>
      </c>
      <c r="AO2515">
        <f t="shared" si="239"/>
        <v>10000</v>
      </c>
      <c r="AP2515" s="105">
        <f>IF(AND(AL2515=1,OR('Top 25'!$A$10="All",C2515='Top 25'!$A$10),OR('Top 25'!$D$10="All",D2515='Top 25'!$D$10)),1,0)</f>
        <v>0</v>
      </c>
      <c r="AQ2515" s="105" t="str">
        <f>IF(AP2515=0,"",CHOOSE(MATCH('Top 25'!$G$10,{"Priority score","Economic need","Enrollment","Fresh miles","Nearby resources"},0),T2515,G2515,F2515,K2515,L2515))</f>
        <v/>
      </c>
      <c r="AR2515" s="105" t="str">
        <f>IF(AP2515=0,"",1+COUNTIFS($AP$2051:$AP$2550,1,$AQ$2051:$AQ$2550,IF('Top 25'!$J$10="Ascending","&lt;","&gt;")&amp;AQ2515)+COUNTIFS($AP$2051:$AP$2550,1,$AQ$2051:$AQ$2550,AQ2515,$W$2051:$W$2550,"&lt;"&amp;W2515))</f>
        <v/>
      </c>
      <c r="AT2515" s="105">
        <f>IF(AND(AL2515=1,OR(Master_rankableSchools!$A$10="All",C2515=Master_rankableSchools!$A$10),OR(Master_rankableSchools!$D$10="All",D2515=Master_rankableSchools!$D$10)),1,0)</f>
        <v>0</v>
      </c>
      <c r="AU2515" s="105" t="str">
        <f>IF(AT2515=0,"",CHOOSE(MATCH(Master_rankableSchools!$G$10,{"Priority score","Economic need","Enrollment","Fresh miles","Nearby resources"},0),T2515,G2515,F2515,K2515,L2515))</f>
        <v/>
      </c>
      <c r="AV2515" s="105" t="str">
        <f>IF(AT2515=0,"",1+COUNTIFS($AT$2051:$AT$2550,1,$AU$2051:$AU$2550,IF(Master_rankableSchools!$J$10="Ascending","&lt;","&gt;")&amp;AU2515)+COUNTIFS($AT$2051:$AT$2550,1,$AU$2051:$AU$2550,AU2515,$W$2051:$W$2550,"&lt;"&amp;W2515))</f>
        <v/>
      </c>
    </row>
    <row r="2516" spans="1:48" ht="22" customHeight="1">
      <c r="A2516" s="1" t="str">
        <f t="shared" si="210"/>
        <v/>
      </c>
      <c r="B2516" s="1" t="str">
        <f t="shared" si="211"/>
        <v/>
      </c>
      <c r="C2516" s="1" t="str">
        <f t="shared" si="212"/>
        <v/>
      </c>
      <c r="D2516" s="1" t="str">
        <f t="shared" si="213"/>
        <v/>
      </c>
      <c r="E2516" s="1" t="str">
        <f t="shared" si="214"/>
        <v/>
      </c>
      <c r="F2516" s="1" t="str">
        <f t="shared" si="215"/>
        <v/>
      </c>
      <c r="G2516" s="1" t="str">
        <f t="shared" si="216"/>
        <v/>
      </c>
      <c r="H2516" s="1" t="str">
        <f t="shared" si="217"/>
        <v/>
      </c>
      <c r="I2516" s="1">
        <f>IF(OR(A2516="",COUNTIFS('Staff Review'!$A$8:$A$507,A2516)&lt;&gt;1),0,MATCH(A2516,'Staff Review'!$A$8:$A$507,0))</f>
        <v>0</v>
      </c>
      <c r="J2516" s="1" t="str">
        <f>IF(I2516=0,"No",IF(INDEX('Staff Review'!$C$8:$C$507,I2516)="Yes","Yes","No"))</f>
        <v>No</v>
      </c>
      <c r="K2516" s="1" t="str">
        <f>IF(AI2516="Yes",INDEX('Staff Review'!$D$8:$D$507,I2516),IF(AB2516=0,"",IF(COUNT(INDEX($C$1531:$C$2030,AB2516))=1,INDEX($C$1531:$C$2030,AB2516),"")))</f>
        <v/>
      </c>
      <c r="L2516" s="1" t="str">
        <f>IF(AJ2516="Yes",INDEX('Staff Review'!$F$8:$F$507,I2516),IF(AB2516=0,"",IF(COUNT(INDEX($G$1531:$G$2030,AB2516))=1,INDEX($G$1531:$G$2030,AB2516),"")))</f>
        <v/>
      </c>
      <c r="M2516" s="1" t="str">
        <f t="shared" si="218"/>
        <v/>
      </c>
      <c r="N2516" s="1" t="str">
        <f t="shared" si="219"/>
        <v/>
      </c>
      <c r="O2516" s="1" t="str">
        <f t="shared" si="220"/>
        <v/>
      </c>
      <c r="P2516" s="1" t="str">
        <f t="shared" si="221"/>
        <v/>
      </c>
      <c r="Q2516" s="1" t="str">
        <f t="shared" si="222"/>
        <v/>
      </c>
      <c r="R2516" s="1" t="str">
        <f t="shared" si="223"/>
        <v/>
      </c>
      <c r="S2516" s="1" t="str">
        <f t="shared" si="224"/>
        <v/>
      </c>
      <c r="T2516" s="1" t="str">
        <f>IF(OR(COUNT(O2516:R2516)&lt;&gt;4,COUNT('Top 25'!$B$45:$E$45)&lt;&gt;4,MIN('Top 25'!$B$45:$E$45)&lt;0,SUM('Top 25'!$B$45:$E$45)&lt;=0),"",ROUND(85*(O2516/30*'Top 25'!$B$45+P2516/25*'Top 25'!$C$45+Q2516/25*'Top 25'!$D$45+R2516/5*'Top 25'!$E$45)/SUM('Top 25'!$B$45:$E$45),6))</f>
        <v/>
      </c>
      <c r="U2516" s="1" t="str">
        <f t="shared" si="225"/>
        <v/>
      </c>
      <c r="V2516" s="1" t="str">
        <f>IF(A2516="","",IF(AK2516&lt;&gt;1,"Duplicate source ID",IF(COUNTIFS('Staff Review'!$A$8:$A$507,A2516)&gt;1,"Duplicate review ID",IF(H2516&lt;&gt;"Yes","Outside scope",IF(J2516="Yes","Already served",IF(NOT(ISNUMBER(T2516)),"Missing data","Candidate"))))))</f>
        <v/>
      </c>
      <c r="W2516" s="1" t="str">
        <f t="shared" si="226"/>
        <v/>
      </c>
      <c r="X2516" s="1" t="str">
        <f t="shared" si="227"/>
        <v/>
      </c>
      <c r="Y2516" s="1">
        <f>IF(AND(H2516="Yes",OR(LEN('School Search'!$B$5)=0,ISNUMBER(SEARCH('School Search'!$B$5,B2516&amp;" "&amp;E2516&amp;" "&amp;A2516))),OR('School Search'!$D$5="All",C2516='School Search'!$D$5),OR('School Search'!$G$5="All eligible",AND('School Search'!$G$5="Not marked served",J2516&lt;&gt;"Yes"),AND('School Search'!$G$5="Missing data",V2516="Missing data"),AND('School Search'!$G$5="Marked served",J2516="Yes"))),1,0)</f>
        <v>0</v>
      </c>
      <c r="Z2516" s="1" t="str">
        <f>IF(Y2516=0,"",COUNTIFS($Y$2051:$Y$2550,1,$AO$2051:$AO$2550,"&lt;"&amp;AO2516)+COUNTIFS($Y$2051:Y2516,1,$AO$2051:AO2516,AO2516))</f>
        <v/>
      </c>
      <c r="AA2516" s="1" t="str">
        <f t="shared" si="228"/>
        <v>Missing demographic or access input</v>
      </c>
      <c r="AB2516" s="1">
        <f t="shared" si="229"/>
        <v>0</v>
      </c>
      <c r="AC2516" s="1" t="str">
        <f t="shared" si="230"/>
        <v/>
      </c>
      <c r="AD2516" s="1" t="str">
        <f t="shared" si="231"/>
        <v/>
      </c>
      <c r="AE2516" s="1" t="str">
        <f t="shared" si="232"/>
        <v/>
      </c>
      <c r="AF2516" s="1" t="str">
        <f t="shared" si="233"/>
        <v/>
      </c>
      <c r="AG2516" s="1" t="str">
        <f t="shared" si="234"/>
        <v/>
      </c>
      <c r="AH2516" s="1" t="str">
        <f>IF(I2516=0,"Not contacted",IF(INDEX('Staff Review'!$J$8:$J$507,I2516)="","Not contacted",INDEX('Staff Review'!$J$8:$J$507,I2516)))</f>
        <v>Not contacted</v>
      </c>
      <c r="AI2516" s="1" t="str">
        <f>IF(I2516=0,"No",IF(AND(COUNT(INDEX('Staff Review'!$D$8:$D$507,I2516))=1,INDEX('Staff Review'!$D$8:$D$507,I2516)&gt;=0,COUNT(INDEX('Staff Review'!$E$8:$E$507,I2516))=1,INDEX('Staff Review'!$E$8:$E$507,I2516)&gt;0,INDEX('Staff Review'!$E$8:$E$507,I2516)&lt;='Top 25'!$E$5,'Top 25'!$E$5-INDEX('Staff Review'!$E$8:$E$507,I2516)&lt;='Top 25'!$H$5,LEN(INDEX('Staff Review'!$H$8:$H$507,I2516))&gt;0),"Yes","No"))</f>
        <v>No</v>
      </c>
      <c r="AJ2516" s="1" t="str">
        <f>IF(I2516=0,"No",IF(COUNT(INDEX('Staff Review'!$F$8:$F$507,I2516))&lt;&gt;1,"No",IF(AND(INDEX('Staff Review'!$F$8:$F$507,I2516)&gt;=0,MOD(INDEX('Staff Review'!$F$8:$F$507,I2516),1)=0,COUNT(INDEX('Staff Review'!$G$8:$G$507,I2516))=1,INDEX('Staff Review'!$G$8:$G$507,I2516)&gt;0,INDEX('Staff Review'!$G$8:$G$507,I2516)&lt;='Top 25'!$E$5,'Top 25'!$E$5-INDEX('Staff Review'!$G$8:$G$507,I2516)&lt;='Top 25'!$H$5,LEN(INDEX('Staff Review'!$H$8:$H$507,I2516))&gt;0),"Yes","No")))</f>
        <v>No</v>
      </c>
      <c r="AK2516" s="1">
        <f t="shared" si="235"/>
        <v>0</v>
      </c>
      <c r="AL2516" s="1">
        <f t="shared" si="236"/>
        <v>0</v>
      </c>
      <c r="AM2516" s="1">
        <f t="shared" si="237"/>
        <v>0</v>
      </c>
      <c r="AN2516" s="1">
        <f t="shared" si="238"/>
        <v>0</v>
      </c>
      <c r="AO2516">
        <f t="shared" si="239"/>
        <v>10000</v>
      </c>
      <c r="AP2516" s="105">
        <f>IF(AND(AL2516=1,OR('Top 25'!$A$10="All",C2516='Top 25'!$A$10),OR('Top 25'!$D$10="All",D2516='Top 25'!$D$10)),1,0)</f>
        <v>0</v>
      </c>
      <c r="AQ2516" s="105" t="str">
        <f>IF(AP2516=0,"",CHOOSE(MATCH('Top 25'!$G$10,{"Priority score","Economic need","Enrollment","Fresh miles","Nearby resources"},0),T2516,G2516,F2516,K2516,L2516))</f>
        <v/>
      </c>
      <c r="AR2516" s="105" t="str">
        <f>IF(AP2516=0,"",1+COUNTIFS($AP$2051:$AP$2550,1,$AQ$2051:$AQ$2550,IF('Top 25'!$J$10="Ascending","&lt;","&gt;")&amp;AQ2516)+COUNTIFS($AP$2051:$AP$2550,1,$AQ$2051:$AQ$2550,AQ2516,$W$2051:$W$2550,"&lt;"&amp;W2516))</f>
        <v/>
      </c>
      <c r="AT2516" s="105">
        <f>IF(AND(AL2516=1,OR(Master_rankableSchools!$A$10="All",C2516=Master_rankableSchools!$A$10),OR(Master_rankableSchools!$D$10="All",D2516=Master_rankableSchools!$D$10)),1,0)</f>
        <v>0</v>
      </c>
      <c r="AU2516" s="105" t="str">
        <f>IF(AT2516=0,"",CHOOSE(MATCH(Master_rankableSchools!$G$10,{"Priority score","Economic need","Enrollment","Fresh miles","Nearby resources"},0),T2516,G2516,F2516,K2516,L2516))</f>
        <v/>
      </c>
      <c r="AV2516" s="105" t="str">
        <f>IF(AT2516=0,"",1+COUNTIFS($AT$2051:$AT$2550,1,$AU$2051:$AU$2550,IF(Master_rankableSchools!$J$10="Ascending","&lt;","&gt;")&amp;AU2516)+COUNTIFS($AT$2051:$AT$2550,1,$AU$2051:$AU$2550,AU2516,$W$2051:$W$2550,"&lt;"&amp;W2516))</f>
        <v/>
      </c>
    </row>
    <row r="2517" spans="1:48" ht="22" customHeight="1">
      <c r="A2517" s="1" t="str">
        <f t="shared" si="210"/>
        <v/>
      </c>
      <c r="B2517" s="1" t="str">
        <f t="shared" si="211"/>
        <v/>
      </c>
      <c r="C2517" s="1" t="str">
        <f t="shared" si="212"/>
        <v/>
      </c>
      <c r="D2517" s="1" t="str">
        <f t="shared" si="213"/>
        <v/>
      </c>
      <c r="E2517" s="1" t="str">
        <f t="shared" si="214"/>
        <v/>
      </c>
      <c r="F2517" s="1" t="str">
        <f t="shared" si="215"/>
        <v/>
      </c>
      <c r="G2517" s="1" t="str">
        <f t="shared" si="216"/>
        <v/>
      </c>
      <c r="H2517" s="1" t="str">
        <f t="shared" si="217"/>
        <v/>
      </c>
      <c r="I2517" s="1">
        <f>IF(OR(A2517="",COUNTIFS('Staff Review'!$A$8:$A$507,A2517)&lt;&gt;1),0,MATCH(A2517,'Staff Review'!$A$8:$A$507,0))</f>
        <v>0</v>
      </c>
      <c r="J2517" s="1" t="str">
        <f>IF(I2517=0,"No",IF(INDEX('Staff Review'!$C$8:$C$507,I2517)="Yes","Yes","No"))</f>
        <v>No</v>
      </c>
      <c r="K2517" s="1" t="str">
        <f>IF(AI2517="Yes",INDEX('Staff Review'!$D$8:$D$507,I2517),IF(AB2517=0,"",IF(COUNT(INDEX($C$1531:$C$2030,AB2517))=1,INDEX($C$1531:$C$2030,AB2517),"")))</f>
        <v/>
      </c>
      <c r="L2517" s="1" t="str">
        <f>IF(AJ2517="Yes",INDEX('Staff Review'!$F$8:$F$507,I2517),IF(AB2517=0,"",IF(COUNT(INDEX($G$1531:$G$2030,AB2517))=1,INDEX($G$1531:$G$2030,AB2517),"")))</f>
        <v/>
      </c>
      <c r="M2517" s="1" t="str">
        <f t="shared" si="218"/>
        <v/>
      </c>
      <c r="N2517" s="1" t="str">
        <f t="shared" si="219"/>
        <v/>
      </c>
      <c r="O2517" s="1" t="str">
        <f t="shared" si="220"/>
        <v/>
      </c>
      <c r="P2517" s="1" t="str">
        <f t="shared" si="221"/>
        <v/>
      </c>
      <c r="Q2517" s="1" t="str">
        <f t="shared" si="222"/>
        <v/>
      </c>
      <c r="R2517" s="1" t="str">
        <f t="shared" si="223"/>
        <v/>
      </c>
      <c r="S2517" s="1" t="str">
        <f t="shared" si="224"/>
        <v/>
      </c>
      <c r="T2517" s="1" t="str">
        <f>IF(OR(COUNT(O2517:R2517)&lt;&gt;4,COUNT('Top 25'!$B$45:$E$45)&lt;&gt;4,MIN('Top 25'!$B$45:$E$45)&lt;0,SUM('Top 25'!$B$45:$E$45)&lt;=0),"",ROUND(85*(O2517/30*'Top 25'!$B$45+P2517/25*'Top 25'!$C$45+Q2517/25*'Top 25'!$D$45+R2517/5*'Top 25'!$E$45)/SUM('Top 25'!$B$45:$E$45),6))</f>
        <v/>
      </c>
      <c r="U2517" s="1" t="str">
        <f t="shared" si="225"/>
        <v/>
      </c>
      <c r="V2517" s="1" t="str">
        <f>IF(A2517="","",IF(AK2517&lt;&gt;1,"Duplicate source ID",IF(COUNTIFS('Staff Review'!$A$8:$A$507,A2517)&gt;1,"Duplicate review ID",IF(H2517&lt;&gt;"Yes","Outside scope",IF(J2517="Yes","Already served",IF(NOT(ISNUMBER(T2517)),"Missing data","Candidate"))))))</f>
        <v/>
      </c>
      <c r="W2517" s="1" t="str">
        <f t="shared" si="226"/>
        <v/>
      </c>
      <c r="X2517" s="1" t="str">
        <f t="shared" si="227"/>
        <v/>
      </c>
      <c r="Y2517" s="1">
        <f>IF(AND(H2517="Yes",OR(LEN('School Search'!$B$5)=0,ISNUMBER(SEARCH('School Search'!$B$5,B2517&amp;" "&amp;E2517&amp;" "&amp;A2517))),OR('School Search'!$D$5="All",C2517='School Search'!$D$5),OR('School Search'!$G$5="All eligible",AND('School Search'!$G$5="Not marked served",J2517&lt;&gt;"Yes"),AND('School Search'!$G$5="Missing data",V2517="Missing data"),AND('School Search'!$G$5="Marked served",J2517="Yes"))),1,0)</f>
        <v>0</v>
      </c>
      <c r="Z2517" s="1" t="str">
        <f>IF(Y2517=0,"",COUNTIFS($Y$2051:$Y$2550,1,$AO$2051:$AO$2550,"&lt;"&amp;AO2517)+COUNTIFS($Y$2051:Y2517,1,$AO$2051:AO2517,AO2517))</f>
        <v/>
      </c>
      <c r="AA2517" s="1" t="str">
        <f t="shared" si="228"/>
        <v>Missing demographic or access input</v>
      </c>
      <c r="AB2517" s="1">
        <f t="shared" si="229"/>
        <v>0</v>
      </c>
      <c r="AC2517" s="1" t="str">
        <f t="shared" si="230"/>
        <v/>
      </c>
      <c r="AD2517" s="1" t="str">
        <f t="shared" si="231"/>
        <v/>
      </c>
      <c r="AE2517" s="1" t="str">
        <f t="shared" si="232"/>
        <v/>
      </c>
      <c r="AF2517" s="1" t="str">
        <f t="shared" si="233"/>
        <v/>
      </c>
      <c r="AG2517" s="1" t="str">
        <f t="shared" si="234"/>
        <v/>
      </c>
      <c r="AH2517" s="1" t="str">
        <f>IF(I2517=0,"Not contacted",IF(INDEX('Staff Review'!$J$8:$J$507,I2517)="","Not contacted",INDEX('Staff Review'!$J$8:$J$507,I2517)))</f>
        <v>Not contacted</v>
      </c>
      <c r="AI2517" s="1" t="str">
        <f>IF(I2517=0,"No",IF(AND(COUNT(INDEX('Staff Review'!$D$8:$D$507,I2517))=1,INDEX('Staff Review'!$D$8:$D$507,I2517)&gt;=0,COUNT(INDEX('Staff Review'!$E$8:$E$507,I2517))=1,INDEX('Staff Review'!$E$8:$E$507,I2517)&gt;0,INDEX('Staff Review'!$E$8:$E$507,I2517)&lt;='Top 25'!$E$5,'Top 25'!$E$5-INDEX('Staff Review'!$E$8:$E$507,I2517)&lt;='Top 25'!$H$5,LEN(INDEX('Staff Review'!$H$8:$H$507,I2517))&gt;0),"Yes","No"))</f>
        <v>No</v>
      </c>
      <c r="AJ2517" s="1" t="str">
        <f>IF(I2517=0,"No",IF(COUNT(INDEX('Staff Review'!$F$8:$F$507,I2517))&lt;&gt;1,"No",IF(AND(INDEX('Staff Review'!$F$8:$F$507,I2517)&gt;=0,MOD(INDEX('Staff Review'!$F$8:$F$507,I2517),1)=0,COUNT(INDEX('Staff Review'!$G$8:$G$507,I2517))=1,INDEX('Staff Review'!$G$8:$G$507,I2517)&gt;0,INDEX('Staff Review'!$G$8:$G$507,I2517)&lt;='Top 25'!$E$5,'Top 25'!$E$5-INDEX('Staff Review'!$G$8:$G$507,I2517)&lt;='Top 25'!$H$5,LEN(INDEX('Staff Review'!$H$8:$H$507,I2517))&gt;0),"Yes","No")))</f>
        <v>No</v>
      </c>
      <c r="AK2517" s="1">
        <f t="shared" si="235"/>
        <v>0</v>
      </c>
      <c r="AL2517" s="1">
        <f t="shared" si="236"/>
        <v>0</v>
      </c>
      <c r="AM2517" s="1">
        <f t="shared" si="237"/>
        <v>0</v>
      </c>
      <c r="AN2517" s="1">
        <f t="shared" si="238"/>
        <v>0</v>
      </c>
      <c r="AO2517">
        <f t="shared" si="239"/>
        <v>10000</v>
      </c>
      <c r="AP2517" s="105">
        <f>IF(AND(AL2517=1,OR('Top 25'!$A$10="All",C2517='Top 25'!$A$10),OR('Top 25'!$D$10="All",D2517='Top 25'!$D$10)),1,0)</f>
        <v>0</v>
      </c>
      <c r="AQ2517" s="105" t="str">
        <f>IF(AP2517=0,"",CHOOSE(MATCH('Top 25'!$G$10,{"Priority score","Economic need","Enrollment","Fresh miles","Nearby resources"},0),T2517,G2517,F2517,K2517,L2517))</f>
        <v/>
      </c>
      <c r="AR2517" s="105" t="str">
        <f>IF(AP2517=0,"",1+COUNTIFS($AP$2051:$AP$2550,1,$AQ$2051:$AQ$2550,IF('Top 25'!$J$10="Ascending","&lt;","&gt;")&amp;AQ2517)+COUNTIFS($AP$2051:$AP$2550,1,$AQ$2051:$AQ$2550,AQ2517,$W$2051:$W$2550,"&lt;"&amp;W2517))</f>
        <v/>
      </c>
      <c r="AT2517" s="105">
        <f>IF(AND(AL2517=1,OR(Master_rankableSchools!$A$10="All",C2517=Master_rankableSchools!$A$10),OR(Master_rankableSchools!$D$10="All",D2517=Master_rankableSchools!$D$10)),1,0)</f>
        <v>0</v>
      </c>
      <c r="AU2517" s="105" t="str">
        <f>IF(AT2517=0,"",CHOOSE(MATCH(Master_rankableSchools!$G$10,{"Priority score","Economic need","Enrollment","Fresh miles","Nearby resources"},0),T2517,G2517,F2517,K2517,L2517))</f>
        <v/>
      </c>
      <c r="AV2517" s="105" t="str">
        <f>IF(AT2517=0,"",1+COUNTIFS($AT$2051:$AT$2550,1,$AU$2051:$AU$2550,IF(Master_rankableSchools!$J$10="Ascending","&lt;","&gt;")&amp;AU2517)+COUNTIFS($AT$2051:$AT$2550,1,$AU$2051:$AU$2550,AU2517,$W$2051:$W$2550,"&lt;"&amp;W2517))</f>
        <v/>
      </c>
    </row>
    <row r="2518" spans="1:48" ht="22" customHeight="1">
      <c r="A2518" s="1" t="str">
        <f t="shared" si="210"/>
        <v/>
      </c>
      <c r="B2518" s="1" t="str">
        <f t="shared" si="211"/>
        <v/>
      </c>
      <c r="C2518" s="1" t="str">
        <f t="shared" si="212"/>
        <v/>
      </c>
      <c r="D2518" s="1" t="str">
        <f t="shared" si="213"/>
        <v/>
      </c>
      <c r="E2518" s="1" t="str">
        <f t="shared" si="214"/>
        <v/>
      </c>
      <c r="F2518" s="1" t="str">
        <f t="shared" si="215"/>
        <v/>
      </c>
      <c r="G2518" s="1" t="str">
        <f t="shared" si="216"/>
        <v/>
      </c>
      <c r="H2518" s="1" t="str">
        <f t="shared" si="217"/>
        <v/>
      </c>
      <c r="I2518" s="1">
        <f>IF(OR(A2518="",COUNTIFS('Staff Review'!$A$8:$A$507,A2518)&lt;&gt;1),0,MATCH(A2518,'Staff Review'!$A$8:$A$507,0))</f>
        <v>0</v>
      </c>
      <c r="J2518" s="1" t="str">
        <f>IF(I2518=0,"No",IF(INDEX('Staff Review'!$C$8:$C$507,I2518)="Yes","Yes","No"))</f>
        <v>No</v>
      </c>
      <c r="K2518" s="1" t="str">
        <f>IF(AI2518="Yes",INDEX('Staff Review'!$D$8:$D$507,I2518),IF(AB2518=0,"",IF(COUNT(INDEX($C$1531:$C$2030,AB2518))=1,INDEX($C$1531:$C$2030,AB2518),"")))</f>
        <v/>
      </c>
      <c r="L2518" s="1" t="str">
        <f>IF(AJ2518="Yes",INDEX('Staff Review'!$F$8:$F$507,I2518),IF(AB2518=0,"",IF(COUNT(INDEX($G$1531:$G$2030,AB2518))=1,INDEX($G$1531:$G$2030,AB2518),"")))</f>
        <v/>
      </c>
      <c r="M2518" s="1" t="str">
        <f t="shared" si="218"/>
        <v/>
      </c>
      <c r="N2518" s="1" t="str">
        <f t="shared" si="219"/>
        <v/>
      </c>
      <c r="O2518" s="1" t="str">
        <f t="shared" si="220"/>
        <v/>
      </c>
      <c r="P2518" s="1" t="str">
        <f t="shared" si="221"/>
        <v/>
      </c>
      <c r="Q2518" s="1" t="str">
        <f t="shared" si="222"/>
        <v/>
      </c>
      <c r="R2518" s="1" t="str">
        <f t="shared" si="223"/>
        <v/>
      </c>
      <c r="S2518" s="1" t="str">
        <f t="shared" si="224"/>
        <v/>
      </c>
      <c r="T2518" s="1" t="str">
        <f>IF(OR(COUNT(O2518:R2518)&lt;&gt;4,COUNT('Top 25'!$B$45:$E$45)&lt;&gt;4,MIN('Top 25'!$B$45:$E$45)&lt;0,SUM('Top 25'!$B$45:$E$45)&lt;=0),"",ROUND(85*(O2518/30*'Top 25'!$B$45+P2518/25*'Top 25'!$C$45+Q2518/25*'Top 25'!$D$45+R2518/5*'Top 25'!$E$45)/SUM('Top 25'!$B$45:$E$45),6))</f>
        <v/>
      </c>
      <c r="U2518" s="1" t="str">
        <f t="shared" si="225"/>
        <v/>
      </c>
      <c r="V2518" s="1" t="str">
        <f>IF(A2518="","",IF(AK2518&lt;&gt;1,"Duplicate source ID",IF(COUNTIFS('Staff Review'!$A$8:$A$507,A2518)&gt;1,"Duplicate review ID",IF(H2518&lt;&gt;"Yes","Outside scope",IF(J2518="Yes","Already served",IF(NOT(ISNUMBER(T2518)),"Missing data","Candidate"))))))</f>
        <v/>
      </c>
      <c r="W2518" s="1" t="str">
        <f t="shared" si="226"/>
        <v/>
      </c>
      <c r="X2518" s="1" t="str">
        <f t="shared" si="227"/>
        <v/>
      </c>
      <c r="Y2518" s="1">
        <f>IF(AND(H2518="Yes",OR(LEN('School Search'!$B$5)=0,ISNUMBER(SEARCH('School Search'!$B$5,B2518&amp;" "&amp;E2518&amp;" "&amp;A2518))),OR('School Search'!$D$5="All",C2518='School Search'!$D$5),OR('School Search'!$G$5="All eligible",AND('School Search'!$G$5="Not marked served",J2518&lt;&gt;"Yes"),AND('School Search'!$G$5="Missing data",V2518="Missing data"),AND('School Search'!$G$5="Marked served",J2518="Yes"))),1,0)</f>
        <v>0</v>
      </c>
      <c r="Z2518" s="1" t="str">
        <f>IF(Y2518=0,"",COUNTIFS($Y$2051:$Y$2550,1,$AO$2051:$AO$2550,"&lt;"&amp;AO2518)+COUNTIFS($Y$2051:Y2518,1,$AO$2051:AO2518,AO2518))</f>
        <v/>
      </c>
      <c r="AA2518" s="1" t="str">
        <f t="shared" si="228"/>
        <v>Missing demographic or access input</v>
      </c>
      <c r="AB2518" s="1">
        <f t="shared" si="229"/>
        <v>0</v>
      </c>
      <c r="AC2518" s="1" t="str">
        <f t="shared" si="230"/>
        <v/>
      </c>
      <c r="AD2518" s="1" t="str">
        <f t="shared" si="231"/>
        <v/>
      </c>
      <c r="AE2518" s="1" t="str">
        <f t="shared" si="232"/>
        <v/>
      </c>
      <c r="AF2518" s="1" t="str">
        <f t="shared" si="233"/>
        <v/>
      </c>
      <c r="AG2518" s="1" t="str">
        <f t="shared" si="234"/>
        <v/>
      </c>
      <c r="AH2518" s="1" t="str">
        <f>IF(I2518=0,"Not contacted",IF(INDEX('Staff Review'!$J$8:$J$507,I2518)="","Not contacted",INDEX('Staff Review'!$J$8:$J$507,I2518)))</f>
        <v>Not contacted</v>
      </c>
      <c r="AI2518" s="1" t="str">
        <f>IF(I2518=0,"No",IF(AND(COUNT(INDEX('Staff Review'!$D$8:$D$507,I2518))=1,INDEX('Staff Review'!$D$8:$D$507,I2518)&gt;=0,COUNT(INDEX('Staff Review'!$E$8:$E$507,I2518))=1,INDEX('Staff Review'!$E$8:$E$507,I2518)&gt;0,INDEX('Staff Review'!$E$8:$E$507,I2518)&lt;='Top 25'!$E$5,'Top 25'!$E$5-INDEX('Staff Review'!$E$8:$E$507,I2518)&lt;='Top 25'!$H$5,LEN(INDEX('Staff Review'!$H$8:$H$507,I2518))&gt;0),"Yes","No"))</f>
        <v>No</v>
      </c>
      <c r="AJ2518" s="1" t="str">
        <f>IF(I2518=0,"No",IF(COUNT(INDEX('Staff Review'!$F$8:$F$507,I2518))&lt;&gt;1,"No",IF(AND(INDEX('Staff Review'!$F$8:$F$507,I2518)&gt;=0,MOD(INDEX('Staff Review'!$F$8:$F$507,I2518),1)=0,COUNT(INDEX('Staff Review'!$G$8:$G$507,I2518))=1,INDEX('Staff Review'!$G$8:$G$507,I2518)&gt;0,INDEX('Staff Review'!$G$8:$G$507,I2518)&lt;='Top 25'!$E$5,'Top 25'!$E$5-INDEX('Staff Review'!$G$8:$G$507,I2518)&lt;='Top 25'!$H$5,LEN(INDEX('Staff Review'!$H$8:$H$507,I2518))&gt;0),"Yes","No")))</f>
        <v>No</v>
      </c>
      <c r="AK2518" s="1">
        <f t="shared" si="235"/>
        <v>0</v>
      </c>
      <c r="AL2518" s="1">
        <f t="shared" si="236"/>
        <v>0</v>
      </c>
      <c r="AM2518" s="1">
        <f t="shared" si="237"/>
        <v>0</v>
      </c>
      <c r="AN2518" s="1">
        <f t="shared" si="238"/>
        <v>0</v>
      </c>
      <c r="AO2518">
        <f t="shared" si="239"/>
        <v>10000</v>
      </c>
      <c r="AP2518" s="105">
        <f>IF(AND(AL2518=1,OR('Top 25'!$A$10="All",C2518='Top 25'!$A$10),OR('Top 25'!$D$10="All",D2518='Top 25'!$D$10)),1,0)</f>
        <v>0</v>
      </c>
      <c r="AQ2518" s="105" t="str">
        <f>IF(AP2518=0,"",CHOOSE(MATCH('Top 25'!$G$10,{"Priority score","Economic need","Enrollment","Fresh miles","Nearby resources"},0),T2518,G2518,F2518,K2518,L2518))</f>
        <v/>
      </c>
      <c r="AR2518" s="105" t="str">
        <f>IF(AP2518=0,"",1+COUNTIFS($AP$2051:$AP$2550,1,$AQ$2051:$AQ$2550,IF('Top 25'!$J$10="Ascending","&lt;","&gt;")&amp;AQ2518)+COUNTIFS($AP$2051:$AP$2550,1,$AQ$2051:$AQ$2550,AQ2518,$W$2051:$W$2550,"&lt;"&amp;W2518))</f>
        <v/>
      </c>
      <c r="AT2518" s="105">
        <f>IF(AND(AL2518=1,OR(Master_rankableSchools!$A$10="All",C2518=Master_rankableSchools!$A$10),OR(Master_rankableSchools!$D$10="All",D2518=Master_rankableSchools!$D$10)),1,0)</f>
        <v>0</v>
      </c>
      <c r="AU2518" s="105" t="str">
        <f>IF(AT2518=0,"",CHOOSE(MATCH(Master_rankableSchools!$G$10,{"Priority score","Economic need","Enrollment","Fresh miles","Nearby resources"},0),T2518,G2518,F2518,K2518,L2518))</f>
        <v/>
      </c>
      <c r="AV2518" s="105" t="str">
        <f>IF(AT2518=0,"",1+COUNTIFS($AT$2051:$AT$2550,1,$AU$2051:$AU$2550,IF(Master_rankableSchools!$J$10="Ascending","&lt;","&gt;")&amp;AU2518)+COUNTIFS($AT$2051:$AT$2550,1,$AU$2051:$AU$2550,AU2518,$W$2051:$W$2550,"&lt;"&amp;W2518))</f>
        <v/>
      </c>
    </row>
    <row r="2519" spans="1:48" ht="22" customHeight="1">
      <c r="A2519" s="1" t="str">
        <f t="shared" si="210"/>
        <v/>
      </c>
      <c r="B2519" s="1" t="str">
        <f t="shared" si="211"/>
        <v/>
      </c>
      <c r="C2519" s="1" t="str">
        <f t="shared" si="212"/>
        <v/>
      </c>
      <c r="D2519" s="1" t="str">
        <f t="shared" si="213"/>
        <v/>
      </c>
      <c r="E2519" s="1" t="str">
        <f t="shared" si="214"/>
        <v/>
      </c>
      <c r="F2519" s="1" t="str">
        <f t="shared" si="215"/>
        <v/>
      </c>
      <c r="G2519" s="1" t="str">
        <f t="shared" si="216"/>
        <v/>
      </c>
      <c r="H2519" s="1" t="str">
        <f t="shared" si="217"/>
        <v/>
      </c>
      <c r="I2519" s="1">
        <f>IF(OR(A2519="",COUNTIFS('Staff Review'!$A$8:$A$507,A2519)&lt;&gt;1),0,MATCH(A2519,'Staff Review'!$A$8:$A$507,0))</f>
        <v>0</v>
      </c>
      <c r="J2519" s="1" t="str">
        <f>IF(I2519=0,"No",IF(INDEX('Staff Review'!$C$8:$C$507,I2519)="Yes","Yes","No"))</f>
        <v>No</v>
      </c>
      <c r="K2519" s="1" t="str">
        <f>IF(AI2519="Yes",INDEX('Staff Review'!$D$8:$D$507,I2519),IF(AB2519=0,"",IF(COUNT(INDEX($C$1531:$C$2030,AB2519))=1,INDEX($C$1531:$C$2030,AB2519),"")))</f>
        <v/>
      </c>
      <c r="L2519" s="1" t="str">
        <f>IF(AJ2519="Yes",INDEX('Staff Review'!$F$8:$F$507,I2519),IF(AB2519=0,"",IF(COUNT(INDEX($G$1531:$G$2030,AB2519))=1,INDEX($G$1531:$G$2030,AB2519),"")))</f>
        <v/>
      </c>
      <c r="M2519" s="1" t="str">
        <f t="shared" si="218"/>
        <v/>
      </c>
      <c r="N2519" s="1" t="str">
        <f t="shared" si="219"/>
        <v/>
      </c>
      <c r="O2519" s="1" t="str">
        <f t="shared" si="220"/>
        <v/>
      </c>
      <c r="P2519" s="1" t="str">
        <f t="shared" si="221"/>
        <v/>
      </c>
      <c r="Q2519" s="1" t="str">
        <f t="shared" si="222"/>
        <v/>
      </c>
      <c r="R2519" s="1" t="str">
        <f t="shared" si="223"/>
        <v/>
      </c>
      <c r="S2519" s="1" t="str">
        <f t="shared" si="224"/>
        <v/>
      </c>
      <c r="T2519" s="1" t="str">
        <f>IF(OR(COUNT(O2519:R2519)&lt;&gt;4,COUNT('Top 25'!$B$45:$E$45)&lt;&gt;4,MIN('Top 25'!$B$45:$E$45)&lt;0,SUM('Top 25'!$B$45:$E$45)&lt;=0),"",ROUND(85*(O2519/30*'Top 25'!$B$45+P2519/25*'Top 25'!$C$45+Q2519/25*'Top 25'!$D$45+R2519/5*'Top 25'!$E$45)/SUM('Top 25'!$B$45:$E$45),6))</f>
        <v/>
      </c>
      <c r="U2519" s="1" t="str">
        <f t="shared" si="225"/>
        <v/>
      </c>
      <c r="V2519" s="1" t="str">
        <f>IF(A2519="","",IF(AK2519&lt;&gt;1,"Duplicate source ID",IF(COUNTIFS('Staff Review'!$A$8:$A$507,A2519)&gt;1,"Duplicate review ID",IF(H2519&lt;&gt;"Yes","Outside scope",IF(J2519="Yes","Already served",IF(NOT(ISNUMBER(T2519)),"Missing data","Candidate"))))))</f>
        <v/>
      </c>
      <c r="W2519" s="1" t="str">
        <f t="shared" si="226"/>
        <v/>
      </c>
      <c r="X2519" s="1" t="str">
        <f t="shared" si="227"/>
        <v/>
      </c>
      <c r="Y2519" s="1">
        <f>IF(AND(H2519="Yes",OR(LEN('School Search'!$B$5)=0,ISNUMBER(SEARCH('School Search'!$B$5,B2519&amp;" "&amp;E2519&amp;" "&amp;A2519))),OR('School Search'!$D$5="All",C2519='School Search'!$D$5),OR('School Search'!$G$5="All eligible",AND('School Search'!$G$5="Not marked served",J2519&lt;&gt;"Yes"),AND('School Search'!$G$5="Missing data",V2519="Missing data"),AND('School Search'!$G$5="Marked served",J2519="Yes"))),1,0)</f>
        <v>0</v>
      </c>
      <c r="Z2519" s="1" t="str">
        <f>IF(Y2519=0,"",COUNTIFS($Y$2051:$Y$2550,1,$AO$2051:$AO$2550,"&lt;"&amp;AO2519)+COUNTIFS($Y$2051:Y2519,1,$AO$2051:AO2519,AO2519))</f>
        <v/>
      </c>
      <c r="AA2519" s="1" t="str">
        <f t="shared" si="228"/>
        <v>Missing demographic or access input</v>
      </c>
      <c r="AB2519" s="1">
        <f t="shared" si="229"/>
        <v>0</v>
      </c>
      <c r="AC2519" s="1" t="str">
        <f t="shared" si="230"/>
        <v/>
      </c>
      <c r="AD2519" s="1" t="str">
        <f t="shared" si="231"/>
        <v/>
      </c>
      <c r="AE2519" s="1" t="str">
        <f t="shared" si="232"/>
        <v/>
      </c>
      <c r="AF2519" s="1" t="str">
        <f t="shared" si="233"/>
        <v/>
      </c>
      <c r="AG2519" s="1" t="str">
        <f t="shared" si="234"/>
        <v/>
      </c>
      <c r="AH2519" s="1" t="str">
        <f>IF(I2519=0,"Not contacted",IF(INDEX('Staff Review'!$J$8:$J$507,I2519)="","Not contacted",INDEX('Staff Review'!$J$8:$J$507,I2519)))</f>
        <v>Not contacted</v>
      </c>
      <c r="AI2519" s="1" t="str">
        <f>IF(I2519=0,"No",IF(AND(COUNT(INDEX('Staff Review'!$D$8:$D$507,I2519))=1,INDEX('Staff Review'!$D$8:$D$507,I2519)&gt;=0,COUNT(INDEX('Staff Review'!$E$8:$E$507,I2519))=1,INDEX('Staff Review'!$E$8:$E$507,I2519)&gt;0,INDEX('Staff Review'!$E$8:$E$507,I2519)&lt;='Top 25'!$E$5,'Top 25'!$E$5-INDEX('Staff Review'!$E$8:$E$507,I2519)&lt;='Top 25'!$H$5,LEN(INDEX('Staff Review'!$H$8:$H$507,I2519))&gt;0),"Yes","No"))</f>
        <v>No</v>
      </c>
      <c r="AJ2519" s="1" t="str">
        <f>IF(I2519=0,"No",IF(COUNT(INDEX('Staff Review'!$F$8:$F$507,I2519))&lt;&gt;1,"No",IF(AND(INDEX('Staff Review'!$F$8:$F$507,I2519)&gt;=0,MOD(INDEX('Staff Review'!$F$8:$F$507,I2519),1)=0,COUNT(INDEX('Staff Review'!$G$8:$G$507,I2519))=1,INDEX('Staff Review'!$G$8:$G$507,I2519)&gt;0,INDEX('Staff Review'!$G$8:$G$507,I2519)&lt;='Top 25'!$E$5,'Top 25'!$E$5-INDEX('Staff Review'!$G$8:$G$507,I2519)&lt;='Top 25'!$H$5,LEN(INDEX('Staff Review'!$H$8:$H$507,I2519))&gt;0),"Yes","No")))</f>
        <v>No</v>
      </c>
      <c r="AK2519" s="1">
        <f t="shared" si="235"/>
        <v>0</v>
      </c>
      <c r="AL2519" s="1">
        <f t="shared" si="236"/>
        <v>0</v>
      </c>
      <c r="AM2519" s="1">
        <f t="shared" si="237"/>
        <v>0</v>
      </c>
      <c r="AN2519" s="1">
        <f t="shared" si="238"/>
        <v>0</v>
      </c>
      <c r="AO2519">
        <f t="shared" si="239"/>
        <v>10000</v>
      </c>
      <c r="AP2519" s="105">
        <f>IF(AND(AL2519=1,OR('Top 25'!$A$10="All",C2519='Top 25'!$A$10),OR('Top 25'!$D$10="All",D2519='Top 25'!$D$10)),1,0)</f>
        <v>0</v>
      </c>
      <c r="AQ2519" s="105" t="str">
        <f>IF(AP2519=0,"",CHOOSE(MATCH('Top 25'!$G$10,{"Priority score","Economic need","Enrollment","Fresh miles","Nearby resources"},0),T2519,G2519,F2519,K2519,L2519))</f>
        <v/>
      </c>
      <c r="AR2519" s="105" t="str">
        <f>IF(AP2519=0,"",1+COUNTIFS($AP$2051:$AP$2550,1,$AQ$2051:$AQ$2550,IF('Top 25'!$J$10="Ascending","&lt;","&gt;")&amp;AQ2519)+COUNTIFS($AP$2051:$AP$2550,1,$AQ$2051:$AQ$2550,AQ2519,$W$2051:$W$2550,"&lt;"&amp;W2519))</f>
        <v/>
      </c>
      <c r="AT2519" s="105">
        <f>IF(AND(AL2519=1,OR(Master_rankableSchools!$A$10="All",C2519=Master_rankableSchools!$A$10),OR(Master_rankableSchools!$D$10="All",D2519=Master_rankableSchools!$D$10)),1,0)</f>
        <v>0</v>
      </c>
      <c r="AU2519" s="105" t="str">
        <f>IF(AT2519=0,"",CHOOSE(MATCH(Master_rankableSchools!$G$10,{"Priority score","Economic need","Enrollment","Fresh miles","Nearby resources"},0),T2519,G2519,F2519,K2519,L2519))</f>
        <v/>
      </c>
      <c r="AV2519" s="105" t="str">
        <f>IF(AT2519=0,"",1+COUNTIFS($AT$2051:$AT$2550,1,$AU$2051:$AU$2550,IF(Master_rankableSchools!$J$10="Ascending","&lt;","&gt;")&amp;AU2519)+COUNTIFS($AT$2051:$AT$2550,1,$AU$2051:$AU$2550,AU2519,$W$2051:$W$2550,"&lt;"&amp;W2519))</f>
        <v/>
      </c>
    </row>
    <row r="2520" spans="1:48" ht="22" customHeight="1">
      <c r="A2520" s="1" t="str">
        <f t="shared" si="210"/>
        <v/>
      </c>
      <c r="B2520" s="1" t="str">
        <f t="shared" si="211"/>
        <v/>
      </c>
      <c r="C2520" s="1" t="str">
        <f t="shared" si="212"/>
        <v/>
      </c>
      <c r="D2520" s="1" t="str">
        <f t="shared" si="213"/>
        <v/>
      </c>
      <c r="E2520" s="1" t="str">
        <f t="shared" si="214"/>
        <v/>
      </c>
      <c r="F2520" s="1" t="str">
        <f t="shared" si="215"/>
        <v/>
      </c>
      <c r="G2520" s="1" t="str">
        <f t="shared" si="216"/>
        <v/>
      </c>
      <c r="H2520" s="1" t="str">
        <f t="shared" si="217"/>
        <v/>
      </c>
      <c r="I2520" s="1">
        <f>IF(OR(A2520="",COUNTIFS('Staff Review'!$A$8:$A$507,A2520)&lt;&gt;1),0,MATCH(A2520,'Staff Review'!$A$8:$A$507,0))</f>
        <v>0</v>
      </c>
      <c r="J2520" s="1" t="str">
        <f>IF(I2520=0,"No",IF(INDEX('Staff Review'!$C$8:$C$507,I2520)="Yes","Yes","No"))</f>
        <v>No</v>
      </c>
      <c r="K2520" s="1" t="str">
        <f>IF(AI2520="Yes",INDEX('Staff Review'!$D$8:$D$507,I2520),IF(AB2520=0,"",IF(COUNT(INDEX($C$1531:$C$2030,AB2520))=1,INDEX($C$1531:$C$2030,AB2520),"")))</f>
        <v/>
      </c>
      <c r="L2520" s="1" t="str">
        <f>IF(AJ2520="Yes",INDEX('Staff Review'!$F$8:$F$507,I2520),IF(AB2520=0,"",IF(COUNT(INDEX($G$1531:$G$2030,AB2520))=1,INDEX($G$1531:$G$2030,AB2520),"")))</f>
        <v/>
      </c>
      <c r="M2520" s="1" t="str">
        <f t="shared" si="218"/>
        <v/>
      </c>
      <c r="N2520" s="1" t="str">
        <f t="shared" si="219"/>
        <v/>
      </c>
      <c r="O2520" s="1" t="str">
        <f t="shared" si="220"/>
        <v/>
      </c>
      <c r="P2520" s="1" t="str">
        <f t="shared" si="221"/>
        <v/>
      </c>
      <c r="Q2520" s="1" t="str">
        <f t="shared" si="222"/>
        <v/>
      </c>
      <c r="R2520" s="1" t="str">
        <f t="shared" si="223"/>
        <v/>
      </c>
      <c r="S2520" s="1" t="str">
        <f t="shared" si="224"/>
        <v/>
      </c>
      <c r="T2520" s="1" t="str">
        <f>IF(OR(COUNT(O2520:R2520)&lt;&gt;4,COUNT('Top 25'!$B$45:$E$45)&lt;&gt;4,MIN('Top 25'!$B$45:$E$45)&lt;0,SUM('Top 25'!$B$45:$E$45)&lt;=0),"",ROUND(85*(O2520/30*'Top 25'!$B$45+P2520/25*'Top 25'!$C$45+Q2520/25*'Top 25'!$D$45+R2520/5*'Top 25'!$E$45)/SUM('Top 25'!$B$45:$E$45),6))</f>
        <v/>
      </c>
      <c r="U2520" s="1" t="str">
        <f t="shared" si="225"/>
        <v/>
      </c>
      <c r="V2520" s="1" t="str">
        <f>IF(A2520="","",IF(AK2520&lt;&gt;1,"Duplicate source ID",IF(COUNTIFS('Staff Review'!$A$8:$A$507,A2520)&gt;1,"Duplicate review ID",IF(H2520&lt;&gt;"Yes","Outside scope",IF(J2520="Yes","Already served",IF(NOT(ISNUMBER(T2520)),"Missing data","Candidate"))))))</f>
        <v/>
      </c>
      <c r="W2520" s="1" t="str">
        <f t="shared" si="226"/>
        <v/>
      </c>
      <c r="X2520" s="1" t="str">
        <f t="shared" si="227"/>
        <v/>
      </c>
      <c r="Y2520" s="1">
        <f>IF(AND(H2520="Yes",OR(LEN('School Search'!$B$5)=0,ISNUMBER(SEARCH('School Search'!$B$5,B2520&amp;" "&amp;E2520&amp;" "&amp;A2520))),OR('School Search'!$D$5="All",C2520='School Search'!$D$5),OR('School Search'!$G$5="All eligible",AND('School Search'!$G$5="Not marked served",J2520&lt;&gt;"Yes"),AND('School Search'!$G$5="Missing data",V2520="Missing data"),AND('School Search'!$G$5="Marked served",J2520="Yes"))),1,0)</f>
        <v>0</v>
      </c>
      <c r="Z2520" s="1" t="str">
        <f>IF(Y2520=0,"",COUNTIFS($Y$2051:$Y$2550,1,$AO$2051:$AO$2550,"&lt;"&amp;AO2520)+COUNTIFS($Y$2051:Y2520,1,$AO$2051:AO2520,AO2520))</f>
        <v/>
      </c>
      <c r="AA2520" s="1" t="str">
        <f t="shared" si="228"/>
        <v>Missing demographic or access input</v>
      </c>
      <c r="AB2520" s="1">
        <f t="shared" si="229"/>
        <v>0</v>
      </c>
      <c r="AC2520" s="1" t="str">
        <f t="shared" si="230"/>
        <v/>
      </c>
      <c r="AD2520" s="1" t="str">
        <f t="shared" si="231"/>
        <v/>
      </c>
      <c r="AE2520" s="1" t="str">
        <f t="shared" si="232"/>
        <v/>
      </c>
      <c r="AF2520" s="1" t="str">
        <f t="shared" si="233"/>
        <v/>
      </c>
      <c r="AG2520" s="1" t="str">
        <f t="shared" si="234"/>
        <v/>
      </c>
      <c r="AH2520" s="1" t="str">
        <f>IF(I2520=0,"Not contacted",IF(INDEX('Staff Review'!$J$8:$J$507,I2520)="","Not contacted",INDEX('Staff Review'!$J$8:$J$507,I2520)))</f>
        <v>Not contacted</v>
      </c>
      <c r="AI2520" s="1" t="str">
        <f>IF(I2520=0,"No",IF(AND(COUNT(INDEX('Staff Review'!$D$8:$D$507,I2520))=1,INDEX('Staff Review'!$D$8:$D$507,I2520)&gt;=0,COUNT(INDEX('Staff Review'!$E$8:$E$507,I2520))=1,INDEX('Staff Review'!$E$8:$E$507,I2520)&gt;0,INDEX('Staff Review'!$E$8:$E$507,I2520)&lt;='Top 25'!$E$5,'Top 25'!$E$5-INDEX('Staff Review'!$E$8:$E$507,I2520)&lt;='Top 25'!$H$5,LEN(INDEX('Staff Review'!$H$8:$H$507,I2520))&gt;0),"Yes","No"))</f>
        <v>No</v>
      </c>
      <c r="AJ2520" s="1" t="str">
        <f>IF(I2520=0,"No",IF(COUNT(INDEX('Staff Review'!$F$8:$F$507,I2520))&lt;&gt;1,"No",IF(AND(INDEX('Staff Review'!$F$8:$F$507,I2520)&gt;=0,MOD(INDEX('Staff Review'!$F$8:$F$507,I2520),1)=0,COUNT(INDEX('Staff Review'!$G$8:$G$507,I2520))=1,INDEX('Staff Review'!$G$8:$G$507,I2520)&gt;0,INDEX('Staff Review'!$G$8:$G$507,I2520)&lt;='Top 25'!$E$5,'Top 25'!$E$5-INDEX('Staff Review'!$G$8:$G$507,I2520)&lt;='Top 25'!$H$5,LEN(INDEX('Staff Review'!$H$8:$H$507,I2520))&gt;0),"Yes","No")))</f>
        <v>No</v>
      </c>
      <c r="AK2520" s="1">
        <f t="shared" si="235"/>
        <v>0</v>
      </c>
      <c r="AL2520" s="1">
        <f t="shared" si="236"/>
        <v>0</v>
      </c>
      <c r="AM2520" s="1">
        <f t="shared" si="237"/>
        <v>0</v>
      </c>
      <c r="AN2520" s="1">
        <f t="shared" si="238"/>
        <v>0</v>
      </c>
      <c r="AO2520">
        <f t="shared" si="239"/>
        <v>10000</v>
      </c>
      <c r="AP2520" s="105">
        <f>IF(AND(AL2520=1,OR('Top 25'!$A$10="All",C2520='Top 25'!$A$10),OR('Top 25'!$D$10="All",D2520='Top 25'!$D$10)),1,0)</f>
        <v>0</v>
      </c>
      <c r="AQ2520" s="105" t="str">
        <f>IF(AP2520=0,"",CHOOSE(MATCH('Top 25'!$G$10,{"Priority score","Economic need","Enrollment","Fresh miles","Nearby resources"},0),T2520,G2520,F2520,K2520,L2520))</f>
        <v/>
      </c>
      <c r="AR2520" s="105" t="str">
        <f>IF(AP2520=0,"",1+COUNTIFS($AP$2051:$AP$2550,1,$AQ$2051:$AQ$2550,IF('Top 25'!$J$10="Ascending","&lt;","&gt;")&amp;AQ2520)+COUNTIFS($AP$2051:$AP$2550,1,$AQ$2051:$AQ$2550,AQ2520,$W$2051:$W$2550,"&lt;"&amp;W2520))</f>
        <v/>
      </c>
      <c r="AT2520" s="105">
        <f>IF(AND(AL2520=1,OR(Master_rankableSchools!$A$10="All",C2520=Master_rankableSchools!$A$10),OR(Master_rankableSchools!$D$10="All",D2520=Master_rankableSchools!$D$10)),1,0)</f>
        <v>0</v>
      </c>
      <c r="AU2520" s="105" t="str">
        <f>IF(AT2520=0,"",CHOOSE(MATCH(Master_rankableSchools!$G$10,{"Priority score","Economic need","Enrollment","Fresh miles","Nearby resources"},0),T2520,G2520,F2520,K2520,L2520))</f>
        <v/>
      </c>
      <c r="AV2520" s="105" t="str">
        <f>IF(AT2520=0,"",1+COUNTIFS($AT$2051:$AT$2550,1,$AU$2051:$AU$2550,IF(Master_rankableSchools!$J$10="Ascending","&lt;","&gt;")&amp;AU2520)+COUNTIFS($AT$2051:$AT$2550,1,$AU$2051:$AU$2550,AU2520,$W$2051:$W$2550,"&lt;"&amp;W2520))</f>
        <v/>
      </c>
    </row>
    <row r="2521" spans="1:48" ht="22" customHeight="1">
      <c r="A2521" s="1" t="str">
        <f t="shared" si="210"/>
        <v/>
      </c>
      <c r="B2521" s="1" t="str">
        <f t="shared" si="211"/>
        <v/>
      </c>
      <c r="C2521" s="1" t="str">
        <f t="shared" si="212"/>
        <v/>
      </c>
      <c r="D2521" s="1" t="str">
        <f t="shared" si="213"/>
        <v/>
      </c>
      <c r="E2521" s="1" t="str">
        <f t="shared" si="214"/>
        <v/>
      </c>
      <c r="F2521" s="1" t="str">
        <f t="shared" si="215"/>
        <v/>
      </c>
      <c r="G2521" s="1" t="str">
        <f t="shared" si="216"/>
        <v/>
      </c>
      <c r="H2521" s="1" t="str">
        <f t="shared" si="217"/>
        <v/>
      </c>
      <c r="I2521" s="1">
        <f>IF(OR(A2521="",COUNTIFS('Staff Review'!$A$8:$A$507,A2521)&lt;&gt;1),0,MATCH(A2521,'Staff Review'!$A$8:$A$507,0))</f>
        <v>0</v>
      </c>
      <c r="J2521" s="1" t="str">
        <f>IF(I2521=0,"No",IF(INDEX('Staff Review'!$C$8:$C$507,I2521)="Yes","Yes","No"))</f>
        <v>No</v>
      </c>
      <c r="K2521" s="1" t="str">
        <f>IF(AI2521="Yes",INDEX('Staff Review'!$D$8:$D$507,I2521),IF(AB2521=0,"",IF(COUNT(INDEX($C$1531:$C$2030,AB2521))=1,INDEX($C$1531:$C$2030,AB2521),"")))</f>
        <v/>
      </c>
      <c r="L2521" s="1" t="str">
        <f>IF(AJ2521="Yes",INDEX('Staff Review'!$F$8:$F$507,I2521),IF(AB2521=0,"",IF(COUNT(INDEX($G$1531:$G$2030,AB2521))=1,INDEX($G$1531:$G$2030,AB2521),"")))</f>
        <v/>
      </c>
      <c r="M2521" s="1" t="str">
        <f t="shared" si="218"/>
        <v/>
      </c>
      <c r="N2521" s="1" t="str">
        <f t="shared" si="219"/>
        <v/>
      </c>
      <c r="O2521" s="1" t="str">
        <f t="shared" si="220"/>
        <v/>
      </c>
      <c r="P2521" s="1" t="str">
        <f t="shared" si="221"/>
        <v/>
      </c>
      <c r="Q2521" s="1" t="str">
        <f t="shared" si="222"/>
        <v/>
      </c>
      <c r="R2521" s="1" t="str">
        <f t="shared" si="223"/>
        <v/>
      </c>
      <c r="S2521" s="1" t="str">
        <f t="shared" si="224"/>
        <v/>
      </c>
      <c r="T2521" s="1" t="str">
        <f>IF(OR(COUNT(O2521:R2521)&lt;&gt;4,COUNT('Top 25'!$B$45:$E$45)&lt;&gt;4,MIN('Top 25'!$B$45:$E$45)&lt;0,SUM('Top 25'!$B$45:$E$45)&lt;=0),"",ROUND(85*(O2521/30*'Top 25'!$B$45+P2521/25*'Top 25'!$C$45+Q2521/25*'Top 25'!$D$45+R2521/5*'Top 25'!$E$45)/SUM('Top 25'!$B$45:$E$45),6))</f>
        <v/>
      </c>
      <c r="U2521" s="1" t="str">
        <f t="shared" si="225"/>
        <v/>
      </c>
      <c r="V2521" s="1" t="str">
        <f>IF(A2521="","",IF(AK2521&lt;&gt;1,"Duplicate source ID",IF(COUNTIFS('Staff Review'!$A$8:$A$507,A2521)&gt;1,"Duplicate review ID",IF(H2521&lt;&gt;"Yes","Outside scope",IF(J2521="Yes","Already served",IF(NOT(ISNUMBER(T2521)),"Missing data","Candidate"))))))</f>
        <v/>
      </c>
      <c r="W2521" s="1" t="str">
        <f t="shared" si="226"/>
        <v/>
      </c>
      <c r="X2521" s="1" t="str">
        <f t="shared" si="227"/>
        <v/>
      </c>
      <c r="Y2521" s="1">
        <f>IF(AND(H2521="Yes",OR(LEN('School Search'!$B$5)=0,ISNUMBER(SEARCH('School Search'!$B$5,B2521&amp;" "&amp;E2521&amp;" "&amp;A2521))),OR('School Search'!$D$5="All",C2521='School Search'!$D$5),OR('School Search'!$G$5="All eligible",AND('School Search'!$G$5="Not marked served",J2521&lt;&gt;"Yes"),AND('School Search'!$G$5="Missing data",V2521="Missing data"),AND('School Search'!$G$5="Marked served",J2521="Yes"))),1,0)</f>
        <v>0</v>
      </c>
      <c r="Z2521" s="1" t="str">
        <f>IF(Y2521=0,"",COUNTIFS($Y$2051:$Y$2550,1,$AO$2051:$AO$2550,"&lt;"&amp;AO2521)+COUNTIFS($Y$2051:Y2521,1,$AO$2051:AO2521,AO2521))</f>
        <v/>
      </c>
      <c r="AA2521" s="1" t="str">
        <f t="shared" si="228"/>
        <v>Missing demographic or access input</v>
      </c>
      <c r="AB2521" s="1">
        <f t="shared" si="229"/>
        <v>0</v>
      </c>
      <c r="AC2521" s="1" t="str">
        <f t="shared" si="230"/>
        <v/>
      </c>
      <c r="AD2521" s="1" t="str">
        <f t="shared" si="231"/>
        <v/>
      </c>
      <c r="AE2521" s="1" t="str">
        <f t="shared" si="232"/>
        <v/>
      </c>
      <c r="AF2521" s="1" t="str">
        <f t="shared" si="233"/>
        <v/>
      </c>
      <c r="AG2521" s="1" t="str">
        <f t="shared" si="234"/>
        <v/>
      </c>
      <c r="AH2521" s="1" t="str">
        <f>IF(I2521=0,"Not contacted",IF(INDEX('Staff Review'!$J$8:$J$507,I2521)="","Not contacted",INDEX('Staff Review'!$J$8:$J$507,I2521)))</f>
        <v>Not contacted</v>
      </c>
      <c r="AI2521" s="1" t="str">
        <f>IF(I2521=0,"No",IF(AND(COUNT(INDEX('Staff Review'!$D$8:$D$507,I2521))=1,INDEX('Staff Review'!$D$8:$D$507,I2521)&gt;=0,COUNT(INDEX('Staff Review'!$E$8:$E$507,I2521))=1,INDEX('Staff Review'!$E$8:$E$507,I2521)&gt;0,INDEX('Staff Review'!$E$8:$E$507,I2521)&lt;='Top 25'!$E$5,'Top 25'!$E$5-INDEX('Staff Review'!$E$8:$E$507,I2521)&lt;='Top 25'!$H$5,LEN(INDEX('Staff Review'!$H$8:$H$507,I2521))&gt;0),"Yes","No"))</f>
        <v>No</v>
      </c>
      <c r="AJ2521" s="1" t="str">
        <f>IF(I2521=0,"No",IF(COUNT(INDEX('Staff Review'!$F$8:$F$507,I2521))&lt;&gt;1,"No",IF(AND(INDEX('Staff Review'!$F$8:$F$507,I2521)&gt;=0,MOD(INDEX('Staff Review'!$F$8:$F$507,I2521),1)=0,COUNT(INDEX('Staff Review'!$G$8:$G$507,I2521))=1,INDEX('Staff Review'!$G$8:$G$507,I2521)&gt;0,INDEX('Staff Review'!$G$8:$G$507,I2521)&lt;='Top 25'!$E$5,'Top 25'!$E$5-INDEX('Staff Review'!$G$8:$G$507,I2521)&lt;='Top 25'!$H$5,LEN(INDEX('Staff Review'!$H$8:$H$507,I2521))&gt;0),"Yes","No")))</f>
        <v>No</v>
      </c>
      <c r="AK2521" s="1">
        <f t="shared" si="235"/>
        <v>0</v>
      </c>
      <c r="AL2521" s="1">
        <f t="shared" si="236"/>
        <v>0</v>
      </c>
      <c r="AM2521" s="1">
        <f t="shared" si="237"/>
        <v>0</v>
      </c>
      <c r="AN2521" s="1">
        <f t="shared" si="238"/>
        <v>0</v>
      </c>
      <c r="AO2521">
        <f t="shared" si="239"/>
        <v>10000</v>
      </c>
      <c r="AP2521" s="105">
        <f>IF(AND(AL2521=1,OR('Top 25'!$A$10="All",C2521='Top 25'!$A$10),OR('Top 25'!$D$10="All",D2521='Top 25'!$D$10)),1,0)</f>
        <v>0</v>
      </c>
      <c r="AQ2521" s="105" t="str">
        <f>IF(AP2521=0,"",CHOOSE(MATCH('Top 25'!$G$10,{"Priority score","Economic need","Enrollment","Fresh miles","Nearby resources"},0),T2521,G2521,F2521,K2521,L2521))</f>
        <v/>
      </c>
      <c r="AR2521" s="105" t="str">
        <f>IF(AP2521=0,"",1+COUNTIFS($AP$2051:$AP$2550,1,$AQ$2051:$AQ$2550,IF('Top 25'!$J$10="Ascending","&lt;","&gt;")&amp;AQ2521)+COUNTIFS($AP$2051:$AP$2550,1,$AQ$2051:$AQ$2550,AQ2521,$W$2051:$W$2550,"&lt;"&amp;W2521))</f>
        <v/>
      </c>
      <c r="AT2521" s="105">
        <f>IF(AND(AL2521=1,OR(Master_rankableSchools!$A$10="All",C2521=Master_rankableSchools!$A$10),OR(Master_rankableSchools!$D$10="All",D2521=Master_rankableSchools!$D$10)),1,0)</f>
        <v>0</v>
      </c>
      <c r="AU2521" s="105" t="str">
        <f>IF(AT2521=0,"",CHOOSE(MATCH(Master_rankableSchools!$G$10,{"Priority score","Economic need","Enrollment","Fresh miles","Nearby resources"},0),T2521,G2521,F2521,K2521,L2521))</f>
        <v/>
      </c>
      <c r="AV2521" s="105" t="str">
        <f>IF(AT2521=0,"",1+COUNTIFS($AT$2051:$AT$2550,1,$AU$2051:$AU$2550,IF(Master_rankableSchools!$J$10="Ascending","&lt;","&gt;")&amp;AU2521)+COUNTIFS($AT$2051:$AT$2550,1,$AU$2051:$AU$2550,AU2521,$W$2051:$W$2550,"&lt;"&amp;W2521))</f>
        <v/>
      </c>
    </row>
    <row r="2522" spans="1:48" ht="22" customHeight="1">
      <c r="A2522" s="1" t="str">
        <f t="shared" si="210"/>
        <v/>
      </c>
      <c r="B2522" s="1" t="str">
        <f t="shared" si="211"/>
        <v/>
      </c>
      <c r="C2522" s="1" t="str">
        <f t="shared" si="212"/>
        <v/>
      </c>
      <c r="D2522" s="1" t="str">
        <f t="shared" si="213"/>
        <v/>
      </c>
      <c r="E2522" s="1" t="str">
        <f t="shared" si="214"/>
        <v/>
      </c>
      <c r="F2522" s="1" t="str">
        <f t="shared" si="215"/>
        <v/>
      </c>
      <c r="G2522" s="1" t="str">
        <f t="shared" si="216"/>
        <v/>
      </c>
      <c r="H2522" s="1" t="str">
        <f t="shared" si="217"/>
        <v/>
      </c>
      <c r="I2522" s="1">
        <f>IF(OR(A2522="",COUNTIFS('Staff Review'!$A$8:$A$507,A2522)&lt;&gt;1),0,MATCH(A2522,'Staff Review'!$A$8:$A$507,0))</f>
        <v>0</v>
      </c>
      <c r="J2522" s="1" t="str">
        <f>IF(I2522=0,"No",IF(INDEX('Staff Review'!$C$8:$C$507,I2522)="Yes","Yes","No"))</f>
        <v>No</v>
      </c>
      <c r="K2522" s="1" t="str">
        <f>IF(AI2522="Yes",INDEX('Staff Review'!$D$8:$D$507,I2522),IF(AB2522=0,"",IF(COUNT(INDEX($C$1531:$C$2030,AB2522))=1,INDEX($C$1531:$C$2030,AB2522),"")))</f>
        <v/>
      </c>
      <c r="L2522" s="1" t="str">
        <f>IF(AJ2522="Yes",INDEX('Staff Review'!$F$8:$F$507,I2522),IF(AB2522=0,"",IF(COUNT(INDEX($G$1531:$G$2030,AB2522))=1,INDEX($G$1531:$G$2030,AB2522),"")))</f>
        <v/>
      </c>
      <c r="M2522" s="1" t="str">
        <f t="shared" si="218"/>
        <v/>
      </c>
      <c r="N2522" s="1" t="str">
        <f t="shared" si="219"/>
        <v/>
      </c>
      <c r="O2522" s="1" t="str">
        <f t="shared" si="220"/>
        <v/>
      </c>
      <c r="P2522" s="1" t="str">
        <f t="shared" si="221"/>
        <v/>
      </c>
      <c r="Q2522" s="1" t="str">
        <f t="shared" si="222"/>
        <v/>
      </c>
      <c r="R2522" s="1" t="str">
        <f t="shared" si="223"/>
        <v/>
      </c>
      <c r="S2522" s="1" t="str">
        <f t="shared" si="224"/>
        <v/>
      </c>
      <c r="T2522" s="1" t="str">
        <f>IF(OR(COUNT(O2522:R2522)&lt;&gt;4,COUNT('Top 25'!$B$45:$E$45)&lt;&gt;4,MIN('Top 25'!$B$45:$E$45)&lt;0,SUM('Top 25'!$B$45:$E$45)&lt;=0),"",ROUND(85*(O2522/30*'Top 25'!$B$45+P2522/25*'Top 25'!$C$45+Q2522/25*'Top 25'!$D$45+R2522/5*'Top 25'!$E$45)/SUM('Top 25'!$B$45:$E$45),6))</f>
        <v/>
      </c>
      <c r="U2522" s="1" t="str">
        <f t="shared" si="225"/>
        <v/>
      </c>
      <c r="V2522" s="1" t="str">
        <f>IF(A2522="","",IF(AK2522&lt;&gt;1,"Duplicate source ID",IF(COUNTIFS('Staff Review'!$A$8:$A$507,A2522)&gt;1,"Duplicate review ID",IF(H2522&lt;&gt;"Yes","Outside scope",IF(J2522="Yes","Already served",IF(NOT(ISNUMBER(T2522)),"Missing data","Candidate"))))))</f>
        <v/>
      </c>
      <c r="W2522" s="1" t="str">
        <f t="shared" si="226"/>
        <v/>
      </c>
      <c r="X2522" s="1" t="str">
        <f t="shared" si="227"/>
        <v/>
      </c>
      <c r="Y2522" s="1">
        <f>IF(AND(H2522="Yes",OR(LEN('School Search'!$B$5)=0,ISNUMBER(SEARCH('School Search'!$B$5,B2522&amp;" "&amp;E2522&amp;" "&amp;A2522))),OR('School Search'!$D$5="All",C2522='School Search'!$D$5),OR('School Search'!$G$5="All eligible",AND('School Search'!$G$5="Not marked served",J2522&lt;&gt;"Yes"),AND('School Search'!$G$5="Missing data",V2522="Missing data"),AND('School Search'!$G$5="Marked served",J2522="Yes"))),1,0)</f>
        <v>0</v>
      </c>
      <c r="Z2522" s="1" t="str">
        <f>IF(Y2522=0,"",COUNTIFS($Y$2051:$Y$2550,1,$AO$2051:$AO$2550,"&lt;"&amp;AO2522)+COUNTIFS($Y$2051:Y2522,1,$AO$2051:AO2522,AO2522))</f>
        <v/>
      </c>
      <c r="AA2522" s="1" t="str">
        <f t="shared" si="228"/>
        <v>Missing demographic or access input</v>
      </c>
      <c r="AB2522" s="1">
        <f t="shared" si="229"/>
        <v>0</v>
      </c>
      <c r="AC2522" s="1" t="str">
        <f t="shared" si="230"/>
        <v/>
      </c>
      <c r="AD2522" s="1" t="str">
        <f t="shared" si="231"/>
        <v/>
      </c>
      <c r="AE2522" s="1" t="str">
        <f t="shared" si="232"/>
        <v/>
      </c>
      <c r="AF2522" s="1" t="str">
        <f t="shared" si="233"/>
        <v/>
      </c>
      <c r="AG2522" s="1" t="str">
        <f t="shared" si="234"/>
        <v/>
      </c>
      <c r="AH2522" s="1" t="str">
        <f>IF(I2522=0,"Not contacted",IF(INDEX('Staff Review'!$J$8:$J$507,I2522)="","Not contacted",INDEX('Staff Review'!$J$8:$J$507,I2522)))</f>
        <v>Not contacted</v>
      </c>
      <c r="AI2522" s="1" t="str">
        <f>IF(I2522=0,"No",IF(AND(COUNT(INDEX('Staff Review'!$D$8:$D$507,I2522))=1,INDEX('Staff Review'!$D$8:$D$507,I2522)&gt;=0,COUNT(INDEX('Staff Review'!$E$8:$E$507,I2522))=1,INDEX('Staff Review'!$E$8:$E$507,I2522)&gt;0,INDEX('Staff Review'!$E$8:$E$507,I2522)&lt;='Top 25'!$E$5,'Top 25'!$E$5-INDEX('Staff Review'!$E$8:$E$507,I2522)&lt;='Top 25'!$H$5,LEN(INDEX('Staff Review'!$H$8:$H$507,I2522))&gt;0),"Yes","No"))</f>
        <v>No</v>
      </c>
      <c r="AJ2522" s="1" t="str">
        <f>IF(I2522=0,"No",IF(COUNT(INDEX('Staff Review'!$F$8:$F$507,I2522))&lt;&gt;1,"No",IF(AND(INDEX('Staff Review'!$F$8:$F$507,I2522)&gt;=0,MOD(INDEX('Staff Review'!$F$8:$F$507,I2522),1)=0,COUNT(INDEX('Staff Review'!$G$8:$G$507,I2522))=1,INDEX('Staff Review'!$G$8:$G$507,I2522)&gt;0,INDEX('Staff Review'!$G$8:$G$507,I2522)&lt;='Top 25'!$E$5,'Top 25'!$E$5-INDEX('Staff Review'!$G$8:$G$507,I2522)&lt;='Top 25'!$H$5,LEN(INDEX('Staff Review'!$H$8:$H$507,I2522))&gt;0),"Yes","No")))</f>
        <v>No</v>
      </c>
      <c r="AK2522" s="1">
        <f t="shared" si="235"/>
        <v>0</v>
      </c>
      <c r="AL2522" s="1">
        <f t="shared" si="236"/>
        <v>0</v>
      </c>
      <c r="AM2522" s="1">
        <f t="shared" si="237"/>
        <v>0</v>
      </c>
      <c r="AN2522" s="1">
        <f t="shared" si="238"/>
        <v>0</v>
      </c>
      <c r="AO2522">
        <f t="shared" si="239"/>
        <v>10000</v>
      </c>
      <c r="AP2522" s="105">
        <f>IF(AND(AL2522=1,OR('Top 25'!$A$10="All",C2522='Top 25'!$A$10),OR('Top 25'!$D$10="All",D2522='Top 25'!$D$10)),1,0)</f>
        <v>0</v>
      </c>
      <c r="AQ2522" s="105" t="str">
        <f>IF(AP2522=0,"",CHOOSE(MATCH('Top 25'!$G$10,{"Priority score","Economic need","Enrollment","Fresh miles","Nearby resources"},0),T2522,G2522,F2522,K2522,L2522))</f>
        <v/>
      </c>
      <c r="AR2522" s="105" t="str">
        <f>IF(AP2522=0,"",1+COUNTIFS($AP$2051:$AP$2550,1,$AQ$2051:$AQ$2550,IF('Top 25'!$J$10="Ascending","&lt;","&gt;")&amp;AQ2522)+COUNTIFS($AP$2051:$AP$2550,1,$AQ$2051:$AQ$2550,AQ2522,$W$2051:$W$2550,"&lt;"&amp;W2522))</f>
        <v/>
      </c>
      <c r="AT2522" s="105">
        <f>IF(AND(AL2522=1,OR(Master_rankableSchools!$A$10="All",C2522=Master_rankableSchools!$A$10),OR(Master_rankableSchools!$D$10="All",D2522=Master_rankableSchools!$D$10)),1,0)</f>
        <v>0</v>
      </c>
      <c r="AU2522" s="105" t="str">
        <f>IF(AT2522=0,"",CHOOSE(MATCH(Master_rankableSchools!$G$10,{"Priority score","Economic need","Enrollment","Fresh miles","Nearby resources"},0),T2522,G2522,F2522,K2522,L2522))</f>
        <v/>
      </c>
      <c r="AV2522" s="105" t="str">
        <f>IF(AT2522=0,"",1+COUNTIFS($AT$2051:$AT$2550,1,$AU$2051:$AU$2550,IF(Master_rankableSchools!$J$10="Ascending","&lt;","&gt;")&amp;AU2522)+COUNTIFS($AT$2051:$AT$2550,1,$AU$2051:$AU$2550,AU2522,$W$2051:$W$2550,"&lt;"&amp;W2522))</f>
        <v/>
      </c>
    </row>
    <row r="2523" spans="1:48" ht="22" customHeight="1">
      <c r="A2523" s="1" t="str">
        <f t="shared" si="210"/>
        <v/>
      </c>
      <c r="B2523" s="1" t="str">
        <f t="shared" si="211"/>
        <v/>
      </c>
      <c r="C2523" s="1" t="str">
        <f t="shared" si="212"/>
        <v/>
      </c>
      <c r="D2523" s="1" t="str">
        <f t="shared" si="213"/>
        <v/>
      </c>
      <c r="E2523" s="1" t="str">
        <f t="shared" si="214"/>
        <v/>
      </c>
      <c r="F2523" s="1" t="str">
        <f t="shared" si="215"/>
        <v/>
      </c>
      <c r="G2523" s="1" t="str">
        <f t="shared" si="216"/>
        <v/>
      </c>
      <c r="H2523" s="1" t="str">
        <f t="shared" si="217"/>
        <v/>
      </c>
      <c r="I2523" s="1">
        <f>IF(OR(A2523="",COUNTIFS('Staff Review'!$A$8:$A$507,A2523)&lt;&gt;1),0,MATCH(A2523,'Staff Review'!$A$8:$A$507,0))</f>
        <v>0</v>
      </c>
      <c r="J2523" s="1" t="str">
        <f>IF(I2523=0,"No",IF(INDEX('Staff Review'!$C$8:$C$507,I2523)="Yes","Yes","No"))</f>
        <v>No</v>
      </c>
      <c r="K2523" s="1" t="str">
        <f>IF(AI2523="Yes",INDEX('Staff Review'!$D$8:$D$507,I2523),IF(AB2523=0,"",IF(COUNT(INDEX($C$1531:$C$2030,AB2523))=1,INDEX($C$1531:$C$2030,AB2523),"")))</f>
        <v/>
      </c>
      <c r="L2523" s="1" t="str">
        <f>IF(AJ2523="Yes",INDEX('Staff Review'!$F$8:$F$507,I2523),IF(AB2523=0,"",IF(COUNT(INDEX($G$1531:$G$2030,AB2523))=1,INDEX($G$1531:$G$2030,AB2523),"")))</f>
        <v/>
      </c>
      <c r="M2523" s="1" t="str">
        <f t="shared" si="218"/>
        <v/>
      </c>
      <c r="N2523" s="1" t="str">
        <f t="shared" si="219"/>
        <v/>
      </c>
      <c r="O2523" s="1" t="str">
        <f t="shared" si="220"/>
        <v/>
      </c>
      <c r="P2523" s="1" t="str">
        <f t="shared" si="221"/>
        <v/>
      </c>
      <c r="Q2523" s="1" t="str">
        <f t="shared" si="222"/>
        <v/>
      </c>
      <c r="R2523" s="1" t="str">
        <f t="shared" si="223"/>
        <v/>
      </c>
      <c r="S2523" s="1" t="str">
        <f t="shared" si="224"/>
        <v/>
      </c>
      <c r="T2523" s="1" t="str">
        <f>IF(OR(COUNT(O2523:R2523)&lt;&gt;4,COUNT('Top 25'!$B$45:$E$45)&lt;&gt;4,MIN('Top 25'!$B$45:$E$45)&lt;0,SUM('Top 25'!$B$45:$E$45)&lt;=0),"",ROUND(85*(O2523/30*'Top 25'!$B$45+P2523/25*'Top 25'!$C$45+Q2523/25*'Top 25'!$D$45+R2523/5*'Top 25'!$E$45)/SUM('Top 25'!$B$45:$E$45),6))</f>
        <v/>
      </c>
      <c r="U2523" s="1" t="str">
        <f t="shared" si="225"/>
        <v/>
      </c>
      <c r="V2523" s="1" t="str">
        <f>IF(A2523="","",IF(AK2523&lt;&gt;1,"Duplicate source ID",IF(COUNTIFS('Staff Review'!$A$8:$A$507,A2523)&gt;1,"Duplicate review ID",IF(H2523&lt;&gt;"Yes","Outside scope",IF(J2523="Yes","Already served",IF(NOT(ISNUMBER(T2523)),"Missing data","Candidate"))))))</f>
        <v/>
      </c>
      <c r="W2523" s="1" t="str">
        <f t="shared" si="226"/>
        <v/>
      </c>
      <c r="X2523" s="1" t="str">
        <f t="shared" si="227"/>
        <v/>
      </c>
      <c r="Y2523" s="1">
        <f>IF(AND(H2523="Yes",OR(LEN('School Search'!$B$5)=0,ISNUMBER(SEARCH('School Search'!$B$5,B2523&amp;" "&amp;E2523&amp;" "&amp;A2523))),OR('School Search'!$D$5="All",C2523='School Search'!$D$5),OR('School Search'!$G$5="All eligible",AND('School Search'!$G$5="Not marked served",J2523&lt;&gt;"Yes"),AND('School Search'!$G$5="Missing data",V2523="Missing data"),AND('School Search'!$G$5="Marked served",J2523="Yes"))),1,0)</f>
        <v>0</v>
      </c>
      <c r="Z2523" s="1" t="str">
        <f>IF(Y2523=0,"",COUNTIFS($Y$2051:$Y$2550,1,$AO$2051:$AO$2550,"&lt;"&amp;AO2523)+COUNTIFS($Y$2051:Y2523,1,$AO$2051:AO2523,AO2523))</f>
        <v/>
      </c>
      <c r="AA2523" s="1" t="str">
        <f t="shared" si="228"/>
        <v>Missing demographic or access input</v>
      </c>
      <c r="AB2523" s="1">
        <f t="shared" si="229"/>
        <v>0</v>
      </c>
      <c r="AC2523" s="1" t="str">
        <f t="shared" si="230"/>
        <v/>
      </c>
      <c r="AD2523" s="1" t="str">
        <f t="shared" si="231"/>
        <v/>
      </c>
      <c r="AE2523" s="1" t="str">
        <f t="shared" si="232"/>
        <v/>
      </c>
      <c r="AF2523" s="1" t="str">
        <f t="shared" si="233"/>
        <v/>
      </c>
      <c r="AG2523" s="1" t="str">
        <f t="shared" si="234"/>
        <v/>
      </c>
      <c r="AH2523" s="1" t="str">
        <f>IF(I2523=0,"Not contacted",IF(INDEX('Staff Review'!$J$8:$J$507,I2523)="","Not contacted",INDEX('Staff Review'!$J$8:$J$507,I2523)))</f>
        <v>Not contacted</v>
      </c>
      <c r="AI2523" s="1" t="str">
        <f>IF(I2523=0,"No",IF(AND(COUNT(INDEX('Staff Review'!$D$8:$D$507,I2523))=1,INDEX('Staff Review'!$D$8:$D$507,I2523)&gt;=0,COUNT(INDEX('Staff Review'!$E$8:$E$507,I2523))=1,INDEX('Staff Review'!$E$8:$E$507,I2523)&gt;0,INDEX('Staff Review'!$E$8:$E$507,I2523)&lt;='Top 25'!$E$5,'Top 25'!$E$5-INDEX('Staff Review'!$E$8:$E$507,I2523)&lt;='Top 25'!$H$5,LEN(INDEX('Staff Review'!$H$8:$H$507,I2523))&gt;0),"Yes","No"))</f>
        <v>No</v>
      </c>
      <c r="AJ2523" s="1" t="str">
        <f>IF(I2523=0,"No",IF(COUNT(INDEX('Staff Review'!$F$8:$F$507,I2523))&lt;&gt;1,"No",IF(AND(INDEX('Staff Review'!$F$8:$F$507,I2523)&gt;=0,MOD(INDEX('Staff Review'!$F$8:$F$507,I2523),1)=0,COUNT(INDEX('Staff Review'!$G$8:$G$507,I2523))=1,INDEX('Staff Review'!$G$8:$G$507,I2523)&gt;0,INDEX('Staff Review'!$G$8:$G$507,I2523)&lt;='Top 25'!$E$5,'Top 25'!$E$5-INDEX('Staff Review'!$G$8:$G$507,I2523)&lt;='Top 25'!$H$5,LEN(INDEX('Staff Review'!$H$8:$H$507,I2523))&gt;0),"Yes","No")))</f>
        <v>No</v>
      </c>
      <c r="AK2523" s="1">
        <f t="shared" si="235"/>
        <v>0</v>
      </c>
      <c r="AL2523" s="1">
        <f t="shared" si="236"/>
        <v>0</v>
      </c>
      <c r="AM2523" s="1">
        <f t="shared" si="237"/>
        <v>0</v>
      </c>
      <c r="AN2523" s="1">
        <f t="shared" si="238"/>
        <v>0</v>
      </c>
      <c r="AO2523">
        <f t="shared" si="239"/>
        <v>10000</v>
      </c>
      <c r="AP2523" s="105">
        <f>IF(AND(AL2523=1,OR('Top 25'!$A$10="All",C2523='Top 25'!$A$10),OR('Top 25'!$D$10="All",D2523='Top 25'!$D$10)),1,0)</f>
        <v>0</v>
      </c>
      <c r="AQ2523" s="105" t="str">
        <f>IF(AP2523=0,"",CHOOSE(MATCH('Top 25'!$G$10,{"Priority score","Economic need","Enrollment","Fresh miles","Nearby resources"},0),T2523,G2523,F2523,K2523,L2523))</f>
        <v/>
      </c>
      <c r="AR2523" s="105" t="str">
        <f>IF(AP2523=0,"",1+COUNTIFS($AP$2051:$AP$2550,1,$AQ$2051:$AQ$2550,IF('Top 25'!$J$10="Ascending","&lt;","&gt;")&amp;AQ2523)+COUNTIFS($AP$2051:$AP$2550,1,$AQ$2051:$AQ$2550,AQ2523,$W$2051:$W$2550,"&lt;"&amp;W2523))</f>
        <v/>
      </c>
      <c r="AT2523" s="105">
        <f>IF(AND(AL2523=1,OR(Master_rankableSchools!$A$10="All",C2523=Master_rankableSchools!$A$10),OR(Master_rankableSchools!$D$10="All",D2523=Master_rankableSchools!$D$10)),1,0)</f>
        <v>0</v>
      </c>
      <c r="AU2523" s="105" t="str">
        <f>IF(AT2523=0,"",CHOOSE(MATCH(Master_rankableSchools!$G$10,{"Priority score","Economic need","Enrollment","Fresh miles","Nearby resources"},0),T2523,G2523,F2523,K2523,L2523))</f>
        <v/>
      </c>
      <c r="AV2523" s="105" t="str">
        <f>IF(AT2523=0,"",1+COUNTIFS($AT$2051:$AT$2550,1,$AU$2051:$AU$2550,IF(Master_rankableSchools!$J$10="Ascending","&lt;","&gt;")&amp;AU2523)+COUNTIFS($AT$2051:$AT$2550,1,$AU$2051:$AU$2550,AU2523,$W$2051:$W$2550,"&lt;"&amp;W2523))</f>
        <v/>
      </c>
    </row>
    <row r="2524" spans="1:48" ht="22" customHeight="1">
      <c r="A2524" s="1" t="str">
        <f t="shared" si="210"/>
        <v/>
      </c>
      <c r="B2524" s="1" t="str">
        <f t="shared" si="211"/>
        <v/>
      </c>
      <c r="C2524" s="1" t="str">
        <f t="shared" si="212"/>
        <v/>
      </c>
      <c r="D2524" s="1" t="str">
        <f t="shared" si="213"/>
        <v/>
      </c>
      <c r="E2524" s="1" t="str">
        <f t="shared" si="214"/>
        <v/>
      </c>
      <c r="F2524" s="1" t="str">
        <f t="shared" si="215"/>
        <v/>
      </c>
      <c r="G2524" s="1" t="str">
        <f t="shared" si="216"/>
        <v/>
      </c>
      <c r="H2524" s="1" t="str">
        <f t="shared" si="217"/>
        <v/>
      </c>
      <c r="I2524" s="1">
        <f>IF(OR(A2524="",COUNTIFS('Staff Review'!$A$8:$A$507,A2524)&lt;&gt;1),0,MATCH(A2524,'Staff Review'!$A$8:$A$507,0))</f>
        <v>0</v>
      </c>
      <c r="J2524" s="1" t="str">
        <f>IF(I2524=0,"No",IF(INDEX('Staff Review'!$C$8:$C$507,I2524)="Yes","Yes","No"))</f>
        <v>No</v>
      </c>
      <c r="K2524" s="1" t="str">
        <f>IF(AI2524="Yes",INDEX('Staff Review'!$D$8:$D$507,I2524),IF(AB2524=0,"",IF(COUNT(INDEX($C$1531:$C$2030,AB2524))=1,INDEX($C$1531:$C$2030,AB2524),"")))</f>
        <v/>
      </c>
      <c r="L2524" s="1" t="str">
        <f>IF(AJ2524="Yes",INDEX('Staff Review'!$F$8:$F$507,I2524),IF(AB2524=0,"",IF(COUNT(INDEX($G$1531:$G$2030,AB2524))=1,INDEX($G$1531:$G$2030,AB2524),"")))</f>
        <v/>
      </c>
      <c r="M2524" s="1" t="str">
        <f t="shared" si="218"/>
        <v/>
      </c>
      <c r="N2524" s="1" t="str">
        <f t="shared" si="219"/>
        <v/>
      </c>
      <c r="O2524" s="1" t="str">
        <f t="shared" si="220"/>
        <v/>
      </c>
      <c r="P2524" s="1" t="str">
        <f t="shared" si="221"/>
        <v/>
      </c>
      <c r="Q2524" s="1" t="str">
        <f t="shared" si="222"/>
        <v/>
      </c>
      <c r="R2524" s="1" t="str">
        <f t="shared" si="223"/>
        <v/>
      </c>
      <c r="S2524" s="1" t="str">
        <f t="shared" si="224"/>
        <v/>
      </c>
      <c r="T2524" s="1" t="str">
        <f>IF(OR(COUNT(O2524:R2524)&lt;&gt;4,COUNT('Top 25'!$B$45:$E$45)&lt;&gt;4,MIN('Top 25'!$B$45:$E$45)&lt;0,SUM('Top 25'!$B$45:$E$45)&lt;=0),"",ROUND(85*(O2524/30*'Top 25'!$B$45+P2524/25*'Top 25'!$C$45+Q2524/25*'Top 25'!$D$45+R2524/5*'Top 25'!$E$45)/SUM('Top 25'!$B$45:$E$45),6))</f>
        <v/>
      </c>
      <c r="U2524" s="1" t="str">
        <f t="shared" si="225"/>
        <v/>
      </c>
      <c r="V2524" s="1" t="str">
        <f>IF(A2524="","",IF(AK2524&lt;&gt;1,"Duplicate source ID",IF(COUNTIFS('Staff Review'!$A$8:$A$507,A2524)&gt;1,"Duplicate review ID",IF(H2524&lt;&gt;"Yes","Outside scope",IF(J2524="Yes","Already served",IF(NOT(ISNUMBER(T2524)),"Missing data","Candidate"))))))</f>
        <v/>
      </c>
      <c r="W2524" s="1" t="str">
        <f t="shared" si="226"/>
        <v/>
      </c>
      <c r="X2524" s="1" t="str">
        <f t="shared" si="227"/>
        <v/>
      </c>
      <c r="Y2524" s="1">
        <f>IF(AND(H2524="Yes",OR(LEN('School Search'!$B$5)=0,ISNUMBER(SEARCH('School Search'!$B$5,B2524&amp;" "&amp;E2524&amp;" "&amp;A2524))),OR('School Search'!$D$5="All",C2524='School Search'!$D$5),OR('School Search'!$G$5="All eligible",AND('School Search'!$G$5="Not marked served",J2524&lt;&gt;"Yes"),AND('School Search'!$G$5="Missing data",V2524="Missing data"),AND('School Search'!$G$5="Marked served",J2524="Yes"))),1,0)</f>
        <v>0</v>
      </c>
      <c r="Z2524" s="1" t="str">
        <f>IF(Y2524=0,"",COUNTIFS($Y$2051:$Y$2550,1,$AO$2051:$AO$2550,"&lt;"&amp;AO2524)+COUNTIFS($Y$2051:Y2524,1,$AO$2051:AO2524,AO2524))</f>
        <v/>
      </c>
      <c r="AA2524" s="1" t="str">
        <f t="shared" si="228"/>
        <v>Missing demographic or access input</v>
      </c>
      <c r="AB2524" s="1">
        <f t="shared" si="229"/>
        <v>0</v>
      </c>
      <c r="AC2524" s="1" t="str">
        <f t="shared" si="230"/>
        <v/>
      </c>
      <c r="AD2524" s="1" t="str">
        <f t="shared" si="231"/>
        <v/>
      </c>
      <c r="AE2524" s="1" t="str">
        <f t="shared" si="232"/>
        <v/>
      </c>
      <c r="AF2524" s="1" t="str">
        <f t="shared" si="233"/>
        <v/>
      </c>
      <c r="AG2524" s="1" t="str">
        <f t="shared" si="234"/>
        <v/>
      </c>
      <c r="AH2524" s="1" t="str">
        <f>IF(I2524=0,"Not contacted",IF(INDEX('Staff Review'!$J$8:$J$507,I2524)="","Not contacted",INDEX('Staff Review'!$J$8:$J$507,I2524)))</f>
        <v>Not contacted</v>
      </c>
      <c r="AI2524" s="1" t="str">
        <f>IF(I2524=0,"No",IF(AND(COUNT(INDEX('Staff Review'!$D$8:$D$507,I2524))=1,INDEX('Staff Review'!$D$8:$D$507,I2524)&gt;=0,COUNT(INDEX('Staff Review'!$E$8:$E$507,I2524))=1,INDEX('Staff Review'!$E$8:$E$507,I2524)&gt;0,INDEX('Staff Review'!$E$8:$E$507,I2524)&lt;='Top 25'!$E$5,'Top 25'!$E$5-INDEX('Staff Review'!$E$8:$E$507,I2524)&lt;='Top 25'!$H$5,LEN(INDEX('Staff Review'!$H$8:$H$507,I2524))&gt;0),"Yes","No"))</f>
        <v>No</v>
      </c>
      <c r="AJ2524" s="1" t="str">
        <f>IF(I2524=0,"No",IF(COUNT(INDEX('Staff Review'!$F$8:$F$507,I2524))&lt;&gt;1,"No",IF(AND(INDEX('Staff Review'!$F$8:$F$507,I2524)&gt;=0,MOD(INDEX('Staff Review'!$F$8:$F$507,I2524),1)=0,COUNT(INDEX('Staff Review'!$G$8:$G$507,I2524))=1,INDEX('Staff Review'!$G$8:$G$507,I2524)&gt;0,INDEX('Staff Review'!$G$8:$G$507,I2524)&lt;='Top 25'!$E$5,'Top 25'!$E$5-INDEX('Staff Review'!$G$8:$G$507,I2524)&lt;='Top 25'!$H$5,LEN(INDEX('Staff Review'!$H$8:$H$507,I2524))&gt;0),"Yes","No")))</f>
        <v>No</v>
      </c>
      <c r="AK2524" s="1">
        <f t="shared" si="235"/>
        <v>0</v>
      </c>
      <c r="AL2524" s="1">
        <f t="shared" si="236"/>
        <v>0</v>
      </c>
      <c r="AM2524" s="1">
        <f t="shared" si="237"/>
        <v>0</v>
      </c>
      <c r="AN2524" s="1">
        <f t="shared" si="238"/>
        <v>0</v>
      </c>
      <c r="AO2524">
        <f t="shared" si="239"/>
        <v>10000</v>
      </c>
      <c r="AP2524" s="105">
        <f>IF(AND(AL2524=1,OR('Top 25'!$A$10="All",C2524='Top 25'!$A$10),OR('Top 25'!$D$10="All",D2524='Top 25'!$D$10)),1,0)</f>
        <v>0</v>
      </c>
      <c r="AQ2524" s="105" t="str">
        <f>IF(AP2524=0,"",CHOOSE(MATCH('Top 25'!$G$10,{"Priority score","Economic need","Enrollment","Fresh miles","Nearby resources"},0),T2524,G2524,F2524,K2524,L2524))</f>
        <v/>
      </c>
      <c r="AR2524" s="105" t="str">
        <f>IF(AP2524=0,"",1+COUNTIFS($AP$2051:$AP$2550,1,$AQ$2051:$AQ$2550,IF('Top 25'!$J$10="Ascending","&lt;","&gt;")&amp;AQ2524)+COUNTIFS($AP$2051:$AP$2550,1,$AQ$2051:$AQ$2550,AQ2524,$W$2051:$W$2550,"&lt;"&amp;W2524))</f>
        <v/>
      </c>
      <c r="AT2524" s="105">
        <f>IF(AND(AL2524=1,OR(Master_rankableSchools!$A$10="All",C2524=Master_rankableSchools!$A$10),OR(Master_rankableSchools!$D$10="All",D2524=Master_rankableSchools!$D$10)),1,0)</f>
        <v>0</v>
      </c>
      <c r="AU2524" s="105" t="str">
        <f>IF(AT2524=0,"",CHOOSE(MATCH(Master_rankableSchools!$G$10,{"Priority score","Economic need","Enrollment","Fresh miles","Nearby resources"},0),T2524,G2524,F2524,K2524,L2524))</f>
        <v/>
      </c>
      <c r="AV2524" s="105" t="str">
        <f>IF(AT2524=0,"",1+COUNTIFS($AT$2051:$AT$2550,1,$AU$2051:$AU$2550,IF(Master_rankableSchools!$J$10="Ascending","&lt;","&gt;")&amp;AU2524)+COUNTIFS($AT$2051:$AT$2550,1,$AU$2051:$AU$2550,AU2524,$W$2051:$W$2550,"&lt;"&amp;W2524))</f>
        <v/>
      </c>
    </row>
    <row r="2525" spans="1:48" ht="22" customHeight="1">
      <c r="A2525" s="1" t="str">
        <f t="shared" si="210"/>
        <v/>
      </c>
      <c r="B2525" s="1" t="str">
        <f t="shared" si="211"/>
        <v/>
      </c>
      <c r="C2525" s="1" t="str">
        <f t="shared" si="212"/>
        <v/>
      </c>
      <c r="D2525" s="1" t="str">
        <f t="shared" si="213"/>
        <v/>
      </c>
      <c r="E2525" s="1" t="str">
        <f t="shared" si="214"/>
        <v/>
      </c>
      <c r="F2525" s="1" t="str">
        <f t="shared" si="215"/>
        <v/>
      </c>
      <c r="G2525" s="1" t="str">
        <f t="shared" si="216"/>
        <v/>
      </c>
      <c r="H2525" s="1" t="str">
        <f t="shared" si="217"/>
        <v/>
      </c>
      <c r="I2525" s="1">
        <f>IF(OR(A2525="",COUNTIFS('Staff Review'!$A$8:$A$507,A2525)&lt;&gt;1),0,MATCH(A2525,'Staff Review'!$A$8:$A$507,0))</f>
        <v>0</v>
      </c>
      <c r="J2525" s="1" t="str">
        <f>IF(I2525=0,"No",IF(INDEX('Staff Review'!$C$8:$C$507,I2525)="Yes","Yes","No"))</f>
        <v>No</v>
      </c>
      <c r="K2525" s="1" t="str">
        <f>IF(AI2525="Yes",INDEX('Staff Review'!$D$8:$D$507,I2525),IF(AB2525=0,"",IF(COUNT(INDEX($C$1531:$C$2030,AB2525))=1,INDEX($C$1531:$C$2030,AB2525),"")))</f>
        <v/>
      </c>
      <c r="L2525" s="1" t="str">
        <f>IF(AJ2525="Yes",INDEX('Staff Review'!$F$8:$F$507,I2525),IF(AB2525=0,"",IF(COUNT(INDEX($G$1531:$G$2030,AB2525))=1,INDEX($G$1531:$G$2030,AB2525),"")))</f>
        <v/>
      </c>
      <c r="M2525" s="1" t="str">
        <f t="shared" si="218"/>
        <v/>
      </c>
      <c r="N2525" s="1" t="str">
        <f t="shared" si="219"/>
        <v/>
      </c>
      <c r="O2525" s="1" t="str">
        <f t="shared" si="220"/>
        <v/>
      </c>
      <c r="P2525" s="1" t="str">
        <f t="shared" si="221"/>
        <v/>
      </c>
      <c r="Q2525" s="1" t="str">
        <f t="shared" si="222"/>
        <v/>
      </c>
      <c r="R2525" s="1" t="str">
        <f t="shared" si="223"/>
        <v/>
      </c>
      <c r="S2525" s="1" t="str">
        <f t="shared" si="224"/>
        <v/>
      </c>
      <c r="T2525" s="1" t="str">
        <f>IF(OR(COUNT(O2525:R2525)&lt;&gt;4,COUNT('Top 25'!$B$45:$E$45)&lt;&gt;4,MIN('Top 25'!$B$45:$E$45)&lt;0,SUM('Top 25'!$B$45:$E$45)&lt;=0),"",ROUND(85*(O2525/30*'Top 25'!$B$45+P2525/25*'Top 25'!$C$45+Q2525/25*'Top 25'!$D$45+R2525/5*'Top 25'!$E$45)/SUM('Top 25'!$B$45:$E$45),6))</f>
        <v/>
      </c>
      <c r="U2525" s="1" t="str">
        <f t="shared" si="225"/>
        <v/>
      </c>
      <c r="V2525" s="1" t="str">
        <f>IF(A2525="","",IF(AK2525&lt;&gt;1,"Duplicate source ID",IF(COUNTIFS('Staff Review'!$A$8:$A$507,A2525)&gt;1,"Duplicate review ID",IF(H2525&lt;&gt;"Yes","Outside scope",IF(J2525="Yes","Already served",IF(NOT(ISNUMBER(T2525)),"Missing data","Candidate"))))))</f>
        <v/>
      </c>
      <c r="W2525" s="1" t="str">
        <f t="shared" si="226"/>
        <v/>
      </c>
      <c r="X2525" s="1" t="str">
        <f t="shared" si="227"/>
        <v/>
      </c>
      <c r="Y2525" s="1">
        <f>IF(AND(H2525="Yes",OR(LEN('School Search'!$B$5)=0,ISNUMBER(SEARCH('School Search'!$B$5,B2525&amp;" "&amp;E2525&amp;" "&amp;A2525))),OR('School Search'!$D$5="All",C2525='School Search'!$D$5),OR('School Search'!$G$5="All eligible",AND('School Search'!$G$5="Not marked served",J2525&lt;&gt;"Yes"),AND('School Search'!$G$5="Missing data",V2525="Missing data"),AND('School Search'!$G$5="Marked served",J2525="Yes"))),1,0)</f>
        <v>0</v>
      </c>
      <c r="Z2525" s="1" t="str">
        <f>IF(Y2525=0,"",COUNTIFS($Y$2051:$Y$2550,1,$AO$2051:$AO$2550,"&lt;"&amp;AO2525)+COUNTIFS($Y$2051:Y2525,1,$AO$2051:AO2525,AO2525))</f>
        <v/>
      </c>
      <c r="AA2525" s="1" t="str">
        <f t="shared" si="228"/>
        <v>Missing demographic or access input</v>
      </c>
      <c r="AB2525" s="1">
        <f t="shared" si="229"/>
        <v>0</v>
      </c>
      <c r="AC2525" s="1" t="str">
        <f t="shared" si="230"/>
        <v/>
      </c>
      <c r="AD2525" s="1" t="str">
        <f t="shared" si="231"/>
        <v/>
      </c>
      <c r="AE2525" s="1" t="str">
        <f t="shared" si="232"/>
        <v/>
      </c>
      <c r="AF2525" s="1" t="str">
        <f t="shared" si="233"/>
        <v/>
      </c>
      <c r="AG2525" s="1" t="str">
        <f t="shared" si="234"/>
        <v/>
      </c>
      <c r="AH2525" s="1" t="str">
        <f>IF(I2525=0,"Not contacted",IF(INDEX('Staff Review'!$J$8:$J$507,I2525)="","Not contacted",INDEX('Staff Review'!$J$8:$J$507,I2525)))</f>
        <v>Not contacted</v>
      </c>
      <c r="AI2525" s="1" t="str">
        <f>IF(I2525=0,"No",IF(AND(COUNT(INDEX('Staff Review'!$D$8:$D$507,I2525))=1,INDEX('Staff Review'!$D$8:$D$507,I2525)&gt;=0,COUNT(INDEX('Staff Review'!$E$8:$E$507,I2525))=1,INDEX('Staff Review'!$E$8:$E$507,I2525)&gt;0,INDEX('Staff Review'!$E$8:$E$507,I2525)&lt;='Top 25'!$E$5,'Top 25'!$E$5-INDEX('Staff Review'!$E$8:$E$507,I2525)&lt;='Top 25'!$H$5,LEN(INDEX('Staff Review'!$H$8:$H$507,I2525))&gt;0),"Yes","No"))</f>
        <v>No</v>
      </c>
      <c r="AJ2525" s="1" t="str">
        <f>IF(I2525=0,"No",IF(COUNT(INDEX('Staff Review'!$F$8:$F$507,I2525))&lt;&gt;1,"No",IF(AND(INDEX('Staff Review'!$F$8:$F$507,I2525)&gt;=0,MOD(INDEX('Staff Review'!$F$8:$F$507,I2525),1)=0,COUNT(INDEX('Staff Review'!$G$8:$G$507,I2525))=1,INDEX('Staff Review'!$G$8:$G$507,I2525)&gt;0,INDEX('Staff Review'!$G$8:$G$507,I2525)&lt;='Top 25'!$E$5,'Top 25'!$E$5-INDEX('Staff Review'!$G$8:$G$507,I2525)&lt;='Top 25'!$H$5,LEN(INDEX('Staff Review'!$H$8:$H$507,I2525))&gt;0),"Yes","No")))</f>
        <v>No</v>
      </c>
      <c r="AK2525" s="1">
        <f t="shared" si="235"/>
        <v>0</v>
      </c>
      <c r="AL2525" s="1">
        <f t="shared" si="236"/>
        <v>0</v>
      </c>
      <c r="AM2525" s="1">
        <f t="shared" si="237"/>
        <v>0</v>
      </c>
      <c r="AN2525" s="1">
        <f t="shared" si="238"/>
        <v>0</v>
      </c>
      <c r="AO2525">
        <f t="shared" si="239"/>
        <v>10000</v>
      </c>
      <c r="AP2525" s="105">
        <f>IF(AND(AL2525=1,OR('Top 25'!$A$10="All",C2525='Top 25'!$A$10),OR('Top 25'!$D$10="All",D2525='Top 25'!$D$10)),1,0)</f>
        <v>0</v>
      </c>
      <c r="AQ2525" s="105" t="str">
        <f>IF(AP2525=0,"",CHOOSE(MATCH('Top 25'!$G$10,{"Priority score","Economic need","Enrollment","Fresh miles","Nearby resources"},0),T2525,G2525,F2525,K2525,L2525))</f>
        <v/>
      </c>
      <c r="AR2525" s="105" t="str">
        <f>IF(AP2525=0,"",1+COUNTIFS($AP$2051:$AP$2550,1,$AQ$2051:$AQ$2550,IF('Top 25'!$J$10="Ascending","&lt;","&gt;")&amp;AQ2525)+COUNTIFS($AP$2051:$AP$2550,1,$AQ$2051:$AQ$2550,AQ2525,$W$2051:$W$2550,"&lt;"&amp;W2525))</f>
        <v/>
      </c>
      <c r="AT2525" s="105">
        <f>IF(AND(AL2525=1,OR(Master_rankableSchools!$A$10="All",C2525=Master_rankableSchools!$A$10),OR(Master_rankableSchools!$D$10="All",D2525=Master_rankableSchools!$D$10)),1,0)</f>
        <v>0</v>
      </c>
      <c r="AU2525" s="105" t="str">
        <f>IF(AT2525=0,"",CHOOSE(MATCH(Master_rankableSchools!$G$10,{"Priority score","Economic need","Enrollment","Fresh miles","Nearby resources"},0),T2525,G2525,F2525,K2525,L2525))</f>
        <v/>
      </c>
      <c r="AV2525" s="105" t="str">
        <f>IF(AT2525=0,"",1+COUNTIFS($AT$2051:$AT$2550,1,$AU$2051:$AU$2550,IF(Master_rankableSchools!$J$10="Ascending","&lt;","&gt;")&amp;AU2525)+COUNTIFS($AT$2051:$AT$2550,1,$AU$2051:$AU$2550,AU2525,$W$2051:$W$2550,"&lt;"&amp;W2525))</f>
        <v/>
      </c>
    </row>
    <row r="2526" spans="1:48" ht="22" customHeight="1">
      <c r="A2526" s="1" t="str">
        <f t="shared" si="210"/>
        <v/>
      </c>
      <c r="B2526" s="1" t="str">
        <f t="shared" si="211"/>
        <v/>
      </c>
      <c r="C2526" s="1" t="str">
        <f t="shared" si="212"/>
        <v/>
      </c>
      <c r="D2526" s="1" t="str">
        <f t="shared" si="213"/>
        <v/>
      </c>
      <c r="E2526" s="1" t="str">
        <f t="shared" si="214"/>
        <v/>
      </c>
      <c r="F2526" s="1" t="str">
        <f t="shared" si="215"/>
        <v/>
      </c>
      <c r="G2526" s="1" t="str">
        <f t="shared" si="216"/>
        <v/>
      </c>
      <c r="H2526" s="1" t="str">
        <f t="shared" si="217"/>
        <v/>
      </c>
      <c r="I2526" s="1">
        <f>IF(OR(A2526="",COUNTIFS('Staff Review'!$A$8:$A$507,A2526)&lt;&gt;1),0,MATCH(A2526,'Staff Review'!$A$8:$A$507,0))</f>
        <v>0</v>
      </c>
      <c r="J2526" s="1" t="str">
        <f>IF(I2526=0,"No",IF(INDEX('Staff Review'!$C$8:$C$507,I2526)="Yes","Yes","No"))</f>
        <v>No</v>
      </c>
      <c r="K2526" s="1" t="str">
        <f>IF(AI2526="Yes",INDEX('Staff Review'!$D$8:$D$507,I2526),IF(AB2526=0,"",IF(COUNT(INDEX($C$1531:$C$2030,AB2526))=1,INDEX($C$1531:$C$2030,AB2526),"")))</f>
        <v/>
      </c>
      <c r="L2526" s="1" t="str">
        <f>IF(AJ2526="Yes",INDEX('Staff Review'!$F$8:$F$507,I2526),IF(AB2526=0,"",IF(COUNT(INDEX($G$1531:$G$2030,AB2526))=1,INDEX($G$1531:$G$2030,AB2526),"")))</f>
        <v/>
      </c>
      <c r="M2526" s="1" t="str">
        <f t="shared" si="218"/>
        <v/>
      </c>
      <c r="N2526" s="1" t="str">
        <f t="shared" si="219"/>
        <v/>
      </c>
      <c r="O2526" s="1" t="str">
        <f t="shared" si="220"/>
        <v/>
      </c>
      <c r="P2526" s="1" t="str">
        <f t="shared" si="221"/>
        <v/>
      </c>
      <c r="Q2526" s="1" t="str">
        <f t="shared" si="222"/>
        <v/>
      </c>
      <c r="R2526" s="1" t="str">
        <f t="shared" si="223"/>
        <v/>
      </c>
      <c r="S2526" s="1" t="str">
        <f t="shared" si="224"/>
        <v/>
      </c>
      <c r="T2526" s="1" t="str">
        <f>IF(OR(COUNT(O2526:R2526)&lt;&gt;4,COUNT('Top 25'!$B$45:$E$45)&lt;&gt;4,MIN('Top 25'!$B$45:$E$45)&lt;0,SUM('Top 25'!$B$45:$E$45)&lt;=0),"",ROUND(85*(O2526/30*'Top 25'!$B$45+P2526/25*'Top 25'!$C$45+Q2526/25*'Top 25'!$D$45+R2526/5*'Top 25'!$E$45)/SUM('Top 25'!$B$45:$E$45),6))</f>
        <v/>
      </c>
      <c r="U2526" s="1" t="str">
        <f t="shared" si="225"/>
        <v/>
      </c>
      <c r="V2526" s="1" t="str">
        <f>IF(A2526="","",IF(AK2526&lt;&gt;1,"Duplicate source ID",IF(COUNTIFS('Staff Review'!$A$8:$A$507,A2526)&gt;1,"Duplicate review ID",IF(H2526&lt;&gt;"Yes","Outside scope",IF(J2526="Yes","Already served",IF(NOT(ISNUMBER(T2526)),"Missing data","Candidate"))))))</f>
        <v/>
      </c>
      <c r="W2526" s="1" t="str">
        <f t="shared" si="226"/>
        <v/>
      </c>
      <c r="X2526" s="1" t="str">
        <f t="shared" si="227"/>
        <v/>
      </c>
      <c r="Y2526" s="1">
        <f>IF(AND(H2526="Yes",OR(LEN('School Search'!$B$5)=0,ISNUMBER(SEARCH('School Search'!$B$5,B2526&amp;" "&amp;E2526&amp;" "&amp;A2526))),OR('School Search'!$D$5="All",C2526='School Search'!$D$5),OR('School Search'!$G$5="All eligible",AND('School Search'!$G$5="Not marked served",J2526&lt;&gt;"Yes"),AND('School Search'!$G$5="Missing data",V2526="Missing data"),AND('School Search'!$G$5="Marked served",J2526="Yes"))),1,0)</f>
        <v>0</v>
      </c>
      <c r="Z2526" s="1" t="str">
        <f>IF(Y2526=0,"",COUNTIFS($Y$2051:$Y$2550,1,$AO$2051:$AO$2550,"&lt;"&amp;AO2526)+COUNTIFS($Y$2051:Y2526,1,$AO$2051:AO2526,AO2526))</f>
        <v/>
      </c>
      <c r="AA2526" s="1" t="str">
        <f t="shared" si="228"/>
        <v>Missing demographic or access input</v>
      </c>
      <c r="AB2526" s="1">
        <f t="shared" si="229"/>
        <v>0</v>
      </c>
      <c r="AC2526" s="1" t="str">
        <f t="shared" si="230"/>
        <v/>
      </c>
      <c r="AD2526" s="1" t="str">
        <f t="shared" si="231"/>
        <v/>
      </c>
      <c r="AE2526" s="1" t="str">
        <f t="shared" si="232"/>
        <v/>
      </c>
      <c r="AF2526" s="1" t="str">
        <f t="shared" si="233"/>
        <v/>
      </c>
      <c r="AG2526" s="1" t="str">
        <f t="shared" si="234"/>
        <v/>
      </c>
      <c r="AH2526" s="1" t="str">
        <f>IF(I2526=0,"Not contacted",IF(INDEX('Staff Review'!$J$8:$J$507,I2526)="","Not contacted",INDEX('Staff Review'!$J$8:$J$507,I2526)))</f>
        <v>Not contacted</v>
      </c>
      <c r="AI2526" s="1" t="str">
        <f>IF(I2526=0,"No",IF(AND(COUNT(INDEX('Staff Review'!$D$8:$D$507,I2526))=1,INDEX('Staff Review'!$D$8:$D$507,I2526)&gt;=0,COUNT(INDEX('Staff Review'!$E$8:$E$507,I2526))=1,INDEX('Staff Review'!$E$8:$E$507,I2526)&gt;0,INDEX('Staff Review'!$E$8:$E$507,I2526)&lt;='Top 25'!$E$5,'Top 25'!$E$5-INDEX('Staff Review'!$E$8:$E$507,I2526)&lt;='Top 25'!$H$5,LEN(INDEX('Staff Review'!$H$8:$H$507,I2526))&gt;0),"Yes","No"))</f>
        <v>No</v>
      </c>
      <c r="AJ2526" s="1" t="str">
        <f>IF(I2526=0,"No",IF(COUNT(INDEX('Staff Review'!$F$8:$F$507,I2526))&lt;&gt;1,"No",IF(AND(INDEX('Staff Review'!$F$8:$F$507,I2526)&gt;=0,MOD(INDEX('Staff Review'!$F$8:$F$507,I2526),1)=0,COUNT(INDEX('Staff Review'!$G$8:$G$507,I2526))=1,INDEX('Staff Review'!$G$8:$G$507,I2526)&gt;0,INDEX('Staff Review'!$G$8:$G$507,I2526)&lt;='Top 25'!$E$5,'Top 25'!$E$5-INDEX('Staff Review'!$G$8:$G$507,I2526)&lt;='Top 25'!$H$5,LEN(INDEX('Staff Review'!$H$8:$H$507,I2526))&gt;0),"Yes","No")))</f>
        <v>No</v>
      </c>
      <c r="AK2526" s="1">
        <f t="shared" si="235"/>
        <v>0</v>
      </c>
      <c r="AL2526" s="1">
        <f t="shared" si="236"/>
        <v>0</v>
      </c>
      <c r="AM2526" s="1">
        <f t="shared" si="237"/>
        <v>0</v>
      </c>
      <c r="AN2526" s="1">
        <f t="shared" si="238"/>
        <v>0</v>
      </c>
      <c r="AO2526">
        <f t="shared" si="239"/>
        <v>10000</v>
      </c>
      <c r="AP2526" s="105">
        <f>IF(AND(AL2526=1,OR('Top 25'!$A$10="All",C2526='Top 25'!$A$10),OR('Top 25'!$D$10="All",D2526='Top 25'!$D$10)),1,0)</f>
        <v>0</v>
      </c>
      <c r="AQ2526" s="105" t="str">
        <f>IF(AP2526=0,"",CHOOSE(MATCH('Top 25'!$G$10,{"Priority score","Economic need","Enrollment","Fresh miles","Nearby resources"},0),T2526,G2526,F2526,K2526,L2526))</f>
        <v/>
      </c>
      <c r="AR2526" s="105" t="str">
        <f>IF(AP2526=0,"",1+COUNTIFS($AP$2051:$AP$2550,1,$AQ$2051:$AQ$2550,IF('Top 25'!$J$10="Ascending","&lt;","&gt;")&amp;AQ2526)+COUNTIFS($AP$2051:$AP$2550,1,$AQ$2051:$AQ$2550,AQ2526,$W$2051:$W$2550,"&lt;"&amp;W2526))</f>
        <v/>
      </c>
      <c r="AT2526" s="105">
        <f>IF(AND(AL2526=1,OR(Master_rankableSchools!$A$10="All",C2526=Master_rankableSchools!$A$10),OR(Master_rankableSchools!$D$10="All",D2526=Master_rankableSchools!$D$10)),1,0)</f>
        <v>0</v>
      </c>
      <c r="AU2526" s="105" t="str">
        <f>IF(AT2526=0,"",CHOOSE(MATCH(Master_rankableSchools!$G$10,{"Priority score","Economic need","Enrollment","Fresh miles","Nearby resources"},0),T2526,G2526,F2526,K2526,L2526))</f>
        <v/>
      </c>
      <c r="AV2526" s="105" t="str">
        <f>IF(AT2526=0,"",1+COUNTIFS($AT$2051:$AT$2550,1,$AU$2051:$AU$2550,IF(Master_rankableSchools!$J$10="Ascending","&lt;","&gt;")&amp;AU2526)+COUNTIFS($AT$2051:$AT$2550,1,$AU$2051:$AU$2550,AU2526,$W$2051:$W$2550,"&lt;"&amp;W2526))</f>
        <v/>
      </c>
    </row>
    <row r="2527" spans="1:48" ht="22" customHeight="1">
      <c r="A2527" s="1" t="str">
        <f t="shared" si="210"/>
        <v/>
      </c>
      <c r="B2527" s="1" t="str">
        <f t="shared" si="211"/>
        <v/>
      </c>
      <c r="C2527" s="1" t="str">
        <f t="shared" si="212"/>
        <v/>
      </c>
      <c r="D2527" s="1" t="str">
        <f t="shared" si="213"/>
        <v/>
      </c>
      <c r="E2527" s="1" t="str">
        <f t="shared" si="214"/>
        <v/>
      </c>
      <c r="F2527" s="1" t="str">
        <f t="shared" si="215"/>
        <v/>
      </c>
      <c r="G2527" s="1" t="str">
        <f t="shared" si="216"/>
        <v/>
      </c>
      <c r="H2527" s="1" t="str">
        <f t="shared" si="217"/>
        <v/>
      </c>
      <c r="I2527" s="1">
        <f>IF(OR(A2527="",COUNTIFS('Staff Review'!$A$8:$A$507,A2527)&lt;&gt;1),0,MATCH(A2527,'Staff Review'!$A$8:$A$507,0))</f>
        <v>0</v>
      </c>
      <c r="J2527" s="1" t="str">
        <f>IF(I2527=0,"No",IF(INDEX('Staff Review'!$C$8:$C$507,I2527)="Yes","Yes","No"))</f>
        <v>No</v>
      </c>
      <c r="K2527" s="1" t="str">
        <f>IF(AI2527="Yes",INDEX('Staff Review'!$D$8:$D$507,I2527),IF(AB2527=0,"",IF(COUNT(INDEX($C$1531:$C$2030,AB2527))=1,INDEX($C$1531:$C$2030,AB2527),"")))</f>
        <v/>
      </c>
      <c r="L2527" s="1" t="str">
        <f>IF(AJ2527="Yes",INDEX('Staff Review'!$F$8:$F$507,I2527),IF(AB2527=0,"",IF(COUNT(INDEX($G$1531:$G$2030,AB2527))=1,INDEX($G$1531:$G$2030,AB2527),"")))</f>
        <v/>
      </c>
      <c r="M2527" s="1" t="str">
        <f t="shared" si="218"/>
        <v/>
      </c>
      <c r="N2527" s="1" t="str">
        <f t="shared" si="219"/>
        <v/>
      </c>
      <c r="O2527" s="1" t="str">
        <f t="shared" si="220"/>
        <v/>
      </c>
      <c r="P2527" s="1" t="str">
        <f t="shared" si="221"/>
        <v/>
      </c>
      <c r="Q2527" s="1" t="str">
        <f t="shared" si="222"/>
        <v/>
      </c>
      <c r="R2527" s="1" t="str">
        <f t="shared" si="223"/>
        <v/>
      </c>
      <c r="S2527" s="1" t="str">
        <f t="shared" si="224"/>
        <v/>
      </c>
      <c r="T2527" s="1" t="str">
        <f>IF(OR(COUNT(O2527:R2527)&lt;&gt;4,COUNT('Top 25'!$B$45:$E$45)&lt;&gt;4,MIN('Top 25'!$B$45:$E$45)&lt;0,SUM('Top 25'!$B$45:$E$45)&lt;=0),"",ROUND(85*(O2527/30*'Top 25'!$B$45+P2527/25*'Top 25'!$C$45+Q2527/25*'Top 25'!$D$45+R2527/5*'Top 25'!$E$45)/SUM('Top 25'!$B$45:$E$45),6))</f>
        <v/>
      </c>
      <c r="U2527" s="1" t="str">
        <f t="shared" si="225"/>
        <v/>
      </c>
      <c r="V2527" s="1" t="str">
        <f>IF(A2527="","",IF(AK2527&lt;&gt;1,"Duplicate source ID",IF(COUNTIFS('Staff Review'!$A$8:$A$507,A2527)&gt;1,"Duplicate review ID",IF(H2527&lt;&gt;"Yes","Outside scope",IF(J2527="Yes","Already served",IF(NOT(ISNUMBER(T2527)),"Missing data","Candidate"))))))</f>
        <v/>
      </c>
      <c r="W2527" s="1" t="str">
        <f t="shared" si="226"/>
        <v/>
      </c>
      <c r="X2527" s="1" t="str">
        <f t="shared" si="227"/>
        <v/>
      </c>
      <c r="Y2527" s="1">
        <f>IF(AND(H2527="Yes",OR(LEN('School Search'!$B$5)=0,ISNUMBER(SEARCH('School Search'!$B$5,B2527&amp;" "&amp;E2527&amp;" "&amp;A2527))),OR('School Search'!$D$5="All",C2527='School Search'!$D$5),OR('School Search'!$G$5="All eligible",AND('School Search'!$G$5="Not marked served",J2527&lt;&gt;"Yes"),AND('School Search'!$G$5="Missing data",V2527="Missing data"),AND('School Search'!$G$5="Marked served",J2527="Yes"))),1,0)</f>
        <v>0</v>
      </c>
      <c r="Z2527" s="1" t="str">
        <f>IF(Y2527=0,"",COUNTIFS($Y$2051:$Y$2550,1,$AO$2051:$AO$2550,"&lt;"&amp;AO2527)+COUNTIFS($Y$2051:Y2527,1,$AO$2051:AO2527,AO2527))</f>
        <v/>
      </c>
      <c r="AA2527" s="1" t="str">
        <f t="shared" si="228"/>
        <v>Missing demographic or access input</v>
      </c>
      <c r="AB2527" s="1">
        <f t="shared" si="229"/>
        <v>0</v>
      </c>
      <c r="AC2527" s="1" t="str">
        <f t="shared" si="230"/>
        <v/>
      </c>
      <c r="AD2527" s="1" t="str">
        <f t="shared" si="231"/>
        <v/>
      </c>
      <c r="AE2527" s="1" t="str">
        <f t="shared" si="232"/>
        <v/>
      </c>
      <c r="AF2527" s="1" t="str">
        <f t="shared" si="233"/>
        <v/>
      </c>
      <c r="AG2527" s="1" t="str">
        <f t="shared" si="234"/>
        <v/>
      </c>
      <c r="AH2527" s="1" t="str">
        <f>IF(I2527=0,"Not contacted",IF(INDEX('Staff Review'!$J$8:$J$507,I2527)="","Not contacted",INDEX('Staff Review'!$J$8:$J$507,I2527)))</f>
        <v>Not contacted</v>
      </c>
      <c r="AI2527" s="1" t="str">
        <f>IF(I2527=0,"No",IF(AND(COUNT(INDEX('Staff Review'!$D$8:$D$507,I2527))=1,INDEX('Staff Review'!$D$8:$D$507,I2527)&gt;=0,COUNT(INDEX('Staff Review'!$E$8:$E$507,I2527))=1,INDEX('Staff Review'!$E$8:$E$507,I2527)&gt;0,INDEX('Staff Review'!$E$8:$E$507,I2527)&lt;='Top 25'!$E$5,'Top 25'!$E$5-INDEX('Staff Review'!$E$8:$E$507,I2527)&lt;='Top 25'!$H$5,LEN(INDEX('Staff Review'!$H$8:$H$507,I2527))&gt;0),"Yes","No"))</f>
        <v>No</v>
      </c>
      <c r="AJ2527" s="1" t="str">
        <f>IF(I2527=0,"No",IF(COUNT(INDEX('Staff Review'!$F$8:$F$507,I2527))&lt;&gt;1,"No",IF(AND(INDEX('Staff Review'!$F$8:$F$507,I2527)&gt;=0,MOD(INDEX('Staff Review'!$F$8:$F$507,I2527),1)=0,COUNT(INDEX('Staff Review'!$G$8:$G$507,I2527))=1,INDEX('Staff Review'!$G$8:$G$507,I2527)&gt;0,INDEX('Staff Review'!$G$8:$G$507,I2527)&lt;='Top 25'!$E$5,'Top 25'!$E$5-INDEX('Staff Review'!$G$8:$G$507,I2527)&lt;='Top 25'!$H$5,LEN(INDEX('Staff Review'!$H$8:$H$507,I2527))&gt;0),"Yes","No")))</f>
        <v>No</v>
      </c>
      <c r="AK2527" s="1">
        <f t="shared" si="235"/>
        <v>0</v>
      </c>
      <c r="AL2527" s="1">
        <f t="shared" si="236"/>
        <v>0</v>
      </c>
      <c r="AM2527" s="1">
        <f t="shared" si="237"/>
        <v>0</v>
      </c>
      <c r="AN2527" s="1">
        <f t="shared" si="238"/>
        <v>0</v>
      </c>
      <c r="AO2527">
        <f t="shared" si="239"/>
        <v>10000</v>
      </c>
      <c r="AP2527" s="105">
        <f>IF(AND(AL2527=1,OR('Top 25'!$A$10="All",C2527='Top 25'!$A$10),OR('Top 25'!$D$10="All",D2527='Top 25'!$D$10)),1,0)</f>
        <v>0</v>
      </c>
      <c r="AQ2527" s="105" t="str">
        <f>IF(AP2527=0,"",CHOOSE(MATCH('Top 25'!$G$10,{"Priority score","Economic need","Enrollment","Fresh miles","Nearby resources"},0),T2527,G2527,F2527,K2527,L2527))</f>
        <v/>
      </c>
      <c r="AR2527" s="105" t="str">
        <f>IF(AP2527=0,"",1+COUNTIFS($AP$2051:$AP$2550,1,$AQ$2051:$AQ$2550,IF('Top 25'!$J$10="Ascending","&lt;","&gt;")&amp;AQ2527)+COUNTIFS($AP$2051:$AP$2550,1,$AQ$2051:$AQ$2550,AQ2527,$W$2051:$W$2550,"&lt;"&amp;W2527))</f>
        <v/>
      </c>
      <c r="AT2527" s="105">
        <f>IF(AND(AL2527=1,OR(Master_rankableSchools!$A$10="All",C2527=Master_rankableSchools!$A$10),OR(Master_rankableSchools!$D$10="All",D2527=Master_rankableSchools!$D$10)),1,0)</f>
        <v>0</v>
      </c>
      <c r="AU2527" s="105" t="str">
        <f>IF(AT2527=0,"",CHOOSE(MATCH(Master_rankableSchools!$G$10,{"Priority score","Economic need","Enrollment","Fresh miles","Nearby resources"},0),T2527,G2527,F2527,K2527,L2527))</f>
        <v/>
      </c>
      <c r="AV2527" s="105" t="str">
        <f>IF(AT2527=0,"",1+COUNTIFS($AT$2051:$AT$2550,1,$AU$2051:$AU$2550,IF(Master_rankableSchools!$J$10="Ascending","&lt;","&gt;")&amp;AU2527)+COUNTIFS($AT$2051:$AT$2550,1,$AU$2051:$AU$2550,AU2527,$W$2051:$W$2550,"&lt;"&amp;W2527))</f>
        <v/>
      </c>
    </row>
    <row r="2528" spans="1:48" ht="22" customHeight="1">
      <c r="A2528" s="1" t="str">
        <f t="shared" si="210"/>
        <v/>
      </c>
      <c r="B2528" s="1" t="str">
        <f t="shared" si="211"/>
        <v/>
      </c>
      <c r="C2528" s="1" t="str">
        <f t="shared" si="212"/>
        <v/>
      </c>
      <c r="D2528" s="1" t="str">
        <f t="shared" si="213"/>
        <v/>
      </c>
      <c r="E2528" s="1" t="str">
        <f t="shared" si="214"/>
        <v/>
      </c>
      <c r="F2528" s="1" t="str">
        <f t="shared" si="215"/>
        <v/>
      </c>
      <c r="G2528" s="1" t="str">
        <f t="shared" si="216"/>
        <v/>
      </c>
      <c r="H2528" s="1" t="str">
        <f t="shared" si="217"/>
        <v/>
      </c>
      <c r="I2528" s="1">
        <f>IF(OR(A2528="",COUNTIFS('Staff Review'!$A$8:$A$507,A2528)&lt;&gt;1),0,MATCH(A2528,'Staff Review'!$A$8:$A$507,0))</f>
        <v>0</v>
      </c>
      <c r="J2528" s="1" t="str">
        <f>IF(I2528=0,"No",IF(INDEX('Staff Review'!$C$8:$C$507,I2528)="Yes","Yes","No"))</f>
        <v>No</v>
      </c>
      <c r="K2528" s="1" t="str">
        <f>IF(AI2528="Yes",INDEX('Staff Review'!$D$8:$D$507,I2528),IF(AB2528=0,"",IF(COUNT(INDEX($C$1531:$C$2030,AB2528))=1,INDEX($C$1531:$C$2030,AB2528),"")))</f>
        <v/>
      </c>
      <c r="L2528" s="1" t="str">
        <f>IF(AJ2528="Yes",INDEX('Staff Review'!$F$8:$F$507,I2528),IF(AB2528=0,"",IF(COUNT(INDEX($G$1531:$G$2030,AB2528))=1,INDEX($G$1531:$G$2030,AB2528),"")))</f>
        <v/>
      </c>
      <c r="M2528" s="1" t="str">
        <f t="shared" si="218"/>
        <v/>
      </c>
      <c r="N2528" s="1" t="str">
        <f t="shared" si="219"/>
        <v/>
      </c>
      <c r="O2528" s="1" t="str">
        <f t="shared" si="220"/>
        <v/>
      </c>
      <c r="P2528" s="1" t="str">
        <f t="shared" si="221"/>
        <v/>
      </c>
      <c r="Q2528" s="1" t="str">
        <f t="shared" si="222"/>
        <v/>
      </c>
      <c r="R2528" s="1" t="str">
        <f t="shared" si="223"/>
        <v/>
      </c>
      <c r="S2528" s="1" t="str">
        <f t="shared" si="224"/>
        <v/>
      </c>
      <c r="T2528" s="1" t="str">
        <f>IF(OR(COUNT(O2528:R2528)&lt;&gt;4,COUNT('Top 25'!$B$45:$E$45)&lt;&gt;4,MIN('Top 25'!$B$45:$E$45)&lt;0,SUM('Top 25'!$B$45:$E$45)&lt;=0),"",ROUND(85*(O2528/30*'Top 25'!$B$45+P2528/25*'Top 25'!$C$45+Q2528/25*'Top 25'!$D$45+R2528/5*'Top 25'!$E$45)/SUM('Top 25'!$B$45:$E$45),6))</f>
        <v/>
      </c>
      <c r="U2528" s="1" t="str">
        <f t="shared" si="225"/>
        <v/>
      </c>
      <c r="V2528" s="1" t="str">
        <f>IF(A2528="","",IF(AK2528&lt;&gt;1,"Duplicate source ID",IF(COUNTIFS('Staff Review'!$A$8:$A$507,A2528)&gt;1,"Duplicate review ID",IF(H2528&lt;&gt;"Yes","Outside scope",IF(J2528="Yes","Already served",IF(NOT(ISNUMBER(T2528)),"Missing data","Candidate"))))))</f>
        <v/>
      </c>
      <c r="W2528" s="1" t="str">
        <f t="shared" si="226"/>
        <v/>
      </c>
      <c r="X2528" s="1" t="str">
        <f t="shared" si="227"/>
        <v/>
      </c>
      <c r="Y2528" s="1">
        <f>IF(AND(H2528="Yes",OR(LEN('School Search'!$B$5)=0,ISNUMBER(SEARCH('School Search'!$B$5,B2528&amp;" "&amp;E2528&amp;" "&amp;A2528))),OR('School Search'!$D$5="All",C2528='School Search'!$D$5),OR('School Search'!$G$5="All eligible",AND('School Search'!$G$5="Not marked served",J2528&lt;&gt;"Yes"),AND('School Search'!$G$5="Missing data",V2528="Missing data"),AND('School Search'!$G$5="Marked served",J2528="Yes"))),1,0)</f>
        <v>0</v>
      </c>
      <c r="Z2528" s="1" t="str">
        <f>IF(Y2528=0,"",COUNTIFS($Y$2051:$Y$2550,1,$AO$2051:$AO$2550,"&lt;"&amp;AO2528)+COUNTIFS($Y$2051:Y2528,1,$AO$2051:AO2528,AO2528))</f>
        <v/>
      </c>
      <c r="AA2528" s="1" t="str">
        <f t="shared" si="228"/>
        <v>Missing demographic or access input</v>
      </c>
      <c r="AB2528" s="1">
        <f t="shared" si="229"/>
        <v>0</v>
      </c>
      <c r="AC2528" s="1" t="str">
        <f t="shared" si="230"/>
        <v/>
      </c>
      <c r="AD2528" s="1" t="str">
        <f t="shared" si="231"/>
        <v/>
      </c>
      <c r="AE2528" s="1" t="str">
        <f t="shared" si="232"/>
        <v/>
      </c>
      <c r="AF2528" s="1" t="str">
        <f t="shared" si="233"/>
        <v/>
      </c>
      <c r="AG2528" s="1" t="str">
        <f t="shared" si="234"/>
        <v/>
      </c>
      <c r="AH2528" s="1" t="str">
        <f>IF(I2528=0,"Not contacted",IF(INDEX('Staff Review'!$J$8:$J$507,I2528)="","Not contacted",INDEX('Staff Review'!$J$8:$J$507,I2528)))</f>
        <v>Not contacted</v>
      </c>
      <c r="AI2528" s="1" t="str">
        <f>IF(I2528=0,"No",IF(AND(COUNT(INDEX('Staff Review'!$D$8:$D$507,I2528))=1,INDEX('Staff Review'!$D$8:$D$507,I2528)&gt;=0,COUNT(INDEX('Staff Review'!$E$8:$E$507,I2528))=1,INDEX('Staff Review'!$E$8:$E$507,I2528)&gt;0,INDEX('Staff Review'!$E$8:$E$507,I2528)&lt;='Top 25'!$E$5,'Top 25'!$E$5-INDEX('Staff Review'!$E$8:$E$507,I2528)&lt;='Top 25'!$H$5,LEN(INDEX('Staff Review'!$H$8:$H$507,I2528))&gt;0),"Yes","No"))</f>
        <v>No</v>
      </c>
      <c r="AJ2528" s="1" t="str">
        <f>IF(I2528=0,"No",IF(COUNT(INDEX('Staff Review'!$F$8:$F$507,I2528))&lt;&gt;1,"No",IF(AND(INDEX('Staff Review'!$F$8:$F$507,I2528)&gt;=0,MOD(INDEX('Staff Review'!$F$8:$F$507,I2528),1)=0,COUNT(INDEX('Staff Review'!$G$8:$G$507,I2528))=1,INDEX('Staff Review'!$G$8:$G$507,I2528)&gt;0,INDEX('Staff Review'!$G$8:$G$507,I2528)&lt;='Top 25'!$E$5,'Top 25'!$E$5-INDEX('Staff Review'!$G$8:$G$507,I2528)&lt;='Top 25'!$H$5,LEN(INDEX('Staff Review'!$H$8:$H$507,I2528))&gt;0),"Yes","No")))</f>
        <v>No</v>
      </c>
      <c r="AK2528" s="1">
        <f t="shared" si="235"/>
        <v>0</v>
      </c>
      <c r="AL2528" s="1">
        <f t="shared" si="236"/>
        <v>0</v>
      </c>
      <c r="AM2528" s="1">
        <f t="shared" si="237"/>
        <v>0</v>
      </c>
      <c r="AN2528" s="1">
        <f t="shared" si="238"/>
        <v>0</v>
      </c>
      <c r="AO2528">
        <f t="shared" si="239"/>
        <v>10000</v>
      </c>
      <c r="AP2528" s="105">
        <f>IF(AND(AL2528=1,OR('Top 25'!$A$10="All",C2528='Top 25'!$A$10),OR('Top 25'!$D$10="All",D2528='Top 25'!$D$10)),1,0)</f>
        <v>0</v>
      </c>
      <c r="AQ2528" s="105" t="str">
        <f>IF(AP2528=0,"",CHOOSE(MATCH('Top 25'!$G$10,{"Priority score","Economic need","Enrollment","Fresh miles","Nearby resources"},0),T2528,G2528,F2528,K2528,L2528))</f>
        <v/>
      </c>
      <c r="AR2528" s="105" t="str">
        <f>IF(AP2528=0,"",1+COUNTIFS($AP$2051:$AP$2550,1,$AQ$2051:$AQ$2550,IF('Top 25'!$J$10="Ascending","&lt;","&gt;")&amp;AQ2528)+COUNTIFS($AP$2051:$AP$2550,1,$AQ$2051:$AQ$2550,AQ2528,$W$2051:$W$2550,"&lt;"&amp;W2528))</f>
        <v/>
      </c>
      <c r="AT2528" s="105">
        <f>IF(AND(AL2528=1,OR(Master_rankableSchools!$A$10="All",C2528=Master_rankableSchools!$A$10),OR(Master_rankableSchools!$D$10="All",D2528=Master_rankableSchools!$D$10)),1,0)</f>
        <v>0</v>
      </c>
      <c r="AU2528" s="105" t="str">
        <f>IF(AT2528=0,"",CHOOSE(MATCH(Master_rankableSchools!$G$10,{"Priority score","Economic need","Enrollment","Fresh miles","Nearby resources"},0),T2528,G2528,F2528,K2528,L2528))</f>
        <v/>
      </c>
      <c r="AV2528" s="105" t="str">
        <f>IF(AT2528=0,"",1+COUNTIFS($AT$2051:$AT$2550,1,$AU$2051:$AU$2550,IF(Master_rankableSchools!$J$10="Ascending","&lt;","&gt;")&amp;AU2528)+COUNTIFS($AT$2051:$AT$2550,1,$AU$2051:$AU$2550,AU2528,$W$2051:$W$2550,"&lt;"&amp;W2528))</f>
        <v/>
      </c>
    </row>
    <row r="2529" spans="1:48" ht="22" customHeight="1">
      <c r="A2529" s="1" t="str">
        <f t="shared" si="210"/>
        <v/>
      </c>
      <c r="B2529" s="1" t="str">
        <f t="shared" si="211"/>
        <v/>
      </c>
      <c r="C2529" s="1" t="str">
        <f t="shared" si="212"/>
        <v/>
      </c>
      <c r="D2529" s="1" t="str">
        <f t="shared" si="213"/>
        <v/>
      </c>
      <c r="E2529" s="1" t="str">
        <f t="shared" si="214"/>
        <v/>
      </c>
      <c r="F2529" s="1" t="str">
        <f t="shared" si="215"/>
        <v/>
      </c>
      <c r="G2529" s="1" t="str">
        <f t="shared" si="216"/>
        <v/>
      </c>
      <c r="H2529" s="1" t="str">
        <f t="shared" si="217"/>
        <v/>
      </c>
      <c r="I2529" s="1">
        <f>IF(OR(A2529="",COUNTIFS('Staff Review'!$A$8:$A$507,A2529)&lt;&gt;1),0,MATCH(A2529,'Staff Review'!$A$8:$A$507,0))</f>
        <v>0</v>
      </c>
      <c r="J2529" s="1" t="str">
        <f>IF(I2529=0,"No",IF(INDEX('Staff Review'!$C$8:$C$507,I2529)="Yes","Yes","No"))</f>
        <v>No</v>
      </c>
      <c r="K2529" s="1" t="str">
        <f>IF(AI2529="Yes",INDEX('Staff Review'!$D$8:$D$507,I2529),IF(AB2529=0,"",IF(COUNT(INDEX($C$1531:$C$2030,AB2529))=1,INDEX($C$1531:$C$2030,AB2529),"")))</f>
        <v/>
      </c>
      <c r="L2529" s="1" t="str">
        <f>IF(AJ2529="Yes",INDEX('Staff Review'!$F$8:$F$507,I2529),IF(AB2529=0,"",IF(COUNT(INDEX($G$1531:$G$2030,AB2529))=1,INDEX($G$1531:$G$2030,AB2529),"")))</f>
        <v/>
      </c>
      <c r="M2529" s="1" t="str">
        <f t="shared" si="218"/>
        <v/>
      </c>
      <c r="N2529" s="1" t="str">
        <f t="shared" si="219"/>
        <v/>
      </c>
      <c r="O2529" s="1" t="str">
        <f t="shared" si="220"/>
        <v/>
      </c>
      <c r="P2529" s="1" t="str">
        <f t="shared" si="221"/>
        <v/>
      </c>
      <c r="Q2529" s="1" t="str">
        <f t="shared" si="222"/>
        <v/>
      </c>
      <c r="R2529" s="1" t="str">
        <f t="shared" si="223"/>
        <v/>
      </c>
      <c r="S2529" s="1" t="str">
        <f t="shared" si="224"/>
        <v/>
      </c>
      <c r="T2529" s="1" t="str">
        <f>IF(OR(COUNT(O2529:R2529)&lt;&gt;4,COUNT('Top 25'!$B$45:$E$45)&lt;&gt;4,MIN('Top 25'!$B$45:$E$45)&lt;0,SUM('Top 25'!$B$45:$E$45)&lt;=0),"",ROUND(85*(O2529/30*'Top 25'!$B$45+P2529/25*'Top 25'!$C$45+Q2529/25*'Top 25'!$D$45+R2529/5*'Top 25'!$E$45)/SUM('Top 25'!$B$45:$E$45),6))</f>
        <v/>
      </c>
      <c r="U2529" s="1" t="str">
        <f t="shared" si="225"/>
        <v/>
      </c>
      <c r="V2529" s="1" t="str">
        <f>IF(A2529="","",IF(AK2529&lt;&gt;1,"Duplicate source ID",IF(COUNTIFS('Staff Review'!$A$8:$A$507,A2529)&gt;1,"Duplicate review ID",IF(H2529&lt;&gt;"Yes","Outside scope",IF(J2529="Yes","Already served",IF(NOT(ISNUMBER(T2529)),"Missing data","Candidate"))))))</f>
        <v/>
      </c>
      <c r="W2529" s="1" t="str">
        <f t="shared" si="226"/>
        <v/>
      </c>
      <c r="X2529" s="1" t="str">
        <f t="shared" si="227"/>
        <v/>
      </c>
      <c r="Y2529" s="1">
        <f>IF(AND(H2529="Yes",OR(LEN('School Search'!$B$5)=0,ISNUMBER(SEARCH('School Search'!$B$5,B2529&amp;" "&amp;E2529&amp;" "&amp;A2529))),OR('School Search'!$D$5="All",C2529='School Search'!$D$5),OR('School Search'!$G$5="All eligible",AND('School Search'!$G$5="Not marked served",J2529&lt;&gt;"Yes"),AND('School Search'!$G$5="Missing data",V2529="Missing data"),AND('School Search'!$G$5="Marked served",J2529="Yes"))),1,0)</f>
        <v>0</v>
      </c>
      <c r="Z2529" s="1" t="str">
        <f>IF(Y2529=0,"",COUNTIFS($Y$2051:$Y$2550,1,$AO$2051:$AO$2550,"&lt;"&amp;AO2529)+COUNTIFS($Y$2051:Y2529,1,$AO$2051:AO2529,AO2529))</f>
        <v/>
      </c>
      <c r="AA2529" s="1" t="str">
        <f t="shared" si="228"/>
        <v>Missing demographic or access input</v>
      </c>
      <c r="AB2529" s="1">
        <f t="shared" si="229"/>
        <v>0</v>
      </c>
      <c r="AC2529" s="1" t="str">
        <f t="shared" si="230"/>
        <v/>
      </c>
      <c r="AD2529" s="1" t="str">
        <f t="shared" si="231"/>
        <v/>
      </c>
      <c r="AE2529" s="1" t="str">
        <f t="shared" si="232"/>
        <v/>
      </c>
      <c r="AF2529" s="1" t="str">
        <f t="shared" si="233"/>
        <v/>
      </c>
      <c r="AG2529" s="1" t="str">
        <f t="shared" si="234"/>
        <v/>
      </c>
      <c r="AH2529" s="1" t="str">
        <f>IF(I2529=0,"Not contacted",IF(INDEX('Staff Review'!$J$8:$J$507,I2529)="","Not contacted",INDEX('Staff Review'!$J$8:$J$507,I2529)))</f>
        <v>Not contacted</v>
      </c>
      <c r="AI2529" s="1" t="str">
        <f>IF(I2529=0,"No",IF(AND(COUNT(INDEX('Staff Review'!$D$8:$D$507,I2529))=1,INDEX('Staff Review'!$D$8:$D$507,I2529)&gt;=0,COUNT(INDEX('Staff Review'!$E$8:$E$507,I2529))=1,INDEX('Staff Review'!$E$8:$E$507,I2529)&gt;0,INDEX('Staff Review'!$E$8:$E$507,I2529)&lt;='Top 25'!$E$5,'Top 25'!$E$5-INDEX('Staff Review'!$E$8:$E$507,I2529)&lt;='Top 25'!$H$5,LEN(INDEX('Staff Review'!$H$8:$H$507,I2529))&gt;0),"Yes","No"))</f>
        <v>No</v>
      </c>
      <c r="AJ2529" s="1" t="str">
        <f>IF(I2529=0,"No",IF(COUNT(INDEX('Staff Review'!$F$8:$F$507,I2529))&lt;&gt;1,"No",IF(AND(INDEX('Staff Review'!$F$8:$F$507,I2529)&gt;=0,MOD(INDEX('Staff Review'!$F$8:$F$507,I2529),1)=0,COUNT(INDEX('Staff Review'!$G$8:$G$507,I2529))=1,INDEX('Staff Review'!$G$8:$G$507,I2529)&gt;0,INDEX('Staff Review'!$G$8:$G$507,I2529)&lt;='Top 25'!$E$5,'Top 25'!$E$5-INDEX('Staff Review'!$G$8:$G$507,I2529)&lt;='Top 25'!$H$5,LEN(INDEX('Staff Review'!$H$8:$H$507,I2529))&gt;0),"Yes","No")))</f>
        <v>No</v>
      </c>
      <c r="AK2529" s="1">
        <f t="shared" si="235"/>
        <v>0</v>
      </c>
      <c r="AL2529" s="1">
        <f t="shared" si="236"/>
        <v>0</v>
      </c>
      <c r="AM2529" s="1">
        <f t="shared" si="237"/>
        <v>0</v>
      </c>
      <c r="AN2529" s="1">
        <f t="shared" si="238"/>
        <v>0</v>
      </c>
      <c r="AO2529">
        <f t="shared" si="239"/>
        <v>10000</v>
      </c>
      <c r="AP2529" s="105">
        <f>IF(AND(AL2529=1,OR('Top 25'!$A$10="All",C2529='Top 25'!$A$10),OR('Top 25'!$D$10="All",D2529='Top 25'!$D$10)),1,0)</f>
        <v>0</v>
      </c>
      <c r="AQ2529" s="105" t="str">
        <f>IF(AP2529=0,"",CHOOSE(MATCH('Top 25'!$G$10,{"Priority score","Economic need","Enrollment","Fresh miles","Nearby resources"},0),T2529,G2529,F2529,K2529,L2529))</f>
        <v/>
      </c>
      <c r="AR2529" s="105" t="str">
        <f>IF(AP2529=0,"",1+COUNTIFS($AP$2051:$AP$2550,1,$AQ$2051:$AQ$2550,IF('Top 25'!$J$10="Ascending","&lt;","&gt;")&amp;AQ2529)+COUNTIFS($AP$2051:$AP$2550,1,$AQ$2051:$AQ$2550,AQ2529,$W$2051:$W$2550,"&lt;"&amp;W2529))</f>
        <v/>
      </c>
      <c r="AT2529" s="105">
        <f>IF(AND(AL2529=1,OR(Master_rankableSchools!$A$10="All",C2529=Master_rankableSchools!$A$10),OR(Master_rankableSchools!$D$10="All",D2529=Master_rankableSchools!$D$10)),1,0)</f>
        <v>0</v>
      </c>
      <c r="AU2529" s="105" t="str">
        <f>IF(AT2529=0,"",CHOOSE(MATCH(Master_rankableSchools!$G$10,{"Priority score","Economic need","Enrollment","Fresh miles","Nearby resources"},0),T2529,G2529,F2529,K2529,L2529))</f>
        <v/>
      </c>
      <c r="AV2529" s="105" t="str">
        <f>IF(AT2529=0,"",1+COUNTIFS($AT$2051:$AT$2550,1,$AU$2051:$AU$2550,IF(Master_rankableSchools!$J$10="Ascending","&lt;","&gt;")&amp;AU2529)+COUNTIFS($AT$2051:$AT$2550,1,$AU$2051:$AU$2550,AU2529,$W$2051:$W$2550,"&lt;"&amp;W2529))</f>
        <v/>
      </c>
    </row>
    <row r="2530" spans="1:48" ht="22" customHeight="1">
      <c r="A2530" s="1" t="str">
        <f t="shared" si="210"/>
        <v/>
      </c>
      <c r="B2530" s="1" t="str">
        <f t="shared" si="211"/>
        <v/>
      </c>
      <c r="C2530" s="1" t="str">
        <f t="shared" si="212"/>
        <v/>
      </c>
      <c r="D2530" s="1" t="str">
        <f t="shared" si="213"/>
        <v/>
      </c>
      <c r="E2530" s="1" t="str">
        <f t="shared" si="214"/>
        <v/>
      </c>
      <c r="F2530" s="1" t="str">
        <f t="shared" si="215"/>
        <v/>
      </c>
      <c r="G2530" s="1" t="str">
        <f t="shared" si="216"/>
        <v/>
      </c>
      <c r="H2530" s="1" t="str">
        <f t="shared" si="217"/>
        <v/>
      </c>
      <c r="I2530" s="1">
        <f>IF(OR(A2530="",COUNTIFS('Staff Review'!$A$8:$A$507,A2530)&lt;&gt;1),0,MATCH(A2530,'Staff Review'!$A$8:$A$507,0))</f>
        <v>0</v>
      </c>
      <c r="J2530" s="1" t="str">
        <f>IF(I2530=0,"No",IF(INDEX('Staff Review'!$C$8:$C$507,I2530)="Yes","Yes","No"))</f>
        <v>No</v>
      </c>
      <c r="K2530" s="1" t="str">
        <f>IF(AI2530="Yes",INDEX('Staff Review'!$D$8:$D$507,I2530),IF(AB2530=0,"",IF(COUNT(INDEX($C$1531:$C$2030,AB2530))=1,INDEX($C$1531:$C$2030,AB2530),"")))</f>
        <v/>
      </c>
      <c r="L2530" s="1" t="str">
        <f>IF(AJ2530="Yes",INDEX('Staff Review'!$F$8:$F$507,I2530),IF(AB2530=0,"",IF(COUNT(INDEX($G$1531:$G$2030,AB2530))=1,INDEX($G$1531:$G$2030,AB2530),"")))</f>
        <v/>
      </c>
      <c r="M2530" s="1" t="str">
        <f t="shared" si="218"/>
        <v/>
      </c>
      <c r="N2530" s="1" t="str">
        <f t="shared" si="219"/>
        <v/>
      </c>
      <c r="O2530" s="1" t="str">
        <f t="shared" si="220"/>
        <v/>
      </c>
      <c r="P2530" s="1" t="str">
        <f t="shared" si="221"/>
        <v/>
      </c>
      <c r="Q2530" s="1" t="str">
        <f t="shared" si="222"/>
        <v/>
      </c>
      <c r="R2530" s="1" t="str">
        <f t="shared" si="223"/>
        <v/>
      </c>
      <c r="S2530" s="1" t="str">
        <f t="shared" si="224"/>
        <v/>
      </c>
      <c r="T2530" s="1" t="str">
        <f>IF(OR(COUNT(O2530:R2530)&lt;&gt;4,COUNT('Top 25'!$B$45:$E$45)&lt;&gt;4,MIN('Top 25'!$B$45:$E$45)&lt;0,SUM('Top 25'!$B$45:$E$45)&lt;=0),"",ROUND(85*(O2530/30*'Top 25'!$B$45+P2530/25*'Top 25'!$C$45+Q2530/25*'Top 25'!$D$45+R2530/5*'Top 25'!$E$45)/SUM('Top 25'!$B$45:$E$45),6))</f>
        <v/>
      </c>
      <c r="U2530" s="1" t="str">
        <f t="shared" si="225"/>
        <v/>
      </c>
      <c r="V2530" s="1" t="str">
        <f>IF(A2530="","",IF(AK2530&lt;&gt;1,"Duplicate source ID",IF(COUNTIFS('Staff Review'!$A$8:$A$507,A2530)&gt;1,"Duplicate review ID",IF(H2530&lt;&gt;"Yes","Outside scope",IF(J2530="Yes","Already served",IF(NOT(ISNUMBER(T2530)),"Missing data","Candidate"))))))</f>
        <v/>
      </c>
      <c r="W2530" s="1" t="str">
        <f t="shared" si="226"/>
        <v/>
      </c>
      <c r="X2530" s="1" t="str">
        <f t="shared" si="227"/>
        <v/>
      </c>
      <c r="Y2530" s="1">
        <f>IF(AND(H2530="Yes",OR(LEN('School Search'!$B$5)=0,ISNUMBER(SEARCH('School Search'!$B$5,B2530&amp;" "&amp;E2530&amp;" "&amp;A2530))),OR('School Search'!$D$5="All",C2530='School Search'!$D$5),OR('School Search'!$G$5="All eligible",AND('School Search'!$G$5="Not marked served",J2530&lt;&gt;"Yes"),AND('School Search'!$G$5="Missing data",V2530="Missing data"),AND('School Search'!$G$5="Marked served",J2530="Yes"))),1,0)</f>
        <v>0</v>
      </c>
      <c r="Z2530" s="1" t="str">
        <f>IF(Y2530=0,"",COUNTIFS($Y$2051:$Y$2550,1,$AO$2051:$AO$2550,"&lt;"&amp;AO2530)+COUNTIFS($Y$2051:Y2530,1,$AO$2051:AO2530,AO2530))</f>
        <v/>
      </c>
      <c r="AA2530" s="1" t="str">
        <f t="shared" si="228"/>
        <v>Missing demographic or access input</v>
      </c>
      <c r="AB2530" s="1">
        <f t="shared" si="229"/>
        <v>0</v>
      </c>
      <c r="AC2530" s="1" t="str">
        <f t="shared" si="230"/>
        <v/>
      </c>
      <c r="AD2530" s="1" t="str">
        <f t="shared" si="231"/>
        <v/>
      </c>
      <c r="AE2530" s="1" t="str">
        <f t="shared" si="232"/>
        <v/>
      </c>
      <c r="AF2530" s="1" t="str">
        <f t="shared" si="233"/>
        <v/>
      </c>
      <c r="AG2530" s="1" t="str">
        <f t="shared" si="234"/>
        <v/>
      </c>
      <c r="AH2530" s="1" t="str">
        <f>IF(I2530=0,"Not contacted",IF(INDEX('Staff Review'!$J$8:$J$507,I2530)="","Not contacted",INDEX('Staff Review'!$J$8:$J$507,I2530)))</f>
        <v>Not contacted</v>
      </c>
      <c r="AI2530" s="1" t="str">
        <f>IF(I2530=0,"No",IF(AND(COUNT(INDEX('Staff Review'!$D$8:$D$507,I2530))=1,INDEX('Staff Review'!$D$8:$D$507,I2530)&gt;=0,COUNT(INDEX('Staff Review'!$E$8:$E$507,I2530))=1,INDEX('Staff Review'!$E$8:$E$507,I2530)&gt;0,INDEX('Staff Review'!$E$8:$E$507,I2530)&lt;='Top 25'!$E$5,'Top 25'!$E$5-INDEX('Staff Review'!$E$8:$E$507,I2530)&lt;='Top 25'!$H$5,LEN(INDEX('Staff Review'!$H$8:$H$507,I2530))&gt;0),"Yes","No"))</f>
        <v>No</v>
      </c>
      <c r="AJ2530" s="1" t="str">
        <f>IF(I2530=0,"No",IF(COUNT(INDEX('Staff Review'!$F$8:$F$507,I2530))&lt;&gt;1,"No",IF(AND(INDEX('Staff Review'!$F$8:$F$507,I2530)&gt;=0,MOD(INDEX('Staff Review'!$F$8:$F$507,I2530),1)=0,COUNT(INDEX('Staff Review'!$G$8:$G$507,I2530))=1,INDEX('Staff Review'!$G$8:$G$507,I2530)&gt;0,INDEX('Staff Review'!$G$8:$G$507,I2530)&lt;='Top 25'!$E$5,'Top 25'!$E$5-INDEX('Staff Review'!$G$8:$G$507,I2530)&lt;='Top 25'!$H$5,LEN(INDEX('Staff Review'!$H$8:$H$507,I2530))&gt;0),"Yes","No")))</f>
        <v>No</v>
      </c>
      <c r="AK2530" s="1">
        <f t="shared" si="235"/>
        <v>0</v>
      </c>
      <c r="AL2530" s="1">
        <f t="shared" si="236"/>
        <v>0</v>
      </c>
      <c r="AM2530" s="1">
        <f t="shared" si="237"/>
        <v>0</v>
      </c>
      <c r="AN2530" s="1">
        <f t="shared" si="238"/>
        <v>0</v>
      </c>
      <c r="AO2530">
        <f t="shared" si="239"/>
        <v>10000</v>
      </c>
      <c r="AP2530" s="105">
        <f>IF(AND(AL2530=1,OR('Top 25'!$A$10="All",C2530='Top 25'!$A$10),OR('Top 25'!$D$10="All",D2530='Top 25'!$D$10)),1,0)</f>
        <v>0</v>
      </c>
      <c r="AQ2530" s="105" t="str">
        <f>IF(AP2530=0,"",CHOOSE(MATCH('Top 25'!$G$10,{"Priority score","Economic need","Enrollment","Fresh miles","Nearby resources"},0),T2530,G2530,F2530,K2530,L2530))</f>
        <v/>
      </c>
      <c r="AR2530" s="105" t="str">
        <f>IF(AP2530=0,"",1+COUNTIFS($AP$2051:$AP$2550,1,$AQ$2051:$AQ$2550,IF('Top 25'!$J$10="Ascending","&lt;","&gt;")&amp;AQ2530)+COUNTIFS($AP$2051:$AP$2550,1,$AQ$2051:$AQ$2550,AQ2530,$W$2051:$W$2550,"&lt;"&amp;W2530))</f>
        <v/>
      </c>
      <c r="AT2530" s="105">
        <f>IF(AND(AL2530=1,OR(Master_rankableSchools!$A$10="All",C2530=Master_rankableSchools!$A$10),OR(Master_rankableSchools!$D$10="All",D2530=Master_rankableSchools!$D$10)),1,0)</f>
        <v>0</v>
      </c>
      <c r="AU2530" s="105" t="str">
        <f>IF(AT2530=0,"",CHOOSE(MATCH(Master_rankableSchools!$G$10,{"Priority score","Economic need","Enrollment","Fresh miles","Nearby resources"},0),T2530,G2530,F2530,K2530,L2530))</f>
        <v/>
      </c>
      <c r="AV2530" s="105" t="str">
        <f>IF(AT2530=0,"",1+COUNTIFS($AT$2051:$AT$2550,1,$AU$2051:$AU$2550,IF(Master_rankableSchools!$J$10="Ascending","&lt;","&gt;")&amp;AU2530)+COUNTIFS($AT$2051:$AT$2550,1,$AU$2051:$AU$2550,AU2530,$W$2051:$W$2550,"&lt;"&amp;W2530))</f>
        <v/>
      </c>
    </row>
    <row r="2531" spans="1:48" ht="22" customHeight="1">
      <c r="A2531" s="1" t="str">
        <f t="shared" si="210"/>
        <v/>
      </c>
      <c r="B2531" s="1" t="str">
        <f t="shared" si="211"/>
        <v/>
      </c>
      <c r="C2531" s="1" t="str">
        <f t="shared" si="212"/>
        <v/>
      </c>
      <c r="D2531" s="1" t="str">
        <f t="shared" si="213"/>
        <v/>
      </c>
      <c r="E2531" s="1" t="str">
        <f t="shared" si="214"/>
        <v/>
      </c>
      <c r="F2531" s="1" t="str">
        <f t="shared" si="215"/>
        <v/>
      </c>
      <c r="G2531" s="1" t="str">
        <f t="shared" si="216"/>
        <v/>
      </c>
      <c r="H2531" s="1" t="str">
        <f t="shared" si="217"/>
        <v/>
      </c>
      <c r="I2531" s="1">
        <f>IF(OR(A2531="",COUNTIFS('Staff Review'!$A$8:$A$507,A2531)&lt;&gt;1),0,MATCH(A2531,'Staff Review'!$A$8:$A$507,0))</f>
        <v>0</v>
      </c>
      <c r="J2531" s="1" t="str">
        <f>IF(I2531=0,"No",IF(INDEX('Staff Review'!$C$8:$C$507,I2531)="Yes","Yes","No"))</f>
        <v>No</v>
      </c>
      <c r="K2531" s="1" t="str">
        <f>IF(AI2531="Yes",INDEX('Staff Review'!$D$8:$D$507,I2531),IF(AB2531=0,"",IF(COUNT(INDEX($C$1531:$C$2030,AB2531))=1,INDEX($C$1531:$C$2030,AB2531),"")))</f>
        <v/>
      </c>
      <c r="L2531" s="1" t="str">
        <f>IF(AJ2531="Yes",INDEX('Staff Review'!$F$8:$F$507,I2531),IF(AB2531=0,"",IF(COUNT(INDEX($G$1531:$G$2030,AB2531))=1,INDEX($G$1531:$G$2030,AB2531),"")))</f>
        <v/>
      </c>
      <c r="M2531" s="1" t="str">
        <f t="shared" si="218"/>
        <v/>
      </c>
      <c r="N2531" s="1" t="str">
        <f t="shared" si="219"/>
        <v/>
      </c>
      <c r="O2531" s="1" t="str">
        <f t="shared" si="220"/>
        <v/>
      </c>
      <c r="P2531" s="1" t="str">
        <f t="shared" si="221"/>
        <v/>
      </c>
      <c r="Q2531" s="1" t="str">
        <f t="shared" si="222"/>
        <v/>
      </c>
      <c r="R2531" s="1" t="str">
        <f t="shared" si="223"/>
        <v/>
      </c>
      <c r="S2531" s="1" t="str">
        <f t="shared" si="224"/>
        <v/>
      </c>
      <c r="T2531" s="1" t="str">
        <f>IF(OR(COUNT(O2531:R2531)&lt;&gt;4,COUNT('Top 25'!$B$45:$E$45)&lt;&gt;4,MIN('Top 25'!$B$45:$E$45)&lt;0,SUM('Top 25'!$B$45:$E$45)&lt;=0),"",ROUND(85*(O2531/30*'Top 25'!$B$45+P2531/25*'Top 25'!$C$45+Q2531/25*'Top 25'!$D$45+R2531/5*'Top 25'!$E$45)/SUM('Top 25'!$B$45:$E$45),6))</f>
        <v/>
      </c>
      <c r="U2531" s="1" t="str">
        <f t="shared" si="225"/>
        <v/>
      </c>
      <c r="V2531" s="1" t="str">
        <f>IF(A2531="","",IF(AK2531&lt;&gt;1,"Duplicate source ID",IF(COUNTIFS('Staff Review'!$A$8:$A$507,A2531)&gt;1,"Duplicate review ID",IF(H2531&lt;&gt;"Yes","Outside scope",IF(J2531="Yes","Already served",IF(NOT(ISNUMBER(T2531)),"Missing data","Candidate"))))))</f>
        <v/>
      </c>
      <c r="W2531" s="1" t="str">
        <f t="shared" si="226"/>
        <v/>
      </c>
      <c r="X2531" s="1" t="str">
        <f t="shared" si="227"/>
        <v/>
      </c>
      <c r="Y2531" s="1">
        <f>IF(AND(H2531="Yes",OR(LEN('School Search'!$B$5)=0,ISNUMBER(SEARCH('School Search'!$B$5,B2531&amp;" "&amp;E2531&amp;" "&amp;A2531))),OR('School Search'!$D$5="All",C2531='School Search'!$D$5),OR('School Search'!$G$5="All eligible",AND('School Search'!$G$5="Not marked served",J2531&lt;&gt;"Yes"),AND('School Search'!$G$5="Missing data",V2531="Missing data"),AND('School Search'!$G$5="Marked served",J2531="Yes"))),1,0)</f>
        <v>0</v>
      </c>
      <c r="Z2531" s="1" t="str">
        <f>IF(Y2531=0,"",COUNTIFS($Y$2051:$Y$2550,1,$AO$2051:$AO$2550,"&lt;"&amp;AO2531)+COUNTIFS($Y$2051:Y2531,1,$AO$2051:AO2531,AO2531))</f>
        <v/>
      </c>
      <c r="AA2531" s="1" t="str">
        <f t="shared" si="228"/>
        <v>Missing demographic or access input</v>
      </c>
      <c r="AB2531" s="1">
        <f t="shared" si="229"/>
        <v>0</v>
      </c>
      <c r="AC2531" s="1" t="str">
        <f t="shared" si="230"/>
        <v/>
      </c>
      <c r="AD2531" s="1" t="str">
        <f t="shared" si="231"/>
        <v/>
      </c>
      <c r="AE2531" s="1" t="str">
        <f t="shared" si="232"/>
        <v/>
      </c>
      <c r="AF2531" s="1" t="str">
        <f t="shared" si="233"/>
        <v/>
      </c>
      <c r="AG2531" s="1" t="str">
        <f t="shared" si="234"/>
        <v/>
      </c>
      <c r="AH2531" s="1" t="str">
        <f>IF(I2531=0,"Not contacted",IF(INDEX('Staff Review'!$J$8:$J$507,I2531)="","Not contacted",INDEX('Staff Review'!$J$8:$J$507,I2531)))</f>
        <v>Not contacted</v>
      </c>
      <c r="AI2531" s="1" t="str">
        <f>IF(I2531=0,"No",IF(AND(COUNT(INDEX('Staff Review'!$D$8:$D$507,I2531))=1,INDEX('Staff Review'!$D$8:$D$507,I2531)&gt;=0,COUNT(INDEX('Staff Review'!$E$8:$E$507,I2531))=1,INDEX('Staff Review'!$E$8:$E$507,I2531)&gt;0,INDEX('Staff Review'!$E$8:$E$507,I2531)&lt;='Top 25'!$E$5,'Top 25'!$E$5-INDEX('Staff Review'!$E$8:$E$507,I2531)&lt;='Top 25'!$H$5,LEN(INDEX('Staff Review'!$H$8:$H$507,I2531))&gt;0),"Yes","No"))</f>
        <v>No</v>
      </c>
      <c r="AJ2531" s="1" t="str">
        <f>IF(I2531=0,"No",IF(COUNT(INDEX('Staff Review'!$F$8:$F$507,I2531))&lt;&gt;1,"No",IF(AND(INDEX('Staff Review'!$F$8:$F$507,I2531)&gt;=0,MOD(INDEX('Staff Review'!$F$8:$F$507,I2531),1)=0,COUNT(INDEX('Staff Review'!$G$8:$G$507,I2531))=1,INDEX('Staff Review'!$G$8:$G$507,I2531)&gt;0,INDEX('Staff Review'!$G$8:$G$507,I2531)&lt;='Top 25'!$E$5,'Top 25'!$E$5-INDEX('Staff Review'!$G$8:$G$507,I2531)&lt;='Top 25'!$H$5,LEN(INDEX('Staff Review'!$H$8:$H$507,I2531))&gt;0),"Yes","No")))</f>
        <v>No</v>
      </c>
      <c r="AK2531" s="1">
        <f t="shared" si="235"/>
        <v>0</v>
      </c>
      <c r="AL2531" s="1">
        <f t="shared" si="236"/>
        <v>0</v>
      </c>
      <c r="AM2531" s="1">
        <f t="shared" si="237"/>
        <v>0</v>
      </c>
      <c r="AN2531" s="1">
        <f t="shared" si="238"/>
        <v>0</v>
      </c>
      <c r="AO2531">
        <f t="shared" si="239"/>
        <v>10000</v>
      </c>
      <c r="AP2531" s="105">
        <f>IF(AND(AL2531=1,OR('Top 25'!$A$10="All",C2531='Top 25'!$A$10),OR('Top 25'!$D$10="All",D2531='Top 25'!$D$10)),1,0)</f>
        <v>0</v>
      </c>
      <c r="AQ2531" s="105" t="str">
        <f>IF(AP2531=0,"",CHOOSE(MATCH('Top 25'!$G$10,{"Priority score","Economic need","Enrollment","Fresh miles","Nearby resources"},0),T2531,G2531,F2531,K2531,L2531))</f>
        <v/>
      </c>
      <c r="AR2531" s="105" t="str">
        <f>IF(AP2531=0,"",1+COUNTIFS($AP$2051:$AP$2550,1,$AQ$2051:$AQ$2550,IF('Top 25'!$J$10="Ascending","&lt;","&gt;")&amp;AQ2531)+COUNTIFS($AP$2051:$AP$2550,1,$AQ$2051:$AQ$2550,AQ2531,$W$2051:$W$2550,"&lt;"&amp;W2531))</f>
        <v/>
      </c>
      <c r="AT2531" s="105">
        <f>IF(AND(AL2531=1,OR(Master_rankableSchools!$A$10="All",C2531=Master_rankableSchools!$A$10),OR(Master_rankableSchools!$D$10="All",D2531=Master_rankableSchools!$D$10)),1,0)</f>
        <v>0</v>
      </c>
      <c r="AU2531" s="105" t="str">
        <f>IF(AT2531=0,"",CHOOSE(MATCH(Master_rankableSchools!$G$10,{"Priority score","Economic need","Enrollment","Fresh miles","Nearby resources"},0),T2531,G2531,F2531,K2531,L2531))</f>
        <v/>
      </c>
      <c r="AV2531" s="105" t="str">
        <f>IF(AT2531=0,"",1+COUNTIFS($AT$2051:$AT$2550,1,$AU$2051:$AU$2550,IF(Master_rankableSchools!$J$10="Ascending","&lt;","&gt;")&amp;AU2531)+COUNTIFS($AT$2051:$AT$2550,1,$AU$2051:$AU$2550,AU2531,$W$2051:$W$2550,"&lt;"&amp;W2531))</f>
        <v/>
      </c>
    </row>
    <row r="2532" spans="1:48" ht="22" customHeight="1">
      <c r="A2532" s="1" t="str">
        <f t="shared" si="210"/>
        <v/>
      </c>
      <c r="B2532" s="1" t="str">
        <f t="shared" si="211"/>
        <v/>
      </c>
      <c r="C2532" s="1" t="str">
        <f t="shared" si="212"/>
        <v/>
      </c>
      <c r="D2532" s="1" t="str">
        <f t="shared" si="213"/>
        <v/>
      </c>
      <c r="E2532" s="1" t="str">
        <f t="shared" si="214"/>
        <v/>
      </c>
      <c r="F2532" s="1" t="str">
        <f t="shared" si="215"/>
        <v/>
      </c>
      <c r="G2532" s="1" t="str">
        <f t="shared" si="216"/>
        <v/>
      </c>
      <c r="H2532" s="1" t="str">
        <f t="shared" si="217"/>
        <v/>
      </c>
      <c r="I2532" s="1">
        <f>IF(OR(A2532="",COUNTIFS('Staff Review'!$A$8:$A$507,A2532)&lt;&gt;1),0,MATCH(A2532,'Staff Review'!$A$8:$A$507,0))</f>
        <v>0</v>
      </c>
      <c r="J2532" s="1" t="str">
        <f>IF(I2532=0,"No",IF(INDEX('Staff Review'!$C$8:$C$507,I2532)="Yes","Yes","No"))</f>
        <v>No</v>
      </c>
      <c r="K2532" s="1" t="str">
        <f>IF(AI2532="Yes",INDEX('Staff Review'!$D$8:$D$507,I2532),IF(AB2532=0,"",IF(COUNT(INDEX($C$1531:$C$2030,AB2532))=1,INDEX($C$1531:$C$2030,AB2532),"")))</f>
        <v/>
      </c>
      <c r="L2532" s="1" t="str">
        <f>IF(AJ2532="Yes",INDEX('Staff Review'!$F$8:$F$507,I2532),IF(AB2532=0,"",IF(COUNT(INDEX($G$1531:$G$2030,AB2532))=1,INDEX($G$1531:$G$2030,AB2532),"")))</f>
        <v/>
      </c>
      <c r="M2532" s="1" t="str">
        <f t="shared" si="218"/>
        <v/>
      </c>
      <c r="N2532" s="1" t="str">
        <f t="shared" si="219"/>
        <v/>
      </c>
      <c r="O2532" s="1" t="str">
        <f t="shared" si="220"/>
        <v/>
      </c>
      <c r="P2532" s="1" t="str">
        <f t="shared" si="221"/>
        <v/>
      </c>
      <c r="Q2532" s="1" t="str">
        <f t="shared" si="222"/>
        <v/>
      </c>
      <c r="R2532" s="1" t="str">
        <f t="shared" si="223"/>
        <v/>
      </c>
      <c r="S2532" s="1" t="str">
        <f t="shared" si="224"/>
        <v/>
      </c>
      <c r="T2532" s="1" t="str">
        <f>IF(OR(COUNT(O2532:R2532)&lt;&gt;4,COUNT('Top 25'!$B$45:$E$45)&lt;&gt;4,MIN('Top 25'!$B$45:$E$45)&lt;0,SUM('Top 25'!$B$45:$E$45)&lt;=0),"",ROUND(85*(O2532/30*'Top 25'!$B$45+P2532/25*'Top 25'!$C$45+Q2532/25*'Top 25'!$D$45+R2532/5*'Top 25'!$E$45)/SUM('Top 25'!$B$45:$E$45),6))</f>
        <v/>
      </c>
      <c r="U2532" s="1" t="str">
        <f t="shared" si="225"/>
        <v/>
      </c>
      <c r="V2532" s="1" t="str">
        <f>IF(A2532="","",IF(AK2532&lt;&gt;1,"Duplicate source ID",IF(COUNTIFS('Staff Review'!$A$8:$A$507,A2532)&gt;1,"Duplicate review ID",IF(H2532&lt;&gt;"Yes","Outside scope",IF(J2532="Yes","Already served",IF(NOT(ISNUMBER(T2532)),"Missing data","Candidate"))))))</f>
        <v/>
      </c>
      <c r="W2532" s="1" t="str">
        <f t="shared" si="226"/>
        <v/>
      </c>
      <c r="X2532" s="1" t="str">
        <f t="shared" si="227"/>
        <v/>
      </c>
      <c r="Y2532" s="1">
        <f>IF(AND(H2532="Yes",OR(LEN('School Search'!$B$5)=0,ISNUMBER(SEARCH('School Search'!$B$5,B2532&amp;" "&amp;E2532&amp;" "&amp;A2532))),OR('School Search'!$D$5="All",C2532='School Search'!$D$5),OR('School Search'!$G$5="All eligible",AND('School Search'!$G$5="Not marked served",J2532&lt;&gt;"Yes"),AND('School Search'!$G$5="Missing data",V2532="Missing data"),AND('School Search'!$G$5="Marked served",J2532="Yes"))),1,0)</f>
        <v>0</v>
      </c>
      <c r="Z2532" s="1" t="str">
        <f>IF(Y2532=0,"",COUNTIFS($Y$2051:$Y$2550,1,$AO$2051:$AO$2550,"&lt;"&amp;AO2532)+COUNTIFS($Y$2051:Y2532,1,$AO$2051:AO2532,AO2532))</f>
        <v/>
      </c>
      <c r="AA2532" s="1" t="str">
        <f t="shared" si="228"/>
        <v>Missing demographic or access input</v>
      </c>
      <c r="AB2532" s="1">
        <f t="shared" si="229"/>
        <v>0</v>
      </c>
      <c r="AC2532" s="1" t="str">
        <f t="shared" si="230"/>
        <v/>
      </c>
      <c r="AD2532" s="1" t="str">
        <f t="shared" si="231"/>
        <v/>
      </c>
      <c r="AE2532" s="1" t="str">
        <f t="shared" si="232"/>
        <v/>
      </c>
      <c r="AF2532" s="1" t="str">
        <f t="shared" si="233"/>
        <v/>
      </c>
      <c r="AG2532" s="1" t="str">
        <f t="shared" si="234"/>
        <v/>
      </c>
      <c r="AH2532" s="1" t="str">
        <f>IF(I2532=0,"Not contacted",IF(INDEX('Staff Review'!$J$8:$J$507,I2532)="","Not contacted",INDEX('Staff Review'!$J$8:$J$507,I2532)))</f>
        <v>Not contacted</v>
      </c>
      <c r="AI2532" s="1" t="str">
        <f>IF(I2532=0,"No",IF(AND(COUNT(INDEX('Staff Review'!$D$8:$D$507,I2532))=1,INDEX('Staff Review'!$D$8:$D$507,I2532)&gt;=0,COUNT(INDEX('Staff Review'!$E$8:$E$507,I2532))=1,INDEX('Staff Review'!$E$8:$E$507,I2532)&gt;0,INDEX('Staff Review'!$E$8:$E$507,I2532)&lt;='Top 25'!$E$5,'Top 25'!$E$5-INDEX('Staff Review'!$E$8:$E$507,I2532)&lt;='Top 25'!$H$5,LEN(INDEX('Staff Review'!$H$8:$H$507,I2532))&gt;0),"Yes","No"))</f>
        <v>No</v>
      </c>
      <c r="AJ2532" s="1" t="str">
        <f>IF(I2532=0,"No",IF(COUNT(INDEX('Staff Review'!$F$8:$F$507,I2532))&lt;&gt;1,"No",IF(AND(INDEX('Staff Review'!$F$8:$F$507,I2532)&gt;=0,MOD(INDEX('Staff Review'!$F$8:$F$507,I2532),1)=0,COUNT(INDEX('Staff Review'!$G$8:$G$507,I2532))=1,INDEX('Staff Review'!$G$8:$G$507,I2532)&gt;0,INDEX('Staff Review'!$G$8:$G$507,I2532)&lt;='Top 25'!$E$5,'Top 25'!$E$5-INDEX('Staff Review'!$G$8:$G$507,I2532)&lt;='Top 25'!$H$5,LEN(INDEX('Staff Review'!$H$8:$H$507,I2532))&gt;0),"Yes","No")))</f>
        <v>No</v>
      </c>
      <c r="AK2532" s="1">
        <f t="shared" si="235"/>
        <v>0</v>
      </c>
      <c r="AL2532" s="1">
        <f t="shared" si="236"/>
        <v>0</v>
      </c>
      <c r="AM2532" s="1">
        <f t="shared" si="237"/>
        <v>0</v>
      </c>
      <c r="AN2532" s="1">
        <f t="shared" si="238"/>
        <v>0</v>
      </c>
      <c r="AO2532">
        <f t="shared" si="239"/>
        <v>10000</v>
      </c>
      <c r="AP2532" s="105">
        <f>IF(AND(AL2532=1,OR('Top 25'!$A$10="All",C2532='Top 25'!$A$10),OR('Top 25'!$D$10="All",D2532='Top 25'!$D$10)),1,0)</f>
        <v>0</v>
      </c>
      <c r="AQ2532" s="105" t="str">
        <f>IF(AP2532=0,"",CHOOSE(MATCH('Top 25'!$G$10,{"Priority score","Economic need","Enrollment","Fresh miles","Nearby resources"},0),T2532,G2532,F2532,K2532,L2532))</f>
        <v/>
      </c>
      <c r="AR2532" s="105" t="str">
        <f>IF(AP2532=0,"",1+COUNTIFS($AP$2051:$AP$2550,1,$AQ$2051:$AQ$2550,IF('Top 25'!$J$10="Ascending","&lt;","&gt;")&amp;AQ2532)+COUNTIFS($AP$2051:$AP$2550,1,$AQ$2051:$AQ$2550,AQ2532,$W$2051:$W$2550,"&lt;"&amp;W2532))</f>
        <v/>
      </c>
      <c r="AT2532" s="105">
        <f>IF(AND(AL2532=1,OR(Master_rankableSchools!$A$10="All",C2532=Master_rankableSchools!$A$10),OR(Master_rankableSchools!$D$10="All",D2532=Master_rankableSchools!$D$10)),1,0)</f>
        <v>0</v>
      </c>
      <c r="AU2532" s="105" t="str">
        <f>IF(AT2532=0,"",CHOOSE(MATCH(Master_rankableSchools!$G$10,{"Priority score","Economic need","Enrollment","Fresh miles","Nearby resources"},0),T2532,G2532,F2532,K2532,L2532))</f>
        <v/>
      </c>
      <c r="AV2532" s="105" t="str">
        <f>IF(AT2532=0,"",1+COUNTIFS($AT$2051:$AT$2550,1,$AU$2051:$AU$2550,IF(Master_rankableSchools!$J$10="Ascending","&lt;","&gt;")&amp;AU2532)+COUNTIFS($AT$2051:$AT$2550,1,$AU$2051:$AU$2550,AU2532,$W$2051:$W$2550,"&lt;"&amp;W2532))</f>
        <v/>
      </c>
    </row>
    <row r="2533" spans="1:48" ht="22" customHeight="1">
      <c r="A2533" s="1" t="str">
        <f t="shared" si="210"/>
        <v/>
      </c>
      <c r="B2533" s="1" t="str">
        <f t="shared" si="211"/>
        <v/>
      </c>
      <c r="C2533" s="1" t="str">
        <f t="shared" si="212"/>
        <v/>
      </c>
      <c r="D2533" s="1" t="str">
        <f t="shared" si="213"/>
        <v/>
      </c>
      <c r="E2533" s="1" t="str">
        <f t="shared" si="214"/>
        <v/>
      </c>
      <c r="F2533" s="1" t="str">
        <f t="shared" si="215"/>
        <v/>
      </c>
      <c r="G2533" s="1" t="str">
        <f t="shared" si="216"/>
        <v/>
      </c>
      <c r="H2533" s="1" t="str">
        <f t="shared" si="217"/>
        <v/>
      </c>
      <c r="I2533" s="1">
        <f>IF(OR(A2533="",COUNTIFS('Staff Review'!$A$8:$A$507,A2533)&lt;&gt;1),0,MATCH(A2533,'Staff Review'!$A$8:$A$507,0))</f>
        <v>0</v>
      </c>
      <c r="J2533" s="1" t="str">
        <f>IF(I2533=0,"No",IF(INDEX('Staff Review'!$C$8:$C$507,I2533)="Yes","Yes","No"))</f>
        <v>No</v>
      </c>
      <c r="K2533" s="1" t="str">
        <f>IF(AI2533="Yes",INDEX('Staff Review'!$D$8:$D$507,I2533),IF(AB2533=0,"",IF(COUNT(INDEX($C$1531:$C$2030,AB2533))=1,INDEX($C$1531:$C$2030,AB2533),"")))</f>
        <v/>
      </c>
      <c r="L2533" s="1" t="str">
        <f>IF(AJ2533="Yes",INDEX('Staff Review'!$F$8:$F$507,I2533),IF(AB2533=0,"",IF(COUNT(INDEX($G$1531:$G$2030,AB2533))=1,INDEX($G$1531:$G$2030,AB2533),"")))</f>
        <v/>
      </c>
      <c r="M2533" s="1" t="str">
        <f t="shared" si="218"/>
        <v/>
      </c>
      <c r="N2533" s="1" t="str">
        <f t="shared" si="219"/>
        <v/>
      </c>
      <c r="O2533" s="1" t="str">
        <f t="shared" si="220"/>
        <v/>
      </c>
      <c r="P2533" s="1" t="str">
        <f t="shared" si="221"/>
        <v/>
      </c>
      <c r="Q2533" s="1" t="str">
        <f t="shared" si="222"/>
        <v/>
      </c>
      <c r="R2533" s="1" t="str">
        <f t="shared" si="223"/>
        <v/>
      </c>
      <c r="S2533" s="1" t="str">
        <f t="shared" si="224"/>
        <v/>
      </c>
      <c r="T2533" s="1" t="str">
        <f>IF(OR(COUNT(O2533:R2533)&lt;&gt;4,COUNT('Top 25'!$B$45:$E$45)&lt;&gt;4,MIN('Top 25'!$B$45:$E$45)&lt;0,SUM('Top 25'!$B$45:$E$45)&lt;=0),"",ROUND(85*(O2533/30*'Top 25'!$B$45+P2533/25*'Top 25'!$C$45+Q2533/25*'Top 25'!$D$45+R2533/5*'Top 25'!$E$45)/SUM('Top 25'!$B$45:$E$45),6))</f>
        <v/>
      </c>
      <c r="U2533" s="1" t="str">
        <f t="shared" si="225"/>
        <v/>
      </c>
      <c r="V2533" s="1" t="str">
        <f>IF(A2533="","",IF(AK2533&lt;&gt;1,"Duplicate source ID",IF(COUNTIFS('Staff Review'!$A$8:$A$507,A2533)&gt;1,"Duplicate review ID",IF(H2533&lt;&gt;"Yes","Outside scope",IF(J2533="Yes","Already served",IF(NOT(ISNUMBER(T2533)),"Missing data","Candidate"))))))</f>
        <v/>
      </c>
      <c r="W2533" s="1" t="str">
        <f t="shared" si="226"/>
        <v/>
      </c>
      <c r="X2533" s="1" t="str">
        <f t="shared" si="227"/>
        <v/>
      </c>
      <c r="Y2533" s="1">
        <f>IF(AND(H2533="Yes",OR(LEN('School Search'!$B$5)=0,ISNUMBER(SEARCH('School Search'!$B$5,B2533&amp;" "&amp;E2533&amp;" "&amp;A2533))),OR('School Search'!$D$5="All",C2533='School Search'!$D$5),OR('School Search'!$G$5="All eligible",AND('School Search'!$G$5="Not marked served",J2533&lt;&gt;"Yes"),AND('School Search'!$G$5="Missing data",V2533="Missing data"),AND('School Search'!$G$5="Marked served",J2533="Yes"))),1,0)</f>
        <v>0</v>
      </c>
      <c r="Z2533" s="1" t="str">
        <f>IF(Y2533=0,"",COUNTIFS($Y$2051:$Y$2550,1,$AO$2051:$AO$2550,"&lt;"&amp;AO2533)+COUNTIFS($Y$2051:Y2533,1,$AO$2051:AO2533,AO2533))</f>
        <v/>
      </c>
      <c r="AA2533" s="1" t="str">
        <f t="shared" si="228"/>
        <v>Missing demographic or access input</v>
      </c>
      <c r="AB2533" s="1">
        <f t="shared" si="229"/>
        <v>0</v>
      </c>
      <c r="AC2533" s="1" t="str">
        <f t="shared" si="230"/>
        <v/>
      </c>
      <c r="AD2533" s="1" t="str">
        <f t="shared" si="231"/>
        <v/>
      </c>
      <c r="AE2533" s="1" t="str">
        <f t="shared" si="232"/>
        <v/>
      </c>
      <c r="AF2533" s="1" t="str">
        <f t="shared" si="233"/>
        <v/>
      </c>
      <c r="AG2533" s="1" t="str">
        <f t="shared" si="234"/>
        <v/>
      </c>
      <c r="AH2533" s="1" t="str">
        <f>IF(I2533=0,"Not contacted",IF(INDEX('Staff Review'!$J$8:$J$507,I2533)="","Not contacted",INDEX('Staff Review'!$J$8:$J$507,I2533)))</f>
        <v>Not contacted</v>
      </c>
      <c r="AI2533" s="1" t="str">
        <f>IF(I2533=0,"No",IF(AND(COUNT(INDEX('Staff Review'!$D$8:$D$507,I2533))=1,INDEX('Staff Review'!$D$8:$D$507,I2533)&gt;=0,COUNT(INDEX('Staff Review'!$E$8:$E$507,I2533))=1,INDEX('Staff Review'!$E$8:$E$507,I2533)&gt;0,INDEX('Staff Review'!$E$8:$E$507,I2533)&lt;='Top 25'!$E$5,'Top 25'!$E$5-INDEX('Staff Review'!$E$8:$E$507,I2533)&lt;='Top 25'!$H$5,LEN(INDEX('Staff Review'!$H$8:$H$507,I2533))&gt;0),"Yes","No"))</f>
        <v>No</v>
      </c>
      <c r="AJ2533" s="1" t="str">
        <f>IF(I2533=0,"No",IF(COUNT(INDEX('Staff Review'!$F$8:$F$507,I2533))&lt;&gt;1,"No",IF(AND(INDEX('Staff Review'!$F$8:$F$507,I2533)&gt;=0,MOD(INDEX('Staff Review'!$F$8:$F$507,I2533),1)=0,COUNT(INDEX('Staff Review'!$G$8:$G$507,I2533))=1,INDEX('Staff Review'!$G$8:$G$507,I2533)&gt;0,INDEX('Staff Review'!$G$8:$G$507,I2533)&lt;='Top 25'!$E$5,'Top 25'!$E$5-INDEX('Staff Review'!$G$8:$G$507,I2533)&lt;='Top 25'!$H$5,LEN(INDEX('Staff Review'!$H$8:$H$507,I2533))&gt;0),"Yes","No")))</f>
        <v>No</v>
      </c>
      <c r="AK2533" s="1">
        <f t="shared" si="235"/>
        <v>0</v>
      </c>
      <c r="AL2533" s="1">
        <f t="shared" si="236"/>
        <v>0</v>
      </c>
      <c r="AM2533" s="1">
        <f t="shared" si="237"/>
        <v>0</v>
      </c>
      <c r="AN2533" s="1">
        <f t="shared" si="238"/>
        <v>0</v>
      </c>
      <c r="AO2533">
        <f t="shared" si="239"/>
        <v>10000</v>
      </c>
      <c r="AP2533" s="105">
        <f>IF(AND(AL2533=1,OR('Top 25'!$A$10="All",C2533='Top 25'!$A$10),OR('Top 25'!$D$10="All",D2533='Top 25'!$D$10)),1,0)</f>
        <v>0</v>
      </c>
      <c r="AQ2533" s="105" t="str">
        <f>IF(AP2533=0,"",CHOOSE(MATCH('Top 25'!$G$10,{"Priority score","Economic need","Enrollment","Fresh miles","Nearby resources"},0),T2533,G2533,F2533,K2533,L2533))</f>
        <v/>
      </c>
      <c r="AR2533" s="105" t="str">
        <f>IF(AP2533=0,"",1+COUNTIFS($AP$2051:$AP$2550,1,$AQ$2051:$AQ$2550,IF('Top 25'!$J$10="Ascending","&lt;","&gt;")&amp;AQ2533)+COUNTIFS($AP$2051:$AP$2550,1,$AQ$2051:$AQ$2550,AQ2533,$W$2051:$W$2550,"&lt;"&amp;W2533))</f>
        <v/>
      </c>
      <c r="AT2533" s="105">
        <f>IF(AND(AL2533=1,OR(Master_rankableSchools!$A$10="All",C2533=Master_rankableSchools!$A$10),OR(Master_rankableSchools!$D$10="All",D2533=Master_rankableSchools!$D$10)),1,0)</f>
        <v>0</v>
      </c>
      <c r="AU2533" s="105" t="str">
        <f>IF(AT2533=0,"",CHOOSE(MATCH(Master_rankableSchools!$G$10,{"Priority score","Economic need","Enrollment","Fresh miles","Nearby resources"},0),T2533,G2533,F2533,K2533,L2533))</f>
        <v/>
      </c>
      <c r="AV2533" s="105" t="str">
        <f>IF(AT2533=0,"",1+COUNTIFS($AT$2051:$AT$2550,1,$AU$2051:$AU$2550,IF(Master_rankableSchools!$J$10="Ascending","&lt;","&gt;")&amp;AU2533)+COUNTIFS($AT$2051:$AT$2550,1,$AU$2051:$AU$2550,AU2533,$W$2051:$W$2550,"&lt;"&amp;W2533))</f>
        <v/>
      </c>
    </row>
    <row r="2534" spans="1:48" ht="22" customHeight="1">
      <c r="A2534" s="1" t="str">
        <f t="shared" si="210"/>
        <v/>
      </c>
      <c r="B2534" s="1" t="str">
        <f t="shared" si="211"/>
        <v/>
      </c>
      <c r="C2534" s="1" t="str">
        <f t="shared" si="212"/>
        <v/>
      </c>
      <c r="D2534" s="1" t="str">
        <f t="shared" si="213"/>
        <v/>
      </c>
      <c r="E2534" s="1" t="str">
        <f t="shared" si="214"/>
        <v/>
      </c>
      <c r="F2534" s="1" t="str">
        <f t="shared" si="215"/>
        <v/>
      </c>
      <c r="G2534" s="1" t="str">
        <f t="shared" si="216"/>
        <v/>
      </c>
      <c r="H2534" s="1" t="str">
        <f t="shared" si="217"/>
        <v/>
      </c>
      <c r="I2534" s="1">
        <f>IF(OR(A2534="",COUNTIFS('Staff Review'!$A$8:$A$507,A2534)&lt;&gt;1),0,MATCH(A2534,'Staff Review'!$A$8:$A$507,0))</f>
        <v>0</v>
      </c>
      <c r="J2534" s="1" t="str">
        <f>IF(I2534=0,"No",IF(INDEX('Staff Review'!$C$8:$C$507,I2534)="Yes","Yes","No"))</f>
        <v>No</v>
      </c>
      <c r="K2534" s="1" t="str">
        <f>IF(AI2534="Yes",INDEX('Staff Review'!$D$8:$D$507,I2534),IF(AB2534=0,"",IF(COUNT(INDEX($C$1531:$C$2030,AB2534))=1,INDEX($C$1531:$C$2030,AB2534),"")))</f>
        <v/>
      </c>
      <c r="L2534" s="1" t="str">
        <f>IF(AJ2534="Yes",INDEX('Staff Review'!$F$8:$F$507,I2534),IF(AB2534=0,"",IF(COUNT(INDEX($G$1531:$G$2030,AB2534))=1,INDEX($G$1531:$G$2030,AB2534),"")))</f>
        <v/>
      </c>
      <c r="M2534" s="1" t="str">
        <f t="shared" si="218"/>
        <v/>
      </c>
      <c r="N2534" s="1" t="str">
        <f t="shared" si="219"/>
        <v/>
      </c>
      <c r="O2534" s="1" t="str">
        <f t="shared" si="220"/>
        <v/>
      </c>
      <c r="P2534" s="1" t="str">
        <f t="shared" si="221"/>
        <v/>
      </c>
      <c r="Q2534" s="1" t="str">
        <f t="shared" si="222"/>
        <v/>
      </c>
      <c r="R2534" s="1" t="str">
        <f t="shared" si="223"/>
        <v/>
      </c>
      <c r="S2534" s="1" t="str">
        <f t="shared" si="224"/>
        <v/>
      </c>
      <c r="T2534" s="1" t="str">
        <f>IF(OR(COUNT(O2534:R2534)&lt;&gt;4,COUNT('Top 25'!$B$45:$E$45)&lt;&gt;4,MIN('Top 25'!$B$45:$E$45)&lt;0,SUM('Top 25'!$B$45:$E$45)&lt;=0),"",ROUND(85*(O2534/30*'Top 25'!$B$45+P2534/25*'Top 25'!$C$45+Q2534/25*'Top 25'!$D$45+R2534/5*'Top 25'!$E$45)/SUM('Top 25'!$B$45:$E$45),6))</f>
        <v/>
      </c>
      <c r="U2534" s="1" t="str">
        <f t="shared" si="225"/>
        <v/>
      </c>
      <c r="V2534" s="1" t="str">
        <f>IF(A2534="","",IF(AK2534&lt;&gt;1,"Duplicate source ID",IF(COUNTIFS('Staff Review'!$A$8:$A$507,A2534)&gt;1,"Duplicate review ID",IF(H2534&lt;&gt;"Yes","Outside scope",IF(J2534="Yes","Already served",IF(NOT(ISNUMBER(T2534)),"Missing data","Candidate"))))))</f>
        <v/>
      </c>
      <c r="W2534" s="1" t="str">
        <f t="shared" si="226"/>
        <v/>
      </c>
      <c r="X2534" s="1" t="str">
        <f t="shared" si="227"/>
        <v/>
      </c>
      <c r="Y2534" s="1">
        <f>IF(AND(H2534="Yes",OR(LEN('School Search'!$B$5)=0,ISNUMBER(SEARCH('School Search'!$B$5,B2534&amp;" "&amp;E2534&amp;" "&amp;A2534))),OR('School Search'!$D$5="All",C2534='School Search'!$D$5),OR('School Search'!$G$5="All eligible",AND('School Search'!$G$5="Not marked served",J2534&lt;&gt;"Yes"),AND('School Search'!$G$5="Missing data",V2534="Missing data"),AND('School Search'!$G$5="Marked served",J2534="Yes"))),1,0)</f>
        <v>0</v>
      </c>
      <c r="Z2534" s="1" t="str">
        <f>IF(Y2534=0,"",COUNTIFS($Y$2051:$Y$2550,1,$AO$2051:$AO$2550,"&lt;"&amp;AO2534)+COUNTIFS($Y$2051:Y2534,1,$AO$2051:AO2534,AO2534))</f>
        <v/>
      </c>
      <c r="AA2534" s="1" t="str">
        <f t="shared" si="228"/>
        <v>Missing demographic or access input</v>
      </c>
      <c r="AB2534" s="1">
        <f t="shared" si="229"/>
        <v>0</v>
      </c>
      <c r="AC2534" s="1" t="str">
        <f t="shared" si="230"/>
        <v/>
      </c>
      <c r="AD2534" s="1" t="str">
        <f t="shared" si="231"/>
        <v/>
      </c>
      <c r="AE2534" s="1" t="str">
        <f t="shared" si="232"/>
        <v/>
      </c>
      <c r="AF2534" s="1" t="str">
        <f t="shared" si="233"/>
        <v/>
      </c>
      <c r="AG2534" s="1" t="str">
        <f t="shared" si="234"/>
        <v/>
      </c>
      <c r="AH2534" s="1" t="str">
        <f>IF(I2534=0,"Not contacted",IF(INDEX('Staff Review'!$J$8:$J$507,I2534)="","Not contacted",INDEX('Staff Review'!$J$8:$J$507,I2534)))</f>
        <v>Not contacted</v>
      </c>
      <c r="AI2534" s="1" t="str">
        <f>IF(I2534=0,"No",IF(AND(COUNT(INDEX('Staff Review'!$D$8:$D$507,I2534))=1,INDEX('Staff Review'!$D$8:$D$507,I2534)&gt;=0,COUNT(INDEX('Staff Review'!$E$8:$E$507,I2534))=1,INDEX('Staff Review'!$E$8:$E$507,I2534)&gt;0,INDEX('Staff Review'!$E$8:$E$507,I2534)&lt;='Top 25'!$E$5,'Top 25'!$E$5-INDEX('Staff Review'!$E$8:$E$507,I2534)&lt;='Top 25'!$H$5,LEN(INDEX('Staff Review'!$H$8:$H$507,I2534))&gt;0),"Yes","No"))</f>
        <v>No</v>
      </c>
      <c r="AJ2534" s="1" t="str">
        <f>IF(I2534=0,"No",IF(COUNT(INDEX('Staff Review'!$F$8:$F$507,I2534))&lt;&gt;1,"No",IF(AND(INDEX('Staff Review'!$F$8:$F$507,I2534)&gt;=0,MOD(INDEX('Staff Review'!$F$8:$F$507,I2534),1)=0,COUNT(INDEX('Staff Review'!$G$8:$G$507,I2534))=1,INDEX('Staff Review'!$G$8:$G$507,I2534)&gt;0,INDEX('Staff Review'!$G$8:$G$507,I2534)&lt;='Top 25'!$E$5,'Top 25'!$E$5-INDEX('Staff Review'!$G$8:$G$507,I2534)&lt;='Top 25'!$H$5,LEN(INDEX('Staff Review'!$H$8:$H$507,I2534))&gt;0),"Yes","No")))</f>
        <v>No</v>
      </c>
      <c r="AK2534" s="1">
        <f t="shared" si="235"/>
        <v>0</v>
      </c>
      <c r="AL2534" s="1">
        <f t="shared" si="236"/>
        <v>0</v>
      </c>
      <c r="AM2534" s="1">
        <f t="shared" si="237"/>
        <v>0</v>
      </c>
      <c r="AN2534" s="1">
        <f t="shared" si="238"/>
        <v>0</v>
      </c>
      <c r="AO2534">
        <f t="shared" si="239"/>
        <v>10000</v>
      </c>
      <c r="AP2534" s="105">
        <f>IF(AND(AL2534=1,OR('Top 25'!$A$10="All",C2534='Top 25'!$A$10),OR('Top 25'!$D$10="All",D2534='Top 25'!$D$10)),1,0)</f>
        <v>0</v>
      </c>
      <c r="AQ2534" s="105" t="str">
        <f>IF(AP2534=0,"",CHOOSE(MATCH('Top 25'!$G$10,{"Priority score","Economic need","Enrollment","Fresh miles","Nearby resources"},0),T2534,G2534,F2534,K2534,L2534))</f>
        <v/>
      </c>
      <c r="AR2534" s="105" t="str">
        <f>IF(AP2534=0,"",1+COUNTIFS($AP$2051:$AP$2550,1,$AQ$2051:$AQ$2550,IF('Top 25'!$J$10="Ascending","&lt;","&gt;")&amp;AQ2534)+COUNTIFS($AP$2051:$AP$2550,1,$AQ$2051:$AQ$2550,AQ2534,$W$2051:$W$2550,"&lt;"&amp;W2534))</f>
        <v/>
      </c>
      <c r="AT2534" s="105">
        <f>IF(AND(AL2534=1,OR(Master_rankableSchools!$A$10="All",C2534=Master_rankableSchools!$A$10),OR(Master_rankableSchools!$D$10="All",D2534=Master_rankableSchools!$D$10)),1,0)</f>
        <v>0</v>
      </c>
      <c r="AU2534" s="105" t="str">
        <f>IF(AT2534=0,"",CHOOSE(MATCH(Master_rankableSchools!$G$10,{"Priority score","Economic need","Enrollment","Fresh miles","Nearby resources"},0),T2534,G2534,F2534,K2534,L2534))</f>
        <v/>
      </c>
      <c r="AV2534" s="105" t="str">
        <f>IF(AT2534=0,"",1+COUNTIFS($AT$2051:$AT$2550,1,$AU$2051:$AU$2550,IF(Master_rankableSchools!$J$10="Ascending","&lt;","&gt;")&amp;AU2534)+COUNTIFS($AT$2051:$AT$2550,1,$AU$2051:$AU$2550,AU2534,$W$2051:$W$2550,"&lt;"&amp;W2534))</f>
        <v/>
      </c>
    </row>
    <row r="2535" spans="1:48" ht="22" customHeight="1">
      <c r="A2535" s="1" t="str">
        <f t="shared" si="210"/>
        <v/>
      </c>
      <c r="B2535" s="1" t="str">
        <f t="shared" si="211"/>
        <v/>
      </c>
      <c r="C2535" s="1" t="str">
        <f t="shared" si="212"/>
        <v/>
      </c>
      <c r="D2535" s="1" t="str">
        <f t="shared" si="213"/>
        <v/>
      </c>
      <c r="E2535" s="1" t="str">
        <f t="shared" si="214"/>
        <v/>
      </c>
      <c r="F2535" s="1" t="str">
        <f t="shared" si="215"/>
        <v/>
      </c>
      <c r="G2535" s="1" t="str">
        <f t="shared" si="216"/>
        <v/>
      </c>
      <c r="H2535" s="1" t="str">
        <f t="shared" si="217"/>
        <v/>
      </c>
      <c r="I2535" s="1">
        <f>IF(OR(A2535="",COUNTIFS('Staff Review'!$A$8:$A$507,A2535)&lt;&gt;1),0,MATCH(A2535,'Staff Review'!$A$8:$A$507,0))</f>
        <v>0</v>
      </c>
      <c r="J2535" s="1" t="str">
        <f>IF(I2535=0,"No",IF(INDEX('Staff Review'!$C$8:$C$507,I2535)="Yes","Yes","No"))</f>
        <v>No</v>
      </c>
      <c r="K2535" s="1" t="str">
        <f>IF(AI2535="Yes",INDEX('Staff Review'!$D$8:$D$507,I2535),IF(AB2535=0,"",IF(COUNT(INDEX($C$1531:$C$2030,AB2535))=1,INDEX($C$1531:$C$2030,AB2535),"")))</f>
        <v/>
      </c>
      <c r="L2535" s="1" t="str">
        <f>IF(AJ2535="Yes",INDEX('Staff Review'!$F$8:$F$507,I2535),IF(AB2535=0,"",IF(COUNT(INDEX($G$1531:$G$2030,AB2535))=1,INDEX($G$1531:$G$2030,AB2535),"")))</f>
        <v/>
      </c>
      <c r="M2535" s="1" t="str">
        <f t="shared" si="218"/>
        <v/>
      </c>
      <c r="N2535" s="1" t="str">
        <f t="shared" si="219"/>
        <v/>
      </c>
      <c r="O2535" s="1" t="str">
        <f t="shared" si="220"/>
        <v/>
      </c>
      <c r="P2535" s="1" t="str">
        <f t="shared" si="221"/>
        <v/>
      </c>
      <c r="Q2535" s="1" t="str">
        <f t="shared" si="222"/>
        <v/>
      </c>
      <c r="R2535" s="1" t="str">
        <f t="shared" si="223"/>
        <v/>
      </c>
      <c r="S2535" s="1" t="str">
        <f t="shared" si="224"/>
        <v/>
      </c>
      <c r="T2535" s="1" t="str">
        <f>IF(OR(COUNT(O2535:R2535)&lt;&gt;4,COUNT('Top 25'!$B$45:$E$45)&lt;&gt;4,MIN('Top 25'!$B$45:$E$45)&lt;0,SUM('Top 25'!$B$45:$E$45)&lt;=0),"",ROUND(85*(O2535/30*'Top 25'!$B$45+P2535/25*'Top 25'!$C$45+Q2535/25*'Top 25'!$D$45+R2535/5*'Top 25'!$E$45)/SUM('Top 25'!$B$45:$E$45),6))</f>
        <v/>
      </c>
      <c r="U2535" s="1" t="str">
        <f t="shared" si="225"/>
        <v/>
      </c>
      <c r="V2535" s="1" t="str">
        <f>IF(A2535="","",IF(AK2535&lt;&gt;1,"Duplicate source ID",IF(COUNTIFS('Staff Review'!$A$8:$A$507,A2535)&gt;1,"Duplicate review ID",IF(H2535&lt;&gt;"Yes","Outside scope",IF(J2535="Yes","Already served",IF(NOT(ISNUMBER(T2535)),"Missing data","Candidate"))))))</f>
        <v/>
      </c>
      <c r="W2535" s="1" t="str">
        <f t="shared" si="226"/>
        <v/>
      </c>
      <c r="X2535" s="1" t="str">
        <f t="shared" si="227"/>
        <v/>
      </c>
      <c r="Y2535" s="1">
        <f>IF(AND(H2535="Yes",OR(LEN('School Search'!$B$5)=0,ISNUMBER(SEARCH('School Search'!$B$5,B2535&amp;" "&amp;E2535&amp;" "&amp;A2535))),OR('School Search'!$D$5="All",C2535='School Search'!$D$5),OR('School Search'!$G$5="All eligible",AND('School Search'!$G$5="Not marked served",J2535&lt;&gt;"Yes"),AND('School Search'!$G$5="Missing data",V2535="Missing data"),AND('School Search'!$G$5="Marked served",J2535="Yes"))),1,0)</f>
        <v>0</v>
      </c>
      <c r="Z2535" s="1" t="str">
        <f>IF(Y2535=0,"",COUNTIFS($Y$2051:$Y$2550,1,$AO$2051:$AO$2550,"&lt;"&amp;AO2535)+COUNTIFS($Y$2051:Y2535,1,$AO$2051:AO2535,AO2535))</f>
        <v/>
      </c>
      <c r="AA2535" s="1" t="str">
        <f t="shared" si="228"/>
        <v>Missing demographic or access input</v>
      </c>
      <c r="AB2535" s="1">
        <f t="shared" si="229"/>
        <v>0</v>
      </c>
      <c r="AC2535" s="1" t="str">
        <f t="shared" si="230"/>
        <v/>
      </c>
      <c r="AD2535" s="1" t="str">
        <f t="shared" si="231"/>
        <v/>
      </c>
      <c r="AE2535" s="1" t="str">
        <f t="shared" si="232"/>
        <v/>
      </c>
      <c r="AF2535" s="1" t="str">
        <f t="shared" si="233"/>
        <v/>
      </c>
      <c r="AG2535" s="1" t="str">
        <f t="shared" si="234"/>
        <v/>
      </c>
      <c r="AH2535" s="1" t="str">
        <f>IF(I2535=0,"Not contacted",IF(INDEX('Staff Review'!$J$8:$J$507,I2535)="","Not contacted",INDEX('Staff Review'!$J$8:$J$507,I2535)))</f>
        <v>Not contacted</v>
      </c>
      <c r="AI2535" s="1" t="str">
        <f>IF(I2535=0,"No",IF(AND(COUNT(INDEX('Staff Review'!$D$8:$D$507,I2535))=1,INDEX('Staff Review'!$D$8:$D$507,I2535)&gt;=0,COUNT(INDEX('Staff Review'!$E$8:$E$507,I2535))=1,INDEX('Staff Review'!$E$8:$E$507,I2535)&gt;0,INDEX('Staff Review'!$E$8:$E$507,I2535)&lt;='Top 25'!$E$5,'Top 25'!$E$5-INDEX('Staff Review'!$E$8:$E$507,I2535)&lt;='Top 25'!$H$5,LEN(INDEX('Staff Review'!$H$8:$H$507,I2535))&gt;0),"Yes","No"))</f>
        <v>No</v>
      </c>
      <c r="AJ2535" s="1" t="str">
        <f>IF(I2535=0,"No",IF(COUNT(INDEX('Staff Review'!$F$8:$F$507,I2535))&lt;&gt;1,"No",IF(AND(INDEX('Staff Review'!$F$8:$F$507,I2535)&gt;=0,MOD(INDEX('Staff Review'!$F$8:$F$507,I2535),1)=0,COUNT(INDEX('Staff Review'!$G$8:$G$507,I2535))=1,INDEX('Staff Review'!$G$8:$G$507,I2535)&gt;0,INDEX('Staff Review'!$G$8:$G$507,I2535)&lt;='Top 25'!$E$5,'Top 25'!$E$5-INDEX('Staff Review'!$G$8:$G$507,I2535)&lt;='Top 25'!$H$5,LEN(INDEX('Staff Review'!$H$8:$H$507,I2535))&gt;0),"Yes","No")))</f>
        <v>No</v>
      </c>
      <c r="AK2535" s="1">
        <f t="shared" si="235"/>
        <v>0</v>
      </c>
      <c r="AL2535" s="1">
        <f t="shared" si="236"/>
        <v>0</v>
      </c>
      <c r="AM2535" s="1">
        <f t="shared" si="237"/>
        <v>0</v>
      </c>
      <c r="AN2535" s="1">
        <f t="shared" si="238"/>
        <v>0</v>
      </c>
      <c r="AO2535">
        <f t="shared" si="239"/>
        <v>10000</v>
      </c>
      <c r="AP2535" s="105">
        <f>IF(AND(AL2535=1,OR('Top 25'!$A$10="All",C2535='Top 25'!$A$10),OR('Top 25'!$D$10="All",D2535='Top 25'!$D$10)),1,0)</f>
        <v>0</v>
      </c>
      <c r="AQ2535" s="105" t="str">
        <f>IF(AP2535=0,"",CHOOSE(MATCH('Top 25'!$G$10,{"Priority score","Economic need","Enrollment","Fresh miles","Nearby resources"},0),T2535,G2535,F2535,K2535,L2535))</f>
        <v/>
      </c>
      <c r="AR2535" s="105" t="str">
        <f>IF(AP2535=0,"",1+COUNTIFS($AP$2051:$AP$2550,1,$AQ$2051:$AQ$2550,IF('Top 25'!$J$10="Ascending","&lt;","&gt;")&amp;AQ2535)+COUNTIFS($AP$2051:$AP$2550,1,$AQ$2051:$AQ$2550,AQ2535,$W$2051:$W$2550,"&lt;"&amp;W2535))</f>
        <v/>
      </c>
      <c r="AT2535" s="105">
        <f>IF(AND(AL2535=1,OR(Master_rankableSchools!$A$10="All",C2535=Master_rankableSchools!$A$10),OR(Master_rankableSchools!$D$10="All",D2535=Master_rankableSchools!$D$10)),1,0)</f>
        <v>0</v>
      </c>
      <c r="AU2535" s="105" t="str">
        <f>IF(AT2535=0,"",CHOOSE(MATCH(Master_rankableSchools!$G$10,{"Priority score","Economic need","Enrollment","Fresh miles","Nearby resources"},0),T2535,G2535,F2535,K2535,L2535))</f>
        <v/>
      </c>
      <c r="AV2535" s="105" t="str">
        <f>IF(AT2535=0,"",1+COUNTIFS($AT$2051:$AT$2550,1,$AU$2051:$AU$2550,IF(Master_rankableSchools!$J$10="Ascending","&lt;","&gt;")&amp;AU2535)+COUNTIFS($AT$2051:$AT$2550,1,$AU$2051:$AU$2550,AU2535,$W$2051:$W$2550,"&lt;"&amp;W2535))</f>
        <v/>
      </c>
    </row>
    <row r="2536" spans="1:48" ht="22" customHeight="1">
      <c r="A2536" s="1" t="str">
        <f t="shared" si="210"/>
        <v/>
      </c>
      <c r="B2536" s="1" t="str">
        <f t="shared" si="211"/>
        <v/>
      </c>
      <c r="C2536" s="1" t="str">
        <f t="shared" si="212"/>
        <v/>
      </c>
      <c r="D2536" s="1" t="str">
        <f t="shared" si="213"/>
        <v/>
      </c>
      <c r="E2536" s="1" t="str">
        <f t="shared" si="214"/>
        <v/>
      </c>
      <c r="F2536" s="1" t="str">
        <f t="shared" si="215"/>
        <v/>
      </c>
      <c r="G2536" s="1" t="str">
        <f t="shared" si="216"/>
        <v/>
      </c>
      <c r="H2536" s="1" t="str">
        <f t="shared" si="217"/>
        <v/>
      </c>
      <c r="I2536" s="1">
        <f>IF(OR(A2536="",COUNTIFS('Staff Review'!$A$8:$A$507,A2536)&lt;&gt;1),0,MATCH(A2536,'Staff Review'!$A$8:$A$507,0))</f>
        <v>0</v>
      </c>
      <c r="J2536" s="1" t="str">
        <f>IF(I2536=0,"No",IF(INDEX('Staff Review'!$C$8:$C$507,I2536)="Yes","Yes","No"))</f>
        <v>No</v>
      </c>
      <c r="K2536" s="1" t="str">
        <f>IF(AI2536="Yes",INDEX('Staff Review'!$D$8:$D$507,I2536),IF(AB2536=0,"",IF(COUNT(INDEX($C$1531:$C$2030,AB2536))=1,INDEX($C$1531:$C$2030,AB2536),"")))</f>
        <v/>
      </c>
      <c r="L2536" s="1" t="str">
        <f>IF(AJ2536="Yes",INDEX('Staff Review'!$F$8:$F$507,I2536),IF(AB2536=0,"",IF(COUNT(INDEX($G$1531:$G$2030,AB2536))=1,INDEX($G$1531:$G$2030,AB2536),"")))</f>
        <v/>
      </c>
      <c r="M2536" s="1" t="str">
        <f t="shared" si="218"/>
        <v/>
      </c>
      <c r="N2536" s="1" t="str">
        <f t="shared" si="219"/>
        <v/>
      </c>
      <c r="O2536" s="1" t="str">
        <f t="shared" si="220"/>
        <v/>
      </c>
      <c r="P2536" s="1" t="str">
        <f t="shared" si="221"/>
        <v/>
      </c>
      <c r="Q2536" s="1" t="str">
        <f t="shared" si="222"/>
        <v/>
      </c>
      <c r="R2536" s="1" t="str">
        <f t="shared" si="223"/>
        <v/>
      </c>
      <c r="S2536" s="1" t="str">
        <f t="shared" si="224"/>
        <v/>
      </c>
      <c r="T2536" s="1" t="str">
        <f>IF(OR(COUNT(O2536:R2536)&lt;&gt;4,COUNT('Top 25'!$B$45:$E$45)&lt;&gt;4,MIN('Top 25'!$B$45:$E$45)&lt;0,SUM('Top 25'!$B$45:$E$45)&lt;=0),"",ROUND(85*(O2536/30*'Top 25'!$B$45+P2536/25*'Top 25'!$C$45+Q2536/25*'Top 25'!$D$45+R2536/5*'Top 25'!$E$45)/SUM('Top 25'!$B$45:$E$45),6))</f>
        <v/>
      </c>
      <c r="U2536" s="1" t="str">
        <f t="shared" si="225"/>
        <v/>
      </c>
      <c r="V2536" s="1" t="str">
        <f>IF(A2536="","",IF(AK2536&lt;&gt;1,"Duplicate source ID",IF(COUNTIFS('Staff Review'!$A$8:$A$507,A2536)&gt;1,"Duplicate review ID",IF(H2536&lt;&gt;"Yes","Outside scope",IF(J2536="Yes","Already served",IF(NOT(ISNUMBER(T2536)),"Missing data","Candidate"))))))</f>
        <v/>
      </c>
      <c r="W2536" s="1" t="str">
        <f t="shared" si="226"/>
        <v/>
      </c>
      <c r="X2536" s="1" t="str">
        <f t="shared" si="227"/>
        <v/>
      </c>
      <c r="Y2536" s="1">
        <f>IF(AND(H2536="Yes",OR(LEN('School Search'!$B$5)=0,ISNUMBER(SEARCH('School Search'!$B$5,B2536&amp;" "&amp;E2536&amp;" "&amp;A2536))),OR('School Search'!$D$5="All",C2536='School Search'!$D$5),OR('School Search'!$G$5="All eligible",AND('School Search'!$G$5="Not marked served",J2536&lt;&gt;"Yes"),AND('School Search'!$G$5="Missing data",V2536="Missing data"),AND('School Search'!$G$5="Marked served",J2536="Yes"))),1,0)</f>
        <v>0</v>
      </c>
      <c r="Z2536" s="1" t="str">
        <f>IF(Y2536=0,"",COUNTIFS($Y$2051:$Y$2550,1,$AO$2051:$AO$2550,"&lt;"&amp;AO2536)+COUNTIFS($Y$2051:Y2536,1,$AO$2051:AO2536,AO2536))</f>
        <v/>
      </c>
      <c r="AA2536" s="1" t="str">
        <f t="shared" si="228"/>
        <v>Missing demographic or access input</v>
      </c>
      <c r="AB2536" s="1">
        <f t="shared" si="229"/>
        <v>0</v>
      </c>
      <c r="AC2536" s="1" t="str">
        <f t="shared" si="230"/>
        <v/>
      </c>
      <c r="AD2536" s="1" t="str">
        <f t="shared" si="231"/>
        <v/>
      </c>
      <c r="AE2536" s="1" t="str">
        <f t="shared" si="232"/>
        <v/>
      </c>
      <c r="AF2536" s="1" t="str">
        <f t="shared" si="233"/>
        <v/>
      </c>
      <c r="AG2536" s="1" t="str">
        <f t="shared" si="234"/>
        <v/>
      </c>
      <c r="AH2536" s="1" t="str">
        <f>IF(I2536=0,"Not contacted",IF(INDEX('Staff Review'!$J$8:$J$507,I2536)="","Not contacted",INDEX('Staff Review'!$J$8:$J$507,I2536)))</f>
        <v>Not contacted</v>
      </c>
      <c r="AI2536" s="1" t="str">
        <f>IF(I2536=0,"No",IF(AND(COUNT(INDEX('Staff Review'!$D$8:$D$507,I2536))=1,INDEX('Staff Review'!$D$8:$D$507,I2536)&gt;=0,COUNT(INDEX('Staff Review'!$E$8:$E$507,I2536))=1,INDEX('Staff Review'!$E$8:$E$507,I2536)&gt;0,INDEX('Staff Review'!$E$8:$E$507,I2536)&lt;='Top 25'!$E$5,'Top 25'!$E$5-INDEX('Staff Review'!$E$8:$E$507,I2536)&lt;='Top 25'!$H$5,LEN(INDEX('Staff Review'!$H$8:$H$507,I2536))&gt;0),"Yes","No"))</f>
        <v>No</v>
      </c>
      <c r="AJ2536" s="1" t="str">
        <f>IF(I2536=0,"No",IF(COUNT(INDEX('Staff Review'!$F$8:$F$507,I2536))&lt;&gt;1,"No",IF(AND(INDEX('Staff Review'!$F$8:$F$507,I2536)&gt;=0,MOD(INDEX('Staff Review'!$F$8:$F$507,I2536),1)=0,COUNT(INDEX('Staff Review'!$G$8:$G$507,I2536))=1,INDEX('Staff Review'!$G$8:$G$507,I2536)&gt;0,INDEX('Staff Review'!$G$8:$G$507,I2536)&lt;='Top 25'!$E$5,'Top 25'!$E$5-INDEX('Staff Review'!$G$8:$G$507,I2536)&lt;='Top 25'!$H$5,LEN(INDEX('Staff Review'!$H$8:$H$507,I2536))&gt;0),"Yes","No")))</f>
        <v>No</v>
      </c>
      <c r="AK2536" s="1">
        <f t="shared" si="235"/>
        <v>0</v>
      </c>
      <c r="AL2536" s="1">
        <f t="shared" si="236"/>
        <v>0</v>
      </c>
      <c r="AM2536" s="1">
        <f t="shared" si="237"/>
        <v>0</v>
      </c>
      <c r="AN2536" s="1">
        <f t="shared" si="238"/>
        <v>0</v>
      </c>
      <c r="AO2536">
        <f t="shared" si="239"/>
        <v>10000</v>
      </c>
      <c r="AP2536" s="105">
        <f>IF(AND(AL2536=1,OR('Top 25'!$A$10="All",C2536='Top 25'!$A$10),OR('Top 25'!$D$10="All",D2536='Top 25'!$D$10)),1,0)</f>
        <v>0</v>
      </c>
      <c r="AQ2536" s="105" t="str">
        <f>IF(AP2536=0,"",CHOOSE(MATCH('Top 25'!$G$10,{"Priority score","Economic need","Enrollment","Fresh miles","Nearby resources"},0),T2536,G2536,F2536,K2536,L2536))</f>
        <v/>
      </c>
      <c r="AR2536" s="105" t="str">
        <f>IF(AP2536=0,"",1+COUNTIFS($AP$2051:$AP$2550,1,$AQ$2051:$AQ$2550,IF('Top 25'!$J$10="Ascending","&lt;","&gt;")&amp;AQ2536)+COUNTIFS($AP$2051:$AP$2550,1,$AQ$2051:$AQ$2550,AQ2536,$W$2051:$W$2550,"&lt;"&amp;W2536))</f>
        <v/>
      </c>
      <c r="AT2536" s="105">
        <f>IF(AND(AL2536=1,OR(Master_rankableSchools!$A$10="All",C2536=Master_rankableSchools!$A$10),OR(Master_rankableSchools!$D$10="All",D2536=Master_rankableSchools!$D$10)),1,0)</f>
        <v>0</v>
      </c>
      <c r="AU2536" s="105" t="str">
        <f>IF(AT2536=0,"",CHOOSE(MATCH(Master_rankableSchools!$G$10,{"Priority score","Economic need","Enrollment","Fresh miles","Nearby resources"},0),T2536,G2536,F2536,K2536,L2536))</f>
        <v/>
      </c>
      <c r="AV2536" s="105" t="str">
        <f>IF(AT2536=0,"",1+COUNTIFS($AT$2051:$AT$2550,1,$AU$2051:$AU$2550,IF(Master_rankableSchools!$J$10="Ascending","&lt;","&gt;")&amp;AU2536)+COUNTIFS($AT$2051:$AT$2550,1,$AU$2051:$AU$2550,AU2536,$W$2051:$W$2550,"&lt;"&amp;W2536))</f>
        <v/>
      </c>
    </row>
    <row r="2537" spans="1:48" ht="22" customHeight="1">
      <c r="A2537" s="1" t="str">
        <f t="shared" si="210"/>
        <v/>
      </c>
      <c r="B2537" s="1" t="str">
        <f t="shared" si="211"/>
        <v/>
      </c>
      <c r="C2537" s="1" t="str">
        <f t="shared" si="212"/>
        <v/>
      </c>
      <c r="D2537" s="1" t="str">
        <f t="shared" si="213"/>
        <v/>
      </c>
      <c r="E2537" s="1" t="str">
        <f t="shared" si="214"/>
        <v/>
      </c>
      <c r="F2537" s="1" t="str">
        <f t="shared" si="215"/>
        <v/>
      </c>
      <c r="G2537" s="1" t="str">
        <f t="shared" si="216"/>
        <v/>
      </c>
      <c r="H2537" s="1" t="str">
        <f t="shared" si="217"/>
        <v/>
      </c>
      <c r="I2537" s="1">
        <f>IF(OR(A2537="",COUNTIFS('Staff Review'!$A$8:$A$507,A2537)&lt;&gt;1),0,MATCH(A2537,'Staff Review'!$A$8:$A$507,0))</f>
        <v>0</v>
      </c>
      <c r="J2537" s="1" t="str">
        <f>IF(I2537=0,"No",IF(INDEX('Staff Review'!$C$8:$C$507,I2537)="Yes","Yes","No"))</f>
        <v>No</v>
      </c>
      <c r="K2537" s="1" t="str">
        <f>IF(AI2537="Yes",INDEX('Staff Review'!$D$8:$D$507,I2537),IF(AB2537=0,"",IF(COUNT(INDEX($C$1531:$C$2030,AB2537))=1,INDEX($C$1531:$C$2030,AB2537),"")))</f>
        <v/>
      </c>
      <c r="L2537" s="1" t="str">
        <f>IF(AJ2537="Yes",INDEX('Staff Review'!$F$8:$F$507,I2537),IF(AB2537=0,"",IF(COUNT(INDEX($G$1531:$G$2030,AB2537))=1,INDEX($G$1531:$G$2030,AB2537),"")))</f>
        <v/>
      </c>
      <c r="M2537" s="1" t="str">
        <f t="shared" si="218"/>
        <v/>
      </c>
      <c r="N2537" s="1" t="str">
        <f t="shared" si="219"/>
        <v/>
      </c>
      <c r="O2537" s="1" t="str">
        <f t="shared" si="220"/>
        <v/>
      </c>
      <c r="P2537" s="1" t="str">
        <f t="shared" si="221"/>
        <v/>
      </c>
      <c r="Q2537" s="1" t="str">
        <f t="shared" si="222"/>
        <v/>
      </c>
      <c r="R2537" s="1" t="str">
        <f t="shared" si="223"/>
        <v/>
      </c>
      <c r="S2537" s="1" t="str">
        <f t="shared" si="224"/>
        <v/>
      </c>
      <c r="T2537" s="1" t="str">
        <f>IF(OR(COUNT(O2537:R2537)&lt;&gt;4,COUNT('Top 25'!$B$45:$E$45)&lt;&gt;4,MIN('Top 25'!$B$45:$E$45)&lt;0,SUM('Top 25'!$B$45:$E$45)&lt;=0),"",ROUND(85*(O2537/30*'Top 25'!$B$45+P2537/25*'Top 25'!$C$45+Q2537/25*'Top 25'!$D$45+R2537/5*'Top 25'!$E$45)/SUM('Top 25'!$B$45:$E$45),6))</f>
        <v/>
      </c>
      <c r="U2537" s="1" t="str">
        <f t="shared" si="225"/>
        <v/>
      </c>
      <c r="V2537" s="1" t="str">
        <f>IF(A2537="","",IF(AK2537&lt;&gt;1,"Duplicate source ID",IF(COUNTIFS('Staff Review'!$A$8:$A$507,A2537)&gt;1,"Duplicate review ID",IF(H2537&lt;&gt;"Yes","Outside scope",IF(J2537="Yes","Already served",IF(NOT(ISNUMBER(T2537)),"Missing data","Candidate"))))))</f>
        <v/>
      </c>
      <c r="W2537" s="1" t="str">
        <f t="shared" si="226"/>
        <v/>
      </c>
      <c r="X2537" s="1" t="str">
        <f t="shared" si="227"/>
        <v/>
      </c>
      <c r="Y2537" s="1">
        <f>IF(AND(H2537="Yes",OR(LEN('School Search'!$B$5)=0,ISNUMBER(SEARCH('School Search'!$B$5,B2537&amp;" "&amp;E2537&amp;" "&amp;A2537))),OR('School Search'!$D$5="All",C2537='School Search'!$D$5),OR('School Search'!$G$5="All eligible",AND('School Search'!$G$5="Not marked served",J2537&lt;&gt;"Yes"),AND('School Search'!$G$5="Missing data",V2537="Missing data"),AND('School Search'!$G$5="Marked served",J2537="Yes"))),1,0)</f>
        <v>0</v>
      </c>
      <c r="Z2537" s="1" t="str">
        <f>IF(Y2537=0,"",COUNTIFS($Y$2051:$Y$2550,1,$AO$2051:$AO$2550,"&lt;"&amp;AO2537)+COUNTIFS($Y$2051:Y2537,1,$AO$2051:AO2537,AO2537))</f>
        <v/>
      </c>
      <c r="AA2537" s="1" t="str">
        <f t="shared" si="228"/>
        <v>Missing demographic or access input</v>
      </c>
      <c r="AB2537" s="1">
        <f t="shared" si="229"/>
        <v>0</v>
      </c>
      <c r="AC2537" s="1" t="str">
        <f t="shared" si="230"/>
        <v/>
      </c>
      <c r="AD2537" s="1" t="str">
        <f t="shared" si="231"/>
        <v/>
      </c>
      <c r="AE2537" s="1" t="str">
        <f t="shared" si="232"/>
        <v/>
      </c>
      <c r="AF2537" s="1" t="str">
        <f t="shared" si="233"/>
        <v/>
      </c>
      <c r="AG2537" s="1" t="str">
        <f t="shared" si="234"/>
        <v/>
      </c>
      <c r="AH2537" s="1" t="str">
        <f>IF(I2537=0,"Not contacted",IF(INDEX('Staff Review'!$J$8:$J$507,I2537)="","Not contacted",INDEX('Staff Review'!$J$8:$J$507,I2537)))</f>
        <v>Not contacted</v>
      </c>
      <c r="AI2537" s="1" t="str">
        <f>IF(I2537=0,"No",IF(AND(COUNT(INDEX('Staff Review'!$D$8:$D$507,I2537))=1,INDEX('Staff Review'!$D$8:$D$507,I2537)&gt;=0,COUNT(INDEX('Staff Review'!$E$8:$E$507,I2537))=1,INDEX('Staff Review'!$E$8:$E$507,I2537)&gt;0,INDEX('Staff Review'!$E$8:$E$507,I2537)&lt;='Top 25'!$E$5,'Top 25'!$E$5-INDEX('Staff Review'!$E$8:$E$507,I2537)&lt;='Top 25'!$H$5,LEN(INDEX('Staff Review'!$H$8:$H$507,I2537))&gt;0),"Yes","No"))</f>
        <v>No</v>
      </c>
      <c r="AJ2537" s="1" t="str">
        <f>IF(I2537=0,"No",IF(COUNT(INDEX('Staff Review'!$F$8:$F$507,I2537))&lt;&gt;1,"No",IF(AND(INDEX('Staff Review'!$F$8:$F$507,I2537)&gt;=0,MOD(INDEX('Staff Review'!$F$8:$F$507,I2537),1)=0,COUNT(INDEX('Staff Review'!$G$8:$G$507,I2537))=1,INDEX('Staff Review'!$G$8:$G$507,I2537)&gt;0,INDEX('Staff Review'!$G$8:$G$507,I2537)&lt;='Top 25'!$E$5,'Top 25'!$E$5-INDEX('Staff Review'!$G$8:$G$507,I2537)&lt;='Top 25'!$H$5,LEN(INDEX('Staff Review'!$H$8:$H$507,I2537))&gt;0),"Yes","No")))</f>
        <v>No</v>
      </c>
      <c r="AK2537" s="1">
        <f t="shared" si="235"/>
        <v>0</v>
      </c>
      <c r="AL2537" s="1">
        <f t="shared" si="236"/>
        <v>0</v>
      </c>
      <c r="AM2537" s="1">
        <f t="shared" si="237"/>
        <v>0</v>
      </c>
      <c r="AN2537" s="1">
        <f t="shared" si="238"/>
        <v>0</v>
      </c>
      <c r="AO2537">
        <f t="shared" si="239"/>
        <v>10000</v>
      </c>
      <c r="AP2537" s="105">
        <f>IF(AND(AL2537=1,OR('Top 25'!$A$10="All",C2537='Top 25'!$A$10),OR('Top 25'!$D$10="All",D2537='Top 25'!$D$10)),1,0)</f>
        <v>0</v>
      </c>
      <c r="AQ2537" s="105" t="str">
        <f>IF(AP2537=0,"",CHOOSE(MATCH('Top 25'!$G$10,{"Priority score","Economic need","Enrollment","Fresh miles","Nearby resources"},0),T2537,G2537,F2537,K2537,L2537))</f>
        <v/>
      </c>
      <c r="AR2537" s="105" t="str">
        <f>IF(AP2537=0,"",1+COUNTIFS($AP$2051:$AP$2550,1,$AQ$2051:$AQ$2550,IF('Top 25'!$J$10="Ascending","&lt;","&gt;")&amp;AQ2537)+COUNTIFS($AP$2051:$AP$2550,1,$AQ$2051:$AQ$2550,AQ2537,$W$2051:$W$2550,"&lt;"&amp;W2537))</f>
        <v/>
      </c>
      <c r="AT2537" s="105">
        <f>IF(AND(AL2537=1,OR(Master_rankableSchools!$A$10="All",C2537=Master_rankableSchools!$A$10),OR(Master_rankableSchools!$D$10="All",D2537=Master_rankableSchools!$D$10)),1,0)</f>
        <v>0</v>
      </c>
      <c r="AU2537" s="105" t="str">
        <f>IF(AT2537=0,"",CHOOSE(MATCH(Master_rankableSchools!$G$10,{"Priority score","Economic need","Enrollment","Fresh miles","Nearby resources"},0),T2537,G2537,F2537,K2537,L2537))</f>
        <v/>
      </c>
      <c r="AV2537" s="105" t="str">
        <f>IF(AT2537=0,"",1+COUNTIFS($AT$2051:$AT$2550,1,$AU$2051:$AU$2550,IF(Master_rankableSchools!$J$10="Ascending","&lt;","&gt;")&amp;AU2537)+COUNTIFS($AT$2051:$AT$2550,1,$AU$2051:$AU$2550,AU2537,$W$2051:$W$2550,"&lt;"&amp;W2537))</f>
        <v/>
      </c>
    </row>
    <row r="2538" spans="1:48" ht="22" customHeight="1">
      <c r="A2538" s="1" t="str">
        <f t="shared" si="210"/>
        <v/>
      </c>
      <c r="B2538" s="1" t="str">
        <f t="shared" si="211"/>
        <v/>
      </c>
      <c r="C2538" s="1" t="str">
        <f t="shared" si="212"/>
        <v/>
      </c>
      <c r="D2538" s="1" t="str">
        <f t="shared" si="213"/>
        <v/>
      </c>
      <c r="E2538" s="1" t="str">
        <f t="shared" si="214"/>
        <v/>
      </c>
      <c r="F2538" s="1" t="str">
        <f t="shared" si="215"/>
        <v/>
      </c>
      <c r="G2538" s="1" t="str">
        <f t="shared" si="216"/>
        <v/>
      </c>
      <c r="H2538" s="1" t="str">
        <f t="shared" si="217"/>
        <v/>
      </c>
      <c r="I2538" s="1">
        <f>IF(OR(A2538="",COUNTIFS('Staff Review'!$A$8:$A$507,A2538)&lt;&gt;1),0,MATCH(A2538,'Staff Review'!$A$8:$A$507,0))</f>
        <v>0</v>
      </c>
      <c r="J2538" s="1" t="str">
        <f>IF(I2538=0,"No",IF(INDEX('Staff Review'!$C$8:$C$507,I2538)="Yes","Yes","No"))</f>
        <v>No</v>
      </c>
      <c r="K2538" s="1" t="str">
        <f>IF(AI2538="Yes",INDEX('Staff Review'!$D$8:$D$507,I2538),IF(AB2538=0,"",IF(COUNT(INDEX($C$1531:$C$2030,AB2538))=1,INDEX($C$1531:$C$2030,AB2538),"")))</f>
        <v/>
      </c>
      <c r="L2538" s="1" t="str">
        <f>IF(AJ2538="Yes",INDEX('Staff Review'!$F$8:$F$507,I2538),IF(AB2538=0,"",IF(COUNT(INDEX($G$1531:$G$2030,AB2538))=1,INDEX($G$1531:$G$2030,AB2538),"")))</f>
        <v/>
      </c>
      <c r="M2538" s="1" t="str">
        <f t="shared" si="218"/>
        <v/>
      </c>
      <c r="N2538" s="1" t="str">
        <f t="shared" si="219"/>
        <v/>
      </c>
      <c r="O2538" s="1" t="str">
        <f t="shared" si="220"/>
        <v/>
      </c>
      <c r="P2538" s="1" t="str">
        <f t="shared" si="221"/>
        <v/>
      </c>
      <c r="Q2538" s="1" t="str">
        <f t="shared" si="222"/>
        <v/>
      </c>
      <c r="R2538" s="1" t="str">
        <f t="shared" si="223"/>
        <v/>
      </c>
      <c r="S2538" s="1" t="str">
        <f t="shared" si="224"/>
        <v/>
      </c>
      <c r="T2538" s="1" t="str">
        <f>IF(OR(COUNT(O2538:R2538)&lt;&gt;4,COUNT('Top 25'!$B$45:$E$45)&lt;&gt;4,MIN('Top 25'!$B$45:$E$45)&lt;0,SUM('Top 25'!$B$45:$E$45)&lt;=0),"",ROUND(85*(O2538/30*'Top 25'!$B$45+P2538/25*'Top 25'!$C$45+Q2538/25*'Top 25'!$D$45+R2538/5*'Top 25'!$E$45)/SUM('Top 25'!$B$45:$E$45),6))</f>
        <v/>
      </c>
      <c r="U2538" s="1" t="str">
        <f t="shared" si="225"/>
        <v/>
      </c>
      <c r="V2538" s="1" t="str">
        <f>IF(A2538="","",IF(AK2538&lt;&gt;1,"Duplicate source ID",IF(COUNTIFS('Staff Review'!$A$8:$A$507,A2538)&gt;1,"Duplicate review ID",IF(H2538&lt;&gt;"Yes","Outside scope",IF(J2538="Yes","Already served",IF(NOT(ISNUMBER(T2538)),"Missing data","Candidate"))))))</f>
        <v/>
      </c>
      <c r="W2538" s="1" t="str">
        <f t="shared" si="226"/>
        <v/>
      </c>
      <c r="X2538" s="1" t="str">
        <f t="shared" si="227"/>
        <v/>
      </c>
      <c r="Y2538" s="1">
        <f>IF(AND(H2538="Yes",OR(LEN('School Search'!$B$5)=0,ISNUMBER(SEARCH('School Search'!$B$5,B2538&amp;" "&amp;E2538&amp;" "&amp;A2538))),OR('School Search'!$D$5="All",C2538='School Search'!$D$5),OR('School Search'!$G$5="All eligible",AND('School Search'!$G$5="Not marked served",J2538&lt;&gt;"Yes"),AND('School Search'!$G$5="Missing data",V2538="Missing data"),AND('School Search'!$G$5="Marked served",J2538="Yes"))),1,0)</f>
        <v>0</v>
      </c>
      <c r="Z2538" s="1" t="str">
        <f>IF(Y2538=0,"",COUNTIFS($Y$2051:$Y$2550,1,$AO$2051:$AO$2550,"&lt;"&amp;AO2538)+COUNTIFS($Y$2051:Y2538,1,$AO$2051:AO2538,AO2538))</f>
        <v/>
      </c>
      <c r="AA2538" s="1" t="str">
        <f t="shared" si="228"/>
        <v>Missing demographic or access input</v>
      </c>
      <c r="AB2538" s="1">
        <f t="shared" si="229"/>
        <v>0</v>
      </c>
      <c r="AC2538" s="1" t="str">
        <f t="shared" si="230"/>
        <v/>
      </c>
      <c r="AD2538" s="1" t="str">
        <f t="shared" si="231"/>
        <v/>
      </c>
      <c r="AE2538" s="1" t="str">
        <f t="shared" si="232"/>
        <v/>
      </c>
      <c r="AF2538" s="1" t="str">
        <f t="shared" si="233"/>
        <v/>
      </c>
      <c r="AG2538" s="1" t="str">
        <f t="shared" si="234"/>
        <v/>
      </c>
      <c r="AH2538" s="1" t="str">
        <f>IF(I2538=0,"Not contacted",IF(INDEX('Staff Review'!$J$8:$J$507,I2538)="","Not contacted",INDEX('Staff Review'!$J$8:$J$507,I2538)))</f>
        <v>Not contacted</v>
      </c>
      <c r="AI2538" s="1" t="str">
        <f>IF(I2538=0,"No",IF(AND(COUNT(INDEX('Staff Review'!$D$8:$D$507,I2538))=1,INDEX('Staff Review'!$D$8:$D$507,I2538)&gt;=0,COUNT(INDEX('Staff Review'!$E$8:$E$507,I2538))=1,INDEX('Staff Review'!$E$8:$E$507,I2538)&gt;0,INDEX('Staff Review'!$E$8:$E$507,I2538)&lt;='Top 25'!$E$5,'Top 25'!$E$5-INDEX('Staff Review'!$E$8:$E$507,I2538)&lt;='Top 25'!$H$5,LEN(INDEX('Staff Review'!$H$8:$H$507,I2538))&gt;0),"Yes","No"))</f>
        <v>No</v>
      </c>
      <c r="AJ2538" s="1" t="str">
        <f>IF(I2538=0,"No",IF(COUNT(INDEX('Staff Review'!$F$8:$F$507,I2538))&lt;&gt;1,"No",IF(AND(INDEX('Staff Review'!$F$8:$F$507,I2538)&gt;=0,MOD(INDEX('Staff Review'!$F$8:$F$507,I2538),1)=0,COUNT(INDEX('Staff Review'!$G$8:$G$507,I2538))=1,INDEX('Staff Review'!$G$8:$G$507,I2538)&gt;0,INDEX('Staff Review'!$G$8:$G$507,I2538)&lt;='Top 25'!$E$5,'Top 25'!$E$5-INDEX('Staff Review'!$G$8:$G$507,I2538)&lt;='Top 25'!$H$5,LEN(INDEX('Staff Review'!$H$8:$H$507,I2538))&gt;0),"Yes","No")))</f>
        <v>No</v>
      </c>
      <c r="AK2538" s="1">
        <f t="shared" si="235"/>
        <v>0</v>
      </c>
      <c r="AL2538" s="1">
        <f t="shared" si="236"/>
        <v>0</v>
      </c>
      <c r="AM2538" s="1">
        <f t="shared" si="237"/>
        <v>0</v>
      </c>
      <c r="AN2538" s="1">
        <f t="shared" si="238"/>
        <v>0</v>
      </c>
      <c r="AO2538">
        <f t="shared" si="239"/>
        <v>10000</v>
      </c>
      <c r="AP2538" s="105">
        <f>IF(AND(AL2538=1,OR('Top 25'!$A$10="All",C2538='Top 25'!$A$10),OR('Top 25'!$D$10="All",D2538='Top 25'!$D$10)),1,0)</f>
        <v>0</v>
      </c>
      <c r="AQ2538" s="105" t="str">
        <f>IF(AP2538=0,"",CHOOSE(MATCH('Top 25'!$G$10,{"Priority score","Economic need","Enrollment","Fresh miles","Nearby resources"},0),T2538,G2538,F2538,K2538,L2538))</f>
        <v/>
      </c>
      <c r="AR2538" s="105" t="str">
        <f>IF(AP2538=0,"",1+COUNTIFS($AP$2051:$AP$2550,1,$AQ$2051:$AQ$2550,IF('Top 25'!$J$10="Ascending","&lt;","&gt;")&amp;AQ2538)+COUNTIFS($AP$2051:$AP$2550,1,$AQ$2051:$AQ$2550,AQ2538,$W$2051:$W$2550,"&lt;"&amp;W2538))</f>
        <v/>
      </c>
      <c r="AT2538" s="105">
        <f>IF(AND(AL2538=1,OR(Master_rankableSchools!$A$10="All",C2538=Master_rankableSchools!$A$10),OR(Master_rankableSchools!$D$10="All",D2538=Master_rankableSchools!$D$10)),1,0)</f>
        <v>0</v>
      </c>
      <c r="AU2538" s="105" t="str">
        <f>IF(AT2538=0,"",CHOOSE(MATCH(Master_rankableSchools!$G$10,{"Priority score","Economic need","Enrollment","Fresh miles","Nearby resources"},0),T2538,G2538,F2538,K2538,L2538))</f>
        <v/>
      </c>
      <c r="AV2538" s="105" t="str">
        <f>IF(AT2538=0,"",1+COUNTIFS($AT$2051:$AT$2550,1,$AU$2051:$AU$2550,IF(Master_rankableSchools!$J$10="Ascending","&lt;","&gt;")&amp;AU2538)+COUNTIFS($AT$2051:$AT$2550,1,$AU$2051:$AU$2550,AU2538,$W$2051:$W$2550,"&lt;"&amp;W2538))</f>
        <v/>
      </c>
    </row>
    <row r="2539" spans="1:48" ht="22" customHeight="1">
      <c r="A2539" s="1" t="str">
        <f t="shared" si="210"/>
        <v/>
      </c>
      <c r="B2539" s="1" t="str">
        <f t="shared" si="211"/>
        <v/>
      </c>
      <c r="C2539" s="1" t="str">
        <f t="shared" si="212"/>
        <v/>
      </c>
      <c r="D2539" s="1" t="str">
        <f t="shared" si="213"/>
        <v/>
      </c>
      <c r="E2539" s="1" t="str">
        <f t="shared" si="214"/>
        <v/>
      </c>
      <c r="F2539" s="1" t="str">
        <f t="shared" si="215"/>
        <v/>
      </c>
      <c r="G2539" s="1" t="str">
        <f t="shared" si="216"/>
        <v/>
      </c>
      <c r="H2539" s="1" t="str">
        <f t="shared" si="217"/>
        <v/>
      </c>
      <c r="I2539" s="1">
        <f>IF(OR(A2539="",COUNTIFS('Staff Review'!$A$8:$A$507,A2539)&lt;&gt;1),0,MATCH(A2539,'Staff Review'!$A$8:$A$507,0))</f>
        <v>0</v>
      </c>
      <c r="J2539" s="1" t="str">
        <f>IF(I2539=0,"No",IF(INDEX('Staff Review'!$C$8:$C$507,I2539)="Yes","Yes","No"))</f>
        <v>No</v>
      </c>
      <c r="K2539" s="1" t="str">
        <f>IF(AI2539="Yes",INDEX('Staff Review'!$D$8:$D$507,I2539),IF(AB2539=0,"",IF(COUNT(INDEX($C$1531:$C$2030,AB2539))=1,INDEX($C$1531:$C$2030,AB2539),"")))</f>
        <v/>
      </c>
      <c r="L2539" s="1" t="str">
        <f>IF(AJ2539="Yes",INDEX('Staff Review'!$F$8:$F$507,I2539),IF(AB2539=0,"",IF(COUNT(INDEX($G$1531:$G$2030,AB2539))=1,INDEX($G$1531:$G$2030,AB2539),"")))</f>
        <v/>
      </c>
      <c r="M2539" s="1" t="str">
        <f t="shared" si="218"/>
        <v/>
      </c>
      <c r="N2539" s="1" t="str">
        <f t="shared" si="219"/>
        <v/>
      </c>
      <c r="O2539" s="1" t="str">
        <f t="shared" si="220"/>
        <v/>
      </c>
      <c r="P2539" s="1" t="str">
        <f t="shared" si="221"/>
        <v/>
      </c>
      <c r="Q2539" s="1" t="str">
        <f t="shared" si="222"/>
        <v/>
      </c>
      <c r="R2539" s="1" t="str">
        <f t="shared" si="223"/>
        <v/>
      </c>
      <c r="S2539" s="1" t="str">
        <f t="shared" si="224"/>
        <v/>
      </c>
      <c r="T2539" s="1" t="str">
        <f>IF(OR(COUNT(O2539:R2539)&lt;&gt;4,COUNT('Top 25'!$B$45:$E$45)&lt;&gt;4,MIN('Top 25'!$B$45:$E$45)&lt;0,SUM('Top 25'!$B$45:$E$45)&lt;=0),"",ROUND(85*(O2539/30*'Top 25'!$B$45+P2539/25*'Top 25'!$C$45+Q2539/25*'Top 25'!$D$45+R2539/5*'Top 25'!$E$45)/SUM('Top 25'!$B$45:$E$45),6))</f>
        <v/>
      </c>
      <c r="U2539" s="1" t="str">
        <f t="shared" si="225"/>
        <v/>
      </c>
      <c r="V2539" s="1" t="str">
        <f>IF(A2539="","",IF(AK2539&lt;&gt;1,"Duplicate source ID",IF(COUNTIFS('Staff Review'!$A$8:$A$507,A2539)&gt;1,"Duplicate review ID",IF(H2539&lt;&gt;"Yes","Outside scope",IF(J2539="Yes","Already served",IF(NOT(ISNUMBER(T2539)),"Missing data","Candidate"))))))</f>
        <v/>
      </c>
      <c r="W2539" s="1" t="str">
        <f t="shared" si="226"/>
        <v/>
      </c>
      <c r="X2539" s="1" t="str">
        <f t="shared" si="227"/>
        <v/>
      </c>
      <c r="Y2539" s="1">
        <f>IF(AND(H2539="Yes",OR(LEN('School Search'!$B$5)=0,ISNUMBER(SEARCH('School Search'!$B$5,B2539&amp;" "&amp;E2539&amp;" "&amp;A2539))),OR('School Search'!$D$5="All",C2539='School Search'!$D$5),OR('School Search'!$G$5="All eligible",AND('School Search'!$G$5="Not marked served",J2539&lt;&gt;"Yes"),AND('School Search'!$G$5="Missing data",V2539="Missing data"),AND('School Search'!$G$5="Marked served",J2539="Yes"))),1,0)</f>
        <v>0</v>
      </c>
      <c r="Z2539" s="1" t="str">
        <f>IF(Y2539=0,"",COUNTIFS($Y$2051:$Y$2550,1,$AO$2051:$AO$2550,"&lt;"&amp;AO2539)+COUNTIFS($Y$2051:Y2539,1,$AO$2051:AO2539,AO2539))</f>
        <v/>
      </c>
      <c r="AA2539" s="1" t="str">
        <f t="shared" si="228"/>
        <v>Missing demographic or access input</v>
      </c>
      <c r="AB2539" s="1">
        <f t="shared" si="229"/>
        <v>0</v>
      </c>
      <c r="AC2539" s="1" t="str">
        <f t="shared" si="230"/>
        <v/>
      </c>
      <c r="AD2539" s="1" t="str">
        <f t="shared" si="231"/>
        <v/>
      </c>
      <c r="AE2539" s="1" t="str">
        <f t="shared" si="232"/>
        <v/>
      </c>
      <c r="AF2539" s="1" t="str">
        <f t="shared" si="233"/>
        <v/>
      </c>
      <c r="AG2539" s="1" t="str">
        <f t="shared" si="234"/>
        <v/>
      </c>
      <c r="AH2539" s="1" t="str">
        <f>IF(I2539=0,"Not contacted",IF(INDEX('Staff Review'!$J$8:$J$507,I2539)="","Not contacted",INDEX('Staff Review'!$J$8:$J$507,I2539)))</f>
        <v>Not contacted</v>
      </c>
      <c r="AI2539" s="1" t="str">
        <f>IF(I2539=0,"No",IF(AND(COUNT(INDEX('Staff Review'!$D$8:$D$507,I2539))=1,INDEX('Staff Review'!$D$8:$D$507,I2539)&gt;=0,COUNT(INDEX('Staff Review'!$E$8:$E$507,I2539))=1,INDEX('Staff Review'!$E$8:$E$507,I2539)&gt;0,INDEX('Staff Review'!$E$8:$E$507,I2539)&lt;='Top 25'!$E$5,'Top 25'!$E$5-INDEX('Staff Review'!$E$8:$E$507,I2539)&lt;='Top 25'!$H$5,LEN(INDEX('Staff Review'!$H$8:$H$507,I2539))&gt;0),"Yes","No"))</f>
        <v>No</v>
      </c>
      <c r="AJ2539" s="1" t="str">
        <f>IF(I2539=0,"No",IF(COUNT(INDEX('Staff Review'!$F$8:$F$507,I2539))&lt;&gt;1,"No",IF(AND(INDEX('Staff Review'!$F$8:$F$507,I2539)&gt;=0,MOD(INDEX('Staff Review'!$F$8:$F$507,I2539),1)=0,COUNT(INDEX('Staff Review'!$G$8:$G$507,I2539))=1,INDEX('Staff Review'!$G$8:$G$507,I2539)&gt;0,INDEX('Staff Review'!$G$8:$G$507,I2539)&lt;='Top 25'!$E$5,'Top 25'!$E$5-INDEX('Staff Review'!$G$8:$G$507,I2539)&lt;='Top 25'!$H$5,LEN(INDEX('Staff Review'!$H$8:$H$507,I2539))&gt;0),"Yes","No")))</f>
        <v>No</v>
      </c>
      <c r="AK2539" s="1">
        <f t="shared" si="235"/>
        <v>0</v>
      </c>
      <c r="AL2539" s="1">
        <f t="shared" si="236"/>
        <v>0</v>
      </c>
      <c r="AM2539" s="1">
        <f t="shared" si="237"/>
        <v>0</v>
      </c>
      <c r="AN2539" s="1">
        <f t="shared" si="238"/>
        <v>0</v>
      </c>
      <c r="AO2539">
        <f t="shared" si="239"/>
        <v>10000</v>
      </c>
      <c r="AP2539" s="105">
        <f>IF(AND(AL2539=1,OR('Top 25'!$A$10="All",C2539='Top 25'!$A$10),OR('Top 25'!$D$10="All",D2539='Top 25'!$D$10)),1,0)</f>
        <v>0</v>
      </c>
      <c r="AQ2539" s="105" t="str">
        <f>IF(AP2539=0,"",CHOOSE(MATCH('Top 25'!$G$10,{"Priority score","Economic need","Enrollment","Fresh miles","Nearby resources"},0),T2539,G2539,F2539,K2539,L2539))</f>
        <v/>
      </c>
      <c r="AR2539" s="105" t="str">
        <f>IF(AP2539=0,"",1+COUNTIFS($AP$2051:$AP$2550,1,$AQ$2051:$AQ$2550,IF('Top 25'!$J$10="Ascending","&lt;","&gt;")&amp;AQ2539)+COUNTIFS($AP$2051:$AP$2550,1,$AQ$2051:$AQ$2550,AQ2539,$W$2051:$W$2550,"&lt;"&amp;W2539))</f>
        <v/>
      </c>
      <c r="AT2539" s="105">
        <f>IF(AND(AL2539=1,OR(Master_rankableSchools!$A$10="All",C2539=Master_rankableSchools!$A$10),OR(Master_rankableSchools!$D$10="All",D2539=Master_rankableSchools!$D$10)),1,0)</f>
        <v>0</v>
      </c>
      <c r="AU2539" s="105" t="str">
        <f>IF(AT2539=0,"",CHOOSE(MATCH(Master_rankableSchools!$G$10,{"Priority score","Economic need","Enrollment","Fresh miles","Nearby resources"},0),T2539,G2539,F2539,K2539,L2539))</f>
        <v/>
      </c>
      <c r="AV2539" s="105" t="str">
        <f>IF(AT2539=0,"",1+COUNTIFS($AT$2051:$AT$2550,1,$AU$2051:$AU$2550,IF(Master_rankableSchools!$J$10="Ascending","&lt;","&gt;")&amp;AU2539)+COUNTIFS($AT$2051:$AT$2550,1,$AU$2051:$AU$2550,AU2539,$W$2051:$W$2550,"&lt;"&amp;W2539))</f>
        <v/>
      </c>
    </row>
    <row r="2540" spans="1:48" ht="22" customHeight="1">
      <c r="A2540" s="1" t="str">
        <f t="shared" si="210"/>
        <v/>
      </c>
      <c r="B2540" s="1" t="str">
        <f t="shared" si="211"/>
        <v/>
      </c>
      <c r="C2540" s="1" t="str">
        <f t="shared" si="212"/>
        <v/>
      </c>
      <c r="D2540" s="1" t="str">
        <f t="shared" si="213"/>
        <v/>
      </c>
      <c r="E2540" s="1" t="str">
        <f t="shared" si="214"/>
        <v/>
      </c>
      <c r="F2540" s="1" t="str">
        <f t="shared" si="215"/>
        <v/>
      </c>
      <c r="G2540" s="1" t="str">
        <f t="shared" si="216"/>
        <v/>
      </c>
      <c r="H2540" s="1" t="str">
        <f t="shared" si="217"/>
        <v/>
      </c>
      <c r="I2540" s="1">
        <f>IF(OR(A2540="",COUNTIFS('Staff Review'!$A$8:$A$507,A2540)&lt;&gt;1),0,MATCH(A2540,'Staff Review'!$A$8:$A$507,0))</f>
        <v>0</v>
      </c>
      <c r="J2540" s="1" t="str">
        <f>IF(I2540=0,"No",IF(INDEX('Staff Review'!$C$8:$C$507,I2540)="Yes","Yes","No"))</f>
        <v>No</v>
      </c>
      <c r="K2540" s="1" t="str">
        <f>IF(AI2540="Yes",INDEX('Staff Review'!$D$8:$D$507,I2540),IF(AB2540=0,"",IF(COUNT(INDEX($C$1531:$C$2030,AB2540))=1,INDEX($C$1531:$C$2030,AB2540),"")))</f>
        <v/>
      </c>
      <c r="L2540" s="1" t="str">
        <f>IF(AJ2540="Yes",INDEX('Staff Review'!$F$8:$F$507,I2540),IF(AB2540=0,"",IF(COUNT(INDEX($G$1531:$G$2030,AB2540))=1,INDEX($G$1531:$G$2030,AB2540),"")))</f>
        <v/>
      </c>
      <c r="M2540" s="1" t="str">
        <f t="shared" si="218"/>
        <v/>
      </c>
      <c r="N2540" s="1" t="str">
        <f t="shared" si="219"/>
        <v/>
      </c>
      <c r="O2540" s="1" t="str">
        <f t="shared" si="220"/>
        <v/>
      </c>
      <c r="P2540" s="1" t="str">
        <f t="shared" si="221"/>
        <v/>
      </c>
      <c r="Q2540" s="1" t="str">
        <f t="shared" si="222"/>
        <v/>
      </c>
      <c r="R2540" s="1" t="str">
        <f t="shared" si="223"/>
        <v/>
      </c>
      <c r="S2540" s="1" t="str">
        <f t="shared" si="224"/>
        <v/>
      </c>
      <c r="T2540" s="1" t="str">
        <f>IF(OR(COUNT(O2540:R2540)&lt;&gt;4,COUNT('Top 25'!$B$45:$E$45)&lt;&gt;4,MIN('Top 25'!$B$45:$E$45)&lt;0,SUM('Top 25'!$B$45:$E$45)&lt;=0),"",ROUND(85*(O2540/30*'Top 25'!$B$45+P2540/25*'Top 25'!$C$45+Q2540/25*'Top 25'!$D$45+R2540/5*'Top 25'!$E$45)/SUM('Top 25'!$B$45:$E$45),6))</f>
        <v/>
      </c>
      <c r="U2540" s="1" t="str">
        <f t="shared" si="225"/>
        <v/>
      </c>
      <c r="V2540" s="1" t="str">
        <f>IF(A2540="","",IF(AK2540&lt;&gt;1,"Duplicate source ID",IF(COUNTIFS('Staff Review'!$A$8:$A$507,A2540)&gt;1,"Duplicate review ID",IF(H2540&lt;&gt;"Yes","Outside scope",IF(J2540="Yes","Already served",IF(NOT(ISNUMBER(T2540)),"Missing data","Candidate"))))))</f>
        <v/>
      </c>
      <c r="W2540" s="1" t="str">
        <f t="shared" si="226"/>
        <v/>
      </c>
      <c r="X2540" s="1" t="str">
        <f t="shared" si="227"/>
        <v/>
      </c>
      <c r="Y2540" s="1">
        <f>IF(AND(H2540="Yes",OR(LEN('School Search'!$B$5)=0,ISNUMBER(SEARCH('School Search'!$B$5,B2540&amp;" "&amp;E2540&amp;" "&amp;A2540))),OR('School Search'!$D$5="All",C2540='School Search'!$D$5),OR('School Search'!$G$5="All eligible",AND('School Search'!$G$5="Not marked served",J2540&lt;&gt;"Yes"),AND('School Search'!$G$5="Missing data",V2540="Missing data"),AND('School Search'!$G$5="Marked served",J2540="Yes"))),1,0)</f>
        <v>0</v>
      </c>
      <c r="Z2540" s="1" t="str">
        <f>IF(Y2540=0,"",COUNTIFS($Y$2051:$Y$2550,1,$AO$2051:$AO$2550,"&lt;"&amp;AO2540)+COUNTIFS($Y$2051:Y2540,1,$AO$2051:AO2540,AO2540))</f>
        <v/>
      </c>
      <c r="AA2540" s="1" t="str">
        <f t="shared" si="228"/>
        <v>Missing demographic or access input</v>
      </c>
      <c r="AB2540" s="1">
        <f t="shared" si="229"/>
        <v>0</v>
      </c>
      <c r="AC2540" s="1" t="str">
        <f t="shared" si="230"/>
        <v/>
      </c>
      <c r="AD2540" s="1" t="str">
        <f t="shared" si="231"/>
        <v/>
      </c>
      <c r="AE2540" s="1" t="str">
        <f t="shared" si="232"/>
        <v/>
      </c>
      <c r="AF2540" s="1" t="str">
        <f t="shared" si="233"/>
        <v/>
      </c>
      <c r="AG2540" s="1" t="str">
        <f t="shared" si="234"/>
        <v/>
      </c>
      <c r="AH2540" s="1" t="str">
        <f>IF(I2540=0,"Not contacted",IF(INDEX('Staff Review'!$J$8:$J$507,I2540)="","Not contacted",INDEX('Staff Review'!$J$8:$J$507,I2540)))</f>
        <v>Not contacted</v>
      </c>
      <c r="AI2540" s="1" t="str">
        <f>IF(I2540=0,"No",IF(AND(COUNT(INDEX('Staff Review'!$D$8:$D$507,I2540))=1,INDEX('Staff Review'!$D$8:$D$507,I2540)&gt;=0,COUNT(INDEX('Staff Review'!$E$8:$E$507,I2540))=1,INDEX('Staff Review'!$E$8:$E$507,I2540)&gt;0,INDEX('Staff Review'!$E$8:$E$507,I2540)&lt;='Top 25'!$E$5,'Top 25'!$E$5-INDEX('Staff Review'!$E$8:$E$507,I2540)&lt;='Top 25'!$H$5,LEN(INDEX('Staff Review'!$H$8:$H$507,I2540))&gt;0),"Yes","No"))</f>
        <v>No</v>
      </c>
      <c r="AJ2540" s="1" t="str">
        <f>IF(I2540=0,"No",IF(COUNT(INDEX('Staff Review'!$F$8:$F$507,I2540))&lt;&gt;1,"No",IF(AND(INDEX('Staff Review'!$F$8:$F$507,I2540)&gt;=0,MOD(INDEX('Staff Review'!$F$8:$F$507,I2540),1)=0,COUNT(INDEX('Staff Review'!$G$8:$G$507,I2540))=1,INDEX('Staff Review'!$G$8:$G$507,I2540)&gt;0,INDEX('Staff Review'!$G$8:$G$507,I2540)&lt;='Top 25'!$E$5,'Top 25'!$E$5-INDEX('Staff Review'!$G$8:$G$507,I2540)&lt;='Top 25'!$H$5,LEN(INDEX('Staff Review'!$H$8:$H$507,I2540))&gt;0),"Yes","No")))</f>
        <v>No</v>
      </c>
      <c r="AK2540" s="1">
        <f t="shared" si="235"/>
        <v>0</v>
      </c>
      <c r="AL2540" s="1">
        <f t="shared" si="236"/>
        <v>0</v>
      </c>
      <c r="AM2540" s="1">
        <f t="shared" si="237"/>
        <v>0</v>
      </c>
      <c r="AN2540" s="1">
        <f t="shared" si="238"/>
        <v>0</v>
      </c>
      <c r="AO2540">
        <f t="shared" si="239"/>
        <v>10000</v>
      </c>
      <c r="AP2540" s="105">
        <f>IF(AND(AL2540=1,OR('Top 25'!$A$10="All",C2540='Top 25'!$A$10),OR('Top 25'!$D$10="All",D2540='Top 25'!$D$10)),1,0)</f>
        <v>0</v>
      </c>
      <c r="AQ2540" s="105" t="str">
        <f>IF(AP2540=0,"",CHOOSE(MATCH('Top 25'!$G$10,{"Priority score","Economic need","Enrollment","Fresh miles","Nearby resources"},0),T2540,G2540,F2540,K2540,L2540))</f>
        <v/>
      </c>
      <c r="AR2540" s="105" t="str">
        <f>IF(AP2540=0,"",1+COUNTIFS($AP$2051:$AP$2550,1,$AQ$2051:$AQ$2550,IF('Top 25'!$J$10="Ascending","&lt;","&gt;")&amp;AQ2540)+COUNTIFS($AP$2051:$AP$2550,1,$AQ$2051:$AQ$2550,AQ2540,$W$2051:$W$2550,"&lt;"&amp;W2540))</f>
        <v/>
      </c>
      <c r="AT2540" s="105">
        <f>IF(AND(AL2540=1,OR(Master_rankableSchools!$A$10="All",C2540=Master_rankableSchools!$A$10),OR(Master_rankableSchools!$D$10="All",D2540=Master_rankableSchools!$D$10)),1,0)</f>
        <v>0</v>
      </c>
      <c r="AU2540" s="105" t="str">
        <f>IF(AT2540=0,"",CHOOSE(MATCH(Master_rankableSchools!$G$10,{"Priority score","Economic need","Enrollment","Fresh miles","Nearby resources"},0),T2540,G2540,F2540,K2540,L2540))</f>
        <v/>
      </c>
      <c r="AV2540" s="105" t="str">
        <f>IF(AT2540=0,"",1+COUNTIFS($AT$2051:$AT$2550,1,$AU$2051:$AU$2550,IF(Master_rankableSchools!$J$10="Ascending","&lt;","&gt;")&amp;AU2540)+COUNTIFS($AT$2051:$AT$2550,1,$AU$2051:$AU$2550,AU2540,$W$2051:$W$2550,"&lt;"&amp;W2540))</f>
        <v/>
      </c>
    </row>
    <row r="2541" spans="1:48" ht="22" customHeight="1">
      <c r="A2541" s="1" t="str">
        <f t="shared" si="210"/>
        <v/>
      </c>
      <c r="B2541" s="1" t="str">
        <f t="shared" si="211"/>
        <v/>
      </c>
      <c r="C2541" s="1" t="str">
        <f t="shared" si="212"/>
        <v/>
      </c>
      <c r="D2541" s="1" t="str">
        <f t="shared" si="213"/>
        <v/>
      </c>
      <c r="E2541" s="1" t="str">
        <f t="shared" si="214"/>
        <v/>
      </c>
      <c r="F2541" s="1" t="str">
        <f t="shared" si="215"/>
        <v/>
      </c>
      <c r="G2541" s="1" t="str">
        <f t="shared" si="216"/>
        <v/>
      </c>
      <c r="H2541" s="1" t="str">
        <f t="shared" si="217"/>
        <v/>
      </c>
      <c r="I2541" s="1">
        <f>IF(OR(A2541="",COUNTIFS('Staff Review'!$A$8:$A$507,A2541)&lt;&gt;1),0,MATCH(A2541,'Staff Review'!$A$8:$A$507,0))</f>
        <v>0</v>
      </c>
      <c r="J2541" s="1" t="str">
        <f>IF(I2541=0,"No",IF(INDEX('Staff Review'!$C$8:$C$507,I2541)="Yes","Yes","No"))</f>
        <v>No</v>
      </c>
      <c r="K2541" s="1" t="str">
        <f>IF(AI2541="Yes",INDEX('Staff Review'!$D$8:$D$507,I2541),IF(AB2541=0,"",IF(COUNT(INDEX($C$1531:$C$2030,AB2541))=1,INDEX($C$1531:$C$2030,AB2541),"")))</f>
        <v/>
      </c>
      <c r="L2541" s="1" t="str">
        <f>IF(AJ2541="Yes",INDEX('Staff Review'!$F$8:$F$507,I2541),IF(AB2541=0,"",IF(COUNT(INDEX($G$1531:$G$2030,AB2541))=1,INDEX($G$1531:$G$2030,AB2541),"")))</f>
        <v/>
      </c>
      <c r="M2541" s="1" t="str">
        <f t="shared" si="218"/>
        <v/>
      </c>
      <c r="N2541" s="1" t="str">
        <f t="shared" si="219"/>
        <v/>
      </c>
      <c r="O2541" s="1" t="str">
        <f t="shared" si="220"/>
        <v/>
      </c>
      <c r="P2541" s="1" t="str">
        <f t="shared" si="221"/>
        <v/>
      </c>
      <c r="Q2541" s="1" t="str">
        <f t="shared" si="222"/>
        <v/>
      </c>
      <c r="R2541" s="1" t="str">
        <f t="shared" si="223"/>
        <v/>
      </c>
      <c r="S2541" s="1" t="str">
        <f t="shared" si="224"/>
        <v/>
      </c>
      <c r="T2541" s="1" t="str">
        <f>IF(OR(COUNT(O2541:R2541)&lt;&gt;4,COUNT('Top 25'!$B$45:$E$45)&lt;&gt;4,MIN('Top 25'!$B$45:$E$45)&lt;0,SUM('Top 25'!$B$45:$E$45)&lt;=0),"",ROUND(85*(O2541/30*'Top 25'!$B$45+P2541/25*'Top 25'!$C$45+Q2541/25*'Top 25'!$D$45+R2541/5*'Top 25'!$E$45)/SUM('Top 25'!$B$45:$E$45),6))</f>
        <v/>
      </c>
      <c r="U2541" s="1" t="str">
        <f t="shared" si="225"/>
        <v/>
      </c>
      <c r="V2541" s="1" t="str">
        <f>IF(A2541="","",IF(AK2541&lt;&gt;1,"Duplicate source ID",IF(COUNTIFS('Staff Review'!$A$8:$A$507,A2541)&gt;1,"Duplicate review ID",IF(H2541&lt;&gt;"Yes","Outside scope",IF(J2541="Yes","Already served",IF(NOT(ISNUMBER(T2541)),"Missing data","Candidate"))))))</f>
        <v/>
      </c>
      <c r="W2541" s="1" t="str">
        <f t="shared" si="226"/>
        <v/>
      </c>
      <c r="X2541" s="1" t="str">
        <f t="shared" si="227"/>
        <v/>
      </c>
      <c r="Y2541" s="1">
        <f>IF(AND(H2541="Yes",OR(LEN('School Search'!$B$5)=0,ISNUMBER(SEARCH('School Search'!$B$5,B2541&amp;" "&amp;E2541&amp;" "&amp;A2541))),OR('School Search'!$D$5="All",C2541='School Search'!$D$5),OR('School Search'!$G$5="All eligible",AND('School Search'!$G$5="Not marked served",J2541&lt;&gt;"Yes"),AND('School Search'!$G$5="Missing data",V2541="Missing data"),AND('School Search'!$G$5="Marked served",J2541="Yes"))),1,0)</f>
        <v>0</v>
      </c>
      <c r="Z2541" s="1" t="str">
        <f>IF(Y2541=0,"",COUNTIFS($Y$2051:$Y$2550,1,$AO$2051:$AO$2550,"&lt;"&amp;AO2541)+COUNTIFS($Y$2051:Y2541,1,$AO$2051:AO2541,AO2541))</f>
        <v/>
      </c>
      <c r="AA2541" s="1" t="str">
        <f t="shared" si="228"/>
        <v>Missing demographic or access input</v>
      </c>
      <c r="AB2541" s="1">
        <f t="shared" si="229"/>
        <v>0</v>
      </c>
      <c r="AC2541" s="1" t="str">
        <f t="shared" si="230"/>
        <v/>
      </c>
      <c r="AD2541" s="1" t="str">
        <f t="shared" si="231"/>
        <v/>
      </c>
      <c r="AE2541" s="1" t="str">
        <f t="shared" si="232"/>
        <v/>
      </c>
      <c r="AF2541" s="1" t="str">
        <f t="shared" si="233"/>
        <v/>
      </c>
      <c r="AG2541" s="1" t="str">
        <f t="shared" si="234"/>
        <v/>
      </c>
      <c r="AH2541" s="1" t="str">
        <f>IF(I2541=0,"Not contacted",IF(INDEX('Staff Review'!$J$8:$J$507,I2541)="","Not contacted",INDEX('Staff Review'!$J$8:$J$507,I2541)))</f>
        <v>Not contacted</v>
      </c>
      <c r="AI2541" s="1" t="str">
        <f>IF(I2541=0,"No",IF(AND(COUNT(INDEX('Staff Review'!$D$8:$D$507,I2541))=1,INDEX('Staff Review'!$D$8:$D$507,I2541)&gt;=0,COUNT(INDEX('Staff Review'!$E$8:$E$507,I2541))=1,INDEX('Staff Review'!$E$8:$E$507,I2541)&gt;0,INDEX('Staff Review'!$E$8:$E$507,I2541)&lt;='Top 25'!$E$5,'Top 25'!$E$5-INDEX('Staff Review'!$E$8:$E$507,I2541)&lt;='Top 25'!$H$5,LEN(INDEX('Staff Review'!$H$8:$H$507,I2541))&gt;0),"Yes","No"))</f>
        <v>No</v>
      </c>
      <c r="AJ2541" s="1" t="str">
        <f>IF(I2541=0,"No",IF(COUNT(INDEX('Staff Review'!$F$8:$F$507,I2541))&lt;&gt;1,"No",IF(AND(INDEX('Staff Review'!$F$8:$F$507,I2541)&gt;=0,MOD(INDEX('Staff Review'!$F$8:$F$507,I2541),1)=0,COUNT(INDEX('Staff Review'!$G$8:$G$507,I2541))=1,INDEX('Staff Review'!$G$8:$G$507,I2541)&gt;0,INDEX('Staff Review'!$G$8:$G$507,I2541)&lt;='Top 25'!$E$5,'Top 25'!$E$5-INDEX('Staff Review'!$G$8:$G$507,I2541)&lt;='Top 25'!$H$5,LEN(INDEX('Staff Review'!$H$8:$H$507,I2541))&gt;0),"Yes","No")))</f>
        <v>No</v>
      </c>
      <c r="AK2541" s="1">
        <f t="shared" si="235"/>
        <v>0</v>
      </c>
      <c r="AL2541" s="1">
        <f t="shared" si="236"/>
        <v>0</v>
      </c>
      <c r="AM2541" s="1">
        <f t="shared" si="237"/>
        <v>0</v>
      </c>
      <c r="AN2541" s="1">
        <f t="shared" si="238"/>
        <v>0</v>
      </c>
      <c r="AO2541">
        <f t="shared" si="239"/>
        <v>10000</v>
      </c>
      <c r="AP2541" s="105">
        <f>IF(AND(AL2541=1,OR('Top 25'!$A$10="All",C2541='Top 25'!$A$10),OR('Top 25'!$D$10="All",D2541='Top 25'!$D$10)),1,0)</f>
        <v>0</v>
      </c>
      <c r="AQ2541" s="105" t="str">
        <f>IF(AP2541=0,"",CHOOSE(MATCH('Top 25'!$G$10,{"Priority score","Economic need","Enrollment","Fresh miles","Nearby resources"},0),T2541,G2541,F2541,K2541,L2541))</f>
        <v/>
      </c>
      <c r="AR2541" s="105" t="str">
        <f>IF(AP2541=0,"",1+COUNTIFS($AP$2051:$AP$2550,1,$AQ$2051:$AQ$2550,IF('Top 25'!$J$10="Ascending","&lt;","&gt;")&amp;AQ2541)+COUNTIFS($AP$2051:$AP$2550,1,$AQ$2051:$AQ$2550,AQ2541,$W$2051:$W$2550,"&lt;"&amp;W2541))</f>
        <v/>
      </c>
      <c r="AT2541" s="105">
        <f>IF(AND(AL2541=1,OR(Master_rankableSchools!$A$10="All",C2541=Master_rankableSchools!$A$10),OR(Master_rankableSchools!$D$10="All",D2541=Master_rankableSchools!$D$10)),1,0)</f>
        <v>0</v>
      </c>
      <c r="AU2541" s="105" t="str">
        <f>IF(AT2541=0,"",CHOOSE(MATCH(Master_rankableSchools!$G$10,{"Priority score","Economic need","Enrollment","Fresh miles","Nearby resources"},0),T2541,G2541,F2541,K2541,L2541))</f>
        <v/>
      </c>
      <c r="AV2541" s="105" t="str">
        <f>IF(AT2541=0,"",1+COUNTIFS($AT$2051:$AT$2550,1,$AU$2051:$AU$2550,IF(Master_rankableSchools!$J$10="Ascending","&lt;","&gt;")&amp;AU2541)+COUNTIFS($AT$2051:$AT$2550,1,$AU$2051:$AU$2550,AU2541,$W$2051:$W$2550,"&lt;"&amp;W2541))</f>
        <v/>
      </c>
    </row>
    <row r="2542" spans="1:48" ht="22" customHeight="1">
      <c r="A2542" s="1" t="str">
        <f t="shared" si="210"/>
        <v/>
      </c>
      <c r="B2542" s="1" t="str">
        <f t="shared" si="211"/>
        <v/>
      </c>
      <c r="C2542" s="1" t="str">
        <f t="shared" si="212"/>
        <v/>
      </c>
      <c r="D2542" s="1" t="str">
        <f t="shared" si="213"/>
        <v/>
      </c>
      <c r="E2542" s="1" t="str">
        <f t="shared" si="214"/>
        <v/>
      </c>
      <c r="F2542" s="1" t="str">
        <f t="shared" si="215"/>
        <v/>
      </c>
      <c r="G2542" s="1" t="str">
        <f t="shared" si="216"/>
        <v/>
      </c>
      <c r="H2542" s="1" t="str">
        <f t="shared" si="217"/>
        <v/>
      </c>
      <c r="I2542" s="1">
        <f>IF(OR(A2542="",COUNTIFS('Staff Review'!$A$8:$A$507,A2542)&lt;&gt;1),0,MATCH(A2542,'Staff Review'!$A$8:$A$507,0))</f>
        <v>0</v>
      </c>
      <c r="J2542" s="1" t="str">
        <f>IF(I2542=0,"No",IF(INDEX('Staff Review'!$C$8:$C$507,I2542)="Yes","Yes","No"))</f>
        <v>No</v>
      </c>
      <c r="K2542" s="1" t="str">
        <f>IF(AI2542="Yes",INDEX('Staff Review'!$D$8:$D$507,I2542),IF(AB2542=0,"",IF(COUNT(INDEX($C$1531:$C$2030,AB2542))=1,INDEX($C$1531:$C$2030,AB2542),"")))</f>
        <v/>
      </c>
      <c r="L2542" s="1" t="str">
        <f>IF(AJ2542="Yes",INDEX('Staff Review'!$F$8:$F$507,I2542),IF(AB2542=0,"",IF(COUNT(INDEX($G$1531:$G$2030,AB2542))=1,INDEX($G$1531:$G$2030,AB2542),"")))</f>
        <v/>
      </c>
      <c r="M2542" s="1" t="str">
        <f t="shared" si="218"/>
        <v/>
      </c>
      <c r="N2542" s="1" t="str">
        <f t="shared" si="219"/>
        <v/>
      </c>
      <c r="O2542" s="1" t="str">
        <f t="shared" si="220"/>
        <v/>
      </c>
      <c r="P2542" s="1" t="str">
        <f t="shared" si="221"/>
        <v/>
      </c>
      <c r="Q2542" s="1" t="str">
        <f t="shared" si="222"/>
        <v/>
      </c>
      <c r="R2542" s="1" t="str">
        <f t="shared" si="223"/>
        <v/>
      </c>
      <c r="S2542" s="1" t="str">
        <f t="shared" si="224"/>
        <v/>
      </c>
      <c r="T2542" s="1" t="str">
        <f>IF(OR(COUNT(O2542:R2542)&lt;&gt;4,COUNT('Top 25'!$B$45:$E$45)&lt;&gt;4,MIN('Top 25'!$B$45:$E$45)&lt;0,SUM('Top 25'!$B$45:$E$45)&lt;=0),"",ROUND(85*(O2542/30*'Top 25'!$B$45+P2542/25*'Top 25'!$C$45+Q2542/25*'Top 25'!$D$45+R2542/5*'Top 25'!$E$45)/SUM('Top 25'!$B$45:$E$45),6))</f>
        <v/>
      </c>
      <c r="U2542" s="1" t="str">
        <f t="shared" si="225"/>
        <v/>
      </c>
      <c r="V2542" s="1" t="str">
        <f>IF(A2542="","",IF(AK2542&lt;&gt;1,"Duplicate source ID",IF(COUNTIFS('Staff Review'!$A$8:$A$507,A2542)&gt;1,"Duplicate review ID",IF(H2542&lt;&gt;"Yes","Outside scope",IF(J2542="Yes","Already served",IF(NOT(ISNUMBER(T2542)),"Missing data","Candidate"))))))</f>
        <v/>
      </c>
      <c r="W2542" s="1" t="str">
        <f t="shared" si="226"/>
        <v/>
      </c>
      <c r="X2542" s="1" t="str">
        <f t="shared" si="227"/>
        <v/>
      </c>
      <c r="Y2542" s="1">
        <f>IF(AND(H2542="Yes",OR(LEN('School Search'!$B$5)=0,ISNUMBER(SEARCH('School Search'!$B$5,B2542&amp;" "&amp;E2542&amp;" "&amp;A2542))),OR('School Search'!$D$5="All",C2542='School Search'!$D$5),OR('School Search'!$G$5="All eligible",AND('School Search'!$G$5="Not marked served",J2542&lt;&gt;"Yes"),AND('School Search'!$G$5="Missing data",V2542="Missing data"),AND('School Search'!$G$5="Marked served",J2542="Yes"))),1,0)</f>
        <v>0</v>
      </c>
      <c r="Z2542" s="1" t="str">
        <f>IF(Y2542=0,"",COUNTIFS($Y$2051:$Y$2550,1,$AO$2051:$AO$2550,"&lt;"&amp;AO2542)+COUNTIFS($Y$2051:Y2542,1,$AO$2051:AO2542,AO2542))</f>
        <v/>
      </c>
      <c r="AA2542" s="1" t="str">
        <f t="shared" si="228"/>
        <v>Missing demographic or access input</v>
      </c>
      <c r="AB2542" s="1">
        <f t="shared" si="229"/>
        <v>0</v>
      </c>
      <c r="AC2542" s="1" t="str">
        <f t="shared" si="230"/>
        <v/>
      </c>
      <c r="AD2542" s="1" t="str">
        <f t="shared" si="231"/>
        <v/>
      </c>
      <c r="AE2542" s="1" t="str">
        <f t="shared" si="232"/>
        <v/>
      </c>
      <c r="AF2542" s="1" t="str">
        <f t="shared" si="233"/>
        <v/>
      </c>
      <c r="AG2542" s="1" t="str">
        <f t="shared" si="234"/>
        <v/>
      </c>
      <c r="AH2542" s="1" t="str">
        <f>IF(I2542=0,"Not contacted",IF(INDEX('Staff Review'!$J$8:$J$507,I2542)="","Not contacted",INDEX('Staff Review'!$J$8:$J$507,I2542)))</f>
        <v>Not contacted</v>
      </c>
      <c r="AI2542" s="1" t="str">
        <f>IF(I2542=0,"No",IF(AND(COUNT(INDEX('Staff Review'!$D$8:$D$507,I2542))=1,INDEX('Staff Review'!$D$8:$D$507,I2542)&gt;=0,COUNT(INDEX('Staff Review'!$E$8:$E$507,I2542))=1,INDEX('Staff Review'!$E$8:$E$507,I2542)&gt;0,INDEX('Staff Review'!$E$8:$E$507,I2542)&lt;='Top 25'!$E$5,'Top 25'!$E$5-INDEX('Staff Review'!$E$8:$E$507,I2542)&lt;='Top 25'!$H$5,LEN(INDEX('Staff Review'!$H$8:$H$507,I2542))&gt;0),"Yes","No"))</f>
        <v>No</v>
      </c>
      <c r="AJ2542" s="1" t="str">
        <f>IF(I2542=0,"No",IF(COUNT(INDEX('Staff Review'!$F$8:$F$507,I2542))&lt;&gt;1,"No",IF(AND(INDEX('Staff Review'!$F$8:$F$507,I2542)&gt;=0,MOD(INDEX('Staff Review'!$F$8:$F$507,I2542),1)=0,COUNT(INDEX('Staff Review'!$G$8:$G$507,I2542))=1,INDEX('Staff Review'!$G$8:$G$507,I2542)&gt;0,INDEX('Staff Review'!$G$8:$G$507,I2542)&lt;='Top 25'!$E$5,'Top 25'!$E$5-INDEX('Staff Review'!$G$8:$G$507,I2542)&lt;='Top 25'!$H$5,LEN(INDEX('Staff Review'!$H$8:$H$507,I2542))&gt;0),"Yes","No")))</f>
        <v>No</v>
      </c>
      <c r="AK2542" s="1">
        <f t="shared" si="235"/>
        <v>0</v>
      </c>
      <c r="AL2542" s="1">
        <f t="shared" si="236"/>
        <v>0</v>
      </c>
      <c r="AM2542" s="1">
        <f t="shared" si="237"/>
        <v>0</v>
      </c>
      <c r="AN2542" s="1">
        <f t="shared" si="238"/>
        <v>0</v>
      </c>
      <c r="AO2542">
        <f t="shared" si="239"/>
        <v>10000</v>
      </c>
      <c r="AP2542" s="105">
        <f>IF(AND(AL2542=1,OR('Top 25'!$A$10="All",C2542='Top 25'!$A$10),OR('Top 25'!$D$10="All",D2542='Top 25'!$D$10)),1,0)</f>
        <v>0</v>
      </c>
      <c r="AQ2542" s="105" t="str">
        <f>IF(AP2542=0,"",CHOOSE(MATCH('Top 25'!$G$10,{"Priority score","Economic need","Enrollment","Fresh miles","Nearby resources"},0),T2542,G2542,F2542,K2542,L2542))</f>
        <v/>
      </c>
      <c r="AR2542" s="105" t="str">
        <f>IF(AP2542=0,"",1+COUNTIFS($AP$2051:$AP$2550,1,$AQ$2051:$AQ$2550,IF('Top 25'!$J$10="Ascending","&lt;","&gt;")&amp;AQ2542)+COUNTIFS($AP$2051:$AP$2550,1,$AQ$2051:$AQ$2550,AQ2542,$W$2051:$W$2550,"&lt;"&amp;W2542))</f>
        <v/>
      </c>
      <c r="AT2542" s="105">
        <f>IF(AND(AL2542=1,OR(Master_rankableSchools!$A$10="All",C2542=Master_rankableSchools!$A$10),OR(Master_rankableSchools!$D$10="All",D2542=Master_rankableSchools!$D$10)),1,0)</f>
        <v>0</v>
      </c>
      <c r="AU2542" s="105" t="str">
        <f>IF(AT2542=0,"",CHOOSE(MATCH(Master_rankableSchools!$G$10,{"Priority score","Economic need","Enrollment","Fresh miles","Nearby resources"},0),T2542,G2542,F2542,K2542,L2542))</f>
        <v/>
      </c>
      <c r="AV2542" s="105" t="str">
        <f>IF(AT2542=0,"",1+COUNTIFS($AT$2051:$AT$2550,1,$AU$2051:$AU$2550,IF(Master_rankableSchools!$J$10="Ascending","&lt;","&gt;")&amp;AU2542)+COUNTIFS($AT$2051:$AT$2550,1,$AU$2051:$AU$2550,AU2542,$W$2051:$W$2550,"&lt;"&amp;W2542))</f>
        <v/>
      </c>
    </row>
    <row r="2543" spans="1:48" ht="22" customHeight="1">
      <c r="A2543" s="1" t="str">
        <f t="shared" si="210"/>
        <v/>
      </c>
      <c r="B2543" s="1" t="str">
        <f t="shared" si="211"/>
        <v/>
      </c>
      <c r="C2543" s="1" t="str">
        <f t="shared" si="212"/>
        <v/>
      </c>
      <c r="D2543" s="1" t="str">
        <f t="shared" si="213"/>
        <v/>
      </c>
      <c r="E2543" s="1" t="str">
        <f t="shared" si="214"/>
        <v/>
      </c>
      <c r="F2543" s="1" t="str">
        <f t="shared" si="215"/>
        <v/>
      </c>
      <c r="G2543" s="1" t="str">
        <f t="shared" si="216"/>
        <v/>
      </c>
      <c r="H2543" s="1" t="str">
        <f t="shared" si="217"/>
        <v/>
      </c>
      <c r="I2543" s="1">
        <f>IF(OR(A2543="",COUNTIFS('Staff Review'!$A$8:$A$507,A2543)&lt;&gt;1),0,MATCH(A2543,'Staff Review'!$A$8:$A$507,0))</f>
        <v>0</v>
      </c>
      <c r="J2543" s="1" t="str">
        <f>IF(I2543=0,"No",IF(INDEX('Staff Review'!$C$8:$C$507,I2543)="Yes","Yes","No"))</f>
        <v>No</v>
      </c>
      <c r="K2543" s="1" t="str">
        <f>IF(AI2543="Yes",INDEX('Staff Review'!$D$8:$D$507,I2543),IF(AB2543=0,"",IF(COUNT(INDEX($C$1531:$C$2030,AB2543))=1,INDEX($C$1531:$C$2030,AB2543),"")))</f>
        <v/>
      </c>
      <c r="L2543" s="1" t="str">
        <f>IF(AJ2543="Yes",INDEX('Staff Review'!$F$8:$F$507,I2543),IF(AB2543=0,"",IF(COUNT(INDEX($G$1531:$G$2030,AB2543))=1,INDEX($G$1531:$G$2030,AB2543),"")))</f>
        <v/>
      </c>
      <c r="M2543" s="1" t="str">
        <f t="shared" si="218"/>
        <v/>
      </c>
      <c r="N2543" s="1" t="str">
        <f t="shared" si="219"/>
        <v/>
      </c>
      <c r="O2543" s="1" t="str">
        <f t="shared" si="220"/>
        <v/>
      </c>
      <c r="P2543" s="1" t="str">
        <f t="shared" si="221"/>
        <v/>
      </c>
      <c r="Q2543" s="1" t="str">
        <f t="shared" si="222"/>
        <v/>
      </c>
      <c r="R2543" s="1" t="str">
        <f t="shared" si="223"/>
        <v/>
      </c>
      <c r="S2543" s="1" t="str">
        <f t="shared" si="224"/>
        <v/>
      </c>
      <c r="T2543" s="1" t="str">
        <f>IF(OR(COUNT(O2543:R2543)&lt;&gt;4,COUNT('Top 25'!$B$45:$E$45)&lt;&gt;4,MIN('Top 25'!$B$45:$E$45)&lt;0,SUM('Top 25'!$B$45:$E$45)&lt;=0),"",ROUND(85*(O2543/30*'Top 25'!$B$45+P2543/25*'Top 25'!$C$45+Q2543/25*'Top 25'!$D$45+R2543/5*'Top 25'!$E$45)/SUM('Top 25'!$B$45:$E$45),6))</f>
        <v/>
      </c>
      <c r="U2543" s="1" t="str">
        <f t="shared" si="225"/>
        <v/>
      </c>
      <c r="V2543" s="1" t="str">
        <f>IF(A2543="","",IF(AK2543&lt;&gt;1,"Duplicate source ID",IF(COUNTIFS('Staff Review'!$A$8:$A$507,A2543)&gt;1,"Duplicate review ID",IF(H2543&lt;&gt;"Yes","Outside scope",IF(J2543="Yes","Already served",IF(NOT(ISNUMBER(T2543)),"Missing data","Candidate"))))))</f>
        <v/>
      </c>
      <c r="W2543" s="1" t="str">
        <f t="shared" si="226"/>
        <v/>
      </c>
      <c r="X2543" s="1" t="str">
        <f t="shared" si="227"/>
        <v/>
      </c>
      <c r="Y2543" s="1">
        <f>IF(AND(H2543="Yes",OR(LEN('School Search'!$B$5)=0,ISNUMBER(SEARCH('School Search'!$B$5,B2543&amp;" "&amp;E2543&amp;" "&amp;A2543))),OR('School Search'!$D$5="All",C2543='School Search'!$D$5),OR('School Search'!$G$5="All eligible",AND('School Search'!$G$5="Not marked served",J2543&lt;&gt;"Yes"),AND('School Search'!$G$5="Missing data",V2543="Missing data"),AND('School Search'!$G$5="Marked served",J2543="Yes"))),1,0)</f>
        <v>0</v>
      </c>
      <c r="Z2543" s="1" t="str">
        <f>IF(Y2543=0,"",COUNTIFS($Y$2051:$Y$2550,1,$AO$2051:$AO$2550,"&lt;"&amp;AO2543)+COUNTIFS($Y$2051:Y2543,1,$AO$2051:AO2543,AO2543))</f>
        <v/>
      </c>
      <c r="AA2543" s="1" t="str">
        <f t="shared" si="228"/>
        <v>Missing demographic or access input</v>
      </c>
      <c r="AB2543" s="1">
        <f t="shared" si="229"/>
        <v>0</v>
      </c>
      <c r="AC2543" s="1" t="str">
        <f t="shared" si="230"/>
        <v/>
      </c>
      <c r="AD2543" s="1" t="str">
        <f t="shared" si="231"/>
        <v/>
      </c>
      <c r="AE2543" s="1" t="str">
        <f t="shared" si="232"/>
        <v/>
      </c>
      <c r="AF2543" s="1" t="str">
        <f t="shared" si="233"/>
        <v/>
      </c>
      <c r="AG2543" s="1" t="str">
        <f t="shared" si="234"/>
        <v/>
      </c>
      <c r="AH2543" s="1" t="str">
        <f>IF(I2543=0,"Not contacted",IF(INDEX('Staff Review'!$J$8:$J$507,I2543)="","Not contacted",INDEX('Staff Review'!$J$8:$J$507,I2543)))</f>
        <v>Not contacted</v>
      </c>
      <c r="AI2543" s="1" t="str">
        <f>IF(I2543=0,"No",IF(AND(COUNT(INDEX('Staff Review'!$D$8:$D$507,I2543))=1,INDEX('Staff Review'!$D$8:$D$507,I2543)&gt;=0,COUNT(INDEX('Staff Review'!$E$8:$E$507,I2543))=1,INDEX('Staff Review'!$E$8:$E$507,I2543)&gt;0,INDEX('Staff Review'!$E$8:$E$507,I2543)&lt;='Top 25'!$E$5,'Top 25'!$E$5-INDEX('Staff Review'!$E$8:$E$507,I2543)&lt;='Top 25'!$H$5,LEN(INDEX('Staff Review'!$H$8:$H$507,I2543))&gt;0),"Yes","No"))</f>
        <v>No</v>
      </c>
      <c r="AJ2543" s="1" t="str">
        <f>IF(I2543=0,"No",IF(COUNT(INDEX('Staff Review'!$F$8:$F$507,I2543))&lt;&gt;1,"No",IF(AND(INDEX('Staff Review'!$F$8:$F$507,I2543)&gt;=0,MOD(INDEX('Staff Review'!$F$8:$F$507,I2543),1)=0,COUNT(INDEX('Staff Review'!$G$8:$G$507,I2543))=1,INDEX('Staff Review'!$G$8:$G$507,I2543)&gt;0,INDEX('Staff Review'!$G$8:$G$507,I2543)&lt;='Top 25'!$E$5,'Top 25'!$E$5-INDEX('Staff Review'!$G$8:$G$507,I2543)&lt;='Top 25'!$H$5,LEN(INDEX('Staff Review'!$H$8:$H$507,I2543))&gt;0),"Yes","No")))</f>
        <v>No</v>
      </c>
      <c r="AK2543" s="1">
        <f t="shared" si="235"/>
        <v>0</v>
      </c>
      <c r="AL2543" s="1">
        <f t="shared" si="236"/>
        <v>0</v>
      </c>
      <c r="AM2543" s="1">
        <f t="shared" si="237"/>
        <v>0</v>
      </c>
      <c r="AN2543" s="1">
        <f t="shared" si="238"/>
        <v>0</v>
      </c>
      <c r="AO2543">
        <f t="shared" si="239"/>
        <v>10000</v>
      </c>
      <c r="AP2543" s="105">
        <f>IF(AND(AL2543=1,OR('Top 25'!$A$10="All",C2543='Top 25'!$A$10),OR('Top 25'!$D$10="All",D2543='Top 25'!$D$10)),1,0)</f>
        <v>0</v>
      </c>
      <c r="AQ2543" s="105" t="str">
        <f>IF(AP2543=0,"",CHOOSE(MATCH('Top 25'!$G$10,{"Priority score","Economic need","Enrollment","Fresh miles","Nearby resources"},0),T2543,G2543,F2543,K2543,L2543))</f>
        <v/>
      </c>
      <c r="AR2543" s="105" t="str">
        <f>IF(AP2543=0,"",1+COUNTIFS($AP$2051:$AP$2550,1,$AQ$2051:$AQ$2550,IF('Top 25'!$J$10="Ascending","&lt;","&gt;")&amp;AQ2543)+COUNTIFS($AP$2051:$AP$2550,1,$AQ$2051:$AQ$2550,AQ2543,$W$2051:$W$2550,"&lt;"&amp;W2543))</f>
        <v/>
      </c>
      <c r="AT2543" s="105">
        <f>IF(AND(AL2543=1,OR(Master_rankableSchools!$A$10="All",C2543=Master_rankableSchools!$A$10),OR(Master_rankableSchools!$D$10="All",D2543=Master_rankableSchools!$D$10)),1,0)</f>
        <v>0</v>
      </c>
      <c r="AU2543" s="105" t="str">
        <f>IF(AT2543=0,"",CHOOSE(MATCH(Master_rankableSchools!$G$10,{"Priority score","Economic need","Enrollment","Fresh miles","Nearby resources"},0),T2543,G2543,F2543,K2543,L2543))</f>
        <v/>
      </c>
      <c r="AV2543" s="105" t="str">
        <f>IF(AT2543=0,"",1+COUNTIFS($AT$2051:$AT$2550,1,$AU$2051:$AU$2550,IF(Master_rankableSchools!$J$10="Ascending","&lt;","&gt;")&amp;AU2543)+COUNTIFS($AT$2051:$AT$2550,1,$AU$2051:$AU$2550,AU2543,$W$2051:$W$2550,"&lt;"&amp;W2543))</f>
        <v/>
      </c>
    </row>
    <row r="2544" spans="1:48" ht="22" customHeight="1">
      <c r="A2544" s="1" t="str">
        <f t="shared" si="210"/>
        <v/>
      </c>
      <c r="B2544" s="1" t="str">
        <f t="shared" si="211"/>
        <v/>
      </c>
      <c r="C2544" s="1" t="str">
        <f t="shared" si="212"/>
        <v/>
      </c>
      <c r="D2544" s="1" t="str">
        <f t="shared" si="213"/>
        <v/>
      </c>
      <c r="E2544" s="1" t="str">
        <f t="shared" si="214"/>
        <v/>
      </c>
      <c r="F2544" s="1" t="str">
        <f t="shared" si="215"/>
        <v/>
      </c>
      <c r="G2544" s="1" t="str">
        <f t="shared" si="216"/>
        <v/>
      </c>
      <c r="H2544" s="1" t="str">
        <f t="shared" si="217"/>
        <v/>
      </c>
      <c r="I2544" s="1">
        <f>IF(OR(A2544="",COUNTIFS('Staff Review'!$A$8:$A$507,A2544)&lt;&gt;1),0,MATCH(A2544,'Staff Review'!$A$8:$A$507,0))</f>
        <v>0</v>
      </c>
      <c r="J2544" s="1" t="str">
        <f>IF(I2544=0,"No",IF(INDEX('Staff Review'!$C$8:$C$507,I2544)="Yes","Yes","No"))</f>
        <v>No</v>
      </c>
      <c r="K2544" s="1" t="str">
        <f>IF(AI2544="Yes",INDEX('Staff Review'!$D$8:$D$507,I2544),IF(AB2544=0,"",IF(COUNT(INDEX($C$1531:$C$2030,AB2544))=1,INDEX($C$1531:$C$2030,AB2544),"")))</f>
        <v/>
      </c>
      <c r="L2544" s="1" t="str">
        <f>IF(AJ2544="Yes",INDEX('Staff Review'!$F$8:$F$507,I2544),IF(AB2544=0,"",IF(COUNT(INDEX($G$1531:$G$2030,AB2544))=1,INDEX($G$1531:$G$2030,AB2544),"")))</f>
        <v/>
      </c>
      <c r="M2544" s="1" t="str">
        <f t="shared" si="218"/>
        <v/>
      </c>
      <c r="N2544" s="1" t="str">
        <f t="shared" si="219"/>
        <v/>
      </c>
      <c r="O2544" s="1" t="str">
        <f t="shared" si="220"/>
        <v/>
      </c>
      <c r="P2544" s="1" t="str">
        <f t="shared" si="221"/>
        <v/>
      </c>
      <c r="Q2544" s="1" t="str">
        <f t="shared" si="222"/>
        <v/>
      </c>
      <c r="R2544" s="1" t="str">
        <f t="shared" si="223"/>
        <v/>
      </c>
      <c r="S2544" s="1" t="str">
        <f t="shared" si="224"/>
        <v/>
      </c>
      <c r="T2544" s="1" t="str">
        <f>IF(OR(COUNT(O2544:R2544)&lt;&gt;4,COUNT('Top 25'!$B$45:$E$45)&lt;&gt;4,MIN('Top 25'!$B$45:$E$45)&lt;0,SUM('Top 25'!$B$45:$E$45)&lt;=0),"",ROUND(85*(O2544/30*'Top 25'!$B$45+P2544/25*'Top 25'!$C$45+Q2544/25*'Top 25'!$D$45+R2544/5*'Top 25'!$E$45)/SUM('Top 25'!$B$45:$E$45),6))</f>
        <v/>
      </c>
      <c r="U2544" s="1" t="str">
        <f t="shared" si="225"/>
        <v/>
      </c>
      <c r="V2544" s="1" t="str">
        <f>IF(A2544="","",IF(AK2544&lt;&gt;1,"Duplicate source ID",IF(COUNTIFS('Staff Review'!$A$8:$A$507,A2544)&gt;1,"Duplicate review ID",IF(H2544&lt;&gt;"Yes","Outside scope",IF(J2544="Yes","Already served",IF(NOT(ISNUMBER(T2544)),"Missing data","Candidate"))))))</f>
        <v/>
      </c>
      <c r="W2544" s="1" t="str">
        <f t="shared" si="226"/>
        <v/>
      </c>
      <c r="X2544" s="1" t="str">
        <f t="shared" si="227"/>
        <v/>
      </c>
      <c r="Y2544" s="1">
        <f>IF(AND(H2544="Yes",OR(LEN('School Search'!$B$5)=0,ISNUMBER(SEARCH('School Search'!$B$5,B2544&amp;" "&amp;E2544&amp;" "&amp;A2544))),OR('School Search'!$D$5="All",C2544='School Search'!$D$5),OR('School Search'!$G$5="All eligible",AND('School Search'!$G$5="Not marked served",J2544&lt;&gt;"Yes"),AND('School Search'!$G$5="Missing data",V2544="Missing data"),AND('School Search'!$G$5="Marked served",J2544="Yes"))),1,0)</f>
        <v>0</v>
      </c>
      <c r="Z2544" s="1" t="str">
        <f>IF(Y2544=0,"",COUNTIFS($Y$2051:$Y$2550,1,$AO$2051:$AO$2550,"&lt;"&amp;AO2544)+COUNTIFS($Y$2051:Y2544,1,$AO$2051:AO2544,AO2544))</f>
        <v/>
      </c>
      <c r="AA2544" s="1" t="str">
        <f t="shared" si="228"/>
        <v>Missing demographic or access input</v>
      </c>
      <c r="AB2544" s="1">
        <f t="shared" si="229"/>
        <v>0</v>
      </c>
      <c r="AC2544" s="1" t="str">
        <f t="shared" si="230"/>
        <v/>
      </c>
      <c r="AD2544" s="1" t="str">
        <f t="shared" si="231"/>
        <v/>
      </c>
      <c r="AE2544" s="1" t="str">
        <f t="shared" si="232"/>
        <v/>
      </c>
      <c r="AF2544" s="1" t="str">
        <f t="shared" si="233"/>
        <v/>
      </c>
      <c r="AG2544" s="1" t="str">
        <f t="shared" si="234"/>
        <v/>
      </c>
      <c r="AH2544" s="1" t="str">
        <f>IF(I2544=0,"Not contacted",IF(INDEX('Staff Review'!$J$8:$J$507,I2544)="","Not contacted",INDEX('Staff Review'!$J$8:$J$507,I2544)))</f>
        <v>Not contacted</v>
      </c>
      <c r="AI2544" s="1" t="str">
        <f>IF(I2544=0,"No",IF(AND(COUNT(INDEX('Staff Review'!$D$8:$D$507,I2544))=1,INDEX('Staff Review'!$D$8:$D$507,I2544)&gt;=0,COUNT(INDEX('Staff Review'!$E$8:$E$507,I2544))=1,INDEX('Staff Review'!$E$8:$E$507,I2544)&gt;0,INDEX('Staff Review'!$E$8:$E$507,I2544)&lt;='Top 25'!$E$5,'Top 25'!$E$5-INDEX('Staff Review'!$E$8:$E$507,I2544)&lt;='Top 25'!$H$5,LEN(INDEX('Staff Review'!$H$8:$H$507,I2544))&gt;0),"Yes","No"))</f>
        <v>No</v>
      </c>
      <c r="AJ2544" s="1" t="str">
        <f>IF(I2544=0,"No",IF(COUNT(INDEX('Staff Review'!$F$8:$F$507,I2544))&lt;&gt;1,"No",IF(AND(INDEX('Staff Review'!$F$8:$F$507,I2544)&gt;=0,MOD(INDEX('Staff Review'!$F$8:$F$507,I2544),1)=0,COUNT(INDEX('Staff Review'!$G$8:$G$507,I2544))=1,INDEX('Staff Review'!$G$8:$G$507,I2544)&gt;0,INDEX('Staff Review'!$G$8:$G$507,I2544)&lt;='Top 25'!$E$5,'Top 25'!$E$5-INDEX('Staff Review'!$G$8:$G$507,I2544)&lt;='Top 25'!$H$5,LEN(INDEX('Staff Review'!$H$8:$H$507,I2544))&gt;0),"Yes","No")))</f>
        <v>No</v>
      </c>
      <c r="AK2544" s="1">
        <f t="shared" si="235"/>
        <v>0</v>
      </c>
      <c r="AL2544" s="1">
        <f t="shared" si="236"/>
        <v>0</v>
      </c>
      <c r="AM2544" s="1">
        <f t="shared" si="237"/>
        <v>0</v>
      </c>
      <c r="AN2544" s="1">
        <f t="shared" si="238"/>
        <v>0</v>
      </c>
      <c r="AO2544">
        <f t="shared" si="239"/>
        <v>10000</v>
      </c>
      <c r="AP2544" s="105">
        <f>IF(AND(AL2544=1,OR('Top 25'!$A$10="All",C2544='Top 25'!$A$10),OR('Top 25'!$D$10="All",D2544='Top 25'!$D$10)),1,0)</f>
        <v>0</v>
      </c>
      <c r="AQ2544" s="105" t="str">
        <f>IF(AP2544=0,"",CHOOSE(MATCH('Top 25'!$G$10,{"Priority score","Economic need","Enrollment","Fresh miles","Nearby resources"},0),T2544,G2544,F2544,K2544,L2544))</f>
        <v/>
      </c>
      <c r="AR2544" s="105" t="str">
        <f>IF(AP2544=0,"",1+COUNTIFS($AP$2051:$AP$2550,1,$AQ$2051:$AQ$2550,IF('Top 25'!$J$10="Ascending","&lt;","&gt;")&amp;AQ2544)+COUNTIFS($AP$2051:$AP$2550,1,$AQ$2051:$AQ$2550,AQ2544,$W$2051:$W$2550,"&lt;"&amp;W2544))</f>
        <v/>
      </c>
      <c r="AT2544" s="105">
        <f>IF(AND(AL2544=1,OR(Master_rankableSchools!$A$10="All",C2544=Master_rankableSchools!$A$10),OR(Master_rankableSchools!$D$10="All",D2544=Master_rankableSchools!$D$10)),1,0)</f>
        <v>0</v>
      </c>
      <c r="AU2544" s="105" t="str">
        <f>IF(AT2544=0,"",CHOOSE(MATCH(Master_rankableSchools!$G$10,{"Priority score","Economic need","Enrollment","Fresh miles","Nearby resources"},0),T2544,G2544,F2544,K2544,L2544))</f>
        <v/>
      </c>
      <c r="AV2544" s="105" t="str">
        <f>IF(AT2544=0,"",1+COUNTIFS($AT$2051:$AT$2550,1,$AU$2051:$AU$2550,IF(Master_rankableSchools!$J$10="Ascending","&lt;","&gt;")&amp;AU2544)+COUNTIFS($AT$2051:$AT$2550,1,$AU$2051:$AU$2550,AU2544,$W$2051:$W$2550,"&lt;"&amp;W2544))</f>
        <v/>
      </c>
    </row>
    <row r="2545" spans="1:48" ht="22" customHeight="1">
      <c r="A2545" s="1" t="str">
        <f t="shared" si="210"/>
        <v/>
      </c>
      <c r="B2545" s="1" t="str">
        <f t="shared" si="211"/>
        <v/>
      </c>
      <c r="C2545" s="1" t="str">
        <f t="shared" si="212"/>
        <v/>
      </c>
      <c r="D2545" s="1" t="str">
        <f t="shared" si="213"/>
        <v/>
      </c>
      <c r="E2545" s="1" t="str">
        <f t="shared" si="214"/>
        <v/>
      </c>
      <c r="F2545" s="1" t="str">
        <f t="shared" si="215"/>
        <v/>
      </c>
      <c r="G2545" s="1" t="str">
        <f t="shared" si="216"/>
        <v/>
      </c>
      <c r="H2545" s="1" t="str">
        <f t="shared" si="217"/>
        <v/>
      </c>
      <c r="I2545" s="1">
        <f>IF(OR(A2545="",COUNTIFS('Staff Review'!$A$8:$A$507,A2545)&lt;&gt;1),0,MATCH(A2545,'Staff Review'!$A$8:$A$507,0))</f>
        <v>0</v>
      </c>
      <c r="J2545" s="1" t="str">
        <f>IF(I2545=0,"No",IF(INDEX('Staff Review'!$C$8:$C$507,I2545)="Yes","Yes","No"))</f>
        <v>No</v>
      </c>
      <c r="K2545" s="1" t="str">
        <f>IF(AI2545="Yes",INDEX('Staff Review'!$D$8:$D$507,I2545),IF(AB2545=0,"",IF(COUNT(INDEX($C$1531:$C$2030,AB2545))=1,INDEX($C$1531:$C$2030,AB2545),"")))</f>
        <v/>
      </c>
      <c r="L2545" s="1" t="str">
        <f>IF(AJ2545="Yes",INDEX('Staff Review'!$F$8:$F$507,I2545),IF(AB2545=0,"",IF(COUNT(INDEX($G$1531:$G$2030,AB2545))=1,INDEX($G$1531:$G$2030,AB2545),"")))</f>
        <v/>
      </c>
      <c r="M2545" s="1" t="str">
        <f t="shared" si="218"/>
        <v/>
      </c>
      <c r="N2545" s="1" t="str">
        <f t="shared" si="219"/>
        <v/>
      </c>
      <c r="O2545" s="1" t="str">
        <f t="shared" si="220"/>
        <v/>
      </c>
      <c r="P2545" s="1" t="str">
        <f t="shared" si="221"/>
        <v/>
      </c>
      <c r="Q2545" s="1" t="str">
        <f t="shared" si="222"/>
        <v/>
      </c>
      <c r="R2545" s="1" t="str">
        <f t="shared" si="223"/>
        <v/>
      </c>
      <c r="S2545" s="1" t="str">
        <f t="shared" si="224"/>
        <v/>
      </c>
      <c r="T2545" s="1" t="str">
        <f>IF(OR(COUNT(O2545:R2545)&lt;&gt;4,COUNT('Top 25'!$B$45:$E$45)&lt;&gt;4,MIN('Top 25'!$B$45:$E$45)&lt;0,SUM('Top 25'!$B$45:$E$45)&lt;=0),"",ROUND(85*(O2545/30*'Top 25'!$B$45+P2545/25*'Top 25'!$C$45+Q2545/25*'Top 25'!$D$45+R2545/5*'Top 25'!$E$45)/SUM('Top 25'!$B$45:$E$45),6))</f>
        <v/>
      </c>
      <c r="U2545" s="1" t="str">
        <f t="shared" si="225"/>
        <v/>
      </c>
      <c r="V2545" s="1" t="str">
        <f>IF(A2545="","",IF(AK2545&lt;&gt;1,"Duplicate source ID",IF(COUNTIFS('Staff Review'!$A$8:$A$507,A2545)&gt;1,"Duplicate review ID",IF(H2545&lt;&gt;"Yes","Outside scope",IF(J2545="Yes","Already served",IF(NOT(ISNUMBER(T2545)),"Missing data","Candidate"))))))</f>
        <v/>
      </c>
      <c r="W2545" s="1" t="str">
        <f t="shared" si="226"/>
        <v/>
      </c>
      <c r="X2545" s="1" t="str">
        <f t="shared" si="227"/>
        <v/>
      </c>
      <c r="Y2545" s="1">
        <f>IF(AND(H2545="Yes",OR(LEN('School Search'!$B$5)=0,ISNUMBER(SEARCH('School Search'!$B$5,B2545&amp;" "&amp;E2545&amp;" "&amp;A2545))),OR('School Search'!$D$5="All",C2545='School Search'!$D$5),OR('School Search'!$G$5="All eligible",AND('School Search'!$G$5="Not marked served",J2545&lt;&gt;"Yes"),AND('School Search'!$G$5="Missing data",V2545="Missing data"),AND('School Search'!$G$5="Marked served",J2545="Yes"))),1,0)</f>
        <v>0</v>
      </c>
      <c r="Z2545" s="1" t="str">
        <f>IF(Y2545=0,"",COUNTIFS($Y$2051:$Y$2550,1,$AO$2051:$AO$2550,"&lt;"&amp;AO2545)+COUNTIFS($Y$2051:Y2545,1,$AO$2051:AO2545,AO2545))</f>
        <v/>
      </c>
      <c r="AA2545" s="1" t="str">
        <f t="shared" si="228"/>
        <v>Missing demographic or access input</v>
      </c>
      <c r="AB2545" s="1">
        <f t="shared" si="229"/>
        <v>0</v>
      </c>
      <c r="AC2545" s="1" t="str">
        <f t="shared" si="230"/>
        <v/>
      </c>
      <c r="AD2545" s="1" t="str">
        <f t="shared" si="231"/>
        <v/>
      </c>
      <c r="AE2545" s="1" t="str">
        <f t="shared" si="232"/>
        <v/>
      </c>
      <c r="AF2545" s="1" t="str">
        <f t="shared" si="233"/>
        <v/>
      </c>
      <c r="AG2545" s="1" t="str">
        <f t="shared" si="234"/>
        <v/>
      </c>
      <c r="AH2545" s="1" t="str">
        <f>IF(I2545=0,"Not contacted",IF(INDEX('Staff Review'!$J$8:$J$507,I2545)="","Not contacted",INDEX('Staff Review'!$J$8:$J$507,I2545)))</f>
        <v>Not contacted</v>
      </c>
      <c r="AI2545" s="1" t="str">
        <f>IF(I2545=0,"No",IF(AND(COUNT(INDEX('Staff Review'!$D$8:$D$507,I2545))=1,INDEX('Staff Review'!$D$8:$D$507,I2545)&gt;=0,COUNT(INDEX('Staff Review'!$E$8:$E$507,I2545))=1,INDEX('Staff Review'!$E$8:$E$507,I2545)&gt;0,INDEX('Staff Review'!$E$8:$E$507,I2545)&lt;='Top 25'!$E$5,'Top 25'!$E$5-INDEX('Staff Review'!$E$8:$E$507,I2545)&lt;='Top 25'!$H$5,LEN(INDEX('Staff Review'!$H$8:$H$507,I2545))&gt;0),"Yes","No"))</f>
        <v>No</v>
      </c>
      <c r="AJ2545" s="1" t="str">
        <f>IF(I2545=0,"No",IF(COUNT(INDEX('Staff Review'!$F$8:$F$507,I2545))&lt;&gt;1,"No",IF(AND(INDEX('Staff Review'!$F$8:$F$507,I2545)&gt;=0,MOD(INDEX('Staff Review'!$F$8:$F$507,I2545),1)=0,COUNT(INDEX('Staff Review'!$G$8:$G$507,I2545))=1,INDEX('Staff Review'!$G$8:$G$507,I2545)&gt;0,INDEX('Staff Review'!$G$8:$G$507,I2545)&lt;='Top 25'!$E$5,'Top 25'!$E$5-INDEX('Staff Review'!$G$8:$G$507,I2545)&lt;='Top 25'!$H$5,LEN(INDEX('Staff Review'!$H$8:$H$507,I2545))&gt;0),"Yes","No")))</f>
        <v>No</v>
      </c>
      <c r="AK2545" s="1">
        <f t="shared" si="235"/>
        <v>0</v>
      </c>
      <c r="AL2545" s="1">
        <f t="shared" si="236"/>
        <v>0</v>
      </c>
      <c r="AM2545" s="1">
        <f t="shared" si="237"/>
        <v>0</v>
      </c>
      <c r="AN2545" s="1">
        <f t="shared" si="238"/>
        <v>0</v>
      </c>
      <c r="AO2545">
        <f t="shared" si="239"/>
        <v>10000</v>
      </c>
      <c r="AP2545" s="105">
        <f>IF(AND(AL2545=1,OR('Top 25'!$A$10="All",C2545='Top 25'!$A$10),OR('Top 25'!$D$10="All",D2545='Top 25'!$D$10)),1,0)</f>
        <v>0</v>
      </c>
      <c r="AQ2545" s="105" t="str">
        <f>IF(AP2545=0,"",CHOOSE(MATCH('Top 25'!$G$10,{"Priority score","Economic need","Enrollment","Fresh miles","Nearby resources"},0),T2545,G2545,F2545,K2545,L2545))</f>
        <v/>
      </c>
      <c r="AR2545" s="105" t="str">
        <f>IF(AP2545=0,"",1+COUNTIFS($AP$2051:$AP$2550,1,$AQ$2051:$AQ$2550,IF('Top 25'!$J$10="Ascending","&lt;","&gt;")&amp;AQ2545)+COUNTIFS($AP$2051:$AP$2550,1,$AQ$2051:$AQ$2550,AQ2545,$W$2051:$W$2550,"&lt;"&amp;W2545))</f>
        <v/>
      </c>
      <c r="AT2545" s="105">
        <f>IF(AND(AL2545=1,OR(Master_rankableSchools!$A$10="All",C2545=Master_rankableSchools!$A$10),OR(Master_rankableSchools!$D$10="All",D2545=Master_rankableSchools!$D$10)),1,0)</f>
        <v>0</v>
      </c>
      <c r="AU2545" s="105" t="str">
        <f>IF(AT2545=0,"",CHOOSE(MATCH(Master_rankableSchools!$G$10,{"Priority score","Economic need","Enrollment","Fresh miles","Nearby resources"},0),T2545,G2545,F2545,K2545,L2545))</f>
        <v/>
      </c>
      <c r="AV2545" s="105" t="str">
        <f>IF(AT2545=0,"",1+COUNTIFS($AT$2051:$AT$2550,1,$AU$2051:$AU$2550,IF(Master_rankableSchools!$J$10="Ascending","&lt;","&gt;")&amp;AU2545)+COUNTIFS($AT$2051:$AT$2550,1,$AU$2051:$AU$2550,AU2545,$W$2051:$W$2550,"&lt;"&amp;W2545))</f>
        <v/>
      </c>
    </row>
    <row r="2546" spans="1:48" ht="22" customHeight="1">
      <c r="A2546" s="1" t="str">
        <f t="shared" si="210"/>
        <v/>
      </c>
      <c r="B2546" s="1" t="str">
        <f t="shared" si="211"/>
        <v/>
      </c>
      <c r="C2546" s="1" t="str">
        <f t="shared" si="212"/>
        <v/>
      </c>
      <c r="D2546" s="1" t="str">
        <f t="shared" si="213"/>
        <v/>
      </c>
      <c r="E2546" s="1" t="str">
        <f t="shared" si="214"/>
        <v/>
      </c>
      <c r="F2546" s="1" t="str">
        <f t="shared" si="215"/>
        <v/>
      </c>
      <c r="G2546" s="1" t="str">
        <f t="shared" si="216"/>
        <v/>
      </c>
      <c r="H2546" s="1" t="str">
        <f t="shared" si="217"/>
        <v/>
      </c>
      <c r="I2546" s="1">
        <f>IF(OR(A2546="",COUNTIFS('Staff Review'!$A$8:$A$507,A2546)&lt;&gt;1),0,MATCH(A2546,'Staff Review'!$A$8:$A$507,0))</f>
        <v>0</v>
      </c>
      <c r="J2546" s="1" t="str">
        <f>IF(I2546=0,"No",IF(INDEX('Staff Review'!$C$8:$C$507,I2546)="Yes","Yes","No"))</f>
        <v>No</v>
      </c>
      <c r="K2546" s="1" t="str">
        <f>IF(AI2546="Yes",INDEX('Staff Review'!$D$8:$D$507,I2546),IF(AB2546=0,"",IF(COUNT(INDEX($C$1531:$C$2030,AB2546))=1,INDEX($C$1531:$C$2030,AB2546),"")))</f>
        <v/>
      </c>
      <c r="L2546" s="1" t="str">
        <f>IF(AJ2546="Yes",INDEX('Staff Review'!$F$8:$F$507,I2546),IF(AB2546=0,"",IF(COUNT(INDEX($G$1531:$G$2030,AB2546))=1,INDEX($G$1531:$G$2030,AB2546),"")))</f>
        <v/>
      </c>
      <c r="M2546" s="1" t="str">
        <f t="shared" si="218"/>
        <v/>
      </c>
      <c r="N2546" s="1" t="str">
        <f t="shared" si="219"/>
        <v/>
      </c>
      <c r="O2546" s="1" t="str">
        <f t="shared" si="220"/>
        <v/>
      </c>
      <c r="P2546" s="1" t="str">
        <f t="shared" si="221"/>
        <v/>
      </c>
      <c r="Q2546" s="1" t="str">
        <f t="shared" si="222"/>
        <v/>
      </c>
      <c r="R2546" s="1" t="str">
        <f t="shared" si="223"/>
        <v/>
      </c>
      <c r="S2546" s="1" t="str">
        <f t="shared" si="224"/>
        <v/>
      </c>
      <c r="T2546" s="1" t="str">
        <f>IF(OR(COUNT(O2546:R2546)&lt;&gt;4,COUNT('Top 25'!$B$45:$E$45)&lt;&gt;4,MIN('Top 25'!$B$45:$E$45)&lt;0,SUM('Top 25'!$B$45:$E$45)&lt;=0),"",ROUND(85*(O2546/30*'Top 25'!$B$45+P2546/25*'Top 25'!$C$45+Q2546/25*'Top 25'!$D$45+R2546/5*'Top 25'!$E$45)/SUM('Top 25'!$B$45:$E$45),6))</f>
        <v/>
      </c>
      <c r="U2546" s="1" t="str">
        <f t="shared" si="225"/>
        <v/>
      </c>
      <c r="V2546" s="1" t="str">
        <f>IF(A2546="","",IF(AK2546&lt;&gt;1,"Duplicate source ID",IF(COUNTIFS('Staff Review'!$A$8:$A$507,A2546)&gt;1,"Duplicate review ID",IF(H2546&lt;&gt;"Yes","Outside scope",IF(J2546="Yes","Already served",IF(NOT(ISNUMBER(T2546)),"Missing data","Candidate"))))))</f>
        <v/>
      </c>
      <c r="W2546" s="1" t="str">
        <f t="shared" si="226"/>
        <v/>
      </c>
      <c r="X2546" s="1" t="str">
        <f t="shared" si="227"/>
        <v/>
      </c>
      <c r="Y2546" s="1">
        <f>IF(AND(H2546="Yes",OR(LEN('School Search'!$B$5)=0,ISNUMBER(SEARCH('School Search'!$B$5,B2546&amp;" "&amp;E2546&amp;" "&amp;A2546))),OR('School Search'!$D$5="All",C2546='School Search'!$D$5),OR('School Search'!$G$5="All eligible",AND('School Search'!$G$5="Not marked served",J2546&lt;&gt;"Yes"),AND('School Search'!$G$5="Missing data",V2546="Missing data"),AND('School Search'!$G$5="Marked served",J2546="Yes"))),1,0)</f>
        <v>0</v>
      </c>
      <c r="Z2546" s="1" t="str">
        <f>IF(Y2546=0,"",COUNTIFS($Y$2051:$Y$2550,1,$AO$2051:$AO$2550,"&lt;"&amp;AO2546)+COUNTIFS($Y$2051:Y2546,1,$AO$2051:AO2546,AO2546))</f>
        <v/>
      </c>
      <c r="AA2546" s="1" t="str">
        <f t="shared" si="228"/>
        <v>Missing demographic or access input</v>
      </c>
      <c r="AB2546" s="1">
        <f t="shared" si="229"/>
        <v>0</v>
      </c>
      <c r="AC2546" s="1" t="str">
        <f t="shared" si="230"/>
        <v/>
      </c>
      <c r="AD2546" s="1" t="str">
        <f t="shared" si="231"/>
        <v/>
      </c>
      <c r="AE2546" s="1" t="str">
        <f t="shared" si="232"/>
        <v/>
      </c>
      <c r="AF2546" s="1" t="str">
        <f t="shared" si="233"/>
        <v/>
      </c>
      <c r="AG2546" s="1" t="str">
        <f t="shared" si="234"/>
        <v/>
      </c>
      <c r="AH2546" s="1" t="str">
        <f>IF(I2546=0,"Not contacted",IF(INDEX('Staff Review'!$J$8:$J$507,I2546)="","Not contacted",INDEX('Staff Review'!$J$8:$J$507,I2546)))</f>
        <v>Not contacted</v>
      </c>
      <c r="AI2546" s="1" t="str">
        <f>IF(I2546=0,"No",IF(AND(COUNT(INDEX('Staff Review'!$D$8:$D$507,I2546))=1,INDEX('Staff Review'!$D$8:$D$507,I2546)&gt;=0,COUNT(INDEX('Staff Review'!$E$8:$E$507,I2546))=1,INDEX('Staff Review'!$E$8:$E$507,I2546)&gt;0,INDEX('Staff Review'!$E$8:$E$507,I2546)&lt;='Top 25'!$E$5,'Top 25'!$E$5-INDEX('Staff Review'!$E$8:$E$507,I2546)&lt;='Top 25'!$H$5,LEN(INDEX('Staff Review'!$H$8:$H$507,I2546))&gt;0),"Yes","No"))</f>
        <v>No</v>
      </c>
      <c r="AJ2546" s="1" t="str">
        <f>IF(I2546=0,"No",IF(COUNT(INDEX('Staff Review'!$F$8:$F$507,I2546))&lt;&gt;1,"No",IF(AND(INDEX('Staff Review'!$F$8:$F$507,I2546)&gt;=0,MOD(INDEX('Staff Review'!$F$8:$F$507,I2546),1)=0,COUNT(INDEX('Staff Review'!$G$8:$G$507,I2546))=1,INDEX('Staff Review'!$G$8:$G$507,I2546)&gt;0,INDEX('Staff Review'!$G$8:$G$507,I2546)&lt;='Top 25'!$E$5,'Top 25'!$E$5-INDEX('Staff Review'!$G$8:$G$507,I2546)&lt;='Top 25'!$H$5,LEN(INDEX('Staff Review'!$H$8:$H$507,I2546))&gt;0),"Yes","No")))</f>
        <v>No</v>
      </c>
      <c r="AK2546" s="1">
        <f t="shared" si="235"/>
        <v>0</v>
      </c>
      <c r="AL2546" s="1">
        <f t="shared" si="236"/>
        <v>0</v>
      </c>
      <c r="AM2546" s="1">
        <f t="shared" si="237"/>
        <v>0</v>
      </c>
      <c r="AN2546" s="1">
        <f t="shared" si="238"/>
        <v>0</v>
      </c>
      <c r="AO2546">
        <f t="shared" si="239"/>
        <v>10000</v>
      </c>
      <c r="AP2546" s="105">
        <f>IF(AND(AL2546=1,OR('Top 25'!$A$10="All",C2546='Top 25'!$A$10),OR('Top 25'!$D$10="All",D2546='Top 25'!$D$10)),1,0)</f>
        <v>0</v>
      </c>
      <c r="AQ2546" s="105" t="str">
        <f>IF(AP2546=0,"",CHOOSE(MATCH('Top 25'!$G$10,{"Priority score","Economic need","Enrollment","Fresh miles","Nearby resources"},0),T2546,G2546,F2546,K2546,L2546))</f>
        <v/>
      </c>
      <c r="AR2546" s="105" t="str">
        <f>IF(AP2546=0,"",1+COUNTIFS($AP$2051:$AP$2550,1,$AQ$2051:$AQ$2550,IF('Top 25'!$J$10="Ascending","&lt;","&gt;")&amp;AQ2546)+COUNTIFS($AP$2051:$AP$2550,1,$AQ$2051:$AQ$2550,AQ2546,$W$2051:$W$2550,"&lt;"&amp;W2546))</f>
        <v/>
      </c>
      <c r="AT2546" s="105">
        <f>IF(AND(AL2546=1,OR(Master_rankableSchools!$A$10="All",C2546=Master_rankableSchools!$A$10),OR(Master_rankableSchools!$D$10="All",D2546=Master_rankableSchools!$D$10)),1,0)</f>
        <v>0</v>
      </c>
      <c r="AU2546" s="105" t="str">
        <f>IF(AT2546=0,"",CHOOSE(MATCH(Master_rankableSchools!$G$10,{"Priority score","Economic need","Enrollment","Fresh miles","Nearby resources"},0),T2546,G2546,F2546,K2546,L2546))</f>
        <v/>
      </c>
      <c r="AV2546" s="105" t="str">
        <f>IF(AT2546=0,"",1+COUNTIFS($AT$2051:$AT$2550,1,$AU$2051:$AU$2550,IF(Master_rankableSchools!$J$10="Ascending","&lt;","&gt;")&amp;AU2546)+COUNTIFS($AT$2051:$AT$2550,1,$AU$2051:$AU$2550,AU2546,$W$2051:$W$2550,"&lt;"&amp;W2546))</f>
        <v/>
      </c>
    </row>
    <row r="2547" spans="1:48" ht="22" customHeight="1">
      <c r="A2547" s="1" t="str">
        <f t="shared" si="210"/>
        <v/>
      </c>
      <c r="B2547" s="1" t="str">
        <f t="shared" si="211"/>
        <v/>
      </c>
      <c r="C2547" s="1" t="str">
        <f t="shared" si="212"/>
        <v/>
      </c>
      <c r="D2547" s="1" t="str">
        <f t="shared" si="213"/>
        <v/>
      </c>
      <c r="E2547" s="1" t="str">
        <f t="shared" si="214"/>
        <v/>
      </c>
      <c r="F2547" s="1" t="str">
        <f t="shared" si="215"/>
        <v/>
      </c>
      <c r="G2547" s="1" t="str">
        <f t="shared" si="216"/>
        <v/>
      </c>
      <c r="H2547" s="1" t="str">
        <f t="shared" si="217"/>
        <v/>
      </c>
      <c r="I2547" s="1">
        <f>IF(OR(A2547="",COUNTIFS('Staff Review'!$A$8:$A$507,A2547)&lt;&gt;1),0,MATCH(A2547,'Staff Review'!$A$8:$A$507,0))</f>
        <v>0</v>
      </c>
      <c r="J2547" s="1" t="str">
        <f>IF(I2547=0,"No",IF(INDEX('Staff Review'!$C$8:$C$507,I2547)="Yes","Yes","No"))</f>
        <v>No</v>
      </c>
      <c r="K2547" s="1" t="str">
        <f>IF(AI2547="Yes",INDEX('Staff Review'!$D$8:$D$507,I2547),IF(AB2547=0,"",IF(COUNT(INDEX($C$1531:$C$2030,AB2547))=1,INDEX($C$1531:$C$2030,AB2547),"")))</f>
        <v/>
      </c>
      <c r="L2547" s="1" t="str">
        <f>IF(AJ2547="Yes",INDEX('Staff Review'!$F$8:$F$507,I2547),IF(AB2547=0,"",IF(COUNT(INDEX($G$1531:$G$2030,AB2547))=1,INDEX($G$1531:$G$2030,AB2547),"")))</f>
        <v/>
      </c>
      <c r="M2547" s="1" t="str">
        <f t="shared" si="218"/>
        <v/>
      </c>
      <c r="N2547" s="1" t="str">
        <f t="shared" si="219"/>
        <v/>
      </c>
      <c r="O2547" s="1" t="str">
        <f t="shared" si="220"/>
        <v/>
      </c>
      <c r="P2547" s="1" t="str">
        <f t="shared" si="221"/>
        <v/>
      </c>
      <c r="Q2547" s="1" t="str">
        <f t="shared" si="222"/>
        <v/>
      </c>
      <c r="R2547" s="1" t="str">
        <f t="shared" si="223"/>
        <v/>
      </c>
      <c r="S2547" s="1" t="str">
        <f t="shared" si="224"/>
        <v/>
      </c>
      <c r="T2547" s="1" t="str">
        <f>IF(OR(COUNT(O2547:R2547)&lt;&gt;4,COUNT('Top 25'!$B$45:$E$45)&lt;&gt;4,MIN('Top 25'!$B$45:$E$45)&lt;0,SUM('Top 25'!$B$45:$E$45)&lt;=0),"",ROUND(85*(O2547/30*'Top 25'!$B$45+P2547/25*'Top 25'!$C$45+Q2547/25*'Top 25'!$D$45+R2547/5*'Top 25'!$E$45)/SUM('Top 25'!$B$45:$E$45),6))</f>
        <v/>
      </c>
      <c r="U2547" s="1" t="str">
        <f t="shared" si="225"/>
        <v/>
      </c>
      <c r="V2547" s="1" t="str">
        <f>IF(A2547="","",IF(AK2547&lt;&gt;1,"Duplicate source ID",IF(COUNTIFS('Staff Review'!$A$8:$A$507,A2547)&gt;1,"Duplicate review ID",IF(H2547&lt;&gt;"Yes","Outside scope",IF(J2547="Yes","Already served",IF(NOT(ISNUMBER(T2547)),"Missing data","Candidate"))))))</f>
        <v/>
      </c>
      <c r="W2547" s="1" t="str">
        <f t="shared" si="226"/>
        <v/>
      </c>
      <c r="X2547" s="1" t="str">
        <f t="shared" si="227"/>
        <v/>
      </c>
      <c r="Y2547" s="1">
        <f>IF(AND(H2547="Yes",OR(LEN('School Search'!$B$5)=0,ISNUMBER(SEARCH('School Search'!$B$5,B2547&amp;" "&amp;E2547&amp;" "&amp;A2547))),OR('School Search'!$D$5="All",C2547='School Search'!$D$5),OR('School Search'!$G$5="All eligible",AND('School Search'!$G$5="Not marked served",J2547&lt;&gt;"Yes"),AND('School Search'!$G$5="Missing data",V2547="Missing data"),AND('School Search'!$G$5="Marked served",J2547="Yes"))),1,0)</f>
        <v>0</v>
      </c>
      <c r="Z2547" s="1" t="str">
        <f>IF(Y2547=0,"",COUNTIFS($Y$2051:$Y$2550,1,$AO$2051:$AO$2550,"&lt;"&amp;AO2547)+COUNTIFS($Y$2051:Y2547,1,$AO$2051:AO2547,AO2547))</f>
        <v/>
      </c>
      <c r="AA2547" s="1" t="str">
        <f t="shared" si="228"/>
        <v>Missing demographic or access input</v>
      </c>
      <c r="AB2547" s="1">
        <f t="shared" si="229"/>
        <v>0</v>
      </c>
      <c r="AC2547" s="1" t="str">
        <f t="shared" si="230"/>
        <v/>
      </c>
      <c r="AD2547" s="1" t="str">
        <f t="shared" si="231"/>
        <v/>
      </c>
      <c r="AE2547" s="1" t="str">
        <f t="shared" si="232"/>
        <v/>
      </c>
      <c r="AF2547" s="1" t="str">
        <f t="shared" si="233"/>
        <v/>
      </c>
      <c r="AG2547" s="1" t="str">
        <f t="shared" si="234"/>
        <v/>
      </c>
      <c r="AH2547" s="1" t="str">
        <f>IF(I2547=0,"Not contacted",IF(INDEX('Staff Review'!$J$8:$J$507,I2547)="","Not contacted",INDEX('Staff Review'!$J$8:$J$507,I2547)))</f>
        <v>Not contacted</v>
      </c>
      <c r="AI2547" s="1" t="str">
        <f>IF(I2547=0,"No",IF(AND(COUNT(INDEX('Staff Review'!$D$8:$D$507,I2547))=1,INDEX('Staff Review'!$D$8:$D$507,I2547)&gt;=0,COUNT(INDEX('Staff Review'!$E$8:$E$507,I2547))=1,INDEX('Staff Review'!$E$8:$E$507,I2547)&gt;0,INDEX('Staff Review'!$E$8:$E$507,I2547)&lt;='Top 25'!$E$5,'Top 25'!$E$5-INDEX('Staff Review'!$E$8:$E$507,I2547)&lt;='Top 25'!$H$5,LEN(INDEX('Staff Review'!$H$8:$H$507,I2547))&gt;0),"Yes","No"))</f>
        <v>No</v>
      </c>
      <c r="AJ2547" s="1" t="str">
        <f>IF(I2547=0,"No",IF(COUNT(INDEX('Staff Review'!$F$8:$F$507,I2547))&lt;&gt;1,"No",IF(AND(INDEX('Staff Review'!$F$8:$F$507,I2547)&gt;=0,MOD(INDEX('Staff Review'!$F$8:$F$507,I2547),1)=0,COUNT(INDEX('Staff Review'!$G$8:$G$507,I2547))=1,INDEX('Staff Review'!$G$8:$G$507,I2547)&gt;0,INDEX('Staff Review'!$G$8:$G$507,I2547)&lt;='Top 25'!$E$5,'Top 25'!$E$5-INDEX('Staff Review'!$G$8:$G$507,I2547)&lt;='Top 25'!$H$5,LEN(INDEX('Staff Review'!$H$8:$H$507,I2547))&gt;0),"Yes","No")))</f>
        <v>No</v>
      </c>
      <c r="AK2547" s="1">
        <f t="shared" si="235"/>
        <v>0</v>
      </c>
      <c r="AL2547" s="1">
        <f t="shared" si="236"/>
        <v>0</v>
      </c>
      <c r="AM2547" s="1">
        <f t="shared" si="237"/>
        <v>0</v>
      </c>
      <c r="AN2547" s="1">
        <f t="shared" si="238"/>
        <v>0</v>
      </c>
      <c r="AO2547">
        <f t="shared" si="239"/>
        <v>10000</v>
      </c>
      <c r="AP2547" s="105">
        <f>IF(AND(AL2547=1,OR('Top 25'!$A$10="All",C2547='Top 25'!$A$10),OR('Top 25'!$D$10="All",D2547='Top 25'!$D$10)),1,0)</f>
        <v>0</v>
      </c>
      <c r="AQ2547" s="105" t="str">
        <f>IF(AP2547=0,"",CHOOSE(MATCH('Top 25'!$G$10,{"Priority score","Economic need","Enrollment","Fresh miles","Nearby resources"},0),T2547,G2547,F2547,K2547,L2547))</f>
        <v/>
      </c>
      <c r="AR2547" s="105" t="str">
        <f>IF(AP2547=0,"",1+COUNTIFS($AP$2051:$AP$2550,1,$AQ$2051:$AQ$2550,IF('Top 25'!$J$10="Ascending","&lt;","&gt;")&amp;AQ2547)+COUNTIFS($AP$2051:$AP$2550,1,$AQ$2051:$AQ$2550,AQ2547,$W$2051:$W$2550,"&lt;"&amp;W2547))</f>
        <v/>
      </c>
      <c r="AT2547" s="105">
        <f>IF(AND(AL2547=1,OR(Master_rankableSchools!$A$10="All",C2547=Master_rankableSchools!$A$10),OR(Master_rankableSchools!$D$10="All",D2547=Master_rankableSchools!$D$10)),1,0)</f>
        <v>0</v>
      </c>
      <c r="AU2547" s="105" t="str">
        <f>IF(AT2547=0,"",CHOOSE(MATCH(Master_rankableSchools!$G$10,{"Priority score","Economic need","Enrollment","Fresh miles","Nearby resources"},0),T2547,G2547,F2547,K2547,L2547))</f>
        <v/>
      </c>
      <c r="AV2547" s="105" t="str">
        <f>IF(AT2547=0,"",1+COUNTIFS($AT$2051:$AT$2550,1,$AU$2051:$AU$2550,IF(Master_rankableSchools!$J$10="Ascending","&lt;","&gt;")&amp;AU2547)+COUNTIFS($AT$2051:$AT$2550,1,$AU$2051:$AU$2550,AU2547,$W$2051:$W$2550,"&lt;"&amp;W2547))</f>
        <v/>
      </c>
    </row>
    <row r="2548" spans="1:48" ht="22" customHeight="1">
      <c r="A2548" s="1" t="str">
        <f t="shared" si="210"/>
        <v/>
      </c>
      <c r="B2548" s="1" t="str">
        <f t="shared" si="211"/>
        <v/>
      </c>
      <c r="C2548" s="1" t="str">
        <f t="shared" si="212"/>
        <v/>
      </c>
      <c r="D2548" s="1" t="str">
        <f t="shared" si="213"/>
        <v/>
      </c>
      <c r="E2548" s="1" t="str">
        <f t="shared" si="214"/>
        <v/>
      </c>
      <c r="F2548" s="1" t="str">
        <f t="shared" si="215"/>
        <v/>
      </c>
      <c r="G2548" s="1" t="str">
        <f t="shared" si="216"/>
        <v/>
      </c>
      <c r="H2548" s="1" t="str">
        <f t="shared" si="217"/>
        <v/>
      </c>
      <c r="I2548" s="1">
        <f>IF(OR(A2548="",COUNTIFS('Staff Review'!$A$8:$A$507,A2548)&lt;&gt;1),0,MATCH(A2548,'Staff Review'!$A$8:$A$507,0))</f>
        <v>0</v>
      </c>
      <c r="J2548" s="1" t="str">
        <f>IF(I2548=0,"No",IF(INDEX('Staff Review'!$C$8:$C$507,I2548)="Yes","Yes","No"))</f>
        <v>No</v>
      </c>
      <c r="K2548" s="1" t="str">
        <f>IF(AI2548="Yes",INDEX('Staff Review'!$D$8:$D$507,I2548),IF(AB2548=0,"",IF(COUNT(INDEX($C$1531:$C$2030,AB2548))=1,INDEX($C$1531:$C$2030,AB2548),"")))</f>
        <v/>
      </c>
      <c r="L2548" s="1" t="str">
        <f>IF(AJ2548="Yes",INDEX('Staff Review'!$F$8:$F$507,I2548),IF(AB2548=0,"",IF(COUNT(INDEX($G$1531:$G$2030,AB2548))=1,INDEX($G$1531:$G$2030,AB2548),"")))</f>
        <v/>
      </c>
      <c r="M2548" s="1" t="str">
        <f t="shared" si="218"/>
        <v/>
      </c>
      <c r="N2548" s="1" t="str">
        <f t="shared" si="219"/>
        <v/>
      </c>
      <c r="O2548" s="1" t="str">
        <f t="shared" si="220"/>
        <v/>
      </c>
      <c r="P2548" s="1" t="str">
        <f t="shared" si="221"/>
        <v/>
      </c>
      <c r="Q2548" s="1" t="str">
        <f t="shared" si="222"/>
        <v/>
      </c>
      <c r="R2548" s="1" t="str">
        <f t="shared" si="223"/>
        <v/>
      </c>
      <c r="S2548" s="1" t="str">
        <f t="shared" si="224"/>
        <v/>
      </c>
      <c r="T2548" s="1" t="str">
        <f>IF(OR(COUNT(O2548:R2548)&lt;&gt;4,COUNT('Top 25'!$B$45:$E$45)&lt;&gt;4,MIN('Top 25'!$B$45:$E$45)&lt;0,SUM('Top 25'!$B$45:$E$45)&lt;=0),"",ROUND(85*(O2548/30*'Top 25'!$B$45+P2548/25*'Top 25'!$C$45+Q2548/25*'Top 25'!$D$45+R2548/5*'Top 25'!$E$45)/SUM('Top 25'!$B$45:$E$45),6))</f>
        <v/>
      </c>
      <c r="U2548" s="1" t="str">
        <f t="shared" si="225"/>
        <v/>
      </c>
      <c r="V2548" s="1" t="str">
        <f>IF(A2548="","",IF(AK2548&lt;&gt;1,"Duplicate source ID",IF(COUNTIFS('Staff Review'!$A$8:$A$507,A2548)&gt;1,"Duplicate review ID",IF(H2548&lt;&gt;"Yes","Outside scope",IF(J2548="Yes","Already served",IF(NOT(ISNUMBER(T2548)),"Missing data","Candidate"))))))</f>
        <v/>
      </c>
      <c r="W2548" s="1" t="str">
        <f t="shared" si="226"/>
        <v/>
      </c>
      <c r="X2548" s="1" t="str">
        <f t="shared" si="227"/>
        <v/>
      </c>
      <c r="Y2548" s="1">
        <f>IF(AND(H2548="Yes",OR(LEN('School Search'!$B$5)=0,ISNUMBER(SEARCH('School Search'!$B$5,B2548&amp;" "&amp;E2548&amp;" "&amp;A2548))),OR('School Search'!$D$5="All",C2548='School Search'!$D$5),OR('School Search'!$G$5="All eligible",AND('School Search'!$G$5="Not marked served",J2548&lt;&gt;"Yes"),AND('School Search'!$G$5="Missing data",V2548="Missing data"),AND('School Search'!$G$5="Marked served",J2548="Yes"))),1,0)</f>
        <v>0</v>
      </c>
      <c r="Z2548" s="1" t="str">
        <f>IF(Y2548=0,"",COUNTIFS($Y$2051:$Y$2550,1,$AO$2051:$AO$2550,"&lt;"&amp;AO2548)+COUNTIFS($Y$2051:Y2548,1,$AO$2051:AO2548,AO2548))</f>
        <v/>
      </c>
      <c r="AA2548" s="1" t="str">
        <f t="shared" si="228"/>
        <v>Missing demographic or access input</v>
      </c>
      <c r="AB2548" s="1">
        <f t="shared" si="229"/>
        <v>0</v>
      </c>
      <c r="AC2548" s="1" t="str">
        <f t="shared" si="230"/>
        <v/>
      </c>
      <c r="AD2548" s="1" t="str">
        <f t="shared" si="231"/>
        <v/>
      </c>
      <c r="AE2548" s="1" t="str">
        <f t="shared" si="232"/>
        <v/>
      </c>
      <c r="AF2548" s="1" t="str">
        <f t="shared" si="233"/>
        <v/>
      </c>
      <c r="AG2548" s="1" t="str">
        <f t="shared" si="234"/>
        <v/>
      </c>
      <c r="AH2548" s="1" t="str">
        <f>IF(I2548=0,"Not contacted",IF(INDEX('Staff Review'!$J$8:$J$507,I2548)="","Not contacted",INDEX('Staff Review'!$J$8:$J$507,I2548)))</f>
        <v>Not contacted</v>
      </c>
      <c r="AI2548" s="1" t="str">
        <f>IF(I2548=0,"No",IF(AND(COUNT(INDEX('Staff Review'!$D$8:$D$507,I2548))=1,INDEX('Staff Review'!$D$8:$D$507,I2548)&gt;=0,COUNT(INDEX('Staff Review'!$E$8:$E$507,I2548))=1,INDEX('Staff Review'!$E$8:$E$507,I2548)&gt;0,INDEX('Staff Review'!$E$8:$E$507,I2548)&lt;='Top 25'!$E$5,'Top 25'!$E$5-INDEX('Staff Review'!$E$8:$E$507,I2548)&lt;='Top 25'!$H$5,LEN(INDEX('Staff Review'!$H$8:$H$507,I2548))&gt;0),"Yes","No"))</f>
        <v>No</v>
      </c>
      <c r="AJ2548" s="1" t="str">
        <f>IF(I2548=0,"No",IF(COUNT(INDEX('Staff Review'!$F$8:$F$507,I2548))&lt;&gt;1,"No",IF(AND(INDEX('Staff Review'!$F$8:$F$507,I2548)&gt;=0,MOD(INDEX('Staff Review'!$F$8:$F$507,I2548),1)=0,COUNT(INDEX('Staff Review'!$G$8:$G$507,I2548))=1,INDEX('Staff Review'!$G$8:$G$507,I2548)&gt;0,INDEX('Staff Review'!$G$8:$G$507,I2548)&lt;='Top 25'!$E$5,'Top 25'!$E$5-INDEX('Staff Review'!$G$8:$G$507,I2548)&lt;='Top 25'!$H$5,LEN(INDEX('Staff Review'!$H$8:$H$507,I2548))&gt;0),"Yes","No")))</f>
        <v>No</v>
      </c>
      <c r="AK2548" s="1">
        <f t="shared" si="235"/>
        <v>0</v>
      </c>
      <c r="AL2548" s="1">
        <f t="shared" si="236"/>
        <v>0</v>
      </c>
      <c r="AM2548" s="1">
        <f t="shared" si="237"/>
        <v>0</v>
      </c>
      <c r="AN2548" s="1">
        <f t="shared" si="238"/>
        <v>0</v>
      </c>
      <c r="AO2548">
        <f t="shared" si="239"/>
        <v>10000</v>
      </c>
      <c r="AP2548" s="105">
        <f>IF(AND(AL2548=1,OR('Top 25'!$A$10="All",C2548='Top 25'!$A$10),OR('Top 25'!$D$10="All",D2548='Top 25'!$D$10)),1,0)</f>
        <v>0</v>
      </c>
      <c r="AQ2548" s="105" t="str">
        <f>IF(AP2548=0,"",CHOOSE(MATCH('Top 25'!$G$10,{"Priority score","Economic need","Enrollment","Fresh miles","Nearby resources"},0),T2548,G2548,F2548,K2548,L2548))</f>
        <v/>
      </c>
      <c r="AR2548" s="105" t="str">
        <f>IF(AP2548=0,"",1+COUNTIFS($AP$2051:$AP$2550,1,$AQ$2051:$AQ$2550,IF('Top 25'!$J$10="Ascending","&lt;","&gt;")&amp;AQ2548)+COUNTIFS($AP$2051:$AP$2550,1,$AQ$2051:$AQ$2550,AQ2548,$W$2051:$W$2550,"&lt;"&amp;W2548))</f>
        <v/>
      </c>
      <c r="AT2548" s="105">
        <f>IF(AND(AL2548=1,OR(Master_rankableSchools!$A$10="All",C2548=Master_rankableSchools!$A$10),OR(Master_rankableSchools!$D$10="All",D2548=Master_rankableSchools!$D$10)),1,0)</f>
        <v>0</v>
      </c>
      <c r="AU2548" s="105" t="str">
        <f>IF(AT2548=0,"",CHOOSE(MATCH(Master_rankableSchools!$G$10,{"Priority score","Economic need","Enrollment","Fresh miles","Nearby resources"},0),T2548,G2548,F2548,K2548,L2548))</f>
        <v/>
      </c>
      <c r="AV2548" s="105" t="str">
        <f>IF(AT2548=0,"",1+COUNTIFS($AT$2051:$AT$2550,1,$AU$2051:$AU$2550,IF(Master_rankableSchools!$J$10="Ascending","&lt;","&gt;")&amp;AU2548)+COUNTIFS($AT$2051:$AT$2550,1,$AU$2051:$AU$2550,AU2548,$W$2051:$W$2550,"&lt;"&amp;W2548))</f>
        <v/>
      </c>
    </row>
    <row r="2549" spans="1:48" ht="22" customHeight="1">
      <c r="A2549" s="1" t="str">
        <f t="shared" si="210"/>
        <v/>
      </c>
      <c r="B2549" s="1" t="str">
        <f t="shared" si="211"/>
        <v/>
      </c>
      <c r="C2549" s="1" t="str">
        <f t="shared" si="212"/>
        <v/>
      </c>
      <c r="D2549" s="1" t="str">
        <f t="shared" si="213"/>
        <v/>
      </c>
      <c r="E2549" s="1" t="str">
        <f t="shared" si="214"/>
        <v/>
      </c>
      <c r="F2549" s="1" t="str">
        <f t="shared" si="215"/>
        <v/>
      </c>
      <c r="G2549" s="1" t="str">
        <f t="shared" si="216"/>
        <v/>
      </c>
      <c r="H2549" s="1" t="str">
        <f t="shared" si="217"/>
        <v/>
      </c>
      <c r="I2549" s="1">
        <f>IF(OR(A2549="",COUNTIFS('Staff Review'!$A$8:$A$507,A2549)&lt;&gt;1),0,MATCH(A2549,'Staff Review'!$A$8:$A$507,0))</f>
        <v>0</v>
      </c>
      <c r="J2549" s="1" t="str">
        <f>IF(I2549=0,"No",IF(INDEX('Staff Review'!$C$8:$C$507,I2549)="Yes","Yes","No"))</f>
        <v>No</v>
      </c>
      <c r="K2549" s="1" t="str">
        <f>IF(AI2549="Yes",INDEX('Staff Review'!$D$8:$D$507,I2549),IF(AB2549=0,"",IF(COUNT(INDEX($C$1531:$C$2030,AB2549))=1,INDEX($C$1531:$C$2030,AB2549),"")))</f>
        <v/>
      </c>
      <c r="L2549" s="1" t="str">
        <f>IF(AJ2549="Yes",INDEX('Staff Review'!$F$8:$F$507,I2549),IF(AB2549=0,"",IF(COUNT(INDEX($G$1531:$G$2030,AB2549))=1,INDEX($G$1531:$G$2030,AB2549),"")))</f>
        <v/>
      </c>
      <c r="M2549" s="1" t="str">
        <f t="shared" si="218"/>
        <v/>
      </c>
      <c r="N2549" s="1" t="str">
        <f t="shared" si="219"/>
        <v/>
      </c>
      <c r="O2549" s="1" t="str">
        <f t="shared" si="220"/>
        <v/>
      </c>
      <c r="P2549" s="1" t="str">
        <f t="shared" si="221"/>
        <v/>
      </c>
      <c r="Q2549" s="1" t="str">
        <f t="shared" si="222"/>
        <v/>
      </c>
      <c r="R2549" s="1" t="str">
        <f t="shared" si="223"/>
        <v/>
      </c>
      <c r="S2549" s="1" t="str">
        <f t="shared" si="224"/>
        <v/>
      </c>
      <c r="T2549" s="1" t="str">
        <f>IF(OR(COUNT(O2549:R2549)&lt;&gt;4,COUNT('Top 25'!$B$45:$E$45)&lt;&gt;4,MIN('Top 25'!$B$45:$E$45)&lt;0,SUM('Top 25'!$B$45:$E$45)&lt;=0),"",ROUND(85*(O2549/30*'Top 25'!$B$45+P2549/25*'Top 25'!$C$45+Q2549/25*'Top 25'!$D$45+R2549/5*'Top 25'!$E$45)/SUM('Top 25'!$B$45:$E$45),6))</f>
        <v/>
      </c>
      <c r="U2549" s="1" t="str">
        <f t="shared" si="225"/>
        <v/>
      </c>
      <c r="V2549" s="1" t="str">
        <f>IF(A2549="","",IF(AK2549&lt;&gt;1,"Duplicate source ID",IF(COUNTIFS('Staff Review'!$A$8:$A$507,A2549)&gt;1,"Duplicate review ID",IF(H2549&lt;&gt;"Yes","Outside scope",IF(J2549="Yes","Already served",IF(NOT(ISNUMBER(T2549)),"Missing data","Candidate"))))))</f>
        <v/>
      </c>
      <c r="W2549" s="1" t="str">
        <f t="shared" si="226"/>
        <v/>
      </c>
      <c r="X2549" s="1" t="str">
        <f t="shared" si="227"/>
        <v/>
      </c>
      <c r="Y2549" s="1">
        <f>IF(AND(H2549="Yes",OR(LEN('School Search'!$B$5)=0,ISNUMBER(SEARCH('School Search'!$B$5,B2549&amp;" "&amp;E2549&amp;" "&amp;A2549))),OR('School Search'!$D$5="All",C2549='School Search'!$D$5),OR('School Search'!$G$5="All eligible",AND('School Search'!$G$5="Not marked served",J2549&lt;&gt;"Yes"),AND('School Search'!$G$5="Missing data",V2549="Missing data"),AND('School Search'!$G$5="Marked served",J2549="Yes"))),1,0)</f>
        <v>0</v>
      </c>
      <c r="Z2549" s="1" t="str">
        <f>IF(Y2549=0,"",COUNTIFS($Y$2051:$Y$2550,1,$AO$2051:$AO$2550,"&lt;"&amp;AO2549)+COUNTIFS($Y$2051:Y2549,1,$AO$2051:AO2549,AO2549))</f>
        <v/>
      </c>
      <c r="AA2549" s="1" t="str">
        <f t="shared" si="228"/>
        <v>Missing demographic or access input</v>
      </c>
      <c r="AB2549" s="1">
        <f t="shared" si="229"/>
        <v>0</v>
      </c>
      <c r="AC2549" s="1" t="str">
        <f t="shared" si="230"/>
        <v/>
      </c>
      <c r="AD2549" s="1" t="str">
        <f t="shared" si="231"/>
        <v/>
      </c>
      <c r="AE2549" s="1" t="str">
        <f t="shared" si="232"/>
        <v/>
      </c>
      <c r="AF2549" s="1" t="str">
        <f t="shared" si="233"/>
        <v/>
      </c>
      <c r="AG2549" s="1" t="str">
        <f t="shared" si="234"/>
        <v/>
      </c>
      <c r="AH2549" s="1" t="str">
        <f>IF(I2549=0,"Not contacted",IF(INDEX('Staff Review'!$J$8:$J$507,I2549)="","Not contacted",INDEX('Staff Review'!$J$8:$J$507,I2549)))</f>
        <v>Not contacted</v>
      </c>
      <c r="AI2549" s="1" t="str">
        <f>IF(I2549=0,"No",IF(AND(COUNT(INDEX('Staff Review'!$D$8:$D$507,I2549))=1,INDEX('Staff Review'!$D$8:$D$507,I2549)&gt;=0,COUNT(INDEX('Staff Review'!$E$8:$E$507,I2549))=1,INDEX('Staff Review'!$E$8:$E$507,I2549)&gt;0,INDEX('Staff Review'!$E$8:$E$507,I2549)&lt;='Top 25'!$E$5,'Top 25'!$E$5-INDEX('Staff Review'!$E$8:$E$507,I2549)&lt;='Top 25'!$H$5,LEN(INDEX('Staff Review'!$H$8:$H$507,I2549))&gt;0),"Yes","No"))</f>
        <v>No</v>
      </c>
      <c r="AJ2549" s="1" t="str">
        <f>IF(I2549=0,"No",IF(COUNT(INDEX('Staff Review'!$F$8:$F$507,I2549))&lt;&gt;1,"No",IF(AND(INDEX('Staff Review'!$F$8:$F$507,I2549)&gt;=0,MOD(INDEX('Staff Review'!$F$8:$F$507,I2549),1)=0,COUNT(INDEX('Staff Review'!$G$8:$G$507,I2549))=1,INDEX('Staff Review'!$G$8:$G$507,I2549)&gt;0,INDEX('Staff Review'!$G$8:$G$507,I2549)&lt;='Top 25'!$E$5,'Top 25'!$E$5-INDEX('Staff Review'!$G$8:$G$507,I2549)&lt;='Top 25'!$H$5,LEN(INDEX('Staff Review'!$H$8:$H$507,I2549))&gt;0),"Yes","No")))</f>
        <v>No</v>
      </c>
      <c r="AK2549" s="1">
        <f t="shared" si="235"/>
        <v>0</v>
      </c>
      <c r="AL2549" s="1">
        <f t="shared" si="236"/>
        <v>0</v>
      </c>
      <c r="AM2549" s="1">
        <f t="shared" si="237"/>
        <v>0</v>
      </c>
      <c r="AN2549" s="1">
        <f t="shared" si="238"/>
        <v>0</v>
      </c>
      <c r="AO2549">
        <f t="shared" si="239"/>
        <v>10000</v>
      </c>
      <c r="AP2549" s="105">
        <f>IF(AND(AL2549=1,OR('Top 25'!$A$10="All",C2549='Top 25'!$A$10),OR('Top 25'!$D$10="All",D2549='Top 25'!$D$10)),1,0)</f>
        <v>0</v>
      </c>
      <c r="AQ2549" s="105" t="str">
        <f>IF(AP2549=0,"",CHOOSE(MATCH('Top 25'!$G$10,{"Priority score","Economic need","Enrollment","Fresh miles","Nearby resources"},0),T2549,G2549,F2549,K2549,L2549))</f>
        <v/>
      </c>
      <c r="AR2549" s="105" t="str">
        <f>IF(AP2549=0,"",1+COUNTIFS($AP$2051:$AP$2550,1,$AQ$2051:$AQ$2550,IF('Top 25'!$J$10="Ascending","&lt;","&gt;")&amp;AQ2549)+COUNTIFS($AP$2051:$AP$2550,1,$AQ$2051:$AQ$2550,AQ2549,$W$2051:$W$2550,"&lt;"&amp;W2549))</f>
        <v/>
      </c>
      <c r="AT2549" s="105">
        <f>IF(AND(AL2549=1,OR(Master_rankableSchools!$A$10="All",C2549=Master_rankableSchools!$A$10),OR(Master_rankableSchools!$D$10="All",D2549=Master_rankableSchools!$D$10)),1,0)</f>
        <v>0</v>
      </c>
      <c r="AU2549" s="105" t="str">
        <f>IF(AT2549=0,"",CHOOSE(MATCH(Master_rankableSchools!$G$10,{"Priority score","Economic need","Enrollment","Fresh miles","Nearby resources"},0),T2549,G2549,F2549,K2549,L2549))</f>
        <v/>
      </c>
      <c r="AV2549" s="105" t="str">
        <f>IF(AT2549=0,"",1+COUNTIFS($AT$2051:$AT$2550,1,$AU$2051:$AU$2550,IF(Master_rankableSchools!$J$10="Ascending","&lt;","&gt;")&amp;AU2549)+COUNTIFS($AT$2051:$AT$2550,1,$AU$2051:$AU$2550,AU2549,$W$2051:$W$2550,"&lt;"&amp;W2549))</f>
        <v/>
      </c>
    </row>
    <row r="2550" spans="1:48" ht="22" customHeight="1">
      <c r="A2550" s="1" t="str">
        <f t="shared" si="210"/>
        <v/>
      </c>
      <c r="B2550" s="1" t="str">
        <f t="shared" si="211"/>
        <v/>
      </c>
      <c r="C2550" s="1" t="str">
        <f t="shared" si="212"/>
        <v/>
      </c>
      <c r="D2550" s="1" t="str">
        <f t="shared" si="213"/>
        <v/>
      </c>
      <c r="E2550" s="1" t="str">
        <f t="shared" si="214"/>
        <v/>
      </c>
      <c r="F2550" s="1" t="str">
        <f t="shared" si="215"/>
        <v/>
      </c>
      <c r="G2550" s="1" t="str">
        <f t="shared" si="216"/>
        <v/>
      </c>
      <c r="H2550" s="1" t="str">
        <f t="shared" si="217"/>
        <v/>
      </c>
      <c r="I2550" s="1">
        <f>IF(OR(A2550="",COUNTIFS('Staff Review'!$A$8:$A$507,A2550)&lt;&gt;1),0,MATCH(A2550,'Staff Review'!$A$8:$A$507,0))</f>
        <v>0</v>
      </c>
      <c r="J2550" s="1" t="str">
        <f>IF(I2550=0,"No",IF(INDEX('Staff Review'!$C$8:$C$507,I2550)="Yes","Yes","No"))</f>
        <v>No</v>
      </c>
      <c r="K2550" s="1" t="str">
        <f>IF(AI2550="Yes",INDEX('Staff Review'!$D$8:$D$507,I2550),IF(AB2550=0,"",IF(COUNT(INDEX($C$1531:$C$2030,AB2550))=1,INDEX($C$1531:$C$2030,AB2550),"")))</f>
        <v/>
      </c>
      <c r="L2550" s="1" t="str">
        <f>IF(AJ2550="Yes",INDEX('Staff Review'!$F$8:$F$507,I2550),IF(AB2550=0,"",IF(COUNT(INDEX($G$1531:$G$2030,AB2550))=1,INDEX($G$1531:$G$2030,AB2550),"")))</f>
        <v/>
      </c>
      <c r="M2550" s="1" t="str">
        <f t="shared" si="218"/>
        <v/>
      </c>
      <c r="N2550" s="1" t="str">
        <f t="shared" si="219"/>
        <v/>
      </c>
      <c r="O2550" s="1" t="str">
        <f t="shared" si="220"/>
        <v/>
      </c>
      <c r="P2550" s="1" t="str">
        <f t="shared" si="221"/>
        <v/>
      </c>
      <c r="Q2550" s="1" t="str">
        <f t="shared" si="222"/>
        <v/>
      </c>
      <c r="R2550" s="1" t="str">
        <f t="shared" si="223"/>
        <v/>
      </c>
      <c r="S2550" s="1" t="str">
        <f t="shared" si="224"/>
        <v/>
      </c>
      <c r="T2550" s="1" t="str">
        <f>IF(OR(COUNT(O2550:R2550)&lt;&gt;4,COUNT('Top 25'!$B$45:$E$45)&lt;&gt;4,MIN('Top 25'!$B$45:$E$45)&lt;0,SUM('Top 25'!$B$45:$E$45)&lt;=0),"",ROUND(85*(O2550/30*'Top 25'!$B$45+P2550/25*'Top 25'!$C$45+Q2550/25*'Top 25'!$D$45+R2550/5*'Top 25'!$E$45)/SUM('Top 25'!$B$45:$E$45),6))</f>
        <v/>
      </c>
      <c r="U2550" s="1" t="str">
        <f t="shared" si="225"/>
        <v/>
      </c>
      <c r="V2550" s="1" t="str">
        <f>IF(A2550="","",IF(AK2550&lt;&gt;1,"Duplicate source ID",IF(COUNTIFS('Staff Review'!$A$8:$A$507,A2550)&gt;1,"Duplicate review ID",IF(H2550&lt;&gt;"Yes","Outside scope",IF(J2550="Yes","Already served",IF(NOT(ISNUMBER(T2550)),"Missing data","Candidate"))))))</f>
        <v/>
      </c>
      <c r="W2550" s="1" t="str">
        <f t="shared" si="226"/>
        <v/>
      </c>
      <c r="X2550" s="1" t="str">
        <f t="shared" si="227"/>
        <v/>
      </c>
      <c r="Y2550" s="1">
        <f>IF(AND(H2550="Yes",OR(LEN('School Search'!$B$5)=0,ISNUMBER(SEARCH('School Search'!$B$5,B2550&amp;" "&amp;E2550&amp;" "&amp;A2550))),OR('School Search'!$D$5="All",C2550='School Search'!$D$5),OR('School Search'!$G$5="All eligible",AND('School Search'!$G$5="Not marked served",J2550&lt;&gt;"Yes"),AND('School Search'!$G$5="Missing data",V2550="Missing data"),AND('School Search'!$G$5="Marked served",J2550="Yes"))),1,0)</f>
        <v>0</v>
      </c>
      <c r="Z2550" s="1" t="str">
        <f>IF(Y2550=0,"",COUNTIFS($Y$2051:$Y$2550,1,$AO$2051:$AO$2550,"&lt;"&amp;AO2550)+COUNTIFS($Y$2051:Y2550,1,$AO$2051:AO2550,AO2550))</f>
        <v/>
      </c>
      <c r="AA2550" s="1" t="str">
        <f t="shared" si="228"/>
        <v>Missing demographic or access input</v>
      </c>
      <c r="AB2550" s="1">
        <f t="shared" si="229"/>
        <v>0</v>
      </c>
      <c r="AC2550" s="1" t="str">
        <f t="shared" si="230"/>
        <v/>
      </c>
      <c r="AD2550" s="1" t="str">
        <f t="shared" si="231"/>
        <v/>
      </c>
      <c r="AE2550" s="1" t="str">
        <f t="shared" si="232"/>
        <v/>
      </c>
      <c r="AF2550" s="1" t="str">
        <f t="shared" si="233"/>
        <v/>
      </c>
      <c r="AG2550" s="1" t="str">
        <f t="shared" si="234"/>
        <v/>
      </c>
      <c r="AH2550" s="1" t="str">
        <f>IF(I2550=0,"Not contacted",IF(INDEX('Staff Review'!$J$8:$J$507,I2550)="","Not contacted",INDEX('Staff Review'!$J$8:$J$507,I2550)))</f>
        <v>Not contacted</v>
      </c>
      <c r="AI2550" s="1" t="str">
        <f>IF(I2550=0,"No",IF(AND(COUNT(INDEX('Staff Review'!$D$8:$D$507,I2550))=1,INDEX('Staff Review'!$D$8:$D$507,I2550)&gt;=0,COUNT(INDEX('Staff Review'!$E$8:$E$507,I2550))=1,INDEX('Staff Review'!$E$8:$E$507,I2550)&gt;0,INDEX('Staff Review'!$E$8:$E$507,I2550)&lt;='Top 25'!$E$5,'Top 25'!$E$5-INDEX('Staff Review'!$E$8:$E$507,I2550)&lt;='Top 25'!$H$5,LEN(INDEX('Staff Review'!$H$8:$H$507,I2550))&gt;0),"Yes","No"))</f>
        <v>No</v>
      </c>
      <c r="AJ2550" s="1" t="str">
        <f>IF(I2550=0,"No",IF(COUNT(INDEX('Staff Review'!$F$8:$F$507,I2550))&lt;&gt;1,"No",IF(AND(INDEX('Staff Review'!$F$8:$F$507,I2550)&gt;=0,MOD(INDEX('Staff Review'!$F$8:$F$507,I2550),1)=0,COUNT(INDEX('Staff Review'!$G$8:$G$507,I2550))=1,INDEX('Staff Review'!$G$8:$G$507,I2550)&gt;0,INDEX('Staff Review'!$G$8:$G$507,I2550)&lt;='Top 25'!$E$5,'Top 25'!$E$5-INDEX('Staff Review'!$G$8:$G$507,I2550)&lt;='Top 25'!$H$5,LEN(INDEX('Staff Review'!$H$8:$H$507,I2550))&gt;0),"Yes","No")))</f>
        <v>No</v>
      </c>
      <c r="AK2550" s="1">
        <f t="shared" si="235"/>
        <v>0</v>
      </c>
      <c r="AL2550" s="1">
        <f t="shared" si="236"/>
        <v>0</v>
      </c>
      <c r="AM2550" s="1">
        <f t="shared" si="237"/>
        <v>0</v>
      </c>
      <c r="AN2550" s="1">
        <f t="shared" si="238"/>
        <v>0</v>
      </c>
      <c r="AO2550">
        <f t="shared" si="239"/>
        <v>10000</v>
      </c>
      <c r="AP2550" s="105">
        <f>IF(AND(AL2550=1,OR('Top 25'!$A$10="All",C2550='Top 25'!$A$10),OR('Top 25'!$D$10="All",D2550='Top 25'!$D$10)),1,0)</f>
        <v>0</v>
      </c>
      <c r="AQ2550" s="105" t="str">
        <f>IF(AP2550=0,"",CHOOSE(MATCH('Top 25'!$G$10,{"Priority score","Economic need","Enrollment","Fresh miles","Nearby resources"},0),T2550,G2550,F2550,K2550,L2550))</f>
        <v/>
      </c>
      <c r="AR2550" s="105" t="str">
        <f>IF(AP2550=0,"",1+COUNTIFS($AP$2051:$AP$2550,1,$AQ$2051:$AQ$2550,IF('Top 25'!$J$10="Ascending","&lt;","&gt;")&amp;AQ2550)+COUNTIFS($AP$2051:$AP$2550,1,$AQ$2051:$AQ$2550,AQ2550,$W$2051:$W$2550,"&lt;"&amp;W2550))</f>
        <v/>
      </c>
      <c r="AT2550" s="105">
        <f>IF(AND(AL2550=1,OR(Master_rankableSchools!$A$10="All",C2550=Master_rankableSchools!$A$10),OR(Master_rankableSchools!$D$10="All",D2550=Master_rankableSchools!$D$10)),1,0)</f>
        <v>0</v>
      </c>
      <c r="AU2550" s="105" t="str">
        <f>IF(AT2550=0,"",CHOOSE(MATCH(Master_rankableSchools!$G$10,{"Priority score","Economic need","Enrollment","Fresh miles","Nearby resources"},0),T2550,G2550,F2550,K2550,L2550))</f>
        <v/>
      </c>
      <c r="AV2550" s="105" t="str">
        <f>IF(AT2550=0,"",1+COUNTIFS($AT$2051:$AT$2550,1,$AU$2051:$AU$2550,IF(Master_rankableSchools!$J$10="Ascending","&lt;","&gt;")&amp;AU2550)+COUNTIFS($AT$2051:$AT$2550,1,$AU$2051:$AU$2550,AU2550,$W$2051:$W$2550,"&lt;"&amp;W2550))</f>
        <v/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25</vt:lpstr>
      <vt:lpstr>School Search</vt:lpstr>
      <vt:lpstr>School Profile</vt:lpstr>
      <vt:lpstr>Staff Review</vt:lpstr>
      <vt:lpstr>Master_rankableSchools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S</dc:creator>
  <cp:lastModifiedBy>Ron S</cp:lastModifiedBy>
  <cp:lastPrinted>2026-10-22T02:09:24Z</cp:lastPrinted>
  <dcterms:created xsi:type="dcterms:W3CDTF">2026-10-20T14:04:17Z</dcterms:created>
  <dcterms:modified xsi:type="dcterms:W3CDTF">2026-10-22T02:09:44Z</dcterms:modified>
</cp:coreProperties>
</file>