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ync\_Documents\_Paper4\"/>
    </mc:Choice>
  </mc:AlternateContent>
  <xr:revisionPtr revIDLastSave="0" documentId="13_ncr:1_{B78C70BA-73FE-4B44-B51D-280434388B11}" xr6:coauthVersionLast="47" xr6:coauthVersionMax="47" xr10:uidLastSave="{00000000-0000-0000-0000-000000000000}"/>
  <bookViews>
    <workbookView xWindow="15" yWindow="0" windowWidth="21570" windowHeight="12900" tabRatio="898" activeTab="1" xr2:uid="{00000000-000D-0000-FFFF-FFFF00000000}"/>
  </bookViews>
  <sheets>
    <sheet name="Content" sheetId="10" r:id="rId1"/>
    <sheet name="1. Efforts and Costs - Dynamic" sheetId="13" r:id="rId2"/>
    <sheet name="2.1. Sampling - Breakdown Struc" sheetId="8" r:id="rId3"/>
    <sheet name="2.2. Drone - Breakdown Struc" sheetId="9" r:id="rId4"/>
    <sheet name="2.3. Processing - Breakdown" sheetId="7" r:id="rId5"/>
  </sheets>
  <definedNames>
    <definedName name="_xlnm.Print_Area" localSheetId="1">'1. Efforts and Costs - Dynamic'!$A$13:$K$44</definedName>
    <definedName name="_xlnm.Print_Area" localSheetId="2">'2.1. Sampling - Breakdown Struc'!#REF!</definedName>
    <definedName name="_xlnm.Print_Area" localSheetId="4">'2.3. Processing -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3" l="1"/>
  <c r="U28" i="13" s="1"/>
  <c r="R65" i="13"/>
  <c r="U65" i="13" s="1"/>
  <c r="R64" i="13"/>
  <c r="U64" i="13" s="1"/>
  <c r="R63" i="13"/>
  <c r="U63" i="13" s="1"/>
  <c r="R62" i="13"/>
  <c r="U62" i="13" s="1"/>
  <c r="R59" i="13"/>
  <c r="U59" i="13" s="1"/>
  <c r="R56" i="13"/>
  <c r="U56" i="13" s="1"/>
  <c r="U55" i="13" s="1"/>
  <c r="J10" i="13"/>
  <c r="I10" i="13"/>
  <c r="I9" i="13"/>
  <c r="H9" i="13"/>
  <c r="J9" i="13"/>
  <c r="F68" i="13"/>
  <c r="I68" i="13" s="1"/>
  <c r="F33" i="13"/>
  <c r="I33" i="13" s="1"/>
  <c r="F67" i="13"/>
  <c r="I67" i="13" s="1"/>
  <c r="F66" i="13"/>
  <c r="I66" i="13" s="1"/>
  <c r="F65" i="13"/>
  <c r="I65" i="13" s="1"/>
  <c r="F64" i="13"/>
  <c r="I64" i="13" s="1"/>
  <c r="F61" i="13"/>
  <c r="I61" i="13" s="1"/>
  <c r="F56" i="13"/>
  <c r="I56" i="13" s="1"/>
  <c r="R30" i="13"/>
  <c r="U30" i="13" s="1"/>
  <c r="E13" i="7"/>
  <c r="E14" i="7" s="1"/>
  <c r="R29" i="13"/>
  <c r="U29" i="13" s="1"/>
  <c r="R27" i="13"/>
  <c r="U27" i="13" s="1"/>
  <c r="R24" i="13"/>
  <c r="U24" i="13" s="1"/>
  <c r="U23" i="13" s="1"/>
  <c r="R21" i="13"/>
  <c r="U21" i="13" s="1"/>
  <c r="U20" i="13" s="1"/>
  <c r="F32" i="13"/>
  <c r="I32" i="13" s="1"/>
  <c r="F13" i="7"/>
  <c r="F14" i="7" s="1"/>
  <c r="R68" i="13" s="1"/>
  <c r="D13" i="7"/>
  <c r="D14" i="7" s="1"/>
  <c r="F31" i="13"/>
  <c r="I31" i="13" s="1"/>
  <c r="F30" i="13"/>
  <c r="I30" i="13" s="1"/>
  <c r="F29" i="13"/>
  <c r="I29" i="13" s="1"/>
  <c r="F26" i="13"/>
  <c r="I26" i="13" s="1"/>
  <c r="F25" i="13"/>
  <c r="I25" i="13" s="1"/>
  <c r="I24" i="13" s="1"/>
  <c r="F22" i="13"/>
  <c r="I22" i="13" s="1"/>
  <c r="F21" i="13"/>
  <c r="I21" i="13" s="1"/>
  <c r="F10" i="13"/>
  <c r="F9" i="13"/>
  <c r="E10" i="13"/>
  <c r="E9" i="13"/>
  <c r="G13" i="7"/>
  <c r="G14" i="7" s="1"/>
  <c r="R69" i="13" l="1"/>
  <c r="R34" i="13"/>
  <c r="U69" i="13"/>
  <c r="U61" i="13"/>
  <c r="F37" i="13"/>
  <c r="I37" i="13" s="1"/>
  <c r="F73" i="13"/>
  <c r="I73" i="13" s="1"/>
  <c r="F36" i="13"/>
  <c r="I36" i="13" s="1"/>
  <c r="F72" i="13"/>
  <c r="I72" i="13" s="1"/>
  <c r="U68" i="13"/>
  <c r="R33" i="13"/>
  <c r="U33" i="13" s="1"/>
  <c r="U34" i="13"/>
  <c r="G10" i="13"/>
  <c r="H10" i="13" s="1"/>
  <c r="G9" i="13"/>
  <c r="J64" i="13" s="1"/>
  <c r="U26" i="13"/>
  <c r="U58" i="13"/>
  <c r="I20" i="13"/>
  <c r="I28" i="13"/>
  <c r="D6" i="8"/>
  <c r="G29" i="8"/>
  <c r="O34" i="9"/>
  <c r="L34" i="9"/>
  <c r="J34" i="9"/>
  <c r="O33" i="9"/>
  <c r="L33" i="9"/>
  <c r="J33" i="9"/>
  <c r="O32" i="9"/>
  <c r="L32" i="9"/>
  <c r="J32" i="9"/>
  <c r="O31" i="9"/>
  <c r="L31" i="9"/>
  <c r="J31" i="9"/>
  <c r="O28" i="9"/>
  <c r="L28" i="9"/>
  <c r="J28" i="9"/>
  <c r="O27" i="9"/>
  <c r="L27" i="9"/>
  <c r="J27" i="9"/>
  <c r="O26" i="9"/>
  <c r="L26" i="9"/>
  <c r="J26" i="9"/>
  <c r="M26" i="9" s="1"/>
  <c r="O25" i="9"/>
  <c r="O29" i="9" s="1"/>
  <c r="L25" i="9"/>
  <c r="J25" i="9"/>
  <c r="J26" i="13" l="1"/>
  <c r="V20" i="13"/>
  <c r="V64" i="13"/>
  <c r="I35" i="13"/>
  <c r="J35" i="13" s="1"/>
  <c r="I71" i="13"/>
  <c r="U32" i="13"/>
  <c r="U44" i="13" s="1"/>
  <c r="R15" i="13" s="1"/>
  <c r="J36" i="13"/>
  <c r="F69" i="13"/>
  <c r="I69" i="13" s="1"/>
  <c r="I63" i="13" s="1"/>
  <c r="F60" i="13"/>
  <c r="I60" i="13" s="1"/>
  <c r="I59" i="13" s="1"/>
  <c r="F57" i="13"/>
  <c r="I57" i="13" s="1"/>
  <c r="I55" i="13" s="1"/>
  <c r="J55" i="13" s="1"/>
  <c r="V68" i="13"/>
  <c r="V63" i="13"/>
  <c r="V30" i="13"/>
  <c r="J25" i="13"/>
  <c r="J63" i="13"/>
  <c r="J71" i="13"/>
  <c r="V26" i="13"/>
  <c r="V69" i="13"/>
  <c r="U67" i="13"/>
  <c r="U76" i="13" s="1"/>
  <c r="J72" i="13"/>
  <c r="V61" i="13"/>
  <c r="J29" i="13"/>
  <c r="V27" i="13"/>
  <c r="J73" i="13"/>
  <c r="M27" i="9"/>
  <c r="M28" i="9"/>
  <c r="M34" i="9"/>
  <c r="J59" i="13"/>
  <c r="V21" i="13"/>
  <c r="V33" i="13"/>
  <c r="J30" i="13"/>
  <c r="V24" i="13"/>
  <c r="J37" i="13"/>
  <c r="V28" i="13"/>
  <c r="J61" i="13"/>
  <c r="V65" i="13"/>
  <c r="J66" i="13"/>
  <c r="V23" i="13"/>
  <c r="V59" i="13"/>
  <c r="J21" i="13"/>
  <c r="J56" i="13"/>
  <c r="V34" i="13"/>
  <c r="V62" i="13"/>
  <c r="J28" i="13"/>
  <c r="J31" i="13"/>
  <c r="J65" i="13"/>
  <c r="J69" i="13"/>
  <c r="J67" i="13"/>
  <c r="J68" i="13"/>
  <c r="J32" i="13"/>
  <c r="J22" i="13"/>
  <c r="J33" i="13"/>
  <c r="J20" i="13"/>
  <c r="V56" i="13"/>
  <c r="V58" i="13"/>
  <c r="J24" i="13"/>
  <c r="V55" i="13"/>
  <c r="V29" i="13"/>
  <c r="M33" i="9"/>
  <c r="M25" i="9"/>
  <c r="M29" i="9" s="1"/>
  <c r="P28" i="9" s="1"/>
  <c r="L35" i="9"/>
  <c r="O35" i="9"/>
  <c r="M32" i="9"/>
  <c r="L29" i="9"/>
  <c r="M31" i="9"/>
  <c r="J35" i="9"/>
  <c r="D9" i="9" s="1"/>
  <c r="J29" i="9"/>
  <c r="D8" i="9" s="1"/>
  <c r="D12" i="9" s="1"/>
  <c r="J57" i="13" l="1"/>
  <c r="I44" i="13"/>
  <c r="F15" i="13" s="1"/>
  <c r="I77" i="13"/>
  <c r="F50" i="13" s="1"/>
  <c r="J60" i="13"/>
  <c r="J77" i="13"/>
  <c r="K10" i="13" s="1"/>
  <c r="V32" i="13"/>
  <c r="V44" i="13" s="1"/>
  <c r="V67" i="13"/>
  <c r="V76" i="13" s="1"/>
  <c r="M35" i="9"/>
  <c r="P31" i="9" s="1"/>
  <c r="J44" i="13"/>
  <c r="K9" i="13" s="1"/>
  <c r="P25" i="9"/>
  <c r="P32" i="9"/>
  <c r="P34" i="9"/>
  <c r="P33" i="9"/>
  <c r="P27" i="9"/>
  <c r="P26" i="9"/>
  <c r="E5" i="8"/>
  <c r="D5" i="8"/>
  <c r="P35" i="9" l="1"/>
  <c r="P29" i="9"/>
  <c r="G18" i="8"/>
  <c r="G26" i="8"/>
  <c r="G27" i="8"/>
  <c r="G28" i="8"/>
  <c r="G31" i="8"/>
  <c r="G32" i="8"/>
  <c r="G33" i="8"/>
  <c r="G30" i="8"/>
  <c r="E8" i="9" l="1"/>
  <c r="F10" i="9"/>
  <c r="F8" i="9"/>
  <c r="E9" i="9"/>
  <c r="F9" i="9"/>
  <c r="F11" i="9"/>
  <c r="G34" i="8"/>
  <c r="E6" i="8"/>
  <c r="F12" i="9" l="1"/>
  <c r="F14" i="9" s="1"/>
  <c r="F15" i="9" s="1"/>
  <c r="E12" i="9"/>
  <c r="E7" i="8" l="1"/>
  <c r="D7" i="8"/>
  <c r="E14" i="9"/>
  <c r="E15" i="9" s="1"/>
  <c r="D14" i="9"/>
  <c r="D15" i="9" s="1"/>
  <c r="R50" i="13" l="1"/>
  <c r="L10" i="13" l="1"/>
  <c r="M10" i="13" s="1"/>
  <c r="L9" i="13"/>
  <c r="M9" i="13" s="1"/>
</calcChain>
</file>

<file path=xl/sharedStrings.xml><?xml version="1.0" encoding="utf-8"?>
<sst xmlns="http://schemas.openxmlformats.org/spreadsheetml/2006/main" count="366" uniqueCount="172">
  <si>
    <t>Remarks</t>
  </si>
  <si>
    <t>Total</t>
  </si>
  <si>
    <t>Travel</t>
  </si>
  <si>
    <t>Date 2023-09-25</t>
  </si>
  <si>
    <t xml:space="preserve">   Rik Nuijten</t>
  </si>
  <si>
    <t>Regeneration assessment
Drone-assisted approach</t>
  </si>
  <si>
    <t>Unit</t>
  </si>
  <si>
    <t>Regeneration assessment
Field-only approach</t>
  </si>
  <si>
    <t>Labour</t>
  </si>
  <si>
    <t>Day</t>
  </si>
  <si>
    <t>Equipment</t>
  </si>
  <si>
    <t>Shared for technicians; private for pilot</t>
  </si>
  <si>
    <t>Night</t>
  </si>
  <si>
    <t>Drone equipment</t>
  </si>
  <si>
    <t>Drone pilot</t>
  </si>
  <si>
    <t>Two field technicians</t>
  </si>
  <si>
    <t>Hired for 10 hrs; Minimum of two for safety</t>
  </si>
  <si>
    <t>Flat rate</t>
  </si>
  <si>
    <t>Per diem</t>
  </si>
  <si>
    <t>Km</t>
  </si>
  <si>
    <t>Vehicle</t>
  </si>
  <si>
    <t>Operating costs of vehicle</t>
  </si>
  <si>
    <t>250 km GP-Manning; 50 km to site</t>
  </si>
  <si>
    <t>Shared room for technicians</t>
  </si>
  <si>
    <t>Hired for 10 hrs / day</t>
  </si>
  <si>
    <t>Hired for 8 hrs / day; 40 hours total.</t>
  </si>
  <si>
    <t>ID</t>
  </si>
  <si>
    <t xml:space="preserve">Project Item/Task Name  </t>
  </si>
  <si>
    <t>Resource Type</t>
  </si>
  <si>
    <t>Resource Quantity</t>
  </si>
  <si>
    <t>Rate per Unit</t>
  </si>
  <si>
    <t>Estimated Effort Cost (sub total)</t>
  </si>
  <si>
    <t>$</t>
  </si>
  <si>
    <t>Total "Effort estimate"
Drone-assisted approach</t>
  </si>
  <si>
    <t>Total "Effort estimate"
Field-only approach</t>
  </si>
  <si>
    <t xml:space="preserve">Project Activity Name  </t>
  </si>
  <si>
    <t>Photogrammetric processing</t>
  </si>
  <si>
    <t>None of the estimates include "waiting" times</t>
  </si>
  <si>
    <t>Quality check of field-data</t>
  </si>
  <si>
    <t>Creating vegetation structure maps</t>
  </si>
  <si>
    <t>Creating plant function types maps</t>
  </si>
  <si>
    <t>Site summaries / comparisons</t>
  </si>
  <si>
    <t>Data management</t>
  </si>
  <si>
    <t>Data pre-processing</t>
  </si>
  <si>
    <t>To account for errors and unforseen activities</t>
  </si>
  <si>
    <t>(Un)packing equipment</t>
  </si>
  <si>
    <t xml:space="preserve">Capture cal. panel reflectance  </t>
  </si>
  <si>
    <t>Contingency time</t>
  </si>
  <si>
    <t xml:space="preserve">       Initial transect at a site</t>
  </si>
  <si>
    <t>Sample time</t>
  </si>
  <si>
    <t xml:space="preserve">Includes walking time. </t>
  </si>
  <si>
    <t>Estimated Effort Time
Drone-assisted approach (hrs)</t>
  </si>
  <si>
    <t>Estimated Effort Time
Field-only approach (hrs)</t>
  </si>
  <si>
    <t>Estimated Effort Time (hrs)
Current set-up</t>
  </si>
  <si>
    <t>Estimated Effort Time (hrs)
Advanced-only approach</t>
  </si>
  <si>
    <t>Current drone setup</t>
  </si>
  <si>
    <t>Advanced drone setup</t>
  </si>
  <si>
    <t>Operating costs of vehicle - field crew</t>
  </si>
  <si>
    <t>Operating costs of vehicle - pilot</t>
  </si>
  <si>
    <t>Advanced setup</t>
  </si>
  <si>
    <t>Supplementary costs for drone-assisted approach</t>
  </si>
  <si>
    <t>Drone-assisted approach uses ~5 transects with 10 quadrats each, per 15 ha site. (72 min / transect)</t>
  </si>
  <si>
    <t>Current drone setup includes Phantom 4 RTK (RGB) and RedEdge-MX (multispectral)</t>
  </si>
  <si>
    <t>Content</t>
  </si>
  <si>
    <t>1. Efforts and costs</t>
  </si>
  <si>
    <t>2. Processing</t>
  </si>
  <si>
    <t xml:space="preserve">    2.1 Breakdown structure of sampling time estimates</t>
  </si>
  <si>
    <t xml:space="preserve">    2.1 Breakdown structure of drone-data collection time estimates</t>
  </si>
  <si>
    <t xml:space="preserve">    2.3 Breakdown structure of data processing and analysis time estimates</t>
  </si>
  <si>
    <t>Overview</t>
  </si>
  <si>
    <t>The following tables give an overview of labour time and associated cost estimates. The cost estimates are specifically for the oil/gas/mining sector in Alberta, Canada.</t>
  </si>
  <si>
    <t xml:space="preserve">We compare two approaches for acquiring information on regeneration success, including a drone-assisted and field-sampling only approach. </t>
  </si>
  <si>
    <t xml:space="preserve">In the drone-assisted approach multispectral and RGB imagery is collected at ~3 and ~1.5 cm resolution, respectively. </t>
  </si>
  <si>
    <t>Comments</t>
  </si>
  <si>
    <t xml:space="preserve">Advanced drone setup includes Zenmuse P1 (RGB) and RedEdge-P (multispectral). </t>
  </si>
  <si>
    <t xml:space="preserve">Times of field sampling and image collection (current setup) are based on field-measured times. </t>
  </si>
  <si>
    <t>Processing times are balpark estimates.</t>
  </si>
  <si>
    <t xml:space="preserve">All costs are provided in $CAD. </t>
  </si>
  <si>
    <t>Times of the advanced setup are based on estimates derived from MapPilotPro and field-measured contingency times (from current drone setup)</t>
  </si>
  <si>
    <r>
      <t>Furthermore, we have created a third scenario in which the drone-pilot uses more advanced cameras (</t>
    </r>
    <r>
      <rPr>
        <i/>
        <sz val="11"/>
        <rFont val="Calibri"/>
        <family val="2"/>
        <scheme val="minor"/>
      </rPr>
      <t xml:space="preserve">i.e., </t>
    </r>
    <r>
      <rPr>
        <sz val="11"/>
        <rFont val="Calibri"/>
        <family val="2"/>
        <scheme val="minor"/>
      </rPr>
      <t>higher frame rates and image resolution)</t>
    </r>
  </si>
  <si>
    <t>Hired for 8 hrs / day; 12 hours total.</t>
  </si>
  <si>
    <t>Field equipment</t>
  </si>
  <si>
    <t>Measures and calculations</t>
  </si>
  <si>
    <t>Breakdown structure of sampling time estimates
By activity</t>
  </si>
  <si>
    <t xml:space="preserve">Transect </t>
  </si>
  <si>
    <t>Date</t>
  </si>
  <si>
    <t>Total time</t>
  </si>
  <si>
    <t>T3</t>
  </si>
  <si>
    <t>T4</t>
  </si>
  <si>
    <t>T5</t>
  </si>
  <si>
    <t>T6</t>
  </si>
  <si>
    <t>Average</t>
  </si>
  <si>
    <t>Each transect contained 10 2x2m2 quadrats</t>
  </si>
  <si>
    <t>T1 (invasives)</t>
  </si>
  <si>
    <t>Starttime</t>
  </si>
  <si>
    <t>Endtime</t>
  </si>
  <si>
    <t>Column1</t>
  </si>
  <si>
    <t>Task</t>
  </si>
  <si>
    <t>Assess suitability / layout site</t>
  </si>
  <si>
    <t>Preperation time was only measured once…</t>
  </si>
  <si>
    <t>Average sample time was derived from time measures from the last two sampling days.</t>
  </si>
  <si>
    <t>Current setup is RGB collection with Phantom 4 RTK and Multispectral with RedEdge-MX</t>
  </si>
  <si>
    <t>Advanced set-up is RGB collection with Zenmuse P1 and Multispectral with RedEdge-P</t>
  </si>
  <si>
    <t>Name</t>
  </si>
  <si>
    <t>Resolution (cm)</t>
  </si>
  <si>
    <t>Area (ha)</t>
  </si>
  <si>
    <t>Overlap</t>
  </si>
  <si>
    <t>Start time</t>
  </si>
  <si>
    <t>End time</t>
  </si>
  <si>
    <t>Duration (min)</t>
  </si>
  <si>
    <t>Actual time per ha</t>
  </si>
  <si>
    <t>Estimated duration</t>
  </si>
  <si>
    <t>Estimated time per ha</t>
  </si>
  <si>
    <t>% Difference estimated-actual time</t>
  </si>
  <si>
    <t>Estimated duration (advanced sensors)</t>
  </si>
  <si>
    <t>Estimated Time per ha (advanced sensors)</t>
  </si>
  <si>
    <t>Estimated Differece per ha, accounted for difference (advanced sensors)</t>
  </si>
  <si>
    <t>RGB - Wildfire Little Smoky (Flight Zenmuse - main)</t>
  </si>
  <si>
    <t>90/85</t>
  </si>
  <si>
    <t>RGB - Wildfire Chin A (Manning 2018 - Flight Zenmuse - main)</t>
  </si>
  <si>
    <t>RGB - Wildfire Chin A (Manning 2018 - Flight Phantom 4 - gap)</t>
  </si>
  <si>
    <t>RGB - Wildfire Chin B (Manning 2019 - Flight Phantom 4)</t>
  </si>
  <si>
    <t>Multispec - Wildfire Little Smoky (GrandeCache - Flight Micasense 2)</t>
  </si>
  <si>
    <t>80/80</t>
  </si>
  <si>
    <t>Multispec - Wildfire Chin A (Manning 2018 - Flight Micasense)</t>
  </si>
  <si>
    <t>Multispec - Wildfire Chin B (Manning 2019 - Flight Micasense - missed transect)</t>
  </si>
  <si>
    <t>Multispec - Wildfire Chin B (Manning 2019 - Flight Micasense - main)</t>
  </si>
  <si>
    <t>Calculated difference in time (minutes) per hectare between measured and estimated data collection time</t>
  </si>
  <si>
    <t>… which was used to correct time estimates with an advanced sensor setup</t>
  </si>
  <si>
    <t>Same number of transects</t>
  </si>
  <si>
    <t>Double number of transects</t>
  </si>
  <si>
    <t>Hypothetical field-only approach uses, ideally, double the amount of transects</t>
  </si>
  <si>
    <t>Flat rate / day</t>
  </si>
  <si>
    <t>Field equipment / GNSS / ipad</t>
  </si>
  <si>
    <t>Cost by hectare</t>
  </si>
  <si>
    <t>Hotel crew</t>
  </si>
  <si>
    <t>Hotel pilot</t>
  </si>
  <si>
    <t>For single site pair (40 ha total)</t>
  </si>
  <si>
    <t>Data analyst - FIXED</t>
  </si>
  <si>
    <t>Data analyst - VARIABLE</t>
  </si>
  <si>
    <t>Number of site pairs:</t>
  </si>
  <si>
    <t>Hectares ROW sites</t>
  </si>
  <si>
    <t>Hectares wildfire sites</t>
  </si>
  <si>
    <t>Total hectares</t>
  </si>
  <si>
    <t xml:space="preserve">Paired sites are 20 ha  (40 total) and include 6 transects (12 total) each
</t>
  </si>
  <si>
    <t>Paired sites are 20 ha  (40 total) and include 6 transects (12 total) each</t>
  </si>
  <si>
    <t>Estimated Effort Time (hrs)
Drone-assisted approach FIXED</t>
  </si>
  <si>
    <t>Estimated Effort Time (hrs)
Drone-assisted approach VARIABLE</t>
  </si>
  <si>
    <t>Estimated Effort Time (hrs)
Field-only approach 
FIXED</t>
  </si>
  <si>
    <t>Estimated Effort Time (hrs)
Field-only approach
VARIABLE</t>
  </si>
  <si>
    <t>Total hours</t>
  </si>
  <si>
    <t>Total work days</t>
  </si>
  <si>
    <t>1100 km per 7 days (250 km GP-Hotel; 50 km to site)</t>
  </si>
  <si>
    <t>Total hours of site pair</t>
  </si>
  <si>
    <t>Work days of site pair</t>
  </si>
  <si>
    <t>Estimated Effort Time (hrs)
Advanced-only approach 
MAXIMIZED</t>
  </si>
  <si>
    <r>
      <t xml:space="preserve">EXTRA: RGB image collection (1x </t>
    </r>
    <r>
      <rPr>
        <b/>
        <sz val="11"/>
        <color theme="1"/>
        <rFont val="Calibri"/>
        <family val="2"/>
        <scheme val="minor"/>
      </rPr>
      <t>5 ha</t>
    </r>
    <r>
      <rPr>
        <sz val="11"/>
        <color theme="1"/>
        <rFont val="Calibri"/>
        <family val="2"/>
        <scheme val="minor"/>
      </rPr>
      <t>)</t>
    </r>
  </si>
  <si>
    <r>
      <t xml:space="preserve">EXTRA: Micasense image collection (1x </t>
    </r>
    <r>
      <rPr>
        <b/>
        <sz val="11"/>
        <color theme="1"/>
        <rFont val="Calibri"/>
        <family val="2"/>
        <scheme val="minor"/>
      </rPr>
      <t>5 ha</t>
    </r>
    <r>
      <rPr>
        <sz val="11"/>
        <color theme="1"/>
        <rFont val="Calibri"/>
        <family val="2"/>
        <scheme val="minor"/>
      </rPr>
      <t>)</t>
    </r>
  </si>
  <si>
    <r>
      <t xml:space="preserve">Micasense image collection (1x </t>
    </r>
    <r>
      <rPr>
        <b/>
        <sz val="11"/>
        <color theme="1"/>
        <rFont val="Calibri"/>
        <family val="2"/>
        <scheme val="minor"/>
      </rPr>
      <t>20 ha</t>
    </r>
    <r>
      <rPr>
        <sz val="11"/>
        <color theme="1"/>
        <rFont val="Calibri"/>
        <family val="2"/>
        <scheme val="minor"/>
      </rPr>
      <t>)</t>
    </r>
  </si>
  <si>
    <r>
      <t xml:space="preserve">RGB image collection (1x </t>
    </r>
    <r>
      <rPr>
        <b/>
        <sz val="11"/>
        <color theme="1"/>
        <rFont val="Calibri"/>
        <family val="2"/>
        <scheme val="minor"/>
      </rPr>
      <t>20 ha</t>
    </r>
    <r>
      <rPr>
        <sz val="11"/>
        <color theme="1"/>
        <rFont val="Calibri"/>
        <family val="2"/>
        <scheme val="minor"/>
      </rPr>
      <t>)</t>
    </r>
  </si>
  <si>
    <t>Paired sites are 20 ha  (40 total) and include 12 transects (24 total) each</t>
  </si>
  <si>
    <t>Cost per ha</t>
  </si>
  <si>
    <t>Drone-assisted scenario</t>
  </si>
  <si>
    <t>Field only scenario</t>
  </si>
  <si>
    <t>Drone-assisted minus field-only scenario</t>
  </si>
  <si>
    <t>Image collection days</t>
  </si>
  <si>
    <t>Sample collection days</t>
  </si>
  <si>
    <t>Number of transects per site pair in "Field-only" scenario:</t>
  </si>
  <si>
    <t>Data Acquisition</t>
  </si>
  <si>
    <t>Miscellaneous</t>
  </si>
  <si>
    <t>Processing and analysis</t>
  </si>
  <si>
    <t>Processing and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</si>
</sst>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164" formatCode="_(&quot;$&quot;* #,##0.00_);_(&quot;$&quot;* \(#,##0.00\);_(&quot;$&quot;* &quot;-&quot;??_);_(@_)"/>
    <numFmt numFmtId="165" formatCode="[$-F400]h:mm:ss\ AM/PM"/>
    <numFmt numFmtId="166" formatCode="hh:mm:ss;@"/>
    <numFmt numFmtId="167" formatCode="0.0"/>
    <numFmt numFmtId="168" formatCode="&quot;$&quot;#,##0.00"/>
    <numFmt numFmtId="169" formatCode="&quot;$&quot;#,##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Arial"/>
      <family val="2"/>
    </font>
    <font>
      <sz val="12"/>
      <color indexed="25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DEDED"/>
      </patternFill>
    </fill>
    <fill>
      <patternFill patternType="solid">
        <fgColor rgb="FFEDEDED"/>
        <bgColor theme="4" tint="0.79998168889431442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theme="4" tint="0.399975585192419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9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</cellStyleXfs>
  <cellXfs count="197">
    <xf numFmtId="0" fontId="0" fillId="0" borderId="0" xfId="0"/>
    <xf numFmtId="0" fontId="13" fillId="3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Continuous"/>
    </xf>
    <xf numFmtId="0" fontId="15" fillId="2" borderId="0" xfId="0" applyFont="1" applyFill="1" applyAlignment="1">
      <alignment vertical="top"/>
    </xf>
    <xf numFmtId="164" fontId="13" fillId="3" borderId="2" xfId="0" applyNumberFormat="1" applyFont="1" applyFill="1" applyBorder="1" applyAlignment="1">
      <alignment horizontal="center"/>
    </xf>
    <xf numFmtId="0" fontId="12" fillId="2" borderId="0" xfId="0" applyFont="1" applyFill="1"/>
    <xf numFmtId="0" fontId="10" fillId="6" borderId="2" xfId="3" applyBorder="1" applyAlignment="1">
      <alignment horizontal="center" vertical="center"/>
    </xf>
    <xf numFmtId="0" fontId="10" fillId="6" borderId="2" xfId="3" applyBorder="1"/>
    <xf numFmtId="164" fontId="10" fillId="6" borderId="2" xfId="3" applyNumberFormat="1" applyBorder="1" applyAlignment="1">
      <alignment horizontal="center" vertical="center"/>
    </xf>
    <xf numFmtId="6" fontId="10" fillId="6" borderId="2" xfId="3" applyNumberFormat="1" applyBorder="1" applyAlignment="1">
      <alignment horizontal="center" vertical="center"/>
    </xf>
    <xf numFmtId="0" fontId="10" fillId="6" borderId="2" xfId="3" quotePrefix="1" applyBorder="1" applyAlignment="1">
      <alignment horizontal="center" vertical="center"/>
    </xf>
    <xf numFmtId="0" fontId="10" fillId="5" borderId="1" xfId="2" applyBorder="1" applyAlignment="1">
      <alignment horizontal="center" vertical="center" wrapText="1"/>
    </xf>
    <xf numFmtId="0" fontId="10" fillId="5" borderId="1" xfId="2" applyBorder="1" applyAlignment="1">
      <alignment horizontal="center" vertical="center"/>
    </xf>
    <xf numFmtId="0" fontId="19" fillId="4" borderId="1" xfId="1" applyBorder="1" applyAlignment="1">
      <alignment horizontal="center" vertical="center" wrapText="1"/>
    </xf>
    <xf numFmtId="0" fontId="10" fillId="5" borderId="2" xfId="2" applyBorder="1" applyAlignment="1">
      <alignment horizontal="center" vertical="center"/>
    </xf>
    <xf numFmtId="0" fontId="10" fillId="5" borderId="2" xfId="2" applyBorder="1"/>
    <xf numFmtId="0" fontId="20" fillId="6" borderId="10" xfId="3" applyFont="1" applyBorder="1" applyAlignment="1">
      <alignment horizontal="center" vertical="center"/>
    </xf>
    <xf numFmtId="0" fontId="20" fillId="6" borderId="11" xfId="3" applyFont="1" applyBorder="1" applyAlignment="1">
      <alignment horizontal="center" vertical="center"/>
    </xf>
    <xf numFmtId="0" fontId="18" fillId="6" borderId="2" xfId="3" applyFont="1" applyBorder="1" applyAlignment="1">
      <alignment horizontal="center" vertical="center"/>
    </xf>
    <xf numFmtId="0" fontId="18" fillId="5" borderId="2" xfId="2" applyFont="1" applyBorder="1" applyAlignment="1">
      <alignment horizontal="center" vertical="center"/>
    </xf>
    <xf numFmtId="164" fontId="18" fillId="6" borderId="2" xfId="3" applyNumberFormat="1" applyFont="1" applyBorder="1" applyAlignment="1">
      <alignment horizontal="center" vertical="center"/>
    </xf>
    <xf numFmtId="6" fontId="18" fillId="6" borderId="2" xfId="3" applyNumberFormat="1" applyFont="1" applyBorder="1" applyAlignment="1">
      <alignment horizontal="center" vertical="center"/>
    </xf>
    <xf numFmtId="0" fontId="18" fillId="6" borderId="2" xfId="3" quotePrefix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right"/>
    </xf>
    <xf numFmtId="0" fontId="14" fillId="2" borderId="0" xfId="0" applyFont="1" applyFill="1" applyAlignment="1">
      <alignment horizontal="centerContinuous" wrapText="1"/>
    </xf>
    <xf numFmtId="0" fontId="0" fillId="7" borderId="0" xfId="0" applyFill="1"/>
    <xf numFmtId="0" fontId="21" fillId="2" borderId="0" xfId="0" applyFont="1" applyFill="1"/>
    <xf numFmtId="0" fontId="10" fillId="6" borderId="2" xfId="3" applyBorder="1" applyAlignment="1">
      <alignment horizontal="left" vertical="center"/>
    </xf>
    <xf numFmtId="0" fontId="18" fillId="6" borderId="2" xfId="3" applyFont="1" applyBorder="1" applyAlignment="1">
      <alignment horizontal="left" vertical="center"/>
    </xf>
    <xf numFmtId="164" fontId="10" fillId="6" borderId="2" xfId="3" applyNumberFormat="1" applyBorder="1" applyAlignment="1">
      <alignment horizontal="left" vertical="center"/>
    </xf>
    <xf numFmtId="0" fontId="18" fillId="6" borderId="2" xfId="3" applyFont="1" applyBorder="1" applyAlignment="1">
      <alignment horizontal="left"/>
    </xf>
    <xf numFmtId="0" fontId="10" fillId="6" borderId="2" xfId="3" applyBorder="1" applyAlignment="1">
      <alignment horizontal="left"/>
    </xf>
    <xf numFmtId="0" fontId="14" fillId="2" borderId="0" xfId="0" applyFont="1" applyFill="1" applyAlignment="1">
      <alignment horizontal="center"/>
    </xf>
    <xf numFmtId="0" fontId="17" fillId="6" borderId="2" xfId="3" applyFont="1" applyBorder="1" applyAlignment="1">
      <alignment horizontal="center" vertical="center"/>
    </xf>
    <xf numFmtId="164" fontId="17" fillId="6" borderId="2" xfId="3" applyNumberFormat="1" applyFont="1" applyBorder="1" applyAlignment="1">
      <alignment horizontal="center" vertical="center"/>
    </xf>
    <xf numFmtId="0" fontId="17" fillId="5" borderId="2" xfId="2" applyFont="1" applyBorder="1" applyAlignment="1">
      <alignment horizontal="center" vertical="center"/>
    </xf>
    <xf numFmtId="6" fontId="17" fillId="6" borderId="2" xfId="3" applyNumberFormat="1" applyFont="1" applyBorder="1" applyAlignment="1">
      <alignment horizontal="center" vertical="center"/>
    </xf>
    <xf numFmtId="0" fontId="11" fillId="7" borderId="0" xfId="0" applyFont="1" applyFill="1"/>
    <xf numFmtId="0" fontId="10" fillId="7" borderId="0" xfId="3" applyFill="1" applyBorder="1" applyAlignment="1">
      <alignment horizontal="left" vertical="center"/>
    </xf>
    <xf numFmtId="0" fontId="22" fillId="7" borderId="0" xfId="0" applyFont="1" applyFill="1"/>
    <xf numFmtId="0" fontId="10" fillId="7" borderId="0" xfId="3" applyFill="1" applyBorder="1" applyAlignment="1">
      <alignment horizontal="center" vertical="center"/>
    </xf>
    <xf numFmtId="0" fontId="10" fillId="7" borderId="0" xfId="2" applyFill="1" applyBorder="1" applyAlignment="1">
      <alignment horizontal="center" vertical="center"/>
    </xf>
    <xf numFmtId="0" fontId="23" fillId="7" borderId="0" xfId="0" applyFont="1" applyFill="1"/>
    <xf numFmtId="0" fontId="18" fillId="5" borderId="1" xfId="2" applyFont="1" applyBorder="1" applyAlignment="1">
      <alignment horizontal="center" vertical="center" wrapText="1"/>
    </xf>
    <xf numFmtId="0" fontId="16" fillId="4" borderId="1" xfId="1" applyFont="1" applyBorder="1" applyAlignment="1">
      <alignment horizontal="center" vertical="center" wrapText="1"/>
    </xf>
    <xf numFmtId="0" fontId="24" fillId="7" borderId="0" xfId="0" applyFont="1" applyFill="1"/>
    <xf numFmtId="0" fontId="18" fillId="5" borderId="1" xfId="2" applyFont="1" applyBorder="1" applyAlignment="1">
      <alignment horizontal="center" vertical="center"/>
    </xf>
    <xf numFmtId="0" fontId="9" fillId="7" borderId="0" xfId="3" applyFont="1" applyFill="1" applyBorder="1" applyAlignment="1">
      <alignment horizontal="left" vertical="center"/>
    </xf>
    <xf numFmtId="0" fontId="8" fillId="6" borderId="2" xfId="3" applyFont="1" applyBorder="1" applyAlignment="1">
      <alignment horizontal="center" vertical="center"/>
    </xf>
    <xf numFmtId="0" fontId="21" fillId="7" borderId="0" xfId="0" applyFont="1" applyFill="1"/>
    <xf numFmtId="0" fontId="7" fillId="6" borderId="2" xfId="3" applyFont="1" applyBorder="1" applyAlignment="1">
      <alignment horizontal="center" vertical="center"/>
    </xf>
    <xf numFmtId="0" fontId="18" fillId="7" borderId="0" xfId="2" applyFont="1" applyFill="1" applyBorder="1" applyAlignment="1">
      <alignment horizontal="center" vertical="center" wrapText="1"/>
    </xf>
    <xf numFmtId="0" fontId="18" fillId="7" borderId="0" xfId="3" applyFont="1" applyFill="1" applyBorder="1" applyAlignment="1">
      <alignment horizontal="left" vertical="center"/>
    </xf>
    <xf numFmtId="0" fontId="10" fillId="6" borderId="13" xfId="3" applyBorder="1" applyAlignment="1">
      <alignment horizontal="center" vertical="center"/>
    </xf>
    <xf numFmtId="0" fontId="10" fillId="5" borderId="13" xfId="2" applyBorder="1" applyAlignment="1">
      <alignment horizontal="center" vertical="center"/>
    </xf>
    <xf numFmtId="0" fontId="18" fillId="6" borderId="13" xfId="3" applyFont="1" applyBorder="1" applyAlignment="1">
      <alignment horizontal="center" vertical="center"/>
    </xf>
    <xf numFmtId="0" fontId="10" fillId="6" borderId="14" xfId="3" applyBorder="1" applyAlignment="1">
      <alignment horizontal="center" vertical="center"/>
    </xf>
    <xf numFmtId="0" fontId="18" fillId="7" borderId="0" xfId="3" applyFont="1" applyFill="1" applyBorder="1" applyAlignment="1">
      <alignment horizontal="center" vertical="center"/>
    </xf>
    <xf numFmtId="0" fontId="7" fillId="7" borderId="0" xfId="3" applyFont="1" applyFill="1" applyBorder="1" applyAlignment="1">
      <alignment horizontal="center" vertical="center"/>
    </xf>
    <xf numFmtId="0" fontId="7" fillId="7" borderId="0" xfId="3" applyFont="1" applyFill="1" applyBorder="1" applyAlignment="1">
      <alignment horizontal="left" vertical="center"/>
    </xf>
    <xf numFmtId="16" fontId="0" fillId="8" borderId="2" xfId="0" applyNumberFormat="1" applyFill="1" applyBorder="1"/>
    <xf numFmtId="165" fontId="0" fillId="8" borderId="2" xfId="0" applyNumberFormat="1" applyFill="1" applyBorder="1"/>
    <xf numFmtId="166" fontId="0" fillId="8" borderId="2" xfId="0" applyNumberFormat="1" applyFill="1" applyBorder="1"/>
    <xf numFmtId="16" fontId="0" fillId="10" borderId="2" xfId="0" applyNumberFormat="1" applyFill="1" applyBorder="1"/>
    <xf numFmtId="165" fontId="0" fillId="10" borderId="2" xfId="0" applyNumberFormat="1" applyFill="1" applyBorder="1"/>
    <xf numFmtId="0" fontId="7" fillId="6" borderId="13" xfId="3" applyFont="1" applyBorder="1" applyAlignment="1">
      <alignment horizontal="center" vertical="center"/>
    </xf>
    <xf numFmtId="16" fontId="0" fillId="8" borderId="15" xfId="0" applyNumberFormat="1" applyFill="1" applyBorder="1"/>
    <xf numFmtId="165" fontId="0" fillId="8" borderId="15" xfId="0" applyNumberFormat="1" applyFill="1" applyBorder="1"/>
    <xf numFmtId="0" fontId="7" fillId="5" borderId="2" xfId="2" applyFont="1" applyBorder="1" applyAlignment="1">
      <alignment horizontal="center" vertical="center"/>
    </xf>
    <xf numFmtId="166" fontId="26" fillId="8" borderId="2" xfId="0" applyNumberFormat="1" applyFont="1" applyFill="1" applyBorder="1"/>
    <xf numFmtId="0" fontId="10" fillId="9" borderId="14" xfId="3" applyFill="1" applyBorder="1" applyAlignment="1">
      <alignment horizontal="center" vertical="center"/>
    </xf>
    <xf numFmtId="0" fontId="10" fillId="9" borderId="12" xfId="3" applyFill="1" applyBorder="1" applyAlignment="1">
      <alignment horizontal="center" vertical="center"/>
    </xf>
    <xf numFmtId="0" fontId="18" fillId="5" borderId="11" xfId="2" applyFont="1" applyBorder="1" applyAlignment="1">
      <alignment horizontal="center" vertical="center" wrapText="1"/>
    </xf>
    <xf numFmtId="0" fontId="18" fillId="5" borderId="11" xfId="2" applyFont="1" applyBorder="1" applyAlignment="1">
      <alignment horizontal="center" vertical="center"/>
    </xf>
    <xf numFmtId="0" fontId="18" fillId="5" borderId="7" xfId="2" applyFont="1" applyBorder="1" applyAlignment="1">
      <alignment horizontal="center" vertical="center" wrapText="1"/>
    </xf>
    <xf numFmtId="166" fontId="10" fillId="6" borderId="13" xfId="3" applyNumberFormat="1" applyBorder="1" applyAlignment="1">
      <alignment horizontal="center" vertical="center"/>
    </xf>
    <xf numFmtId="165" fontId="0" fillId="10" borderId="12" xfId="0" applyNumberFormat="1" applyFill="1" applyBorder="1"/>
    <xf numFmtId="165" fontId="0" fillId="8" borderId="12" xfId="0" applyNumberFormat="1" applyFill="1" applyBorder="1"/>
    <xf numFmtId="0" fontId="18" fillId="5" borderId="16" xfId="2" applyFont="1" applyBorder="1" applyAlignment="1">
      <alignment horizontal="center" vertical="center" wrapText="1"/>
    </xf>
    <xf numFmtId="0" fontId="7" fillId="8" borderId="12" xfId="3" applyFont="1" applyFill="1" applyBorder="1" applyAlignment="1">
      <alignment horizontal="center" vertical="center"/>
    </xf>
    <xf numFmtId="16" fontId="11" fillId="10" borderId="2" xfId="2" applyNumberFormat="1" applyFont="1" applyFill="1" applyBorder="1" applyAlignment="1">
      <alignment horizontal="right" vertical="center" wrapText="1"/>
    </xf>
    <xf numFmtId="165" fontId="11" fillId="10" borderId="2" xfId="2" applyNumberFormat="1" applyFont="1" applyFill="1" applyBorder="1" applyAlignment="1">
      <alignment horizontal="right" vertical="center" wrapText="1"/>
    </xf>
    <xf numFmtId="1" fontId="10" fillId="6" borderId="2" xfId="3" applyNumberFormat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7" fillId="11" borderId="0" xfId="3" applyFont="1" applyFill="1" applyBorder="1" applyAlignment="1">
      <alignment horizontal="center" vertical="center"/>
    </xf>
    <xf numFmtId="0" fontId="7" fillId="11" borderId="0" xfId="2" applyFont="1" applyFill="1" applyBorder="1" applyAlignment="1">
      <alignment horizontal="center" vertical="center"/>
    </xf>
    <xf numFmtId="16" fontId="11" fillId="12" borderId="0" xfId="2" applyNumberFormat="1" applyFont="1" applyFill="1" applyBorder="1" applyAlignment="1">
      <alignment horizontal="right" vertical="center" wrapText="1"/>
    </xf>
    <xf numFmtId="165" fontId="11" fillId="12" borderId="0" xfId="2" applyNumberFormat="1" applyFont="1" applyFill="1" applyBorder="1" applyAlignment="1">
      <alignment horizontal="right" vertical="center" wrapText="1"/>
    </xf>
    <xf numFmtId="166" fontId="26" fillId="7" borderId="0" xfId="0" applyNumberFormat="1" applyFont="1" applyFill="1"/>
    <xf numFmtId="0" fontId="18" fillId="5" borderId="17" xfId="2" applyFont="1" applyBorder="1" applyAlignment="1">
      <alignment horizontal="center" vertical="center" wrapText="1"/>
    </xf>
    <xf numFmtId="0" fontId="7" fillId="5" borderId="13" xfId="2" applyFont="1" applyBorder="1" applyAlignment="1">
      <alignment horizontal="center" vertical="center"/>
    </xf>
    <xf numFmtId="16" fontId="11" fillId="10" borderId="13" xfId="2" applyNumberFormat="1" applyFont="1" applyFill="1" applyBorder="1" applyAlignment="1">
      <alignment horizontal="right" vertical="center" wrapText="1"/>
    </xf>
    <xf numFmtId="165" fontId="11" fillId="10" borderId="13" xfId="2" applyNumberFormat="1" applyFont="1" applyFill="1" applyBorder="1" applyAlignment="1">
      <alignment horizontal="right" vertical="center" wrapText="1"/>
    </xf>
    <xf numFmtId="166" fontId="26" fillId="8" borderId="13" xfId="0" applyNumberFormat="1" applyFont="1" applyFill="1" applyBorder="1"/>
    <xf numFmtId="0" fontId="7" fillId="8" borderId="14" xfId="3" applyFont="1" applyFill="1" applyBorder="1" applyAlignment="1">
      <alignment horizontal="center" vertical="center"/>
    </xf>
    <xf numFmtId="1" fontId="18" fillId="6" borderId="2" xfId="3" applyNumberFormat="1" applyFont="1" applyBorder="1" applyAlignment="1">
      <alignment horizontal="center" vertical="center"/>
    </xf>
    <xf numFmtId="0" fontId="10" fillId="7" borderId="0" xfId="3" quotePrefix="1" applyFill="1" applyBorder="1" applyAlignment="1">
      <alignment horizontal="left" vertical="center"/>
    </xf>
    <xf numFmtId="0" fontId="6" fillId="6" borderId="2" xfId="3" quotePrefix="1" applyFont="1" applyBorder="1" applyAlignment="1">
      <alignment horizontal="left" vertical="center"/>
    </xf>
    <xf numFmtId="0" fontId="6" fillId="6" borderId="2" xfId="3" applyFont="1" applyBorder="1" applyAlignment="1">
      <alignment horizontal="left" vertical="center"/>
    </xf>
    <xf numFmtId="0" fontId="18" fillId="7" borderId="0" xfId="2" applyFont="1" applyFill="1" applyBorder="1" applyAlignment="1">
      <alignment horizontal="center" vertical="center"/>
    </xf>
    <xf numFmtId="0" fontId="20" fillId="6" borderId="9" xfId="3" applyFont="1" applyBorder="1" applyAlignment="1">
      <alignment horizontal="center" vertical="center" wrapText="1"/>
    </xf>
    <xf numFmtId="0" fontId="20" fillId="6" borderId="6" xfId="3" applyFont="1" applyBorder="1" applyAlignment="1">
      <alignment horizontal="center" vertical="center" wrapText="1"/>
    </xf>
    <xf numFmtId="0" fontId="10" fillId="11" borderId="0" xfId="3" applyFill="1" applyBorder="1" applyAlignment="1">
      <alignment horizontal="center" vertical="center"/>
    </xf>
    <xf numFmtId="0" fontId="10" fillId="11" borderId="0" xfId="2" applyFill="1" applyBorder="1" applyAlignment="1">
      <alignment horizontal="center" vertical="center"/>
    </xf>
    <xf numFmtId="0" fontId="6" fillId="7" borderId="0" xfId="0" applyFont="1" applyFill="1"/>
    <xf numFmtId="166" fontId="0" fillId="7" borderId="0" xfId="0" applyNumberFormat="1" applyFill="1"/>
    <xf numFmtId="0" fontId="10" fillId="11" borderId="0" xfId="3" applyFill="1" applyBorder="1" applyAlignment="1">
      <alignment horizontal="left" vertical="center"/>
    </xf>
    <xf numFmtId="0" fontId="18" fillId="11" borderId="0" xfId="2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166" fontId="11" fillId="7" borderId="0" xfId="0" applyNumberFormat="1" applyFont="1" applyFill="1" applyAlignment="1">
      <alignment horizontal="center"/>
    </xf>
    <xf numFmtId="0" fontId="10" fillId="11" borderId="0" xfId="3" quotePrefix="1" applyFill="1" applyBorder="1" applyAlignment="1">
      <alignment horizontal="left" vertical="center"/>
    </xf>
    <xf numFmtId="0" fontId="6" fillId="12" borderId="0" xfId="0" applyFont="1" applyFill="1"/>
    <xf numFmtId="166" fontId="0" fillId="12" borderId="0" xfId="0" applyNumberFormat="1" applyFill="1"/>
    <xf numFmtId="166" fontId="21" fillId="7" borderId="0" xfId="0" applyNumberFormat="1" applyFont="1" applyFill="1"/>
    <xf numFmtId="0" fontId="5" fillId="7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8" fillId="5" borderId="10" xfId="2" applyFont="1" applyBorder="1" applyAlignment="1">
      <alignment horizontal="center" vertical="center" wrapText="1"/>
    </xf>
    <xf numFmtId="0" fontId="18" fillId="13" borderId="1" xfId="2" applyFont="1" applyFill="1" applyBorder="1" applyAlignment="1">
      <alignment horizontal="center" vertical="center" wrapText="1"/>
    </xf>
    <xf numFmtId="0" fontId="5" fillId="6" borderId="2" xfId="3" applyFont="1" applyBorder="1" applyAlignment="1">
      <alignment horizontal="center" vertical="center"/>
    </xf>
    <xf numFmtId="0" fontId="5" fillId="5" borderId="2" xfId="2" applyFont="1" applyBorder="1" applyAlignment="1">
      <alignment horizontal="center" vertical="center"/>
    </xf>
    <xf numFmtId="0" fontId="0" fillId="8" borderId="2" xfId="0" applyFill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167" fontId="27" fillId="8" borderId="2" xfId="0" applyNumberFormat="1" applyFont="1" applyFill="1" applyBorder="1" applyAlignment="1">
      <alignment horizontal="center" vertical="center" wrapText="1"/>
    </xf>
    <xf numFmtId="167" fontId="27" fillId="8" borderId="2" xfId="0" quotePrefix="1" applyNumberFormat="1" applyFont="1" applyFill="1" applyBorder="1" applyAlignment="1">
      <alignment horizontal="center" vertical="center" wrapText="1"/>
    </xf>
    <xf numFmtId="22" fontId="27" fillId="8" borderId="2" xfId="0" applyNumberFormat="1" applyFont="1" applyFill="1" applyBorder="1" applyAlignment="1">
      <alignment horizontal="center" vertical="center" wrapText="1"/>
    </xf>
    <xf numFmtId="1" fontId="27" fillId="8" borderId="2" xfId="0" applyNumberFormat="1" applyFont="1" applyFill="1" applyBorder="1" applyAlignment="1">
      <alignment horizontal="center" vertical="center" wrapText="1"/>
    </xf>
    <xf numFmtId="167" fontId="22" fillId="8" borderId="2" xfId="0" applyNumberFormat="1" applyFont="1" applyFill="1" applyBorder="1" applyAlignment="1">
      <alignment horizontal="center" vertical="center" wrapText="1"/>
    </xf>
    <xf numFmtId="167" fontId="5" fillId="8" borderId="2" xfId="3" applyNumberFormat="1" applyFont="1" applyFill="1" applyBorder="1" applyAlignment="1">
      <alignment horizontal="center" vertical="center"/>
    </xf>
    <xf numFmtId="167" fontId="5" fillId="6" borderId="2" xfId="3" applyNumberFormat="1" applyFont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5" fillId="10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left"/>
    </xf>
    <xf numFmtId="0" fontId="18" fillId="8" borderId="2" xfId="0" applyFont="1" applyFill="1" applyBorder="1" applyAlignment="1">
      <alignment horizontal="center"/>
    </xf>
    <xf numFmtId="167" fontId="18" fillId="8" borderId="2" xfId="0" applyNumberFormat="1" applyFont="1" applyFill="1" applyBorder="1" applyAlignment="1">
      <alignment horizontal="center"/>
    </xf>
    <xf numFmtId="1" fontId="18" fillId="8" borderId="2" xfId="0" applyNumberFormat="1" applyFont="1" applyFill="1" applyBorder="1" applyAlignment="1">
      <alignment horizontal="center"/>
    </xf>
    <xf numFmtId="167" fontId="24" fillId="8" borderId="2" xfId="0" applyNumberFormat="1" applyFont="1" applyFill="1" applyBorder="1" applyAlignment="1">
      <alignment horizontal="center"/>
    </xf>
    <xf numFmtId="167" fontId="18" fillId="8" borderId="2" xfId="3" applyNumberFormat="1" applyFont="1" applyFill="1" applyBorder="1" applyAlignment="1">
      <alignment horizontal="center" vertical="center"/>
    </xf>
    <xf numFmtId="167" fontId="18" fillId="6" borderId="2" xfId="3" applyNumberFormat="1" applyFont="1" applyBorder="1" applyAlignment="1">
      <alignment horizontal="center" vertical="center"/>
    </xf>
    <xf numFmtId="0" fontId="11" fillId="10" borderId="2" xfId="0" applyFont="1" applyFill="1" applyBorder="1" applyAlignment="1">
      <alignment horizontal="left"/>
    </xf>
    <xf numFmtId="0" fontId="11" fillId="10" borderId="2" xfId="0" applyFon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67" fontId="23" fillId="8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7" fontId="0" fillId="8" borderId="2" xfId="0" applyNumberForma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/>
    </xf>
    <xf numFmtId="0" fontId="5" fillId="10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left" vertical="center"/>
    </xf>
    <xf numFmtId="1" fontId="18" fillId="8" borderId="2" xfId="0" applyNumberFormat="1" applyFont="1" applyFill="1" applyBorder="1" applyAlignment="1">
      <alignment horizontal="center" vertical="center"/>
    </xf>
    <xf numFmtId="167" fontId="18" fillId="8" borderId="2" xfId="0" applyNumberFormat="1" applyFont="1" applyFill="1" applyBorder="1" applyAlignment="1">
      <alignment horizontal="center" vertical="center"/>
    </xf>
    <xf numFmtId="0" fontId="18" fillId="8" borderId="2" xfId="3" applyFont="1" applyFill="1" applyBorder="1" applyAlignment="1">
      <alignment horizontal="center" vertical="center"/>
    </xf>
    <xf numFmtId="0" fontId="11" fillId="2" borderId="0" xfId="0" applyFont="1" applyFill="1"/>
    <xf numFmtId="0" fontId="5" fillId="11" borderId="0" xfId="2" applyFont="1" applyFill="1" applyBorder="1" applyAlignment="1">
      <alignment horizontal="left" vertical="center"/>
    </xf>
    <xf numFmtId="1" fontId="10" fillId="7" borderId="0" xfId="3" applyNumberForma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left" vertical="center"/>
    </xf>
    <xf numFmtId="0" fontId="23" fillId="6" borderId="2" xfId="3" applyFont="1" applyBorder="1" applyAlignment="1">
      <alignment horizontal="center" vertical="center"/>
    </xf>
    <xf numFmtId="168" fontId="18" fillId="6" borderId="2" xfId="3" applyNumberFormat="1" applyFont="1" applyBorder="1" applyAlignment="1">
      <alignment horizontal="center" vertical="center"/>
    </xf>
    <xf numFmtId="168" fontId="10" fillId="6" borderId="2" xfId="3" applyNumberFormat="1" applyBorder="1" applyAlignment="1">
      <alignment horizontal="center" vertical="center"/>
    </xf>
    <xf numFmtId="168" fontId="3" fillId="6" borderId="2" xfId="3" applyNumberFormat="1" applyFont="1" applyBorder="1" applyAlignment="1">
      <alignment horizontal="center" vertical="center"/>
    </xf>
    <xf numFmtId="164" fontId="3" fillId="6" borderId="2" xfId="3" applyNumberFormat="1" applyFont="1" applyBorder="1" applyAlignment="1">
      <alignment horizontal="center" vertical="center"/>
    </xf>
    <xf numFmtId="0" fontId="3" fillId="6" borderId="2" xfId="3" quotePrefix="1" applyFont="1" applyBorder="1" applyAlignment="1">
      <alignment horizontal="center" vertical="center"/>
    </xf>
    <xf numFmtId="0" fontId="3" fillId="6" borderId="2" xfId="3" applyFont="1" applyBorder="1" applyAlignment="1">
      <alignment horizontal="center" vertical="center"/>
    </xf>
    <xf numFmtId="0" fontId="3" fillId="6" borderId="2" xfId="3" applyFont="1" applyBorder="1" applyAlignment="1">
      <alignment horizontal="left" vertical="center"/>
    </xf>
    <xf numFmtId="0" fontId="18" fillId="6" borderId="0" xfId="3" applyFont="1" applyBorder="1" applyAlignment="1">
      <alignment horizontal="center" vertical="center"/>
    </xf>
    <xf numFmtId="0" fontId="28" fillId="14" borderId="0" xfId="0" applyFont="1" applyFill="1"/>
    <xf numFmtId="0" fontId="16" fillId="4" borderId="10" xfId="1" applyFont="1" applyBorder="1" applyAlignment="1">
      <alignment horizontal="center" vertical="center" wrapText="1"/>
    </xf>
    <xf numFmtId="169" fontId="10" fillId="6" borderId="2" xfId="3" applyNumberFormat="1" applyBorder="1" applyAlignment="1">
      <alignment horizontal="center" vertical="center"/>
    </xf>
    <xf numFmtId="0" fontId="18" fillId="5" borderId="13" xfId="2" applyFont="1" applyBorder="1" applyAlignment="1">
      <alignment horizontal="center" vertical="center"/>
    </xf>
    <xf numFmtId="0" fontId="18" fillId="6" borderId="13" xfId="3" applyFont="1" applyBorder="1" applyAlignment="1">
      <alignment horizontal="left" vertical="center"/>
    </xf>
    <xf numFmtId="0" fontId="6" fillId="6" borderId="2" xfId="3" quotePrefix="1" applyFont="1" applyBorder="1" applyAlignment="1">
      <alignment horizontal="center" vertical="center"/>
    </xf>
    <xf numFmtId="0" fontId="6" fillId="6" borderId="2" xfId="3" applyFont="1" applyBorder="1" applyAlignment="1">
      <alignment horizontal="center" vertical="center"/>
    </xf>
    <xf numFmtId="164" fontId="23" fillId="6" borderId="2" xfId="3" applyNumberFormat="1" applyFont="1" applyBorder="1" applyAlignment="1">
      <alignment horizontal="center" vertical="center"/>
    </xf>
    <xf numFmtId="164" fontId="24" fillId="6" borderId="2" xfId="3" applyNumberFormat="1" applyFont="1" applyBorder="1" applyAlignment="1">
      <alignment horizontal="center" vertical="center"/>
    </xf>
    <xf numFmtId="0" fontId="24" fillId="6" borderId="2" xfId="3" applyFont="1" applyBorder="1" applyAlignment="1">
      <alignment horizontal="center" vertical="center"/>
    </xf>
    <xf numFmtId="6" fontId="23" fillId="6" borderId="2" xfId="3" applyNumberFormat="1" applyFont="1" applyBorder="1" applyAlignment="1">
      <alignment horizontal="center" vertical="center"/>
    </xf>
    <xf numFmtId="0" fontId="23" fillId="6" borderId="2" xfId="3" quotePrefix="1" applyFont="1" applyBorder="1" applyAlignment="1">
      <alignment horizontal="center" vertical="center"/>
    </xf>
    <xf numFmtId="0" fontId="24" fillId="6" borderId="2" xfId="3" quotePrefix="1" applyFont="1" applyBorder="1" applyAlignment="1">
      <alignment horizontal="center" vertical="center"/>
    </xf>
    <xf numFmtId="6" fontId="24" fillId="6" borderId="2" xfId="3" applyNumberFormat="1" applyFont="1" applyBorder="1" applyAlignment="1">
      <alignment horizontal="center" vertical="center"/>
    </xf>
    <xf numFmtId="0" fontId="16" fillId="4" borderId="16" xfId="1" applyFont="1" applyBorder="1" applyAlignment="1">
      <alignment horizontal="center" vertical="center" wrapText="1"/>
    </xf>
    <xf numFmtId="164" fontId="2" fillId="6" borderId="2" xfId="3" applyNumberFormat="1" applyFont="1" applyBorder="1" applyAlignment="1">
      <alignment horizontal="center" vertical="center"/>
    </xf>
    <xf numFmtId="0" fontId="20" fillId="6" borderId="8" xfId="3" applyFont="1" applyBorder="1" applyAlignment="1">
      <alignment horizontal="center" vertical="center" wrapText="1"/>
    </xf>
    <xf numFmtId="0" fontId="20" fillId="6" borderId="5" xfId="3" applyFont="1" applyBorder="1" applyAlignment="1">
      <alignment horizontal="center" vertical="center" wrapText="1"/>
    </xf>
    <xf numFmtId="0" fontId="20" fillId="6" borderId="9" xfId="3" applyFont="1" applyBorder="1" applyAlignment="1">
      <alignment horizontal="center" vertical="center" wrapText="1"/>
    </xf>
    <xf numFmtId="0" fontId="20" fillId="6" borderId="7" xfId="3" applyFont="1" applyBorder="1" applyAlignment="1">
      <alignment horizontal="center" vertical="center" wrapText="1"/>
    </xf>
    <xf numFmtId="0" fontId="20" fillId="6" borderId="3" xfId="3" applyFont="1" applyBorder="1" applyAlignment="1">
      <alignment horizontal="center" vertical="center" wrapText="1"/>
    </xf>
    <xf numFmtId="0" fontId="20" fillId="6" borderId="6" xfId="3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14" fillId="14" borderId="0" xfId="0" applyFont="1" applyFill="1" applyAlignment="1">
      <alignment horizontal="center" wrapText="1"/>
    </xf>
    <xf numFmtId="0" fontId="16" fillId="4" borderId="18" xfId="1" applyFont="1" applyBorder="1" applyAlignment="1">
      <alignment horizontal="center" vertical="center" wrapText="1"/>
    </xf>
    <xf numFmtId="0" fontId="16" fillId="4" borderId="19" xfId="1" applyFont="1" applyBorder="1" applyAlignment="1">
      <alignment horizontal="center" vertical="center" wrapText="1"/>
    </xf>
    <xf numFmtId="0" fontId="14" fillId="7" borderId="0" xfId="0" applyFont="1" applyFill="1" applyAlignment="1">
      <alignment horizontal="center" wrapText="1"/>
    </xf>
  </cellXfs>
  <cellStyles count="4">
    <cellStyle name="20% - Accent1" xfId="2" builtinId="30"/>
    <cellStyle name="20% - Accent3" xfId="3" builtinId="38"/>
    <cellStyle name="Accent1" xfId="1" builtinId="29"/>
    <cellStyle name="Normal" xfId="0" builtinId="0"/>
  </cellStyles>
  <dxfs count="3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double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hh:mm:ss;@"/>
      <fill>
        <patternFill patternType="solid">
          <fgColor indexed="64"/>
          <bgColor rgb="FFEDEDE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F400]h:mm:ss\ AM/PM"/>
      <fill>
        <patternFill patternType="solid">
          <fgColor theme="4" tint="0.79998168889431442"/>
          <bgColor rgb="FFEDEDED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F400]h:mm:ss\ AM/PM"/>
      <fill>
        <patternFill patternType="solid">
          <fgColor theme="4" tint="0.79998168889431442"/>
          <bgColor rgb="FFEDEDED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1" formatCode="dd/mmm"/>
      <fill>
        <patternFill patternType="solid">
          <fgColor theme="4" tint="0.79998168889431442"/>
          <bgColor rgb="FFEDEDED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rgb="FFEDEDED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hh:mm:ss;@"/>
      <fill>
        <patternFill patternType="solid">
          <fgColor theme="4" tint="0.79998168889431442"/>
          <bgColor rgb="FFEDEDE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F400]h:mm:ss\ AM/PM"/>
      <fill>
        <patternFill patternType="solid">
          <fgColor theme="4" tint="0.79998168889431442"/>
          <bgColor rgb="FFEDEDE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F400]h:mm:ss\ AM/PM"/>
      <fill>
        <patternFill patternType="solid">
          <fgColor theme="4" tint="0.79998168889431442"/>
          <bgColor rgb="FFEDEDE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1" formatCode="dd/mmm"/>
      <fill>
        <patternFill patternType="solid">
          <fgColor theme="4" tint="0.79998168889431442"/>
          <bgColor rgb="FFEDEDE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rgb="FFEDEDED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DEDED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31752</xdr:colOff>
      <xdr:row>36</xdr:row>
      <xdr:rowOff>111133</xdr:rowOff>
    </xdr:from>
    <xdr:to>
      <xdr:col>5</xdr:col>
      <xdr:colOff>762001</xdr:colOff>
      <xdr:row>54</xdr:row>
      <xdr:rowOff>49555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2" y="7104071"/>
          <a:ext cx="6937374" cy="3311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5:H34" totalsRowShown="0" headerRowDxfId="34" dataDxfId="32" headerRowBorderDxfId="33" tableBorderDxfId="31" headerRowCellStyle="20% - Accent1">
  <autoFilter ref="A25:H34" xr:uid="{00000000-0009-0000-0100-000001000000}"/>
  <tableColumns count="8">
    <tableColumn id="1" xr3:uid="{00000000-0010-0000-0000-000001000000}" name="ID" dataDxfId="30" dataCellStyle="20% - Accent3"/>
    <tableColumn id="2" xr3:uid="{00000000-0010-0000-0000-000002000000}" name="Column1" dataDxfId="29" dataCellStyle="20% - Accent1"/>
    <tableColumn id="3" xr3:uid="{00000000-0010-0000-0000-000003000000}" name="Transect " dataDxfId="28" dataCellStyle="20% - Accent3"/>
    <tableColumn id="4" xr3:uid="{00000000-0010-0000-0000-000004000000}" name="Date" dataDxfId="27"/>
    <tableColumn id="5" xr3:uid="{00000000-0010-0000-0000-000005000000}" name="Starttime" dataDxfId="26"/>
    <tableColumn id="6" xr3:uid="{00000000-0010-0000-0000-000006000000}" name="Endtime" dataDxfId="25"/>
    <tableColumn id="7" xr3:uid="{00000000-0010-0000-0000-000007000000}" name="Total time" dataDxfId="24"/>
    <tableColumn id="8" xr3:uid="{00000000-0010-0000-0000-000008000000}" name="Remarks" dataDxfId="23" dataCellStyle="20% - Accent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H18" totalsRowShown="0" headerRowDxfId="22" dataDxfId="21" tableBorderDxfId="20" headerRowCellStyle="20% - Accent1" dataCellStyle="20% - Accent1">
  <autoFilter ref="A16:H18" xr:uid="{00000000-0009-0000-0100-000002000000}"/>
  <tableColumns count="8">
    <tableColumn id="1" xr3:uid="{00000000-0010-0000-0100-000001000000}" name="ID" dataDxfId="19" dataCellStyle="20% - Accent3"/>
    <tableColumn id="2" xr3:uid="{00000000-0010-0000-0100-000002000000}" name="Column1" dataDxfId="18" dataCellStyle="20% - Accent1"/>
    <tableColumn id="3" xr3:uid="{00000000-0010-0000-0100-000003000000}" name="Task" dataDxfId="17" dataCellStyle="20% - Accent3"/>
    <tableColumn id="4" xr3:uid="{00000000-0010-0000-0100-000004000000}" name="Date" dataDxfId="16" dataCellStyle="20% - Accent1"/>
    <tableColumn id="5" xr3:uid="{00000000-0010-0000-0100-000005000000}" name="Starttime" dataDxfId="15" dataCellStyle="20% - Accent1"/>
    <tableColumn id="6" xr3:uid="{00000000-0010-0000-0100-000006000000}" name="Endtime" dataDxfId="14" dataCellStyle="20% - Accent1"/>
    <tableColumn id="7" xr3:uid="{00000000-0010-0000-0100-000007000000}" name="Total time" dataDxfId="13">
      <calculatedColumnFormula>Table2[[#This Row],[Endtime]]-Table2[[#This Row],[Starttime]]</calculatedColumnFormula>
    </tableColumn>
    <tableColumn id="8" xr3:uid="{00000000-0010-0000-0100-000008000000}" name="Remarks" dataDxfId="12" dataCellStyle="20% - Accent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963DF9-1FF2-40D1-B42B-24690AD4BAC5}" name="Table3" displayName="Table3" ref="A4:H14" totalsRowShown="0" headerRowDxfId="11" dataDxfId="9" headerRowBorderDxfId="10" tableBorderDxfId="8" totalsRowBorderDxfId="7" headerRowCellStyle="20% - Accent1" dataCellStyle="20% - Accent3">
  <autoFilter ref="A4:H14" xr:uid="{DB963DF9-1FF2-40D1-B42B-24690AD4BAC5}"/>
  <tableColumns count="8">
    <tableColumn id="1" xr3:uid="{FB761E47-C01C-45E0-AEED-3BCF440A3CD8}" name="ID" dataDxfId="6" dataCellStyle="20% - Accent3"/>
    <tableColumn id="2" xr3:uid="{E23013F0-36BF-4943-8708-DCDF12003BB8}" name="Column1" dataDxfId="5" dataCellStyle="20% - Accent1"/>
    <tableColumn id="3" xr3:uid="{B4938459-E037-477F-8936-AAAE7BDE6E7D}" name="Project Activity Name  " dataDxfId="4" dataCellStyle="20% - Accent3"/>
    <tableColumn id="4" xr3:uid="{B5E61C9B-4657-46E8-A50B-51CBA38FD10D}" name="Estimated Effort Time (hrs)_x000a_Drone-assisted approach FIXED" dataDxfId="3" dataCellStyle="20% - Accent3"/>
    <tableColumn id="5" xr3:uid="{FFCD5B3F-FA42-4754-B553-62F03FD349EA}" name="Estimated Effort Time (hrs)_x000a_Drone-assisted approach VARIABLE" dataDxfId="2" dataCellStyle="20% - Accent3"/>
    <tableColumn id="6" xr3:uid="{7A5B8851-2138-4E36-BAC2-8C9C07DEF712}" name="Estimated Effort Time (hrs)_x000a_Field-only approach _x000a_FIXED" dataDxfId="1" dataCellStyle="20% - Accent3"/>
    <tableColumn id="7" xr3:uid="{5CF4AD8F-CF2B-40D0-9C7D-25E92F848841}" name="Estimated Effort Time (hrs)_x000a_Field-only approach_x000a_VARIABLE" dataDxfId="0" dataCellStyle="20% - Accent3"/>
    <tableColumn id="8" xr3:uid="{C40B00B8-70A1-475F-B6CE-DE3D28153F5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O25"/>
  <sheetViews>
    <sheetView zoomScale="70" zoomScaleNormal="70" workbookViewId="0">
      <selection activeCell="D11" sqref="D11"/>
    </sheetView>
  </sheetViews>
  <sheetFormatPr defaultColWidth="0" defaultRowHeight="12.75" zeroHeight="1" x14ac:dyDescent="0.2"/>
  <cols>
    <col min="1" max="1" width="1.5703125" style="26" customWidth="1"/>
    <col min="2" max="2" width="12" style="26" customWidth="1"/>
    <col min="3" max="3" width="1.28515625" style="26" customWidth="1"/>
    <col min="4" max="4" width="39.140625" style="26" customWidth="1"/>
    <col min="5" max="5" width="9.28515625" style="26" customWidth="1"/>
    <col min="6" max="6" width="10.85546875" style="26" customWidth="1"/>
    <col min="7" max="7" width="11.85546875" style="26" customWidth="1"/>
    <col min="8" max="8" width="10.140625" style="26" customWidth="1"/>
    <col min="9" max="9" width="14.5703125" style="26" customWidth="1"/>
    <col min="10" max="10" width="38.85546875" style="26" customWidth="1"/>
    <col min="11" max="12" width="8.7109375" style="26" hidden="1" customWidth="1"/>
    <col min="13" max="13" width="12" style="26" hidden="1" customWidth="1"/>
    <col min="14" max="14" width="1.28515625" style="26" hidden="1" customWidth="1"/>
    <col min="15" max="15" width="39.140625" style="26" hidden="1" customWidth="1"/>
    <col min="16" max="16384" width="8.7109375" style="26" hidden="1"/>
  </cols>
  <sheetData>
    <row r="1" spans="1:10" x14ac:dyDescent="0.2"/>
    <row r="2" spans="1:10" ht="15" x14ac:dyDescent="0.25">
      <c r="A2" s="43"/>
      <c r="B2" s="46" t="s">
        <v>63</v>
      </c>
      <c r="C2" s="43"/>
      <c r="D2" s="43"/>
      <c r="E2" s="43"/>
      <c r="F2" s="43"/>
      <c r="G2" s="43"/>
      <c r="H2" s="43"/>
      <c r="I2" s="43"/>
      <c r="J2" s="43"/>
    </row>
    <row r="3" spans="1:10" s="38" customFormat="1" ht="15" x14ac:dyDescent="0.25">
      <c r="A3" s="43"/>
      <c r="B3" s="43" t="s">
        <v>64</v>
      </c>
      <c r="C3" s="43"/>
      <c r="D3" s="43"/>
      <c r="E3" s="43"/>
      <c r="F3" s="43"/>
      <c r="G3" s="43"/>
      <c r="H3" s="43"/>
      <c r="I3" s="43"/>
      <c r="J3" s="43"/>
    </row>
    <row r="4" spans="1:10" s="38" customFormat="1" ht="15" x14ac:dyDescent="0.25">
      <c r="A4" s="43"/>
      <c r="B4" s="43" t="s">
        <v>65</v>
      </c>
      <c r="C4" s="43"/>
      <c r="D4" s="43"/>
      <c r="E4" s="43"/>
      <c r="F4" s="43"/>
      <c r="G4" s="43"/>
      <c r="H4" s="43"/>
      <c r="I4" s="43"/>
      <c r="J4" s="43"/>
    </row>
    <row r="5" spans="1:10" s="38" customFormat="1" ht="15" x14ac:dyDescent="0.25">
      <c r="A5" s="43"/>
      <c r="B5" s="43" t="s">
        <v>66</v>
      </c>
      <c r="C5" s="43"/>
      <c r="D5" s="43"/>
      <c r="E5" s="43"/>
      <c r="F5" s="43"/>
      <c r="G5" s="43"/>
      <c r="H5" s="43"/>
      <c r="I5" s="43"/>
      <c r="J5" s="43"/>
    </row>
    <row r="6" spans="1:10" s="38" customFormat="1" ht="15" x14ac:dyDescent="0.25">
      <c r="A6" s="43"/>
      <c r="B6" s="43" t="s">
        <v>67</v>
      </c>
      <c r="C6" s="43"/>
      <c r="D6" s="43"/>
      <c r="E6" s="43"/>
      <c r="F6" s="43"/>
      <c r="G6" s="43"/>
      <c r="H6" s="43"/>
      <c r="I6" s="43"/>
      <c r="J6" s="43"/>
    </row>
    <row r="7" spans="1:10" s="38" customFormat="1" ht="15" x14ac:dyDescent="0.25">
      <c r="A7" s="43"/>
      <c r="B7" s="43" t="s">
        <v>68</v>
      </c>
      <c r="C7" s="43"/>
      <c r="D7" s="43"/>
      <c r="E7" s="43"/>
      <c r="F7" s="43"/>
      <c r="G7" s="43"/>
      <c r="H7" s="43"/>
      <c r="I7" s="43"/>
      <c r="J7" s="43"/>
    </row>
    <row r="8" spans="1:10" s="38" customFormat="1" ht="15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10" s="38" customFormat="1" ht="15" x14ac:dyDescent="0.25">
      <c r="A9" s="43"/>
      <c r="B9" s="46" t="s">
        <v>69</v>
      </c>
      <c r="C9" s="43"/>
      <c r="D9" s="43"/>
      <c r="E9" s="43"/>
      <c r="F9" s="43"/>
      <c r="G9" s="43"/>
      <c r="H9" s="43"/>
      <c r="I9" s="43"/>
      <c r="J9" s="43"/>
    </row>
    <row r="10" spans="1:10" s="38" customFormat="1" ht="15" x14ac:dyDescent="0.25">
      <c r="A10" s="43"/>
      <c r="B10" s="43" t="s">
        <v>70</v>
      </c>
      <c r="C10" s="43"/>
      <c r="D10" s="43"/>
      <c r="E10" s="43"/>
      <c r="F10" s="43"/>
      <c r="G10" s="43"/>
      <c r="H10" s="43"/>
      <c r="I10" s="43"/>
      <c r="J10" s="43"/>
    </row>
    <row r="11" spans="1:10" s="38" customFormat="1" ht="15" x14ac:dyDescent="0.25">
      <c r="A11" s="43"/>
      <c r="B11" s="43" t="s">
        <v>71</v>
      </c>
      <c r="C11" s="43"/>
      <c r="D11" s="43"/>
      <c r="E11" s="43"/>
      <c r="F11" s="43"/>
      <c r="G11" s="43"/>
      <c r="H11" s="43"/>
      <c r="I11" s="43"/>
      <c r="J11" s="43"/>
    </row>
    <row r="12" spans="1:10" s="38" customFormat="1" ht="15" x14ac:dyDescent="0.25">
      <c r="A12" s="43"/>
      <c r="B12" s="43" t="s">
        <v>72</v>
      </c>
      <c r="C12" s="43"/>
      <c r="D12" s="43"/>
      <c r="E12" s="43"/>
      <c r="F12" s="43"/>
      <c r="G12" s="43"/>
      <c r="H12" s="43"/>
      <c r="I12" s="43"/>
      <c r="J12" s="43"/>
    </row>
    <row r="13" spans="1:10" ht="15" x14ac:dyDescent="0.25">
      <c r="A13" s="43"/>
      <c r="B13" s="43" t="s">
        <v>79</v>
      </c>
      <c r="C13" s="43"/>
      <c r="D13" s="43"/>
      <c r="E13" s="43"/>
      <c r="F13" s="43"/>
      <c r="G13" s="43"/>
      <c r="H13" s="43"/>
      <c r="I13" s="43"/>
      <c r="J13" s="43"/>
    </row>
    <row r="14" spans="1:10" ht="15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</row>
    <row r="15" spans="1:10" ht="15" x14ac:dyDescent="0.25">
      <c r="A15" s="43"/>
      <c r="B15" s="46" t="s">
        <v>73</v>
      </c>
      <c r="C15" s="43"/>
      <c r="D15" s="43"/>
      <c r="E15" s="43"/>
      <c r="F15" s="43"/>
      <c r="G15" s="43"/>
      <c r="H15" s="43"/>
      <c r="I15" s="43"/>
      <c r="J15" s="43"/>
    </row>
    <row r="16" spans="1:10" ht="15" x14ac:dyDescent="0.25">
      <c r="A16" s="43"/>
      <c r="B16" s="43" t="s">
        <v>77</v>
      </c>
      <c r="C16" s="43"/>
      <c r="D16" s="43"/>
      <c r="E16" s="43"/>
      <c r="F16" s="43"/>
      <c r="G16" s="43"/>
      <c r="H16" s="43"/>
      <c r="I16" s="43"/>
      <c r="J16" s="43"/>
    </row>
    <row r="17" spans="1:10" ht="15" x14ac:dyDescent="0.25">
      <c r="A17" s="43"/>
      <c r="B17" s="43" t="s">
        <v>75</v>
      </c>
      <c r="C17" s="43"/>
      <c r="D17" s="43"/>
      <c r="E17" s="43"/>
      <c r="F17" s="43"/>
      <c r="G17" s="43"/>
      <c r="H17" s="43"/>
      <c r="I17" s="43"/>
      <c r="J17" s="43"/>
    </row>
    <row r="18" spans="1:10" ht="15" x14ac:dyDescent="0.25">
      <c r="A18" s="43"/>
      <c r="B18" s="48" t="s">
        <v>61</v>
      </c>
      <c r="C18" s="43"/>
      <c r="D18" s="43"/>
      <c r="E18" s="43"/>
      <c r="F18" s="43"/>
      <c r="G18" s="43"/>
      <c r="H18" s="43"/>
      <c r="I18" s="43"/>
      <c r="J18" s="43"/>
    </row>
    <row r="19" spans="1:10" ht="15" x14ac:dyDescent="0.25">
      <c r="A19" s="43"/>
      <c r="B19" s="159" t="s">
        <v>131</v>
      </c>
      <c r="C19" s="43"/>
      <c r="D19" s="43"/>
      <c r="E19" s="43"/>
      <c r="F19" s="43"/>
      <c r="G19" s="43"/>
      <c r="H19" s="43"/>
      <c r="I19" s="43"/>
      <c r="J19" s="43"/>
    </row>
    <row r="20" spans="1:10" ht="15" x14ac:dyDescent="0.25">
      <c r="A20" s="43"/>
      <c r="B20" s="43" t="s">
        <v>62</v>
      </c>
      <c r="C20" s="43"/>
      <c r="D20" s="43"/>
      <c r="E20" s="43"/>
      <c r="F20" s="43"/>
      <c r="G20" s="43"/>
      <c r="H20" s="43"/>
      <c r="I20" s="43"/>
      <c r="J20" s="43"/>
    </row>
    <row r="21" spans="1:10" ht="15" x14ac:dyDescent="0.25">
      <c r="A21" s="43"/>
      <c r="B21" s="43" t="s">
        <v>74</v>
      </c>
      <c r="C21" s="43"/>
      <c r="D21" s="43"/>
      <c r="E21" s="43"/>
      <c r="F21" s="43"/>
      <c r="G21" s="43"/>
      <c r="H21" s="43"/>
      <c r="I21" s="43"/>
      <c r="J21" s="43"/>
    </row>
    <row r="22" spans="1:10" ht="15" x14ac:dyDescent="0.25">
      <c r="A22" s="43"/>
      <c r="B22" s="39" t="s">
        <v>78</v>
      </c>
      <c r="C22" s="43"/>
      <c r="D22" s="43"/>
      <c r="E22" s="43"/>
      <c r="F22" s="43"/>
      <c r="G22" s="43"/>
      <c r="H22" s="43"/>
      <c r="I22" s="43"/>
      <c r="J22" s="43"/>
    </row>
    <row r="23" spans="1:10" ht="15" x14ac:dyDescent="0.25">
      <c r="A23" s="43"/>
      <c r="B23" s="43" t="s">
        <v>76</v>
      </c>
      <c r="C23" s="43"/>
      <c r="D23" s="43"/>
      <c r="E23" s="43"/>
      <c r="F23" s="43"/>
      <c r="G23" s="43"/>
      <c r="H23" s="43"/>
      <c r="I23" s="43"/>
      <c r="J23" s="43"/>
    </row>
    <row r="24" spans="1:10" ht="15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0" ht="15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C8F6-7AEB-4FEC-8F22-4BD98F4B6F7C}">
  <sheetPr>
    <tabColor theme="7" tint="0.59999389629810485"/>
  </sheetPr>
  <dimension ref="A1:DG138"/>
  <sheetViews>
    <sheetView tabSelected="1" zoomScale="70" zoomScaleNormal="70" workbookViewId="0">
      <selection activeCell="F4" sqref="F4"/>
    </sheetView>
  </sheetViews>
  <sheetFormatPr defaultColWidth="0" defaultRowHeight="12.75" customHeight="1" zeroHeight="1" x14ac:dyDescent="0.2"/>
  <cols>
    <col min="1" max="1" width="1.5703125" style="26" customWidth="1"/>
    <col min="2" max="2" width="12" customWidth="1"/>
    <col min="3" max="3" width="1.28515625" customWidth="1"/>
    <col min="4" max="4" width="39.140625" customWidth="1"/>
    <col min="5" max="5" width="15.7109375" customWidth="1"/>
    <col min="6" max="6" width="21.5703125" customWidth="1"/>
    <col min="7" max="7" width="15.7109375" customWidth="1"/>
    <col min="8" max="8" width="20" customWidth="1"/>
    <col min="9" max="9" width="20.7109375" customWidth="1"/>
    <col min="10" max="10" width="29.7109375" customWidth="1"/>
    <col min="11" max="11" width="38.85546875" customWidth="1"/>
    <col min="12" max="12" width="17.85546875" customWidth="1"/>
    <col min="13" max="13" width="28.28515625" customWidth="1"/>
    <col min="14" max="14" width="12" customWidth="1"/>
    <col min="15" max="15" width="1.28515625" customWidth="1"/>
    <col min="16" max="16" width="39.140625" customWidth="1"/>
    <col min="17" max="17" width="9.28515625" customWidth="1"/>
    <col min="18" max="18" width="10.85546875" customWidth="1"/>
    <col min="19" max="19" width="13.42578125" customWidth="1"/>
    <col min="20" max="20" width="10.140625" customWidth="1"/>
    <col min="21" max="21" width="20" customWidth="1"/>
    <col min="22" max="22" width="16.140625" customWidth="1"/>
    <col min="23" max="23" width="38.5703125" customWidth="1"/>
    <col min="24" max="25" width="8.7109375" customWidth="1"/>
    <col min="26" max="111" width="0" hidden="1" customWidth="1"/>
    <col min="112" max="16384" width="8.7109375" hidden="1"/>
  </cols>
  <sheetData>
    <row r="1" spans="1:111" s="26" customFormat="1" ht="12.75" customHeight="1" x14ac:dyDescent="0.2"/>
    <row r="2" spans="1:111" s="26" customFormat="1" ht="12.75" customHeight="1" x14ac:dyDescent="0.2"/>
    <row r="3" spans="1:111" s="26" customFormat="1" ht="27" customHeight="1" x14ac:dyDescent="0.3">
      <c r="B3" s="193" t="s">
        <v>140</v>
      </c>
      <c r="C3" s="193"/>
      <c r="D3" s="193"/>
      <c r="E3" s="169">
        <v>1</v>
      </c>
    </row>
    <row r="4" spans="1:111" s="26" customFormat="1" ht="46.5" customHeight="1" x14ac:dyDescent="0.3">
      <c r="B4" s="193" t="s">
        <v>167</v>
      </c>
      <c r="C4" s="193"/>
      <c r="D4" s="193"/>
      <c r="E4" s="169">
        <v>20</v>
      </c>
    </row>
    <row r="5" spans="1:111" s="26" customFormat="1" ht="12.75" customHeight="1" x14ac:dyDescent="0.2"/>
    <row r="6" spans="1:111" s="26" customFormat="1" ht="7.5" customHeight="1" thickBot="1" x14ac:dyDescent="0.3">
      <c r="A6" s="43"/>
      <c r="B6" s="43"/>
      <c r="C6" s="43"/>
      <c r="D6" s="43"/>
      <c r="E6" s="43"/>
      <c r="F6" s="43"/>
      <c r="G6" s="43"/>
      <c r="H6" s="43"/>
      <c r="I6" s="40"/>
      <c r="J6" s="40"/>
    </row>
    <row r="7" spans="1:111" s="26" customFormat="1" ht="41.25" customHeight="1" thickTop="1" thickBot="1" x14ac:dyDescent="0.3">
      <c r="A7" s="43"/>
      <c r="B7" s="43"/>
      <c r="C7" s="43"/>
      <c r="D7" s="43"/>
      <c r="E7" s="43"/>
      <c r="F7" s="43"/>
      <c r="G7" s="43"/>
      <c r="H7" s="194" t="s">
        <v>162</v>
      </c>
      <c r="I7" s="195"/>
      <c r="J7" s="45" t="s">
        <v>163</v>
      </c>
      <c r="K7" s="45" t="s">
        <v>162</v>
      </c>
      <c r="L7" s="45" t="s">
        <v>163</v>
      </c>
      <c r="M7" s="45" t="s">
        <v>164</v>
      </c>
    </row>
    <row r="8" spans="1:111" ht="31.5" thickTop="1" thickBot="1" x14ac:dyDescent="0.3">
      <c r="A8" s="43"/>
      <c r="B8" s="12"/>
      <c r="C8" s="13"/>
      <c r="D8" s="44" t="s">
        <v>60</v>
      </c>
      <c r="E8" s="170" t="s">
        <v>141</v>
      </c>
      <c r="F8" s="170" t="s">
        <v>142</v>
      </c>
      <c r="G8" s="170" t="s">
        <v>143</v>
      </c>
      <c r="H8" s="170" t="s">
        <v>165</v>
      </c>
      <c r="I8" s="183" t="s">
        <v>166</v>
      </c>
      <c r="J8" s="170" t="s">
        <v>166</v>
      </c>
      <c r="K8" s="170" t="s">
        <v>161</v>
      </c>
      <c r="L8" s="45" t="s">
        <v>161</v>
      </c>
      <c r="M8" s="45" t="s">
        <v>161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</row>
    <row r="9" spans="1:111" ht="15.75" thickTop="1" x14ac:dyDescent="0.25">
      <c r="A9" s="43"/>
      <c r="B9" s="19"/>
      <c r="C9" s="20"/>
      <c r="D9" s="7" t="s">
        <v>55</v>
      </c>
      <c r="E9" s="8">
        <f>E3*20</f>
        <v>20</v>
      </c>
      <c r="F9" s="8">
        <f>E3*20</f>
        <v>20</v>
      </c>
      <c r="G9" s="8">
        <f>SUM(E9:F9)</f>
        <v>40</v>
      </c>
      <c r="H9" s="8">
        <f>E3*2</f>
        <v>2</v>
      </c>
      <c r="I9" s="8">
        <f>E3*2</f>
        <v>2</v>
      </c>
      <c r="J9" s="8">
        <f>E3*2</f>
        <v>2</v>
      </c>
      <c r="K9" s="171">
        <f>J44</f>
        <v>481.60714285714289</v>
      </c>
      <c r="L9" s="171">
        <f>V76</f>
        <v>330.78273809523807</v>
      </c>
      <c r="M9" s="171">
        <f>K9-L9</f>
        <v>150.82440476190482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</row>
    <row r="10" spans="1:111" ht="15" x14ac:dyDescent="0.25">
      <c r="A10" s="43"/>
      <c r="B10" s="7"/>
      <c r="C10" s="15"/>
      <c r="D10" s="7" t="s">
        <v>59</v>
      </c>
      <c r="E10" s="8">
        <f>E3*20</f>
        <v>20</v>
      </c>
      <c r="F10" s="8">
        <f>E3*20</f>
        <v>20</v>
      </c>
      <c r="G10" s="8">
        <f>SUM(E10:F10)</f>
        <v>40</v>
      </c>
      <c r="H10" s="8">
        <f>G10/'2.2. Drone - Breakdown Struc'!F17</f>
        <v>0.8</v>
      </c>
      <c r="I10" s="8">
        <f>E3*2</f>
        <v>2</v>
      </c>
      <c r="J10" s="8">
        <f>E3*4</f>
        <v>4</v>
      </c>
      <c r="K10" s="171">
        <f>J77</f>
        <v>439.25</v>
      </c>
      <c r="L10" s="171">
        <f>V76</f>
        <v>330.78273809523807</v>
      </c>
      <c r="M10" s="171">
        <f>K10-L10</f>
        <v>108.46726190476193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</row>
    <row r="11" spans="1:111" s="26" customFormat="1" ht="15" x14ac:dyDescent="0.2">
      <c r="A11" s="40"/>
      <c r="B11" s="41"/>
      <c r="C11" s="42"/>
      <c r="D11" s="41"/>
      <c r="E11" s="41"/>
      <c r="F11" s="41"/>
      <c r="G11" s="41"/>
      <c r="H11" s="40"/>
      <c r="I11" s="40"/>
      <c r="J11" s="40"/>
    </row>
    <row r="12" spans="1:111" s="26" customFormat="1" x14ac:dyDescent="0.2"/>
    <row r="13" spans="1:111" ht="6.75" customHeigh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X13" s="26"/>
      <c r="Y13" s="26"/>
      <c r="Z13" s="26"/>
      <c r="AA13" s="26"/>
      <c r="AB13" s="26"/>
      <c r="AC13" s="26"/>
      <c r="AD13" s="26"/>
      <c r="AE13" s="26"/>
    </row>
    <row r="14" spans="1:111" ht="7.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6"/>
      <c r="Y14" s="26"/>
      <c r="Z14" s="26"/>
      <c r="AA14" s="26"/>
      <c r="AB14" s="26"/>
      <c r="AC14" s="26"/>
      <c r="AD14" s="26"/>
      <c r="AE14" s="26"/>
    </row>
    <row r="15" spans="1:111" ht="41.45" customHeight="1" x14ac:dyDescent="0.3">
      <c r="B15" s="191" t="s">
        <v>33</v>
      </c>
      <c r="C15" s="191"/>
      <c r="D15" s="192"/>
      <c r="E15" s="24" t="s">
        <v>32</v>
      </c>
      <c r="F15" s="1">
        <f>SUM(I44)</f>
        <v>19264.285714285714</v>
      </c>
      <c r="G15" s="4"/>
      <c r="H15" s="4"/>
      <c r="I15" s="2"/>
      <c r="J15" s="2"/>
      <c r="K15" s="33" t="s">
        <v>55</v>
      </c>
      <c r="L15" s="2"/>
      <c r="M15" s="2"/>
      <c r="N15" s="25" t="s">
        <v>34</v>
      </c>
      <c r="O15" s="3"/>
      <c r="P15" s="3"/>
      <c r="Q15" s="24" t="s">
        <v>32</v>
      </c>
      <c r="R15" s="1">
        <f>SUM(U44)</f>
        <v>8466.7857142857138</v>
      </c>
      <c r="S15" s="4"/>
      <c r="T15" s="4"/>
      <c r="U15" s="2"/>
      <c r="V15" s="2"/>
      <c r="W15" s="33" t="s">
        <v>129</v>
      </c>
      <c r="X15" s="26"/>
      <c r="Y15" s="26"/>
      <c r="Z15" s="26"/>
      <c r="AA15" s="26"/>
      <c r="AB15" s="26"/>
      <c r="AC15" s="26"/>
      <c r="AD15" s="26"/>
      <c r="AE15" s="26"/>
    </row>
    <row r="16" spans="1:111" ht="9.75" customHeight="1" thickBot="1" x14ac:dyDescent="0.25"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2"/>
      <c r="V16" s="2"/>
      <c r="W16" s="2"/>
      <c r="X16" s="26"/>
      <c r="Y16" s="26"/>
      <c r="Z16" s="26"/>
      <c r="AA16" s="26"/>
      <c r="AB16" s="26"/>
      <c r="AC16" s="26"/>
      <c r="AD16" s="26"/>
      <c r="AE16" s="26"/>
    </row>
    <row r="17" spans="1:31" ht="39" customHeight="1" thickTop="1" x14ac:dyDescent="0.2">
      <c r="B17" s="185" t="s">
        <v>5</v>
      </c>
      <c r="C17" s="186"/>
      <c r="D17" s="187"/>
      <c r="E17" s="185" t="s">
        <v>144</v>
      </c>
      <c r="F17" s="186"/>
      <c r="G17" s="186"/>
      <c r="H17" s="186"/>
      <c r="I17" s="187"/>
      <c r="J17" s="101"/>
      <c r="K17" s="17" t="s">
        <v>4</v>
      </c>
      <c r="L17" s="2"/>
      <c r="M17" s="2"/>
      <c r="N17" s="185" t="s">
        <v>7</v>
      </c>
      <c r="O17" s="186"/>
      <c r="P17" s="187"/>
      <c r="Q17" s="185" t="s">
        <v>145</v>
      </c>
      <c r="R17" s="186"/>
      <c r="S17" s="186"/>
      <c r="T17" s="186"/>
      <c r="U17" s="187"/>
      <c r="V17" s="101"/>
      <c r="W17" s="17" t="s">
        <v>4</v>
      </c>
      <c r="X17" s="26"/>
      <c r="Y17" s="26"/>
      <c r="Z17" s="26"/>
      <c r="AA17" s="26"/>
      <c r="AB17" s="26"/>
      <c r="AC17" s="26"/>
      <c r="AD17" s="26"/>
      <c r="AE17" s="26"/>
    </row>
    <row r="18" spans="1:31" ht="21" customHeight="1" thickBot="1" x14ac:dyDescent="0.25">
      <c r="B18" s="188"/>
      <c r="C18" s="189"/>
      <c r="D18" s="190"/>
      <c r="E18" s="188"/>
      <c r="F18" s="189"/>
      <c r="G18" s="189"/>
      <c r="H18" s="189"/>
      <c r="I18" s="190"/>
      <c r="J18" s="102"/>
      <c r="K18" s="18" t="s">
        <v>3</v>
      </c>
      <c r="L18" s="2"/>
      <c r="M18" s="2"/>
      <c r="N18" s="188"/>
      <c r="O18" s="189"/>
      <c r="P18" s="190"/>
      <c r="Q18" s="188"/>
      <c r="R18" s="189"/>
      <c r="S18" s="189"/>
      <c r="T18" s="189"/>
      <c r="U18" s="190"/>
      <c r="V18" s="102"/>
      <c r="W18" s="18" t="s">
        <v>3</v>
      </c>
      <c r="X18" s="26"/>
      <c r="Y18" s="26"/>
      <c r="Z18" s="26"/>
      <c r="AA18" s="26"/>
      <c r="AB18" s="26"/>
      <c r="AC18" s="26"/>
      <c r="AD18" s="26"/>
      <c r="AE18" s="26"/>
    </row>
    <row r="19" spans="1:31" ht="31.5" thickTop="1" thickBot="1" x14ac:dyDescent="0.25">
      <c r="B19" s="12" t="s">
        <v>26</v>
      </c>
      <c r="C19" s="13"/>
      <c r="D19" s="12" t="s">
        <v>27</v>
      </c>
      <c r="E19" s="14" t="s">
        <v>28</v>
      </c>
      <c r="F19" s="14" t="s">
        <v>29</v>
      </c>
      <c r="G19" s="14" t="s">
        <v>30</v>
      </c>
      <c r="H19" s="14" t="s">
        <v>6</v>
      </c>
      <c r="I19" s="14" t="s">
        <v>31</v>
      </c>
      <c r="J19" s="14" t="s">
        <v>134</v>
      </c>
      <c r="K19" s="12" t="s">
        <v>0</v>
      </c>
      <c r="L19" s="2"/>
      <c r="M19" s="2"/>
      <c r="N19" s="12" t="s">
        <v>26</v>
      </c>
      <c r="O19" s="13"/>
      <c r="P19" s="12" t="s">
        <v>27</v>
      </c>
      <c r="Q19" s="14" t="s">
        <v>28</v>
      </c>
      <c r="R19" s="14" t="s">
        <v>29</v>
      </c>
      <c r="S19" s="14" t="s">
        <v>30</v>
      </c>
      <c r="T19" s="14" t="s">
        <v>6</v>
      </c>
      <c r="U19" s="14" t="s">
        <v>31</v>
      </c>
      <c r="V19" s="14" t="s">
        <v>134</v>
      </c>
      <c r="W19" s="12" t="s">
        <v>0</v>
      </c>
      <c r="X19" s="26"/>
      <c r="Y19" s="26"/>
      <c r="Z19" s="26"/>
      <c r="AA19" s="26"/>
      <c r="AB19" s="26"/>
      <c r="AC19" s="26"/>
      <c r="AD19" s="26"/>
      <c r="AE19" s="26"/>
    </row>
    <row r="20" spans="1:31" ht="15.75" thickTop="1" x14ac:dyDescent="0.25">
      <c r="B20" s="19"/>
      <c r="C20" s="20"/>
      <c r="D20" s="23" t="s">
        <v>168</v>
      </c>
      <c r="E20" s="19"/>
      <c r="F20" s="19"/>
      <c r="G20" s="21"/>
      <c r="H20" s="21"/>
      <c r="I20" s="21">
        <f>SUM(I21:I22)</f>
        <v>6900</v>
      </c>
      <c r="J20" s="161">
        <f>I20/$G$9</f>
        <v>172.5</v>
      </c>
      <c r="K20" s="29"/>
      <c r="L20" s="2"/>
      <c r="M20" s="2"/>
      <c r="N20" s="19"/>
      <c r="O20" s="20"/>
      <c r="P20" s="23" t="s">
        <v>168</v>
      </c>
      <c r="Q20" s="19"/>
      <c r="R20" s="19"/>
      <c r="S20" s="21"/>
      <c r="T20" s="21"/>
      <c r="U20" s="21">
        <f>SUM(U21)</f>
        <v>4400</v>
      </c>
      <c r="V20" s="21">
        <f>U20/$G$9</f>
        <v>110</v>
      </c>
      <c r="W20" s="31"/>
      <c r="X20" s="26"/>
      <c r="Y20" s="26"/>
      <c r="Z20" s="26"/>
      <c r="AA20" s="26"/>
      <c r="AB20" s="26"/>
      <c r="AC20" s="26"/>
      <c r="AD20" s="26"/>
      <c r="AE20" s="26"/>
    </row>
    <row r="21" spans="1:31" ht="15" x14ac:dyDescent="0.2">
      <c r="B21" s="7">
        <v>1</v>
      </c>
      <c r="C21" s="15"/>
      <c r="D21" s="7" t="s">
        <v>15</v>
      </c>
      <c r="E21" s="7" t="s">
        <v>8</v>
      </c>
      <c r="F21" s="7">
        <f>E3*2</f>
        <v>2</v>
      </c>
      <c r="G21" s="9">
        <v>2200</v>
      </c>
      <c r="H21" s="9" t="s">
        <v>9</v>
      </c>
      <c r="I21" s="9">
        <f>SUM(G21*F21)</f>
        <v>4400</v>
      </c>
      <c r="J21" s="163">
        <f t="shared" ref="J21:J37" si="0">I21/$G$9</f>
        <v>110</v>
      </c>
      <c r="K21" s="28" t="s">
        <v>16</v>
      </c>
      <c r="L21" s="2"/>
      <c r="M21" s="2"/>
      <c r="N21" s="7">
        <v>1</v>
      </c>
      <c r="O21" s="15"/>
      <c r="P21" s="7" t="s">
        <v>15</v>
      </c>
      <c r="Q21" s="7" t="s">
        <v>8</v>
      </c>
      <c r="R21" s="7">
        <f>$E$3*2</f>
        <v>2</v>
      </c>
      <c r="S21" s="9">
        <v>2200</v>
      </c>
      <c r="T21" s="9" t="s">
        <v>9</v>
      </c>
      <c r="U21" s="9">
        <f>SUM(S21*R21)</f>
        <v>4400</v>
      </c>
      <c r="V21" s="164">
        <f>U21/$G$9</f>
        <v>110</v>
      </c>
      <c r="W21" s="28" t="s">
        <v>16</v>
      </c>
      <c r="X21" s="26"/>
      <c r="Y21" s="26"/>
      <c r="Z21" s="26"/>
      <c r="AA21" s="26"/>
      <c r="AB21" s="26"/>
      <c r="AC21" s="26"/>
      <c r="AD21" s="26"/>
      <c r="AE21" s="26"/>
    </row>
    <row r="22" spans="1:31" ht="15" x14ac:dyDescent="0.25">
      <c r="B22" s="7">
        <v>2</v>
      </c>
      <c r="C22" s="15"/>
      <c r="D22" s="7" t="s">
        <v>14</v>
      </c>
      <c r="E22" s="7" t="s">
        <v>8</v>
      </c>
      <c r="F22" s="7">
        <f>E3*2</f>
        <v>2</v>
      </c>
      <c r="G22" s="9">
        <v>1250</v>
      </c>
      <c r="H22" s="9" t="s">
        <v>9</v>
      </c>
      <c r="I22" s="9">
        <f t="shared" ref="I22:I25" si="1">SUM(G22*F22)</f>
        <v>2500</v>
      </c>
      <c r="J22" s="163">
        <f t="shared" si="0"/>
        <v>62.5</v>
      </c>
      <c r="K22" s="28" t="s">
        <v>24</v>
      </c>
      <c r="L22" s="2"/>
      <c r="M22" s="2"/>
      <c r="N22" s="7"/>
      <c r="O22" s="15"/>
      <c r="P22" s="7"/>
      <c r="Q22" s="7"/>
      <c r="R22" s="7"/>
      <c r="S22" s="9"/>
      <c r="T22" s="9"/>
      <c r="U22" s="8"/>
      <c r="V22" s="21"/>
      <c r="W22" s="28"/>
      <c r="X22" s="26"/>
      <c r="Y22" s="26"/>
      <c r="Z22" s="26"/>
      <c r="AA22" s="26"/>
      <c r="AB22" s="26"/>
      <c r="AC22" s="26"/>
      <c r="AD22" s="26"/>
      <c r="AE22" s="26"/>
    </row>
    <row r="23" spans="1:31" ht="15" x14ac:dyDescent="0.25">
      <c r="B23" s="7"/>
      <c r="C23" s="15"/>
      <c r="D23" s="7"/>
      <c r="E23" s="7"/>
      <c r="F23" s="7"/>
      <c r="G23" s="9"/>
      <c r="H23" s="9"/>
      <c r="I23" s="9"/>
      <c r="J23" s="161"/>
      <c r="K23" s="28"/>
      <c r="L23" s="2"/>
      <c r="M23" s="2"/>
      <c r="N23" s="19"/>
      <c r="O23" s="20"/>
      <c r="P23" s="19"/>
      <c r="Q23" s="19"/>
      <c r="R23" s="19"/>
      <c r="S23" s="21"/>
      <c r="T23" s="21"/>
      <c r="U23" s="21">
        <f>SUM(U24)</f>
        <v>220</v>
      </c>
      <c r="V23" s="21">
        <f>U23/$G$9</f>
        <v>5.5</v>
      </c>
      <c r="W23" s="31"/>
      <c r="X23" s="26"/>
      <c r="Y23" s="26"/>
      <c r="Z23" s="26"/>
      <c r="AA23" s="26"/>
      <c r="AB23" s="26"/>
      <c r="AC23" s="26"/>
      <c r="AD23" s="26"/>
      <c r="AE23" s="26"/>
    </row>
    <row r="24" spans="1:31" ht="15" x14ac:dyDescent="0.25">
      <c r="B24" s="19"/>
      <c r="C24" s="20"/>
      <c r="D24" s="19"/>
      <c r="E24" s="19"/>
      <c r="F24" s="19"/>
      <c r="G24" s="21"/>
      <c r="H24" s="21"/>
      <c r="I24" s="21">
        <f>SUM(I25:I26)</f>
        <v>440</v>
      </c>
      <c r="J24" s="161">
        <f t="shared" si="0"/>
        <v>11</v>
      </c>
      <c r="K24" s="29"/>
      <c r="L24" s="2"/>
      <c r="M24" s="2"/>
      <c r="N24" s="7">
        <v>2</v>
      </c>
      <c r="O24" s="15"/>
      <c r="P24" s="160" t="s">
        <v>133</v>
      </c>
      <c r="Q24" s="7" t="s">
        <v>10</v>
      </c>
      <c r="R24" s="7">
        <f>2*E3</f>
        <v>2</v>
      </c>
      <c r="S24" s="10">
        <v>110</v>
      </c>
      <c r="T24" s="7" t="s">
        <v>17</v>
      </c>
      <c r="U24" s="9">
        <f t="shared" ref="U24" si="2">SUM(S24*R24)</f>
        <v>220</v>
      </c>
      <c r="V24" s="164">
        <f>U24/$G$9</f>
        <v>5.5</v>
      </c>
      <c r="W24" s="32"/>
      <c r="X24" s="26"/>
      <c r="Y24" s="26"/>
      <c r="Z24" s="26"/>
      <c r="AA24" s="26"/>
      <c r="AB24" s="26"/>
      <c r="AC24" s="26"/>
      <c r="AD24" s="26"/>
      <c r="AE24" s="26"/>
    </row>
    <row r="25" spans="1:31" ht="15" x14ac:dyDescent="0.2">
      <c r="B25" s="7">
        <v>3</v>
      </c>
      <c r="C25" s="15"/>
      <c r="D25" s="7" t="s">
        <v>13</v>
      </c>
      <c r="E25" s="7" t="s">
        <v>10</v>
      </c>
      <c r="F25" s="7">
        <f>E3*2</f>
        <v>2</v>
      </c>
      <c r="G25" s="10">
        <v>110</v>
      </c>
      <c r="H25" s="160" t="s">
        <v>132</v>
      </c>
      <c r="I25" s="9">
        <f t="shared" si="1"/>
        <v>220</v>
      </c>
      <c r="J25" s="163">
        <f t="shared" si="0"/>
        <v>5.5</v>
      </c>
      <c r="K25" s="28"/>
      <c r="L25" s="2"/>
      <c r="M25" s="2"/>
      <c r="N25" s="7"/>
      <c r="O25" s="15"/>
      <c r="P25" s="49"/>
      <c r="Q25" s="7"/>
      <c r="R25" s="7"/>
      <c r="S25" s="10"/>
      <c r="T25" s="49"/>
      <c r="U25" s="9"/>
      <c r="V25" s="21"/>
      <c r="W25" s="28"/>
      <c r="X25" s="26"/>
      <c r="Y25" s="26"/>
      <c r="Z25" s="26"/>
      <c r="AA25" s="26"/>
      <c r="AB25" s="26"/>
      <c r="AC25" s="26"/>
      <c r="AD25" s="26"/>
      <c r="AE25" s="26"/>
    </row>
    <row r="26" spans="1:31" ht="15" x14ac:dyDescent="0.25">
      <c r="B26" s="7">
        <v>4</v>
      </c>
      <c r="C26" s="15"/>
      <c r="D26" s="160" t="s">
        <v>133</v>
      </c>
      <c r="E26" s="7" t="s">
        <v>10</v>
      </c>
      <c r="F26" s="7">
        <f>E3*2</f>
        <v>2</v>
      </c>
      <c r="G26" s="10">
        <v>110</v>
      </c>
      <c r="H26" s="160" t="s">
        <v>132</v>
      </c>
      <c r="I26" s="9">
        <f>G26*F26</f>
        <v>220</v>
      </c>
      <c r="J26" s="163">
        <f t="shared" si="0"/>
        <v>5.5</v>
      </c>
      <c r="K26" s="28"/>
      <c r="L26" s="2"/>
      <c r="M26" s="2"/>
      <c r="N26" s="19"/>
      <c r="O26" s="20"/>
      <c r="P26" s="23" t="s">
        <v>169</v>
      </c>
      <c r="Q26" s="19"/>
      <c r="R26" s="19"/>
      <c r="S26" s="19"/>
      <c r="T26" s="19"/>
      <c r="U26" s="22">
        <f>SUM(U27:U30)</f>
        <v>2114.2857142857142</v>
      </c>
      <c r="V26" s="21">
        <f>U26/$G$9</f>
        <v>52.857142857142854</v>
      </c>
      <c r="W26" s="31"/>
      <c r="X26" s="26"/>
      <c r="Y26" s="26"/>
      <c r="Z26" s="26"/>
      <c r="AA26" s="26"/>
      <c r="AB26" s="26"/>
      <c r="AC26" s="26"/>
      <c r="AD26" s="26"/>
      <c r="AE26" s="26"/>
    </row>
    <row r="27" spans="1:31" ht="15" x14ac:dyDescent="0.25">
      <c r="B27" s="7"/>
      <c r="C27" s="15"/>
      <c r="D27" s="34"/>
      <c r="E27" s="34"/>
      <c r="F27" s="34"/>
      <c r="G27" s="37"/>
      <c r="H27" s="34"/>
      <c r="I27" s="35"/>
      <c r="J27" s="161"/>
      <c r="K27" s="28"/>
      <c r="L27" s="2"/>
      <c r="M27" s="2"/>
      <c r="N27" s="7">
        <v>3</v>
      </c>
      <c r="O27" s="15"/>
      <c r="P27" s="11" t="s">
        <v>20</v>
      </c>
      <c r="Q27" s="7" t="s">
        <v>2</v>
      </c>
      <c r="R27" s="7">
        <f>2*E3</f>
        <v>2</v>
      </c>
      <c r="S27" s="10">
        <v>150</v>
      </c>
      <c r="T27" s="7" t="s">
        <v>17</v>
      </c>
      <c r="U27" s="10">
        <f>S27*R27</f>
        <v>300</v>
      </c>
      <c r="V27" s="164">
        <f>U27/$G$9</f>
        <v>7.5</v>
      </c>
      <c r="W27" s="32"/>
      <c r="X27" s="26"/>
      <c r="Y27" s="26"/>
      <c r="Z27" s="26"/>
      <c r="AA27" s="26"/>
      <c r="AB27" s="26"/>
      <c r="AC27" s="26"/>
      <c r="AD27" s="26"/>
      <c r="AE27" s="26"/>
    </row>
    <row r="28" spans="1:31" ht="15" x14ac:dyDescent="0.2">
      <c r="B28" s="19"/>
      <c r="C28" s="20"/>
      <c r="D28" s="23" t="s">
        <v>169</v>
      </c>
      <c r="E28" s="19"/>
      <c r="F28" s="19"/>
      <c r="G28" s="19"/>
      <c r="H28" s="19"/>
      <c r="I28" s="21">
        <f>SUM(I29:I33)</f>
        <v>3014.2857142857142</v>
      </c>
      <c r="J28" s="161">
        <f t="shared" si="0"/>
        <v>75.357142857142861</v>
      </c>
      <c r="K28" s="29"/>
      <c r="L28" s="2"/>
      <c r="M28" s="2"/>
      <c r="N28" s="7">
        <v>4</v>
      </c>
      <c r="O28" s="15"/>
      <c r="P28" s="165" t="s">
        <v>135</v>
      </c>
      <c r="Q28" s="7" t="s">
        <v>2</v>
      </c>
      <c r="R28" s="7">
        <f>2*E3</f>
        <v>2</v>
      </c>
      <c r="S28" s="10">
        <v>150</v>
      </c>
      <c r="T28" s="7" t="s">
        <v>12</v>
      </c>
      <c r="U28" s="10">
        <f>S28*R28</f>
        <v>300</v>
      </c>
      <c r="V28" s="164">
        <f>U28/$G$9</f>
        <v>7.5</v>
      </c>
      <c r="W28" s="28" t="s">
        <v>23</v>
      </c>
      <c r="X28" s="26"/>
      <c r="Y28" s="26"/>
      <c r="Z28" s="26"/>
      <c r="AA28" s="26"/>
      <c r="AB28" s="26"/>
      <c r="AC28" s="26"/>
      <c r="AD28" s="26"/>
      <c r="AE28" s="26"/>
    </row>
    <row r="29" spans="1:31" ht="15" x14ac:dyDescent="0.2">
      <c r="A29" s="19"/>
      <c r="B29" s="7">
        <v>5</v>
      </c>
      <c r="C29" s="15"/>
      <c r="D29" s="11" t="s">
        <v>20</v>
      </c>
      <c r="E29" s="7" t="s">
        <v>2</v>
      </c>
      <c r="F29" s="7">
        <f>E3*2</f>
        <v>2</v>
      </c>
      <c r="G29" s="10">
        <v>150</v>
      </c>
      <c r="H29" s="166" t="s">
        <v>132</v>
      </c>
      <c r="I29" s="9">
        <f>SUM(G29*F29)</f>
        <v>300</v>
      </c>
      <c r="J29" s="163">
        <f t="shared" si="0"/>
        <v>7.5</v>
      </c>
      <c r="K29" s="28"/>
      <c r="L29" s="2"/>
      <c r="M29" s="2"/>
      <c r="N29" s="7">
        <v>5</v>
      </c>
      <c r="O29" s="15"/>
      <c r="P29" s="11" t="s">
        <v>18</v>
      </c>
      <c r="Q29" s="7" t="s">
        <v>2</v>
      </c>
      <c r="R29" s="7">
        <f>E3*2*2</f>
        <v>4</v>
      </c>
      <c r="S29" s="10">
        <v>300</v>
      </c>
      <c r="T29" s="7" t="s">
        <v>9</v>
      </c>
      <c r="U29" s="10">
        <f>S29*R29</f>
        <v>1200</v>
      </c>
      <c r="V29" s="164">
        <f>U29/$G$9</f>
        <v>30</v>
      </c>
      <c r="W29" s="28"/>
      <c r="X29" s="26"/>
      <c r="Y29" s="26"/>
      <c r="Z29" s="26"/>
      <c r="AA29" s="26"/>
      <c r="AB29" s="26"/>
      <c r="AC29" s="26"/>
      <c r="AD29" s="26"/>
      <c r="AE29" s="26"/>
    </row>
    <row r="30" spans="1:31" ht="15" x14ac:dyDescent="0.2">
      <c r="A30" s="168"/>
      <c r="B30" s="7">
        <v>6</v>
      </c>
      <c r="C30" s="15"/>
      <c r="D30" s="165" t="s">
        <v>135</v>
      </c>
      <c r="E30" s="7" t="s">
        <v>2</v>
      </c>
      <c r="F30" s="7">
        <f>E3*2</f>
        <v>2</v>
      </c>
      <c r="G30" s="10">
        <v>150</v>
      </c>
      <c r="H30" s="7" t="s">
        <v>12</v>
      </c>
      <c r="I30" s="9">
        <f>SUM(G30*F30)</f>
        <v>300</v>
      </c>
      <c r="J30" s="163">
        <f t="shared" si="0"/>
        <v>7.5</v>
      </c>
      <c r="K30" s="28"/>
      <c r="L30" s="2"/>
      <c r="M30" s="2"/>
      <c r="N30" s="7">
        <v>6</v>
      </c>
      <c r="O30" s="15"/>
      <c r="P30" s="7" t="s">
        <v>21</v>
      </c>
      <c r="Q30" s="7" t="s">
        <v>2</v>
      </c>
      <c r="R30" s="7">
        <f>((E3*2)/7)*1100</f>
        <v>314.28571428571428</v>
      </c>
      <c r="S30" s="10">
        <v>1</v>
      </c>
      <c r="T30" s="7" t="s">
        <v>19</v>
      </c>
      <c r="U30" s="10">
        <f>S30*R30</f>
        <v>314.28571428571428</v>
      </c>
      <c r="V30" s="21">
        <f>U30/$G$9</f>
        <v>7.8571428571428568</v>
      </c>
      <c r="W30" s="167" t="s">
        <v>152</v>
      </c>
      <c r="X30" s="26"/>
      <c r="Y30" s="26"/>
      <c r="Z30" s="26"/>
      <c r="AA30" s="26"/>
      <c r="AB30" s="26"/>
      <c r="AC30" s="26"/>
      <c r="AD30" s="26"/>
      <c r="AE30" s="26"/>
    </row>
    <row r="31" spans="1:31" ht="15" x14ac:dyDescent="0.2">
      <c r="B31" s="7">
        <v>7</v>
      </c>
      <c r="C31" s="15"/>
      <c r="D31" s="165" t="s">
        <v>136</v>
      </c>
      <c r="E31" s="7" t="s">
        <v>2</v>
      </c>
      <c r="F31" s="7">
        <f>E3*2</f>
        <v>2</v>
      </c>
      <c r="G31" s="10">
        <v>150</v>
      </c>
      <c r="H31" s="7" t="s">
        <v>12</v>
      </c>
      <c r="I31" s="9">
        <f>SUM(G31*F31)</f>
        <v>300</v>
      </c>
      <c r="J31" s="163">
        <f t="shared" si="0"/>
        <v>7.5</v>
      </c>
      <c r="K31" s="28" t="s">
        <v>11</v>
      </c>
      <c r="L31" s="2"/>
      <c r="M31" s="2"/>
      <c r="N31" s="7"/>
      <c r="O31" s="15"/>
      <c r="P31" s="11"/>
      <c r="Q31" s="7"/>
      <c r="R31" s="7"/>
      <c r="S31" s="10"/>
      <c r="T31" s="7"/>
      <c r="U31" s="10"/>
      <c r="V31" s="21"/>
      <c r="W31" s="28"/>
      <c r="X31" s="26"/>
      <c r="Y31" s="26"/>
      <c r="Z31" s="26"/>
      <c r="AA31" s="26"/>
      <c r="AB31" s="26"/>
      <c r="AC31" s="26"/>
      <c r="AD31" s="26"/>
      <c r="AE31" s="26"/>
    </row>
    <row r="32" spans="1:31" ht="15" x14ac:dyDescent="0.2">
      <c r="B32" s="7">
        <v>8</v>
      </c>
      <c r="C32" s="15"/>
      <c r="D32" s="165" t="s">
        <v>18</v>
      </c>
      <c r="E32" s="7" t="s">
        <v>2</v>
      </c>
      <c r="F32" s="7">
        <f>E3*2*3</f>
        <v>6</v>
      </c>
      <c r="G32" s="10">
        <v>300</v>
      </c>
      <c r="H32" s="7" t="s">
        <v>9</v>
      </c>
      <c r="I32" s="9">
        <f>SUM(G32*F32)</f>
        <v>1800</v>
      </c>
      <c r="J32" s="163">
        <f t="shared" si="0"/>
        <v>45</v>
      </c>
      <c r="K32" s="28"/>
      <c r="L32" s="2"/>
      <c r="M32" s="2"/>
      <c r="N32" s="19"/>
      <c r="O32" s="20"/>
      <c r="P32" s="23" t="s">
        <v>171</v>
      </c>
      <c r="Q32" s="19"/>
      <c r="R32" s="19"/>
      <c r="S32" s="22"/>
      <c r="T32" s="19"/>
      <c r="U32" s="22">
        <f>SUM(U33:U34)</f>
        <v>1732.5</v>
      </c>
      <c r="V32" s="21">
        <f>U32/$G$9</f>
        <v>43.3125</v>
      </c>
      <c r="W32" s="29"/>
      <c r="X32" s="26"/>
      <c r="Y32" s="26"/>
      <c r="Z32" s="26"/>
      <c r="AA32" s="26"/>
      <c r="AB32" s="26"/>
      <c r="AC32" s="26"/>
      <c r="AD32" s="26"/>
      <c r="AE32" s="26"/>
    </row>
    <row r="33" spans="2:31" ht="15" x14ac:dyDescent="0.2">
      <c r="B33" s="7">
        <v>9</v>
      </c>
      <c r="C33" s="15"/>
      <c r="D33" s="7" t="s">
        <v>21</v>
      </c>
      <c r="E33" s="7" t="s">
        <v>2</v>
      </c>
      <c r="F33" s="7">
        <f>((E3*2)/7)*1100</f>
        <v>314.28571428571428</v>
      </c>
      <c r="G33" s="10">
        <v>1</v>
      </c>
      <c r="H33" s="7" t="s">
        <v>19</v>
      </c>
      <c r="I33" s="9">
        <f>SUM(G33*F33)</f>
        <v>314.28571428571428</v>
      </c>
      <c r="J33" s="163">
        <f t="shared" si="0"/>
        <v>7.8571428571428568</v>
      </c>
      <c r="K33" s="167" t="s">
        <v>152</v>
      </c>
      <c r="L33" s="2"/>
      <c r="M33" s="2"/>
      <c r="N33" s="7">
        <v>7</v>
      </c>
      <c r="O33" s="15"/>
      <c r="P33" s="166" t="s">
        <v>138</v>
      </c>
      <c r="Q33" s="7" t="s">
        <v>8</v>
      </c>
      <c r="R33" s="7">
        <f>'2.3. Processing - Breakdown'!F14</f>
        <v>1</v>
      </c>
      <c r="S33" s="10">
        <v>1320</v>
      </c>
      <c r="T33" s="7" t="s">
        <v>9</v>
      </c>
      <c r="U33" s="10">
        <f>S33*R33</f>
        <v>1320</v>
      </c>
      <c r="V33" s="164">
        <f>U33/$G$9</f>
        <v>33</v>
      </c>
      <c r="W33" s="28" t="s">
        <v>80</v>
      </c>
      <c r="X33" s="26"/>
      <c r="Y33" s="26"/>
      <c r="Z33" s="26"/>
      <c r="AA33" s="26"/>
      <c r="AB33" s="26"/>
      <c r="AC33" s="26"/>
      <c r="AD33" s="26"/>
      <c r="AE33" s="26"/>
    </row>
    <row r="34" spans="2:31" ht="15" x14ac:dyDescent="0.2">
      <c r="B34" s="7"/>
      <c r="C34" s="15"/>
      <c r="D34" s="7"/>
      <c r="E34" s="7"/>
      <c r="F34" s="7"/>
      <c r="G34" s="7"/>
      <c r="H34" s="7"/>
      <c r="I34" s="9"/>
      <c r="J34" s="161"/>
      <c r="K34" s="28"/>
      <c r="L34" s="2"/>
      <c r="M34" s="2"/>
      <c r="N34" s="7">
        <v>8</v>
      </c>
      <c r="O34" s="15"/>
      <c r="P34" s="166" t="s">
        <v>139</v>
      </c>
      <c r="Q34" s="7" t="s">
        <v>8</v>
      </c>
      <c r="R34" s="7">
        <f>'2.3. Processing - Breakdown'!G14*E3</f>
        <v>0.3125</v>
      </c>
      <c r="S34" s="10">
        <v>1320</v>
      </c>
      <c r="T34" s="7" t="s">
        <v>9</v>
      </c>
      <c r="U34" s="10">
        <f>S34*R34</f>
        <v>412.5</v>
      </c>
      <c r="V34" s="164">
        <f>U34/$G$9</f>
        <v>10.3125</v>
      </c>
      <c r="W34" s="28"/>
      <c r="X34" s="26"/>
      <c r="Y34" s="26"/>
      <c r="Z34" s="26"/>
      <c r="AA34" s="26"/>
      <c r="AB34" s="26"/>
      <c r="AC34" s="26"/>
      <c r="AD34" s="26"/>
      <c r="AE34" s="26"/>
    </row>
    <row r="35" spans="2:31" ht="15" x14ac:dyDescent="0.25">
      <c r="B35" s="7"/>
      <c r="C35" s="15"/>
      <c r="D35" s="23" t="s">
        <v>171</v>
      </c>
      <c r="E35" s="19"/>
      <c r="F35" s="19"/>
      <c r="G35" s="22"/>
      <c r="H35" s="19"/>
      <c r="I35" s="22">
        <f>SUM(I36:I37)</f>
        <v>8910</v>
      </c>
      <c r="J35" s="161">
        <f t="shared" si="0"/>
        <v>222.75</v>
      </c>
      <c r="K35" s="29"/>
      <c r="L35" s="2"/>
      <c r="M35" s="2"/>
      <c r="N35" s="8"/>
      <c r="O35" s="16"/>
      <c r="P35" s="8"/>
      <c r="Q35" s="8"/>
      <c r="R35" s="8"/>
      <c r="S35" s="8"/>
      <c r="T35" s="8"/>
      <c r="U35" s="8"/>
      <c r="V35" s="8"/>
      <c r="W35" s="32"/>
      <c r="X35" s="26"/>
      <c r="Y35" s="26"/>
      <c r="Z35" s="26"/>
      <c r="AA35" s="26"/>
      <c r="AB35" s="26"/>
      <c r="AC35" s="26"/>
      <c r="AD35" s="26"/>
      <c r="AE35" s="26"/>
    </row>
    <row r="36" spans="2:31" ht="15" x14ac:dyDescent="0.25">
      <c r="B36" s="7">
        <v>10</v>
      </c>
      <c r="C36" s="15"/>
      <c r="D36" s="166" t="s">
        <v>138</v>
      </c>
      <c r="E36" s="7" t="s">
        <v>8</v>
      </c>
      <c r="F36" s="7">
        <f>'2.3. Processing - Breakdown'!D14</f>
        <v>5.75</v>
      </c>
      <c r="G36" s="10">
        <v>1320</v>
      </c>
      <c r="H36" s="7" t="s">
        <v>9</v>
      </c>
      <c r="I36" s="10">
        <f>G36*F36</f>
        <v>7590</v>
      </c>
      <c r="J36" s="163">
        <f t="shared" si="0"/>
        <v>189.75</v>
      </c>
      <c r="K36" s="28" t="s">
        <v>25</v>
      </c>
      <c r="L36" s="2"/>
      <c r="M36" s="2"/>
      <c r="N36" s="8"/>
      <c r="O36" s="16"/>
      <c r="P36" s="8"/>
      <c r="Q36" s="8"/>
      <c r="R36" s="8"/>
      <c r="S36" s="8"/>
      <c r="T36" s="8"/>
      <c r="U36" s="8"/>
      <c r="V36" s="8"/>
      <c r="W36" s="32"/>
      <c r="X36" s="26"/>
      <c r="Y36" s="26"/>
      <c r="Z36" s="26"/>
      <c r="AA36" s="26"/>
      <c r="AB36" s="26"/>
      <c r="AC36" s="26"/>
      <c r="AD36" s="26"/>
      <c r="AE36" s="26"/>
    </row>
    <row r="37" spans="2:31" ht="15" x14ac:dyDescent="0.25">
      <c r="B37" s="7">
        <v>11</v>
      </c>
      <c r="C37" s="15"/>
      <c r="D37" s="166" t="s">
        <v>139</v>
      </c>
      <c r="E37" s="7" t="s">
        <v>8</v>
      </c>
      <c r="F37" s="7">
        <f>'2.3. Processing - Breakdown'!E14*(E3)</f>
        <v>1</v>
      </c>
      <c r="G37" s="10">
        <v>1320</v>
      </c>
      <c r="H37" s="7" t="s">
        <v>9</v>
      </c>
      <c r="I37" s="10">
        <f>G37*F37</f>
        <v>1320</v>
      </c>
      <c r="J37" s="163">
        <f t="shared" si="0"/>
        <v>33</v>
      </c>
      <c r="K37" s="28"/>
      <c r="L37" s="2"/>
      <c r="M37" s="2"/>
      <c r="N37" s="8"/>
      <c r="O37" s="16"/>
      <c r="P37" s="8"/>
      <c r="Q37" s="8"/>
      <c r="R37" s="8"/>
      <c r="S37" s="8"/>
      <c r="T37" s="8"/>
      <c r="U37" s="8"/>
      <c r="V37" s="8"/>
      <c r="W37" s="32"/>
      <c r="X37" s="26"/>
      <c r="Y37" s="26"/>
      <c r="Z37" s="26"/>
      <c r="AA37" s="26"/>
      <c r="AB37" s="26"/>
      <c r="AC37" s="26"/>
      <c r="AD37" s="26"/>
      <c r="AE37" s="26"/>
    </row>
    <row r="38" spans="2:31" ht="15" x14ac:dyDescent="0.25">
      <c r="B38" s="7"/>
      <c r="C38" s="15"/>
      <c r="D38" s="166"/>
      <c r="E38" s="7"/>
      <c r="F38" s="7"/>
      <c r="G38" s="10"/>
      <c r="H38" s="7"/>
      <c r="I38" s="10"/>
      <c r="J38" s="163"/>
      <c r="K38" s="28"/>
      <c r="L38" s="2"/>
      <c r="M38" s="2"/>
      <c r="N38" s="8"/>
      <c r="O38" s="16"/>
      <c r="P38" s="8"/>
      <c r="Q38" s="8"/>
      <c r="R38" s="8"/>
      <c r="S38" s="8"/>
      <c r="T38" s="8"/>
      <c r="U38" s="8"/>
      <c r="V38" s="8"/>
      <c r="W38" s="32"/>
      <c r="X38" s="26"/>
      <c r="Y38" s="26"/>
      <c r="Z38" s="26"/>
      <c r="AA38" s="26"/>
      <c r="AB38" s="26"/>
      <c r="AC38" s="26"/>
      <c r="AD38" s="26"/>
      <c r="AE38" s="26"/>
    </row>
    <row r="39" spans="2:31" ht="15" x14ac:dyDescent="0.25">
      <c r="B39" s="7"/>
      <c r="C39" s="15"/>
      <c r="D39" s="7"/>
      <c r="E39" s="7"/>
      <c r="F39" s="7"/>
      <c r="G39" s="10"/>
      <c r="H39" s="7"/>
      <c r="I39" s="10"/>
      <c r="J39" s="163"/>
      <c r="K39" s="28"/>
      <c r="L39" s="2"/>
      <c r="M39" s="2"/>
      <c r="N39" s="8"/>
      <c r="O39" s="16"/>
      <c r="P39" s="8"/>
      <c r="Q39" s="8"/>
      <c r="R39" s="8"/>
      <c r="S39" s="8"/>
      <c r="T39" s="8"/>
      <c r="U39" s="8"/>
      <c r="V39" s="8"/>
      <c r="W39" s="32"/>
      <c r="X39" s="26"/>
      <c r="Y39" s="26"/>
      <c r="Z39" s="26"/>
      <c r="AA39" s="26"/>
      <c r="AB39" s="26"/>
      <c r="AC39" s="26"/>
      <c r="AD39" s="26"/>
      <c r="AE39" s="26"/>
    </row>
    <row r="40" spans="2:31" ht="15" x14ac:dyDescent="0.25">
      <c r="B40" s="7"/>
      <c r="C40" s="15"/>
      <c r="D40" s="7"/>
      <c r="E40" s="7"/>
      <c r="F40" s="7"/>
      <c r="G40" s="10"/>
      <c r="H40" s="7"/>
      <c r="I40" s="10"/>
      <c r="J40" s="162"/>
      <c r="K40" s="28"/>
      <c r="L40" s="2"/>
      <c r="M40" s="2"/>
      <c r="N40" s="8"/>
      <c r="O40" s="16"/>
      <c r="P40" s="8"/>
      <c r="Q40" s="8"/>
      <c r="R40" s="8"/>
      <c r="S40" s="8"/>
      <c r="T40" s="8"/>
      <c r="U40" s="8"/>
      <c r="V40" s="8"/>
      <c r="W40" s="32"/>
      <c r="X40" s="26"/>
      <c r="Y40" s="26"/>
      <c r="Z40" s="26"/>
      <c r="AA40" s="26"/>
      <c r="AB40" s="26"/>
      <c r="AC40" s="26"/>
      <c r="AD40" s="26"/>
      <c r="AE40" s="26"/>
    </row>
    <row r="41" spans="2:31" ht="15" x14ac:dyDescent="0.25">
      <c r="B41" s="7"/>
      <c r="C41" s="15"/>
      <c r="D41" s="7"/>
      <c r="E41" s="7"/>
      <c r="F41" s="7"/>
      <c r="G41" s="7"/>
      <c r="H41" s="7"/>
      <c r="I41" s="9"/>
      <c r="J41" s="162"/>
      <c r="K41" s="30"/>
      <c r="L41" s="2"/>
      <c r="M41" s="2"/>
      <c r="N41" s="8"/>
      <c r="O41" s="16"/>
      <c r="P41" s="8"/>
      <c r="Q41" s="8"/>
      <c r="R41" s="8"/>
      <c r="S41" s="8"/>
      <c r="T41" s="8"/>
      <c r="U41" s="8"/>
      <c r="V41" s="8"/>
      <c r="W41" s="32"/>
      <c r="X41" s="26"/>
      <c r="Y41" s="26"/>
      <c r="Z41" s="26"/>
      <c r="AA41" s="26"/>
      <c r="AB41" s="26"/>
      <c r="AC41" s="26"/>
      <c r="AD41" s="26"/>
      <c r="AE41" s="26"/>
    </row>
    <row r="42" spans="2:31" ht="9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2"/>
      <c r="M42" s="2"/>
      <c r="N42" s="2"/>
      <c r="O42" s="2"/>
      <c r="P42" s="2"/>
      <c r="Q42" s="2"/>
      <c r="R42" s="2"/>
      <c r="S42" s="2"/>
      <c r="T42" s="2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2:31" ht="9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2:31" ht="12.75" customHeight="1" x14ac:dyDescent="0.25">
      <c r="B44" s="2"/>
      <c r="C44" s="2"/>
      <c r="D44" s="2"/>
      <c r="E44" s="2"/>
      <c r="F44" s="2"/>
      <c r="G44" s="2"/>
      <c r="H44" s="2"/>
      <c r="I44" s="5">
        <f>SUM(I20,I24,I28,I35)</f>
        <v>19264.285714285714</v>
      </c>
      <c r="J44" s="5">
        <f>SUM(J20,J24,J28,J35)</f>
        <v>481.60714285714289</v>
      </c>
      <c r="K44" s="2"/>
      <c r="L44" s="2"/>
      <c r="M44" s="2"/>
      <c r="O44" s="2"/>
      <c r="P44" s="2"/>
      <c r="Q44" s="2"/>
      <c r="R44" s="2"/>
      <c r="S44" s="2"/>
      <c r="T44" s="2"/>
      <c r="U44" s="5">
        <f>SUM(U20,U26,U23,U32)</f>
        <v>8466.7857142857138</v>
      </c>
      <c r="V44" s="5">
        <f>SUM(V20,V26,V23,V32)</f>
        <v>211.66964285714286</v>
      </c>
      <c r="X44" s="26"/>
      <c r="Y44" s="26"/>
      <c r="Z44" s="26"/>
      <c r="AA44" s="26"/>
      <c r="AB44" s="26"/>
      <c r="AC44" s="26"/>
      <c r="AD44" s="26"/>
      <c r="AE44" s="26"/>
    </row>
    <row r="45" spans="2:3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2:3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2:3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2:3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2: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2:75" ht="39.950000000000003" customHeight="1" x14ac:dyDescent="0.3">
      <c r="B50" s="191" t="s">
        <v>33</v>
      </c>
      <c r="C50" s="191"/>
      <c r="D50" s="192"/>
      <c r="E50" s="24" t="s">
        <v>32</v>
      </c>
      <c r="F50" s="1">
        <f>SUM(I77)</f>
        <v>17570</v>
      </c>
      <c r="G50" s="4"/>
      <c r="H50" s="4"/>
      <c r="I50" s="2"/>
      <c r="J50" s="2"/>
      <c r="K50" s="33" t="s">
        <v>56</v>
      </c>
      <c r="L50" s="26"/>
      <c r="M50" s="26"/>
      <c r="N50" s="25" t="s">
        <v>34</v>
      </c>
      <c r="O50" s="3"/>
      <c r="P50" s="3"/>
      <c r="Q50" s="24" t="s">
        <v>32</v>
      </c>
      <c r="R50" s="1">
        <f>SUM(U76)</f>
        <v>13231.309523809523</v>
      </c>
      <c r="S50" s="4"/>
      <c r="T50" s="4"/>
      <c r="U50" s="2"/>
      <c r="V50" s="2"/>
      <c r="W50" s="33" t="s">
        <v>130</v>
      </c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</row>
    <row r="51" spans="2:75" ht="15.75" thickBot="1" x14ac:dyDescent="0.25">
      <c r="B51" s="4"/>
      <c r="C51" s="4"/>
      <c r="D51" s="4"/>
      <c r="E51" s="4"/>
      <c r="F51" s="4"/>
      <c r="G51" s="4"/>
      <c r="H51" s="4"/>
      <c r="I51" s="2"/>
      <c r="J51" s="2"/>
      <c r="K51" s="2"/>
      <c r="L51" s="26"/>
      <c r="M51" s="26"/>
      <c r="N51" s="4"/>
      <c r="O51" s="4"/>
      <c r="P51" s="4"/>
      <c r="Q51" s="4"/>
      <c r="R51" s="4"/>
      <c r="S51" s="4"/>
      <c r="T51" s="4"/>
      <c r="U51" s="2"/>
      <c r="V51" s="2"/>
      <c r="W51" s="2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2:75" ht="15.95" customHeight="1" thickTop="1" x14ac:dyDescent="0.2">
      <c r="B52" s="185" t="s">
        <v>5</v>
      </c>
      <c r="C52" s="186"/>
      <c r="D52" s="187"/>
      <c r="E52" s="185" t="s">
        <v>145</v>
      </c>
      <c r="F52" s="186"/>
      <c r="G52" s="186"/>
      <c r="H52" s="186"/>
      <c r="I52" s="187"/>
      <c r="J52" s="101"/>
      <c r="K52" s="17" t="s">
        <v>4</v>
      </c>
      <c r="L52" s="26"/>
      <c r="M52" s="26"/>
      <c r="N52" s="185" t="s">
        <v>7</v>
      </c>
      <c r="O52" s="186"/>
      <c r="P52" s="187"/>
      <c r="Q52" s="185" t="s">
        <v>160</v>
      </c>
      <c r="R52" s="186"/>
      <c r="S52" s="186"/>
      <c r="T52" s="186"/>
      <c r="U52" s="187"/>
      <c r="V52" s="101"/>
      <c r="W52" s="17" t="s">
        <v>4</v>
      </c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</row>
    <row r="53" spans="2:75" ht="50.1" customHeight="1" thickBot="1" x14ac:dyDescent="0.25">
      <c r="B53" s="188"/>
      <c r="C53" s="189"/>
      <c r="D53" s="190"/>
      <c r="E53" s="188"/>
      <c r="F53" s="189"/>
      <c r="G53" s="189"/>
      <c r="H53" s="189"/>
      <c r="I53" s="190"/>
      <c r="J53" s="102"/>
      <c r="K53" s="18" t="s">
        <v>3</v>
      </c>
      <c r="L53" s="26"/>
      <c r="M53" s="26"/>
      <c r="N53" s="188"/>
      <c r="O53" s="189"/>
      <c r="P53" s="190"/>
      <c r="Q53" s="188"/>
      <c r="R53" s="189"/>
      <c r="S53" s="189"/>
      <c r="T53" s="189"/>
      <c r="U53" s="190"/>
      <c r="V53" s="102"/>
      <c r="W53" s="18" t="s">
        <v>3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</row>
    <row r="54" spans="2:75" ht="31.5" thickTop="1" thickBot="1" x14ac:dyDescent="0.25">
      <c r="B54" s="12" t="s">
        <v>26</v>
      </c>
      <c r="C54" s="13"/>
      <c r="D54" s="12" t="s">
        <v>27</v>
      </c>
      <c r="E54" s="14" t="s">
        <v>28</v>
      </c>
      <c r="F54" s="14" t="s">
        <v>29</v>
      </c>
      <c r="G54" s="14" t="s">
        <v>30</v>
      </c>
      <c r="H54" s="14" t="s">
        <v>6</v>
      </c>
      <c r="I54" s="14" t="s">
        <v>31</v>
      </c>
      <c r="J54" s="14" t="s">
        <v>134</v>
      </c>
      <c r="K54" s="12" t="s">
        <v>0</v>
      </c>
      <c r="L54" s="26"/>
      <c r="M54" s="26"/>
      <c r="N54" s="12" t="s">
        <v>26</v>
      </c>
      <c r="O54" s="13"/>
      <c r="P54" s="12" t="s">
        <v>27</v>
      </c>
      <c r="Q54" s="14" t="s">
        <v>28</v>
      </c>
      <c r="R54" s="14" t="s">
        <v>29</v>
      </c>
      <c r="S54" s="14" t="s">
        <v>30</v>
      </c>
      <c r="T54" s="14" t="s">
        <v>6</v>
      </c>
      <c r="U54" s="14" t="s">
        <v>31</v>
      </c>
      <c r="V54" s="14" t="s">
        <v>134</v>
      </c>
      <c r="W54" s="12" t="s">
        <v>0</v>
      </c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</row>
    <row r="55" spans="2:75" ht="15.75" thickTop="1" x14ac:dyDescent="0.25">
      <c r="B55" s="19"/>
      <c r="C55" s="20"/>
      <c r="D55" s="23" t="s">
        <v>168</v>
      </c>
      <c r="E55" s="19"/>
      <c r="F55" s="19"/>
      <c r="G55" s="21"/>
      <c r="H55" s="21"/>
      <c r="I55" s="21">
        <f>SUM(I56:I57)</f>
        <v>5400</v>
      </c>
      <c r="J55" s="21">
        <f>I55/$G$9</f>
        <v>135</v>
      </c>
      <c r="K55" s="29"/>
      <c r="L55" s="26"/>
      <c r="M55" s="26"/>
      <c r="N55" s="19"/>
      <c r="O55" s="20"/>
      <c r="P55" s="23" t="s">
        <v>168</v>
      </c>
      <c r="Q55" s="19"/>
      <c r="R55" s="19"/>
      <c r="S55" s="21"/>
      <c r="T55" s="21"/>
      <c r="U55" s="21">
        <f>SUM(U56)</f>
        <v>7333.333333333333</v>
      </c>
      <c r="V55" s="21">
        <f>U55/$G$9</f>
        <v>183.33333333333331</v>
      </c>
      <c r="W55" s="31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</row>
    <row r="56" spans="2:75" ht="15" x14ac:dyDescent="0.2">
      <c r="B56" s="166">
        <v>1</v>
      </c>
      <c r="C56" s="15"/>
      <c r="D56" s="160" t="s">
        <v>15</v>
      </c>
      <c r="E56" s="160" t="s">
        <v>8</v>
      </c>
      <c r="F56" s="160">
        <f>E3*2</f>
        <v>2</v>
      </c>
      <c r="G56" s="176">
        <v>2200</v>
      </c>
      <c r="H56" s="176" t="s">
        <v>9</v>
      </c>
      <c r="I56" s="176">
        <f>SUM(G56*F56)</f>
        <v>4400</v>
      </c>
      <c r="J56" s="164">
        <f>I56/$G$9</f>
        <v>110</v>
      </c>
      <c r="K56" s="28" t="s">
        <v>16</v>
      </c>
      <c r="L56" s="26"/>
      <c r="M56" s="26"/>
      <c r="N56" s="7">
        <v>1</v>
      </c>
      <c r="O56" s="15"/>
      <c r="P56" s="7" t="s">
        <v>15</v>
      </c>
      <c r="Q56" s="7" t="s">
        <v>8</v>
      </c>
      <c r="R56" s="7">
        <f>($E$3*2)/12*E4</f>
        <v>3.333333333333333</v>
      </c>
      <c r="S56" s="9">
        <v>2200</v>
      </c>
      <c r="T56" s="9" t="s">
        <v>9</v>
      </c>
      <c r="U56" s="9">
        <f>SUM(S56*R56)</f>
        <v>7333.333333333333</v>
      </c>
      <c r="V56" s="164">
        <f t="shared" ref="V56:V68" si="3">U56/$G$9</f>
        <v>183.33333333333331</v>
      </c>
      <c r="W56" s="28" t="s">
        <v>16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</row>
    <row r="57" spans="2:75" ht="15" x14ac:dyDescent="0.25">
      <c r="B57" s="166">
        <v>2</v>
      </c>
      <c r="C57" s="15"/>
      <c r="D57" s="160" t="s">
        <v>14</v>
      </c>
      <c r="E57" s="160" t="s">
        <v>8</v>
      </c>
      <c r="F57" s="160">
        <f>H10</f>
        <v>0.8</v>
      </c>
      <c r="G57" s="176">
        <v>1250</v>
      </c>
      <c r="H57" s="176" t="s">
        <v>9</v>
      </c>
      <c r="I57" s="176">
        <f t="shared" ref="I57" si="4">SUM(G57*F57)</f>
        <v>1000</v>
      </c>
      <c r="J57" s="164">
        <f>I57/$G$9</f>
        <v>25</v>
      </c>
      <c r="K57" s="28" t="s">
        <v>24</v>
      </c>
      <c r="L57" s="26"/>
      <c r="M57" s="26"/>
      <c r="N57" s="7"/>
      <c r="O57" s="15"/>
      <c r="P57" s="7"/>
      <c r="Q57" s="7"/>
      <c r="R57" s="7"/>
      <c r="S57" s="9"/>
      <c r="T57" s="9"/>
      <c r="U57" s="8"/>
      <c r="V57" s="21"/>
      <c r="W57" s="28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</row>
    <row r="58" spans="2:75" ht="15" x14ac:dyDescent="0.25">
      <c r="B58" s="166"/>
      <c r="C58" s="15"/>
      <c r="D58" s="160"/>
      <c r="E58" s="160"/>
      <c r="F58" s="160"/>
      <c r="G58" s="176"/>
      <c r="H58" s="176"/>
      <c r="I58" s="176"/>
      <c r="J58" s="21"/>
      <c r="K58" s="28"/>
      <c r="L58" s="26"/>
      <c r="M58" s="26"/>
      <c r="N58" s="19"/>
      <c r="O58" s="20"/>
      <c r="P58" s="19"/>
      <c r="Q58" s="19"/>
      <c r="R58" s="19"/>
      <c r="S58" s="21"/>
      <c r="T58" s="21"/>
      <c r="U58" s="21">
        <f>SUM(U59)</f>
        <v>366.66666666666663</v>
      </c>
      <c r="V58" s="21">
        <f t="shared" si="3"/>
        <v>9.1666666666666661</v>
      </c>
      <c r="W58" s="31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</row>
    <row r="59" spans="2:75" ht="15" x14ac:dyDescent="0.25">
      <c r="B59" s="166"/>
      <c r="C59" s="20"/>
      <c r="D59" s="178"/>
      <c r="E59" s="178"/>
      <c r="F59" s="178"/>
      <c r="G59" s="177"/>
      <c r="H59" s="177"/>
      <c r="I59" s="177">
        <f>SUM(I60:I61)</f>
        <v>420</v>
      </c>
      <c r="J59" s="21">
        <f>I59/$G$9</f>
        <v>10.5</v>
      </c>
      <c r="K59" s="29"/>
      <c r="L59" s="26"/>
      <c r="M59" s="26"/>
      <c r="N59" s="7">
        <v>2</v>
      </c>
      <c r="O59" s="15"/>
      <c r="P59" s="160" t="s">
        <v>133</v>
      </c>
      <c r="Q59" s="7" t="s">
        <v>10</v>
      </c>
      <c r="R59" s="7">
        <f>($E$3*2)/12*E4</f>
        <v>3.333333333333333</v>
      </c>
      <c r="S59" s="10">
        <v>110</v>
      </c>
      <c r="T59" s="7" t="s">
        <v>17</v>
      </c>
      <c r="U59" s="9">
        <f t="shared" ref="U59" si="5">SUM(S59*R59)</f>
        <v>366.66666666666663</v>
      </c>
      <c r="V59" s="164">
        <f t="shared" si="3"/>
        <v>9.1666666666666661</v>
      </c>
      <c r="W59" s="32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</row>
    <row r="60" spans="2:75" ht="15" x14ac:dyDescent="0.2">
      <c r="B60" s="166">
        <v>3</v>
      </c>
      <c r="C60" s="15"/>
      <c r="D60" s="160" t="s">
        <v>13</v>
      </c>
      <c r="E60" s="160" t="s">
        <v>10</v>
      </c>
      <c r="F60" s="160">
        <f>H10</f>
        <v>0.8</v>
      </c>
      <c r="G60" s="179">
        <v>250</v>
      </c>
      <c r="H60" s="160" t="s">
        <v>17</v>
      </c>
      <c r="I60" s="176">
        <f t="shared" ref="I60" si="6">SUM(G60*F60)</f>
        <v>200</v>
      </c>
      <c r="J60" s="164">
        <f>I60/$G$9</f>
        <v>5</v>
      </c>
      <c r="K60" s="28"/>
      <c r="L60" s="26"/>
      <c r="M60" s="26"/>
      <c r="N60" s="7"/>
      <c r="O60" s="15"/>
      <c r="P60" s="49"/>
      <c r="Q60" s="7"/>
      <c r="R60" s="7"/>
      <c r="S60" s="10"/>
      <c r="T60" s="49"/>
      <c r="U60" s="9"/>
      <c r="V60" s="21"/>
      <c r="W60" s="28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</row>
    <row r="61" spans="2:75" ht="15" x14ac:dyDescent="0.25">
      <c r="B61" s="166">
        <v>4</v>
      </c>
      <c r="C61" s="15"/>
      <c r="D61" s="160" t="s">
        <v>81</v>
      </c>
      <c r="E61" s="160" t="s">
        <v>10</v>
      </c>
      <c r="F61" s="160">
        <f>E3*2</f>
        <v>2</v>
      </c>
      <c r="G61" s="179">
        <v>110</v>
      </c>
      <c r="H61" s="160" t="s">
        <v>17</v>
      </c>
      <c r="I61" s="176">
        <f>G61*F61</f>
        <v>220</v>
      </c>
      <c r="J61" s="164">
        <f>I61/$G$9</f>
        <v>5.5</v>
      </c>
      <c r="K61" s="28"/>
      <c r="L61" s="26"/>
      <c r="M61" s="26"/>
      <c r="N61" s="19"/>
      <c r="O61" s="20"/>
      <c r="P61" s="23" t="s">
        <v>168</v>
      </c>
      <c r="Q61" s="19"/>
      <c r="R61" s="19"/>
      <c r="S61" s="19"/>
      <c r="T61" s="19"/>
      <c r="U61" s="22">
        <f>SUM(U62:U65)</f>
        <v>3523.8095238095234</v>
      </c>
      <c r="V61" s="21">
        <f t="shared" si="3"/>
        <v>88.095238095238088</v>
      </c>
      <c r="W61" s="31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</row>
    <row r="62" spans="2:75" ht="15" x14ac:dyDescent="0.25">
      <c r="B62" s="166"/>
      <c r="C62" s="15"/>
      <c r="D62" s="160"/>
      <c r="E62" s="160"/>
      <c r="F62" s="160"/>
      <c r="G62" s="179"/>
      <c r="H62" s="160"/>
      <c r="I62" s="176"/>
      <c r="J62" s="21"/>
      <c r="K62" s="28"/>
      <c r="L62" s="26"/>
      <c r="M62" s="26"/>
      <c r="N62" s="7">
        <v>3</v>
      </c>
      <c r="O62" s="15"/>
      <c r="P62" s="11" t="s">
        <v>20</v>
      </c>
      <c r="Q62" s="7" t="s">
        <v>2</v>
      </c>
      <c r="R62" s="7">
        <f>($E$3*2)/12*E4</f>
        <v>3.333333333333333</v>
      </c>
      <c r="S62" s="10">
        <v>150</v>
      </c>
      <c r="T62" s="7" t="s">
        <v>17</v>
      </c>
      <c r="U62" s="10">
        <f>S62*R62</f>
        <v>499.99999999999994</v>
      </c>
      <c r="V62" s="164">
        <f t="shared" si="3"/>
        <v>12.499999999999998</v>
      </c>
      <c r="W62" s="32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</row>
    <row r="63" spans="2:75" ht="15" x14ac:dyDescent="0.2">
      <c r="B63" s="166"/>
      <c r="C63" s="15"/>
      <c r="D63" s="181" t="s">
        <v>169</v>
      </c>
      <c r="E63" s="178"/>
      <c r="F63" s="178"/>
      <c r="G63" s="178"/>
      <c r="H63" s="178"/>
      <c r="I63" s="177">
        <f>SUM(I64:I69)</f>
        <v>2840</v>
      </c>
      <c r="J63" s="21">
        <f t="shared" ref="J63:J69" si="7">I63/$G$9</f>
        <v>71</v>
      </c>
      <c r="K63" s="29"/>
      <c r="L63" s="26"/>
      <c r="M63" s="26"/>
      <c r="N63" s="7">
        <v>4</v>
      </c>
      <c r="O63" s="15"/>
      <c r="P63" s="165" t="s">
        <v>135</v>
      </c>
      <c r="Q63" s="7" t="s">
        <v>2</v>
      </c>
      <c r="R63" s="7">
        <f>($E$3*2)/12*E4</f>
        <v>3.333333333333333</v>
      </c>
      <c r="S63" s="10">
        <v>150</v>
      </c>
      <c r="T63" s="7" t="s">
        <v>12</v>
      </c>
      <c r="U63" s="10">
        <f>S63*R63</f>
        <v>499.99999999999994</v>
      </c>
      <c r="V63" s="164">
        <f t="shared" si="3"/>
        <v>12.499999999999998</v>
      </c>
      <c r="W63" s="28" t="s">
        <v>23</v>
      </c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</row>
    <row r="64" spans="2:75" ht="15" x14ac:dyDescent="0.2">
      <c r="B64" s="166">
        <v>5</v>
      </c>
      <c r="C64" s="20"/>
      <c r="D64" s="180" t="s">
        <v>20</v>
      </c>
      <c r="E64" s="160" t="s">
        <v>2</v>
      </c>
      <c r="F64" s="160">
        <f>E3*2+E3</f>
        <v>3</v>
      </c>
      <c r="G64" s="179">
        <v>150</v>
      </c>
      <c r="H64" s="160" t="s">
        <v>17</v>
      </c>
      <c r="I64" s="176">
        <f t="shared" ref="I64:I69" si="8">SUM(G64*F64)</f>
        <v>450</v>
      </c>
      <c r="J64" s="164">
        <f t="shared" si="7"/>
        <v>11.25</v>
      </c>
      <c r="K64" s="28"/>
      <c r="L64" s="26"/>
      <c r="M64" s="26"/>
      <c r="N64" s="7">
        <v>5</v>
      </c>
      <c r="O64" s="15"/>
      <c r="P64" s="11" t="s">
        <v>18</v>
      </c>
      <c r="Q64" s="7" t="s">
        <v>2</v>
      </c>
      <c r="R64" s="7">
        <f>$E$3*2*2/12*E4</f>
        <v>6.6666666666666661</v>
      </c>
      <c r="S64" s="10">
        <v>300</v>
      </c>
      <c r="T64" s="7" t="s">
        <v>9</v>
      </c>
      <c r="U64" s="10">
        <f>S64*R64</f>
        <v>1999.9999999999998</v>
      </c>
      <c r="V64" s="164">
        <f t="shared" si="3"/>
        <v>49.999999999999993</v>
      </c>
      <c r="W64" s="28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</row>
    <row r="65" spans="1:75" ht="15" x14ac:dyDescent="0.2">
      <c r="B65" s="166">
        <v>6</v>
      </c>
      <c r="C65" s="15"/>
      <c r="D65" s="180" t="s">
        <v>135</v>
      </c>
      <c r="E65" s="160" t="s">
        <v>2</v>
      </c>
      <c r="F65" s="160">
        <f>E3*2</f>
        <v>2</v>
      </c>
      <c r="G65" s="179">
        <v>150</v>
      </c>
      <c r="H65" s="160" t="s">
        <v>12</v>
      </c>
      <c r="I65" s="176">
        <f t="shared" si="8"/>
        <v>300</v>
      </c>
      <c r="J65" s="164">
        <f t="shared" si="7"/>
        <v>7.5</v>
      </c>
      <c r="K65" s="28" t="s">
        <v>11</v>
      </c>
      <c r="L65" s="26"/>
      <c r="M65" s="26"/>
      <c r="N65" s="7">
        <v>6</v>
      </c>
      <c r="O65" s="15"/>
      <c r="P65" s="7" t="s">
        <v>21</v>
      </c>
      <c r="Q65" s="7" t="s">
        <v>2</v>
      </c>
      <c r="R65" s="7">
        <f>((E3*2)/7)/12*E4*1100</f>
        <v>523.80952380952374</v>
      </c>
      <c r="S65" s="10">
        <v>1</v>
      </c>
      <c r="T65" s="7" t="s">
        <v>19</v>
      </c>
      <c r="U65" s="10">
        <f>S65*R65</f>
        <v>523.80952380952374</v>
      </c>
      <c r="V65" s="184">
        <f>U65/$G$9</f>
        <v>13.095238095238093</v>
      </c>
      <c r="W65" s="167" t="s">
        <v>152</v>
      </c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</row>
    <row r="66" spans="1:75" ht="15" x14ac:dyDescent="0.2">
      <c r="B66" s="166">
        <v>7</v>
      </c>
      <c r="C66" s="15"/>
      <c r="D66" s="180" t="s">
        <v>136</v>
      </c>
      <c r="E66" s="160" t="s">
        <v>2</v>
      </c>
      <c r="F66" s="160">
        <f>E3</f>
        <v>1</v>
      </c>
      <c r="G66" s="179">
        <v>150</v>
      </c>
      <c r="H66" s="160" t="s">
        <v>12</v>
      </c>
      <c r="I66" s="176">
        <f t="shared" si="8"/>
        <v>150</v>
      </c>
      <c r="J66" s="164">
        <f t="shared" si="7"/>
        <v>3.75</v>
      </c>
      <c r="K66" s="28"/>
      <c r="L66" s="26"/>
      <c r="M66" s="26"/>
      <c r="N66" s="7"/>
      <c r="O66" s="15"/>
      <c r="P66" s="7"/>
      <c r="Q66" s="7"/>
      <c r="R66" s="7"/>
      <c r="S66" s="10"/>
      <c r="T66" s="7"/>
      <c r="U66" s="10"/>
      <c r="V66" s="21"/>
      <c r="W66" s="167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</row>
    <row r="67" spans="1:75" ht="15" x14ac:dyDescent="0.2">
      <c r="B67" s="166">
        <v>8</v>
      </c>
      <c r="C67" s="15"/>
      <c r="D67" s="180" t="s">
        <v>18</v>
      </c>
      <c r="E67" s="160" t="s">
        <v>2</v>
      </c>
      <c r="F67" s="160">
        <f>(E3*2*2)+E3</f>
        <v>5</v>
      </c>
      <c r="G67" s="179">
        <v>300</v>
      </c>
      <c r="H67" s="160" t="s">
        <v>9</v>
      </c>
      <c r="I67" s="176">
        <f t="shared" si="8"/>
        <v>1500</v>
      </c>
      <c r="J67" s="164">
        <f t="shared" si="7"/>
        <v>37.5</v>
      </c>
      <c r="K67" s="28"/>
      <c r="L67" s="26"/>
      <c r="M67" s="26"/>
      <c r="N67" s="19"/>
      <c r="O67" s="20"/>
      <c r="P67" s="23" t="s">
        <v>170</v>
      </c>
      <c r="Q67" s="19"/>
      <c r="R67" s="19"/>
      <c r="S67" s="22"/>
      <c r="T67" s="19"/>
      <c r="U67" s="22">
        <f>SUM(U68:U69)</f>
        <v>2007.5</v>
      </c>
      <c r="V67" s="21">
        <f t="shared" si="3"/>
        <v>50.1875</v>
      </c>
      <c r="W67" s="29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</row>
    <row r="68" spans="1:75" ht="15" x14ac:dyDescent="0.2">
      <c r="B68" s="166">
        <v>9</v>
      </c>
      <c r="C68" s="15"/>
      <c r="D68" s="160" t="s">
        <v>57</v>
      </c>
      <c r="E68" s="160" t="s">
        <v>2</v>
      </c>
      <c r="F68" s="160">
        <f>((E3*2)/7)*1100</f>
        <v>314.28571428571428</v>
      </c>
      <c r="G68" s="179">
        <v>1</v>
      </c>
      <c r="H68" s="160" t="s">
        <v>19</v>
      </c>
      <c r="I68" s="176">
        <f t="shared" si="8"/>
        <v>314.28571428571428</v>
      </c>
      <c r="J68" s="164">
        <f t="shared" si="7"/>
        <v>7.8571428571428568</v>
      </c>
      <c r="K68" s="28" t="s">
        <v>22</v>
      </c>
      <c r="L68" s="26"/>
      <c r="M68" s="26"/>
      <c r="N68" s="7">
        <v>7</v>
      </c>
      <c r="O68" s="15"/>
      <c r="P68" s="166" t="s">
        <v>138</v>
      </c>
      <c r="Q68" s="7" t="s">
        <v>8</v>
      </c>
      <c r="R68" s="7">
        <f>'2.3. Processing - Breakdown'!F14</f>
        <v>1</v>
      </c>
      <c r="S68" s="10">
        <v>1320</v>
      </c>
      <c r="T68" s="7" t="s">
        <v>9</v>
      </c>
      <c r="U68" s="10">
        <f>S68*R68</f>
        <v>1320</v>
      </c>
      <c r="V68" s="164">
        <f t="shared" si="3"/>
        <v>33</v>
      </c>
      <c r="W68" s="28" t="s">
        <v>80</v>
      </c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</row>
    <row r="69" spans="1:75" ht="15" x14ac:dyDescent="0.2">
      <c r="B69" s="166">
        <v>10</v>
      </c>
      <c r="C69" s="15"/>
      <c r="D69" s="160" t="s">
        <v>58</v>
      </c>
      <c r="E69" s="160" t="s">
        <v>2</v>
      </c>
      <c r="F69" s="160">
        <f>((H10)/7)*1100</f>
        <v>125.71428571428572</v>
      </c>
      <c r="G69" s="179">
        <v>1</v>
      </c>
      <c r="H69" s="160" t="s">
        <v>19</v>
      </c>
      <c r="I69" s="176">
        <f t="shared" si="8"/>
        <v>125.71428571428572</v>
      </c>
      <c r="J69" s="164">
        <f t="shared" si="7"/>
        <v>3.1428571428571432</v>
      </c>
      <c r="K69" s="28" t="s">
        <v>22</v>
      </c>
      <c r="L69" s="26"/>
      <c r="M69" s="26"/>
      <c r="N69" s="7">
        <v>8</v>
      </c>
      <c r="O69" s="15"/>
      <c r="P69" s="166" t="s">
        <v>139</v>
      </c>
      <c r="Q69" s="7" t="s">
        <v>8</v>
      </c>
      <c r="R69" s="7">
        <f>(('2.3. Processing - Breakdown'!G14/12)*E4)*E3</f>
        <v>0.52083333333333337</v>
      </c>
      <c r="S69" s="10">
        <v>1320</v>
      </c>
      <c r="T69" s="7" t="s">
        <v>9</v>
      </c>
      <c r="U69" s="10">
        <f>S69*R69</f>
        <v>687.5</v>
      </c>
      <c r="V69" s="164">
        <f>U69/$G$9</f>
        <v>17.1875</v>
      </c>
      <c r="W69" s="28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</row>
    <row r="70" spans="1:75" ht="15" x14ac:dyDescent="0.2">
      <c r="B70" s="34"/>
      <c r="C70" s="36"/>
      <c r="D70" s="160"/>
      <c r="E70" s="160"/>
      <c r="F70" s="160"/>
      <c r="G70" s="160"/>
      <c r="H70" s="160"/>
      <c r="I70" s="176"/>
      <c r="J70" s="21"/>
      <c r="K70" s="28"/>
      <c r="L70" s="26"/>
      <c r="M70" s="26"/>
      <c r="N70" s="7"/>
      <c r="O70" s="15"/>
      <c r="P70" s="166"/>
      <c r="Q70" s="7"/>
      <c r="R70" s="7"/>
      <c r="S70" s="10"/>
      <c r="T70" s="7"/>
      <c r="U70" s="10"/>
      <c r="V70" s="164"/>
      <c r="W70" s="28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</row>
    <row r="71" spans="1:75" ht="15" x14ac:dyDescent="0.25">
      <c r="B71" s="166"/>
      <c r="C71" s="15"/>
      <c r="D71" s="181" t="s">
        <v>171</v>
      </c>
      <c r="E71" s="178"/>
      <c r="F71" s="178"/>
      <c r="G71" s="182"/>
      <c r="H71" s="178"/>
      <c r="I71" s="182">
        <f>SUM(I72:I74)</f>
        <v>8910</v>
      </c>
      <c r="J71" s="21">
        <f>I71/$G$9</f>
        <v>222.75</v>
      </c>
      <c r="K71" s="29"/>
      <c r="L71" s="26"/>
      <c r="M71" s="26"/>
      <c r="N71" s="8"/>
      <c r="O71" s="16"/>
      <c r="P71" s="8"/>
      <c r="Q71" s="8"/>
      <c r="R71" s="8"/>
      <c r="S71" s="8"/>
      <c r="T71" s="8"/>
      <c r="U71" s="8"/>
      <c r="V71" s="8"/>
      <c r="W71" s="32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</row>
    <row r="72" spans="1:75" ht="15" x14ac:dyDescent="0.25">
      <c r="A72" s="50"/>
      <c r="B72" s="166">
        <v>11</v>
      </c>
      <c r="C72" s="20"/>
      <c r="D72" s="166" t="s">
        <v>138</v>
      </c>
      <c r="E72" s="7" t="s">
        <v>8</v>
      </c>
      <c r="F72" s="7">
        <f>'2.3. Processing - Breakdown'!D14</f>
        <v>5.75</v>
      </c>
      <c r="G72" s="10">
        <v>1320</v>
      </c>
      <c r="H72" s="7" t="s">
        <v>9</v>
      </c>
      <c r="I72" s="10">
        <f>G72*F72</f>
        <v>7590</v>
      </c>
      <c r="J72" s="163">
        <f t="shared" ref="J72:J73" si="9">I72/$G$9</f>
        <v>189.75</v>
      </c>
      <c r="K72" s="28" t="s">
        <v>25</v>
      </c>
      <c r="L72" s="26"/>
      <c r="M72" s="26"/>
      <c r="N72" s="8"/>
      <c r="O72" s="16"/>
      <c r="P72" s="8"/>
      <c r="Q72" s="8"/>
      <c r="R72" s="8"/>
      <c r="S72" s="8"/>
      <c r="T72" s="8"/>
      <c r="U72" s="8"/>
      <c r="V72" s="8"/>
      <c r="W72" s="32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</row>
    <row r="73" spans="1:75" ht="15" x14ac:dyDescent="0.25">
      <c r="B73" s="166">
        <v>12</v>
      </c>
      <c r="C73" s="15"/>
      <c r="D73" s="166" t="s">
        <v>139</v>
      </c>
      <c r="E73" s="7" t="s">
        <v>8</v>
      </c>
      <c r="F73" s="7">
        <f>'2.3. Processing - Breakdown'!E14*(E3)</f>
        <v>1</v>
      </c>
      <c r="G73" s="10">
        <v>1320</v>
      </c>
      <c r="H73" s="7" t="s">
        <v>9</v>
      </c>
      <c r="I73" s="10">
        <f>G73*F73</f>
        <v>1320</v>
      </c>
      <c r="J73" s="163">
        <f t="shared" si="9"/>
        <v>33</v>
      </c>
      <c r="K73" s="30"/>
      <c r="L73" s="26"/>
      <c r="M73" s="26"/>
      <c r="N73" s="8"/>
      <c r="O73" s="16"/>
      <c r="P73" s="8"/>
      <c r="Q73" s="8"/>
      <c r="R73" s="8"/>
      <c r="S73" s="8"/>
      <c r="T73" s="8"/>
      <c r="U73" s="8"/>
      <c r="V73" s="8"/>
      <c r="W73" s="32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</row>
    <row r="74" spans="1:75" ht="15" x14ac:dyDescent="0.2">
      <c r="B74" s="166"/>
      <c r="C74" s="15"/>
      <c r="D74" s="7"/>
      <c r="E74" s="7"/>
      <c r="F74" s="7"/>
      <c r="G74" s="7"/>
      <c r="H74" s="7"/>
      <c r="I74" s="9"/>
      <c r="J74" s="21"/>
      <c r="K74" s="30"/>
      <c r="L74" s="26"/>
      <c r="M74" s="26"/>
      <c r="N74" s="2"/>
      <c r="O74" s="2"/>
      <c r="P74" s="2"/>
      <c r="Q74" s="2"/>
      <c r="R74" s="2"/>
      <c r="S74" s="2"/>
      <c r="T74" s="2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</row>
    <row r="75" spans="1:75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26"/>
      <c r="M75" s="26"/>
      <c r="N75" s="2"/>
      <c r="O75" s="2"/>
      <c r="P75" s="2"/>
      <c r="Q75" s="2"/>
      <c r="R75" s="2"/>
      <c r="S75" s="2"/>
      <c r="T75" s="2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</row>
    <row r="76" spans="1:75" ht="15.7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6"/>
      <c r="M76" s="26"/>
      <c r="O76" s="2"/>
      <c r="P76" s="2"/>
      <c r="Q76" s="2"/>
      <c r="R76" s="2"/>
      <c r="S76" s="2"/>
      <c r="T76" s="2"/>
      <c r="U76" s="5">
        <f>SUM(U55,U61,U58,U67)</f>
        <v>13231.309523809523</v>
      </c>
      <c r="V76" s="5">
        <f>SUM(V55,V61,V58,V67)</f>
        <v>330.78273809523807</v>
      </c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</row>
    <row r="77" spans="1:75" ht="15.75" x14ac:dyDescent="0.25">
      <c r="B77" s="2"/>
      <c r="C77" s="2"/>
      <c r="D77" s="2"/>
      <c r="E77" s="2"/>
      <c r="F77" s="2"/>
      <c r="G77" s="2"/>
      <c r="H77" s="2"/>
      <c r="I77" s="5">
        <f>SUM(I55,I59,I63,I71)</f>
        <v>17570</v>
      </c>
      <c r="J77" s="5">
        <f>SUM(J55,J59,J63,J71)</f>
        <v>439.25</v>
      </c>
      <c r="K77" s="2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</row>
    <row r="78" spans="1:75" ht="20.100000000000001" customHeight="1" x14ac:dyDescent="0.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</row>
    <row r="79" spans="1:75" ht="15.6" hidden="1" customHeight="1" x14ac:dyDescent="0.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</row>
    <row r="80" spans="1:75" ht="15.95" hidden="1" customHeight="1" thickTop="1" x14ac:dyDescent="0.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</row>
    <row r="81" spans="2:75" ht="15.95" hidden="1" customHeight="1" thickBot="1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</row>
    <row r="82" spans="2:75" ht="30" hidden="1" customHeight="1" thickTop="1" thickBot="1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</row>
    <row r="83" spans="2:75" ht="14.45" hidden="1" customHeight="1" x14ac:dyDescent="0.2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</row>
    <row r="84" spans="2:75" ht="14.45" hidden="1" customHeight="1" x14ac:dyDescent="0.2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</row>
    <row r="85" spans="2:75" ht="14.45" hidden="1" customHeight="1" x14ac:dyDescent="0.2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</row>
    <row r="86" spans="2:75" ht="14.45" hidden="1" customHeight="1" x14ac:dyDescent="0.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</row>
    <row r="87" spans="2:75" ht="14.45" hidden="1" customHeight="1" x14ac:dyDescent="0.2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</row>
    <row r="88" spans="2:75" ht="14.45" hidden="1" customHeight="1" x14ac:dyDescent="0.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2:75" ht="14.45" hidden="1" customHeight="1" x14ac:dyDescent="0.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2:75" ht="14.45" hidden="1" customHeight="1" x14ac:dyDescent="0.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2:75" ht="14.45" hidden="1" customHeight="1" x14ac:dyDescent="0.2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2:75" ht="14.45" hidden="1" customHeight="1" x14ac:dyDescent="0.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2:75" ht="14.45" hidden="1" customHeight="1" x14ac:dyDescent="0.2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2:75" ht="14.45" hidden="1" customHeight="1" x14ac:dyDescent="0.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2:75" ht="14.45" hidden="1" customHeight="1" x14ac:dyDescent="0.2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2:75" ht="14.45" hidden="1" customHeight="1" x14ac:dyDescent="0.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2:75" ht="14.45" hidden="1" customHeight="1" x14ac:dyDescent="0.2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2:75" ht="14.45" hidden="1" customHeight="1" x14ac:dyDescent="0.2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2:75" ht="14.45" hidden="1" customHeight="1" x14ac:dyDescent="0.2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2:75" ht="14.45" hidden="1" customHeight="1" x14ac:dyDescent="0.2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2:75" ht="14.45" hidden="1" customHeight="1" x14ac:dyDescent="0.2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2:75" ht="12.6" hidden="1" customHeight="1" x14ac:dyDescent="0.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2:75" ht="12.6" hidden="1" customHeight="1" x14ac:dyDescent="0.2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</row>
    <row r="104" spans="2:75" ht="15.6" hidden="1" customHeight="1" x14ac:dyDescent="0.2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</row>
    <row r="105" spans="2:75" hidden="1" x14ac:dyDescent="0.2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</row>
    <row r="106" spans="2:75" hidden="1" x14ac:dyDescent="0.2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</row>
    <row r="107" spans="2:75" hidden="1" x14ac:dyDescent="0.2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</row>
    <row r="108" spans="2:75" hidden="1" x14ac:dyDescent="0.2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</row>
    <row r="109" spans="2:75" hidden="1" x14ac:dyDescent="0.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</row>
    <row r="110" spans="2:75" hidden="1" x14ac:dyDescent="0.2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2:75" hidden="1" x14ac:dyDescent="0.2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2:75" hidden="1" x14ac:dyDescent="0.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2:75" hidden="1" x14ac:dyDescent="0.2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2:75" hidden="1" x14ac:dyDescent="0.2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2:75" hidden="1" x14ac:dyDescent="0.2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2:75" hidden="1" x14ac:dyDescent="0.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2:75" hidden="1" x14ac:dyDescent="0.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2:75" hidden="1" x14ac:dyDescent="0.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2:75" hidden="1" x14ac:dyDescent="0.2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2:75" hidden="1" x14ac:dyDescent="0.2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2:75" hidden="1" x14ac:dyDescent="0.2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2:75" hidden="1" x14ac:dyDescent="0.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2:75" hidden="1" x14ac:dyDescent="0.2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2:75" hidden="1" x14ac:dyDescent="0.2"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2:75" hidden="1" x14ac:dyDescent="0.2"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2:75" hidden="1" x14ac:dyDescent="0.2"/>
    <row r="127" spans="2:75" hidden="1" x14ac:dyDescent="0.2"/>
    <row r="128" spans="2:75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</sheetData>
  <mergeCells count="13">
    <mergeCell ref="B3:D3"/>
    <mergeCell ref="H7:I7"/>
    <mergeCell ref="B15:D15"/>
    <mergeCell ref="B17:D18"/>
    <mergeCell ref="E17:I18"/>
    <mergeCell ref="B4:D4"/>
    <mergeCell ref="B52:D53"/>
    <mergeCell ref="E52:I53"/>
    <mergeCell ref="N52:P53"/>
    <mergeCell ref="Q52:U53"/>
    <mergeCell ref="N17:P18"/>
    <mergeCell ref="Q17:U18"/>
    <mergeCell ref="B50:D50"/>
  </mergeCells>
  <pageMargins left="0.17" right="0.19" top="0.14000000000000001" bottom="0.17" header="0.14000000000000001" footer="0.17"/>
  <pageSetup scale="85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AC60"/>
  <sheetViews>
    <sheetView zoomScale="80" zoomScaleNormal="80" workbookViewId="0">
      <selection activeCell="G34" sqref="G34"/>
    </sheetView>
  </sheetViews>
  <sheetFormatPr defaultColWidth="0" defaultRowHeight="12.75" zeroHeight="1" x14ac:dyDescent="0.2"/>
  <cols>
    <col min="1" max="1" width="7.42578125" style="26" customWidth="1"/>
    <col min="2" max="2" width="3" style="26" customWidth="1"/>
    <col min="3" max="3" width="25.28515625" style="26" customWidth="1"/>
    <col min="4" max="4" width="27.140625" style="26" customWidth="1"/>
    <col min="5" max="5" width="26.28515625" style="26" customWidth="1"/>
    <col min="6" max="6" width="25" style="26" customWidth="1"/>
    <col min="7" max="7" width="26.85546875" style="26" customWidth="1"/>
    <col min="8" max="8" width="27" style="26" customWidth="1"/>
    <col min="9" max="9" width="61.140625" style="26" customWidth="1"/>
    <col min="10" max="10" width="17.7109375" style="26" customWidth="1"/>
    <col min="11" max="29" width="0" style="26" hidden="1" customWidth="1"/>
    <col min="30" max="16384" width="8.7109375" style="26" hidden="1"/>
  </cols>
  <sheetData>
    <row r="1" spans="1:21" x14ac:dyDescent="0.2"/>
    <row r="2" spans="1:21" ht="36.950000000000003" customHeight="1" x14ac:dyDescent="0.3">
      <c r="C2" s="196" t="s">
        <v>83</v>
      </c>
      <c r="D2" s="196"/>
      <c r="E2" s="196"/>
    </row>
    <row r="3" spans="1:21" ht="13.5" thickBot="1" x14ac:dyDescent="0.25"/>
    <row r="4" spans="1:21" customFormat="1" ht="46.5" thickTop="1" thickBot="1" x14ac:dyDescent="0.25">
      <c r="A4" s="44" t="s">
        <v>26</v>
      </c>
      <c r="B4" s="47"/>
      <c r="C4" s="44" t="s">
        <v>35</v>
      </c>
      <c r="D4" s="44" t="s">
        <v>51</v>
      </c>
      <c r="E4" s="44" t="s">
        <v>52</v>
      </c>
      <c r="F4" s="44" t="s">
        <v>0</v>
      </c>
      <c r="G4" s="52"/>
      <c r="H4" s="52"/>
      <c r="I4" s="52"/>
      <c r="J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1" ht="15.75" thickTop="1" x14ac:dyDescent="0.2">
      <c r="A5" s="7">
        <v>1</v>
      </c>
      <c r="B5" s="15"/>
      <c r="C5" s="7" t="s">
        <v>48</v>
      </c>
      <c r="D5" s="83">
        <f>G17*1440/60</f>
        <v>1.1666666666666665</v>
      </c>
      <c r="E5" s="83">
        <f>G17*1440/60</f>
        <v>1.1666666666666665</v>
      </c>
      <c r="F5" s="28"/>
      <c r="G5" s="39"/>
      <c r="H5" s="39"/>
      <c r="I5" s="39"/>
      <c r="J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1" ht="15" x14ac:dyDescent="0.2">
      <c r="A6" s="7">
        <v>2</v>
      </c>
      <c r="B6" s="15"/>
      <c r="C6" s="7" t="s">
        <v>49</v>
      </c>
      <c r="D6" s="83">
        <f>(E57/60)*6</f>
        <v>0</v>
      </c>
      <c r="E6" s="83">
        <f>(E58/60)*25</f>
        <v>0</v>
      </c>
      <c r="F6" s="28" t="s">
        <v>50</v>
      </c>
      <c r="G6" s="39"/>
      <c r="H6" s="39"/>
      <c r="I6" s="39"/>
      <c r="J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1" ht="15" x14ac:dyDescent="0.2">
      <c r="A7" s="19">
        <v>13</v>
      </c>
      <c r="B7" s="20"/>
      <c r="C7" s="19" t="s">
        <v>1</v>
      </c>
      <c r="D7" s="96">
        <f>SUM(D5:D6)</f>
        <v>1.1666666666666665</v>
      </c>
      <c r="E7" s="96">
        <f>SUM(E5:E6)</f>
        <v>1.1666666666666665</v>
      </c>
      <c r="F7" s="29"/>
      <c r="G7" s="53"/>
      <c r="H7" s="53"/>
      <c r="I7" s="53"/>
      <c r="J7" s="26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"/>
    <row r="9" spans="1:21" x14ac:dyDescent="0.2"/>
    <row r="10" spans="1:21" x14ac:dyDescent="0.2"/>
    <row r="11" spans="1:21" x14ac:dyDescent="0.2"/>
    <row r="12" spans="1:21" ht="21.95" customHeight="1" x14ac:dyDescent="0.3">
      <c r="C12" s="191" t="s">
        <v>82</v>
      </c>
      <c r="D12" s="191"/>
      <c r="E12" s="191"/>
    </row>
    <row r="13" spans="1:21" ht="15" customHeight="1" x14ac:dyDescent="0.3">
      <c r="C13" s="84"/>
      <c r="D13" s="84"/>
      <c r="E13" s="84"/>
    </row>
    <row r="14" spans="1:21" ht="16.5" customHeight="1" x14ac:dyDescent="0.3">
      <c r="C14" s="38" t="s">
        <v>99</v>
      </c>
      <c r="D14" s="84"/>
      <c r="E14" s="84"/>
    </row>
    <row r="15" spans="1:21" x14ac:dyDescent="0.2"/>
    <row r="16" spans="1:21" ht="15.75" thickBot="1" x14ac:dyDescent="0.25">
      <c r="A16" s="73" t="s">
        <v>26</v>
      </c>
      <c r="B16" s="74" t="s">
        <v>96</v>
      </c>
      <c r="C16" s="73" t="s">
        <v>97</v>
      </c>
      <c r="D16" s="73" t="s">
        <v>85</v>
      </c>
      <c r="E16" s="73" t="s">
        <v>94</v>
      </c>
      <c r="F16" s="73" t="s">
        <v>95</v>
      </c>
      <c r="G16" s="90" t="s">
        <v>86</v>
      </c>
      <c r="H16" s="75" t="s">
        <v>0</v>
      </c>
    </row>
    <row r="17" spans="1:10" ht="15.75" thickTop="1" x14ac:dyDescent="0.2">
      <c r="A17" s="51">
        <v>1</v>
      </c>
      <c r="B17" s="69"/>
      <c r="C17" s="51" t="s">
        <v>98</v>
      </c>
      <c r="D17" s="81">
        <v>44426</v>
      </c>
      <c r="E17" s="82">
        <v>0.42569444444444443</v>
      </c>
      <c r="F17" s="82">
        <v>0.47430555555555554</v>
      </c>
      <c r="G17" s="70">
        <v>4.8611111111111105E-2</v>
      </c>
      <c r="H17" s="80"/>
    </row>
    <row r="18" spans="1:10" ht="15" x14ac:dyDescent="0.2">
      <c r="A18" s="66"/>
      <c r="B18" s="91"/>
      <c r="C18" s="56" t="s">
        <v>91</v>
      </c>
      <c r="D18" s="92"/>
      <c r="E18" s="93"/>
      <c r="F18" s="93"/>
      <c r="G18" s="94">
        <f>G17</f>
        <v>4.8611111111111105E-2</v>
      </c>
      <c r="H18" s="95"/>
    </row>
    <row r="19" spans="1:10" ht="15" x14ac:dyDescent="0.2">
      <c r="A19" s="85"/>
      <c r="B19" s="86"/>
      <c r="C19" s="85"/>
      <c r="D19" s="87"/>
      <c r="E19" s="88"/>
      <c r="F19" s="88"/>
      <c r="G19" s="89"/>
      <c r="H19" s="59"/>
    </row>
    <row r="20" spans="1:10" ht="15" x14ac:dyDescent="0.2">
      <c r="A20" s="85"/>
      <c r="B20" s="86"/>
      <c r="C20" s="85"/>
      <c r="D20" s="87"/>
      <c r="E20" s="88"/>
      <c r="F20" s="88"/>
      <c r="G20" s="89"/>
      <c r="H20" s="59"/>
    </row>
    <row r="21" spans="1:10" ht="15" x14ac:dyDescent="0.2">
      <c r="A21" s="85"/>
      <c r="B21" s="86"/>
      <c r="C21" s="85"/>
      <c r="D21" s="87"/>
      <c r="E21" s="88"/>
      <c r="F21" s="88"/>
      <c r="G21" s="89"/>
      <c r="H21" s="59"/>
    </row>
    <row r="22" spans="1:10" x14ac:dyDescent="0.2">
      <c r="C22" s="38" t="s">
        <v>100</v>
      </c>
    </row>
    <row r="23" spans="1:10" x14ac:dyDescent="0.2">
      <c r="C23" s="38" t="s">
        <v>92</v>
      </c>
    </row>
    <row r="24" spans="1:10" x14ac:dyDescent="0.2"/>
    <row r="25" spans="1:10" ht="15.75" thickBot="1" x14ac:dyDescent="0.25">
      <c r="A25" s="73" t="s">
        <v>26</v>
      </c>
      <c r="B25" s="74" t="s">
        <v>96</v>
      </c>
      <c r="C25" s="73" t="s">
        <v>84</v>
      </c>
      <c r="D25" s="73" t="s">
        <v>85</v>
      </c>
      <c r="E25" s="73" t="s">
        <v>94</v>
      </c>
      <c r="F25" s="73" t="s">
        <v>95</v>
      </c>
      <c r="G25" s="79" t="s">
        <v>86</v>
      </c>
      <c r="H25" s="75" t="s">
        <v>0</v>
      </c>
      <c r="I25" s="52"/>
      <c r="J25" s="52"/>
    </row>
    <row r="26" spans="1:10" ht="15.75" thickTop="1" x14ac:dyDescent="0.2">
      <c r="A26" s="51">
        <v>1</v>
      </c>
      <c r="B26" s="69"/>
      <c r="C26" s="51" t="s">
        <v>87</v>
      </c>
      <c r="D26" s="81">
        <v>44430</v>
      </c>
      <c r="E26" s="82">
        <v>0.40833333333333338</v>
      </c>
      <c r="F26" s="82">
        <v>0.4861111111111111</v>
      </c>
      <c r="G26" s="63">
        <f>Table1[[#This Row],[Endtime]]-Table1[[#This Row],[Starttime]]</f>
        <v>7.7777777777777724E-2</v>
      </c>
      <c r="H26" s="80"/>
      <c r="I26" s="52"/>
      <c r="J26" s="52"/>
    </row>
    <row r="27" spans="1:10" ht="15" x14ac:dyDescent="0.2">
      <c r="A27" s="51">
        <v>2</v>
      </c>
      <c r="B27" s="69"/>
      <c r="C27" s="51" t="s">
        <v>88</v>
      </c>
      <c r="D27" s="81">
        <v>44430</v>
      </c>
      <c r="E27" s="82">
        <v>0.50694444444444442</v>
      </c>
      <c r="F27" s="82">
        <v>0.5625</v>
      </c>
      <c r="G27" s="63">
        <f>Table1[[#This Row],[Endtime]]-Table1[[#This Row],[Starttime]]</f>
        <v>5.555555555555558E-2</v>
      </c>
      <c r="H27" s="80"/>
      <c r="I27" s="52"/>
      <c r="J27" s="52"/>
    </row>
    <row r="28" spans="1:10" ht="15" x14ac:dyDescent="0.2">
      <c r="A28" s="51">
        <v>3</v>
      </c>
      <c r="B28" s="69"/>
      <c r="C28" s="51" t="s">
        <v>89</v>
      </c>
      <c r="D28" s="81">
        <v>44430</v>
      </c>
      <c r="E28" s="82">
        <v>0.60763888888888895</v>
      </c>
      <c r="F28" s="82">
        <v>0.64236111111111105</v>
      </c>
      <c r="G28" s="63">
        <f>Table1[[#This Row],[Endtime]]-Table1[[#This Row],[Starttime]]</f>
        <v>3.4722222222222099E-2</v>
      </c>
      <c r="H28" s="80"/>
      <c r="I28" s="52"/>
      <c r="J28" s="52"/>
    </row>
    <row r="29" spans="1:10" ht="15" x14ac:dyDescent="0.2">
      <c r="A29" s="51">
        <v>4</v>
      </c>
      <c r="B29" s="69"/>
      <c r="C29" s="51" t="s">
        <v>90</v>
      </c>
      <c r="D29" s="81">
        <v>44430</v>
      </c>
      <c r="E29" s="82">
        <v>0.64930555555555558</v>
      </c>
      <c r="F29" s="82">
        <v>0.72916666666666663</v>
      </c>
      <c r="G29" s="63">
        <f>Table1[[#This Row],[Endtime]]-Table1[[#This Row],[Starttime]]</f>
        <v>7.9861111111111049E-2</v>
      </c>
      <c r="H29" s="80"/>
      <c r="I29" s="52"/>
      <c r="J29" s="52"/>
    </row>
    <row r="30" spans="1:10" ht="15" x14ac:dyDescent="0.2">
      <c r="A30" s="7">
        <v>5</v>
      </c>
      <c r="B30" s="15"/>
      <c r="C30" s="66" t="s">
        <v>93</v>
      </c>
      <c r="D30" s="67">
        <v>44432</v>
      </c>
      <c r="E30" s="68">
        <v>0.56388888888888888</v>
      </c>
      <c r="F30" s="62">
        <v>0.59305555555555556</v>
      </c>
      <c r="G30" s="63">
        <f>Table1[[#This Row],[Endtime]]-Table1[[#This Row],[Starttime]]</f>
        <v>2.9166666666666674E-2</v>
      </c>
      <c r="H30" s="71"/>
      <c r="I30" s="41"/>
      <c r="J30" s="41"/>
    </row>
    <row r="31" spans="1:10" ht="15" x14ac:dyDescent="0.2">
      <c r="A31" s="7">
        <v>7</v>
      </c>
      <c r="B31" s="15"/>
      <c r="C31" s="51" t="s">
        <v>87</v>
      </c>
      <c r="D31" s="64">
        <v>44432</v>
      </c>
      <c r="E31" s="65">
        <v>0.39097222222222222</v>
      </c>
      <c r="F31" s="77">
        <v>0.4291666666666667</v>
      </c>
      <c r="G31" s="63">
        <f>Table1[[#This Row],[Endtime]]-Table1[[#This Row],[Starttime]]</f>
        <v>3.8194444444444475E-2</v>
      </c>
      <c r="H31" s="72"/>
      <c r="I31" s="41"/>
      <c r="J31" s="41"/>
    </row>
    <row r="32" spans="1:10" ht="15" x14ac:dyDescent="0.2">
      <c r="A32" s="7">
        <v>8</v>
      </c>
      <c r="B32" s="15"/>
      <c r="C32" s="51" t="s">
        <v>88</v>
      </c>
      <c r="D32" s="61">
        <v>44432</v>
      </c>
      <c r="E32" s="62">
        <v>0.4375</v>
      </c>
      <c r="F32" s="78">
        <v>0.48472222222222222</v>
      </c>
      <c r="G32" s="63">
        <f>Table1[[#This Row],[Endtime]]-Table1[[#This Row],[Starttime]]</f>
        <v>4.7222222222222221E-2</v>
      </c>
      <c r="H32" s="72"/>
      <c r="I32" s="41"/>
      <c r="J32" s="41"/>
    </row>
    <row r="33" spans="1:10" ht="15" x14ac:dyDescent="0.2">
      <c r="A33" s="7">
        <v>9</v>
      </c>
      <c r="B33" s="15"/>
      <c r="C33" s="51" t="s">
        <v>89</v>
      </c>
      <c r="D33" s="64">
        <v>44432</v>
      </c>
      <c r="E33" s="65">
        <v>0.48749999999999999</v>
      </c>
      <c r="F33" s="77">
        <v>0.52430555555555558</v>
      </c>
      <c r="G33" s="63">
        <f>Table1[[#This Row],[Endtime]]-Table1[[#This Row],[Starttime]]</f>
        <v>3.6805555555555591E-2</v>
      </c>
      <c r="H33" s="72"/>
      <c r="I33" s="41"/>
      <c r="J33" s="41"/>
    </row>
    <row r="34" spans="1:10" ht="15" x14ac:dyDescent="0.2">
      <c r="A34" s="54"/>
      <c r="B34" s="55"/>
      <c r="C34" s="56" t="s">
        <v>91</v>
      </c>
      <c r="D34" s="54"/>
      <c r="E34" s="54"/>
      <c r="F34" s="54"/>
      <c r="G34" s="76">
        <f>AVERAGE(G26:G33)</f>
        <v>4.9913194444444427E-2</v>
      </c>
      <c r="H34" s="57"/>
      <c r="I34" s="41"/>
      <c r="J34" s="41"/>
    </row>
    <row r="35" spans="1:10" ht="15" x14ac:dyDescent="0.2">
      <c r="A35" s="41"/>
      <c r="B35" s="42"/>
      <c r="C35" s="58"/>
      <c r="D35" s="41"/>
      <c r="E35" s="41"/>
      <c r="F35" s="41"/>
      <c r="G35" s="41"/>
      <c r="H35" s="41"/>
      <c r="I35" s="41"/>
      <c r="J35" s="41"/>
    </row>
    <row r="36" spans="1:10" ht="15" x14ac:dyDescent="0.2">
      <c r="A36" s="41"/>
      <c r="B36" s="42"/>
      <c r="C36" s="58"/>
      <c r="D36" s="41"/>
      <c r="E36" s="41"/>
      <c r="F36" s="41"/>
      <c r="G36" s="41"/>
      <c r="H36" s="41"/>
      <c r="I36" s="41"/>
      <c r="J36" s="41"/>
    </row>
    <row r="37" spans="1:10" ht="15" x14ac:dyDescent="0.2">
      <c r="A37" s="41"/>
      <c r="B37" s="42"/>
      <c r="C37" s="60"/>
      <c r="D37" s="41"/>
      <c r="E37" s="41"/>
      <c r="F37" s="41"/>
      <c r="G37" s="41"/>
      <c r="H37" s="41"/>
      <c r="I37" s="41"/>
      <c r="J37" s="41"/>
    </row>
    <row r="38" spans="1:10" ht="15" x14ac:dyDescent="0.2">
      <c r="A38" s="41"/>
      <c r="B38" s="42"/>
      <c r="C38" s="60"/>
      <c r="D38" s="41"/>
      <c r="E38" s="41"/>
      <c r="F38" s="41"/>
      <c r="G38" s="41"/>
      <c r="H38" s="41"/>
      <c r="I38" s="41"/>
      <c r="J38" s="41"/>
    </row>
    <row r="39" spans="1:10" ht="15" x14ac:dyDescent="0.2">
      <c r="A39" s="41"/>
      <c r="B39" s="42"/>
      <c r="C39" s="60"/>
      <c r="D39" s="41"/>
      <c r="E39" s="41"/>
      <c r="F39" s="41"/>
      <c r="G39" s="41"/>
      <c r="H39" s="41"/>
      <c r="I39" s="41"/>
      <c r="J39" s="41"/>
    </row>
    <row r="40" spans="1:10" ht="15" x14ac:dyDescent="0.2">
      <c r="A40" s="41"/>
      <c r="B40" s="42"/>
      <c r="C40" s="60"/>
      <c r="D40" s="41"/>
      <c r="E40" s="41"/>
      <c r="F40" s="41"/>
      <c r="G40" s="41"/>
      <c r="H40" s="41"/>
      <c r="I40" s="41"/>
      <c r="J40" s="41"/>
    </row>
    <row r="41" spans="1:10" ht="15" x14ac:dyDescent="0.2">
      <c r="A41" s="41"/>
      <c r="B41" s="42"/>
      <c r="D41" s="41"/>
      <c r="E41" s="41"/>
      <c r="F41" s="41"/>
      <c r="G41" s="41"/>
      <c r="H41" s="41"/>
      <c r="I41" s="41"/>
      <c r="J41" s="41"/>
    </row>
    <row r="42" spans="1:10" ht="15" x14ac:dyDescent="0.2">
      <c r="A42" s="41"/>
      <c r="B42" s="42"/>
      <c r="D42" s="41"/>
      <c r="E42" s="41"/>
      <c r="F42" s="41"/>
      <c r="G42" s="41"/>
      <c r="H42" s="41"/>
      <c r="I42" s="41"/>
      <c r="J42" s="41"/>
    </row>
    <row r="43" spans="1:10" ht="15" x14ac:dyDescent="0.2">
      <c r="G43" s="41"/>
      <c r="H43" s="41"/>
      <c r="I43" s="41"/>
      <c r="J43" s="41"/>
    </row>
    <row r="44" spans="1:10" ht="15" x14ac:dyDescent="0.2">
      <c r="G44" s="41"/>
      <c r="H44" s="41"/>
      <c r="I44" s="41"/>
      <c r="J44" s="41"/>
    </row>
    <row r="45" spans="1:10" ht="15" x14ac:dyDescent="0.2">
      <c r="G45" s="41"/>
      <c r="H45" s="41"/>
      <c r="I45" s="41"/>
      <c r="J45" s="41"/>
    </row>
    <row r="46" spans="1:10" ht="15" x14ac:dyDescent="0.2">
      <c r="A46" s="41"/>
      <c r="B46" s="42"/>
      <c r="C46" s="58"/>
      <c r="D46" s="41"/>
      <c r="E46" s="41"/>
      <c r="F46" s="41"/>
      <c r="G46" s="41"/>
      <c r="H46" s="41"/>
      <c r="I46" s="41"/>
      <c r="J46" s="41"/>
    </row>
    <row r="47" spans="1:10" ht="15" x14ac:dyDescent="0.2">
      <c r="A47" s="41"/>
      <c r="B47" s="42"/>
      <c r="C47" s="58"/>
      <c r="D47" s="41"/>
      <c r="E47" s="41"/>
      <c r="F47" s="41"/>
      <c r="G47" s="41"/>
      <c r="H47" s="41"/>
      <c r="I47" s="41"/>
      <c r="J47" s="41"/>
    </row>
    <row r="48" spans="1:10" ht="27" customHeight="1" x14ac:dyDescent="0.2">
      <c r="A48" s="41"/>
      <c r="B48" s="42"/>
      <c r="C48" s="58"/>
      <c r="D48" s="41"/>
      <c r="E48" s="41"/>
      <c r="F48" s="41"/>
      <c r="G48" s="41"/>
      <c r="H48" s="41"/>
      <c r="I48" s="41"/>
      <c r="J48" s="41"/>
    </row>
    <row r="49" spans="1:10" ht="15" x14ac:dyDescent="0.2">
      <c r="A49" s="41"/>
      <c r="B49" s="42"/>
      <c r="C49" s="59"/>
      <c r="D49" s="41"/>
      <c r="E49" s="41"/>
      <c r="F49" s="41"/>
      <c r="G49" s="41"/>
      <c r="H49" s="41"/>
      <c r="I49" s="41"/>
      <c r="J49" s="41"/>
    </row>
    <row r="50" spans="1:10" ht="15" x14ac:dyDescent="0.2">
      <c r="A50" s="41"/>
      <c r="B50" s="42"/>
      <c r="C50" s="59"/>
      <c r="D50" s="41"/>
      <c r="E50" s="41"/>
      <c r="F50" s="41"/>
      <c r="G50" s="41"/>
      <c r="H50" s="41"/>
      <c r="I50" s="41"/>
      <c r="J50" s="41"/>
    </row>
    <row r="51" spans="1:10" ht="15" x14ac:dyDescent="0.2">
      <c r="A51" s="41"/>
    </row>
    <row r="52" spans="1:10" x14ac:dyDescent="0.2"/>
    <row r="53" spans="1:10" x14ac:dyDescent="0.2"/>
    <row r="54" spans="1:10" x14ac:dyDescent="0.2"/>
    <row r="55" spans="1:10" x14ac:dyDescent="0.2"/>
    <row r="56" spans="1:10" ht="15" x14ac:dyDescent="0.2">
      <c r="A56" s="52"/>
      <c r="B56" s="100"/>
      <c r="C56" s="52"/>
      <c r="D56" s="52"/>
      <c r="E56" s="52"/>
      <c r="F56" s="52"/>
    </row>
    <row r="57" spans="1:10" ht="15" x14ac:dyDescent="0.2">
      <c r="A57" s="41"/>
      <c r="B57" s="42"/>
      <c r="C57" s="59"/>
      <c r="D57" s="41"/>
      <c r="E57" s="158"/>
      <c r="F57" s="59"/>
    </row>
    <row r="58" spans="1:10" ht="15" x14ac:dyDescent="0.2">
      <c r="A58" s="41"/>
      <c r="B58" s="42"/>
      <c r="C58" s="59"/>
      <c r="D58" s="41"/>
      <c r="E58" s="158"/>
      <c r="F58" s="59"/>
    </row>
    <row r="59" spans="1:10" x14ac:dyDescent="0.2"/>
    <row r="60" spans="1:10" x14ac:dyDescent="0.2"/>
  </sheetData>
  <mergeCells count="2">
    <mergeCell ref="C2:E2"/>
    <mergeCell ref="C12:E12"/>
  </mergeCells>
  <phoneticPr fontId="0" type="noConversion"/>
  <pageMargins left="0.75" right="0.75" top="0.35" bottom="0.24" header="0.25" footer="0.19"/>
  <pageSetup scale="93" orientation="landscape" r:id="rId1"/>
  <headerFooter alignWithMargins="0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T71"/>
  <sheetViews>
    <sheetView zoomScale="70" zoomScaleNormal="70" workbookViewId="0">
      <selection activeCell="E9" sqref="E9"/>
    </sheetView>
  </sheetViews>
  <sheetFormatPr defaultColWidth="8.7109375" defaultRowHeight="12.75" zeroHeight="1" x14ac:dyDescent="0.2"/>
  <cols>
    <col min="1" max="1" width="7.42578125" customWidth="1"/>
    <col min="2" max="2" width="2.140625" customWidth="1"/>
    <col min="3" max="3" width="56.28515625" customWidth="1"/>
    <col min="4" max="4" width="32" customWidth="1"/>
    <col min="5" max="5" width="31" customWidth="1"/>
    <col min="6" max="6" width="31.42578125" customWidth="1"/>
    <col min="7" max="7" width="28.42578125" style="26" customWidth="1"/>
    <col min="8" max="8" width="28.28515625" style="26" customWidth="1"/>
    <col min="9" max="9" width="31.7109375" style="26" customWidth="1"/>
    <col min="10" max="10" width="14.7109375" customWidth="1"/>
    <col min="11" max="11" width="12.140625" customWidth="1"/>
    <col min="12" max="12" width="10.5703125" customWidth="1"/>
    <col min="13" max="13" width="10.28515625" customWidth="1"/>
    <col min="14" max="14" width="17.85546875" customWidth="1"/>
    <col min="15" max="15" width="16.42578125" customWidth="1"/>
    <col min="16" max="16" width="24.42578125" customWidth="1"/>
    <col min="17" max="16383" width="8.7109375" customWidth="1"/>
  </cols>
  <sheetData>
    <row r="1" spans="1:20" x14ac:dyDescent="0.2">
      <c r="A1" s="26"/>
      <c r="B1" s="26"/>
      <c r="C1" s="26"/>
      <c r="D1" s="26"/>
      <c r="E1" s="26"/>
      <c r="F1" s="26"/>
    </row>
    <row r="2" spans="1:20" x14ac:dyDescent="0.2">
      <c r="A2" s="26"/>
      <c r="B2" s="38" t="s">
        <v>101</v>
      </c>
      <c r="C2" s="26"/>
      <c r="D2" s="26"/>
      <c r="E2" s="26"/>
      <c r="F2" s="26"/>
    </row>
    <row r="3" spans="1:20" x14ac:dyDescent="0.2">
      <c r="A3" s="26"/>
      <c r="B3" s="38" t="s">
        <v>102</v>
      </c>
      <c r="C3" s="26"/>
      <c r="D3" s="26"/>
      <c r="E3" s="26"/>
      <c r="F3" s="26"/>
    </row>
    <row r="4" spans="1:20" s="26" customFormat="1" ht="13.5" thickBot="1" x14ac:dyDescent="0.25"/>
    <row r="5" spans="1:20" ht="77.25" customHeight="1" thickTop="1" thickBot="1" x14ac:dyDescent="0.25">
      <c r="A5" s="44" t="s">
        <v>26</v>
      </c>
      <c r="B5" s="47"/>
      <c r="C5" s="44" t="s">
        <v>35</v>
      </c>
      <c r="D5" s="44" t="s">
        <v>53</v>
      </c>
      <c r="E5" s="44" t="s">
        <v>54</v>
      </c>
      <c r="F5" s="44" t="s">
        <v>155</v>
      </c>
      <c r="G5" s="44" t="s">
        <v>0</v>
      </c>
      <c r="H5" s="5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.75" thickTop="1" x14ac:dyDescent="0.2">
      <c r="A6" s="7">
        <v>1</v>
      </c>
      <c r="B6" s="15"/>
      <c r="C6" s="7" t="s">
        <v>45</v>
      </c>
      <c r="D6" s="7">
        <v>0.75</v>
      </c>
      <c r="E6" s="7">
        <v>0.75</v>
      </c>
      <c r="F6" s="7">
        <v>0.75</v>
      </c>
      <c r="G6" s="98"/>
      <c r="H6" s="97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x14ac:dyDescent="0.2">
      <c r="A7" s="7">
        <v>2</v>
      </c>
      <c r="B7" s="15"/>
      <c r="C7" s="7" t="s">
        <v>46</v>
      </c>
      <c r="D7" s="7">
        <v>0.25</v>
      </c>
      <c r="E7" s="7">
        <v>0.25</v>
      </c>
      <c r="F7" s="7">
        <v>0.25</v>
      </c>
      <c r="G7" s="28"/>
      <c r="H7" s="39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">
      <c r="A8" s="7">
        <v>3</v>
      </c>
      <c r="B8" s="15"/>
      <c r="C8" s="166" t="s">
        <v>159</v>
      </c>
      <c r="D8" s="7">
        <f>(20*J29)/60</f>
        <v>3.5419249406234168</v>
      </c>
      <c r="E8" s="7">
        <f>(20*P29)/60</f>
        <v>1.1830714543957579</v>
      </c>
      <c r="F8" s="174">
        <f>(20*P29)/60</f>
        <v>1.1830714543957579</v>
      </c>
      <c r="G8" s="98"/>
      <c r="H8" s="97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x14ac:dyDescent="0.2">
      <c r="A9" s="7">
        <v>4</v>
      </c>
      <c r="B9" s="15"/>
      <c r="C9" s="166" t="s">
        <v>158</v>
      </c>
      <c r="D9" s="7">
        <f>(20*J35)/60</f>
        <v>3.6498264029644081</v>
      </c>
      <c r="E9" s="7">
        <f>(20*P35)/60</f>
        <v>1.5067739725472411</v>
      </c>
      <c r="F9" s="175">
        <f>(20*P35)/60</f>
        <v>1.5067739725472411</v>
      </c>
      <c r="G9" s="99"/>
      <c r="H9" s="39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">
      <c r="A10" s="7">
        <v>5</v>
      </c>
      <c r="B10" s="15"/>
      <c r="C10" s="166" t="s">
        <v>156</v>
      </c>
      <c r="D10" s="7">
        <v>0</v>
      </c>
      <c r="E10" s="7">
        <v>0</v>
      </c>
      <c r="F10" s="175">
        <f>(5*P29)/60</f>
        <v>0.29576786359893947</v>
      </c>
      <c r="G10" s="99"/>
      <c r="H10" s="3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">
      <c r="A11" s="7">
        <v>6</v>
      </c>
      <c r="B11" s="15"/>
      <c r="C11" s="166" t="s">
        <v>157</v>
      </c>
      <c r="D11" s="7">
        <v>0</v>
      </c>
      <c r="E11" s="7">
        <v>0</v>
      </c>
      <c r="F11" s="175">
        <f>(5*P35)/60</f>
        <v>0.37669349313681028</v>
      </c>
      <c r="G11" s="99"/>
      <c r="H11" s="3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">
      <c r="A12" s="19"/>
      <c r="B12" s="20"/>
      <c r="C12" s="19" t="s">
        <v>150</v>
      </c>
      <c r="D12" s="19">
        <f>SUM(D6:D11)</f>
        <v>8.1917513435878249</v>
      </c>
      <c r="E12" s="19">
        <f>SUM(E6:E11)</f>
        <v>3.6898454269429992</v>
      </c>
      <c r="F12" s="19">
        <f>SUM(F6:F11)</f>
        <v>4.3623067836787488</v>
      </c>
      <c r="G12" s="29"/>
      <c r="H12" s="53"/>
      <c r="I12" s="50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15" x14ac:dyDescent="0.2">
      <c r="A13" s="19"/>
      <c r="B13" s="20"/>
      <c r="C13" s="19"/>
      <c r="D13" s="19"/>
      <c r="E13" s="19"/>
      <c r="F13" s="19"/>
      <c r="G13" s="2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x14ac:dyDescent="0.2">
      <c r="A14" s="19"/>
      <c r="B14" s="20"/>
      <c r="C14" s="19" t="s">
        <v>153</v>
      </c>
      <c r="D14" s="19">
        <f>D12*2</f>
        <v>16.38350268717565</v>
      </c>
      <c r="E14" s="19">
        <f>SUM(E7:E12)</f>
        <v>6.6296908538859984</v>
      </c>
      <c r="F14" s="19">
        <f>SUM(F7:F12)</f>
        <v>7.9746135673574976</v>
      </c>
      <c r="G14" s="2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x14ac:dyDescent="0.2">
      <c r="A15" s="19"/>
      <c r="B15" s="20"/>
      <c r="C15" s="19" t="s">
        <v>154</v>
      </c>
      <c r="D15" s="19">
        <f>ROUND(D14/8, 1)</f>
        <v>2</v>
      </c>
      <c r="E15" s="19">
        <f>ROUND(E14/8,1)</f>
        <v>0.8</v>
      </c>
      <c r="F15" s="19">
        <f>ROUND(F14/8,1)</f>
        <v>1</v>
      </c>
      <c r="G15" s="2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 x14ac:dyDescent="0.2">
      <c r="A16" s="19"/>
      <c r="B16" s="20"/>
      <c r="C16" s="19"/>
      <c r="D16" s="19"/>
      <c r="E16" s="19"/>
      <c r="F16" s="19"/>
      <c r="G16" s="2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x14ac:dyDescent="0.2">
      <c r="A17" s="19"/>
      <c r="B17" s="20"/>
      <c r="C17" s="19" t="s">
        <v>143</v>
      </c>
      <c r="D17" s="19">
        <v>40</v>
      </c>
      <c r="E17" s="19">
        <v>40</v>
      </c>
      <c r="F17" s="19">
        <v>50</v>
      </c>
      <c r="G17" s="2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/>
      <c r="B18" s="2"/>
      <c r="C18" s="2"/>
      <c r="D18" s="2"/>
      <c r="F18" s="2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/>
      <c r="B19" s="2"/>
      <c r="C19" s="2"/>
      <c r="D19" s="2"/>
      <c r="E19" s="2"/>
      <c r="F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/>
      <c r="B20" s="2"/>
      <c r="C20" s="2"/>
      <c r="D20" s="2"/>
      <c r="E20" s="2"/>
      <c r="F20" s="2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/>
      <c r="B21" s="156" t="s">
        <v>127</v>
      </c>
      <c r="C21" s="2"/>
      <c r="D21" s="2"/>
      <c r="E21" s="2"/>
      <c r="F21" s="2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x14ac:dyDescent="0.2">
      <c r="A22" s="108"/>
      <c r="B22" s="157" t="s">
        <v>128</v>
      </c>
      <c r="C22" s="108"/>
      <c r="D22" s="108"/>
      <c r="E22" s="108"/>
      <c r="F22" s="52"/>
      <c r="G22" s="108"/>
      <c r="H22" s="5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7.45" customHeight="1" thickBot="1" x14ac:dyDescent="0.3">
      <c r="A23" s="103"/>
      <c r="B23" s="104"/>
      <c r="C23" s="109"/>
      <c r="D23" s="110"/>
      <c r="E23" s="103"/>
      <c r="F23" s="111"/>
      <c r="G23" s="103"/>
      <c r="H23" s="10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39.950000000000003" customHeight="1" thickTop="1" thickBot="1" x14ac:dyDescent="0.25">
      <c r="A24" s="44" t="s">
        <v>26</v>
      </c>
      <c r="B24" s="47"/>
      <c r="C24" s="44" t="s">
        <v>103</v>
      </c>
      <c r="D24" s="117" t="s">
        <v>104</v>
      </c>
      <c r="E24" s="117" t="s">
        <v>105</v>
      </c>
      <c r="F24" s="44" t="s">
        <v>106</v>
      </c>
      <c r="G24" s="44" t="s">
        <v>107</v>
      </c>
      <c r="H24" s="44" t="s">
        <v>108</v>
      </c>
      <c r="I24" s="44" t="s">
        <v>109</v>
      </c>
      <c r="J24" s="118" t="s">
        <v>110</v>
      </c>
      <c r="K24" s="44" t="s">
        <v>111</v>
      </c>
      <c r="L24" s="44" t="s">
        <v>112</v>
      </c>
      <c r="M24" s="44" t="s">
        <v>113</v>
      </c>
      <c r="N24" s="44" t="s">
        <v>114</v>
      </c>
      <c r="O24" s="44" t="s">
        <v>115</v>
      </c>
      <c r="P24" s="118" t="s">
        <v>116</v>
      </c>
      <c r="Q24" s="2"/>
      <c r="R24" s="2"/>
      <c r="S24" s="2"/>
      <c r="T24" s="2"/>
    </row>
    <row r="25" spans="1:20" ht="27.95" customHeight="1" thickTop="1" x14ac:dyDescent="0.25">
      <c r="A25" s="119">
        <v>1</v>
      </c>
      <c r="B25" s="120"/>
      <c r="C25" s="121" t="s">
        <v>117</v>
      </c>
      <c r="D25" s="122">
        <v>1.5</v>
      </c>
      <c r="E25" s="123">
        <v>13.264623</v>
      </c>
      <c r="F25" s="124" t="s">
        <v>118</v>
      </c>
      <c r="G25" s="125">
        <v>44427.601030092592</v>
      </c>
      <c r="H25" s="125">
        <v>44427.67292824074</v>
      </c>
      <c r="I25" s="126">
        <v>103.533333</v>
      </c>
      <c r="J25" s="123">
        <f>I25/E25</f>
        <v>7.8052224326315187</v>
      </c>
      <c r="K25" s="127">
        <v>91</v>
      </c>
      <c r="L25" s="128">
        <f>K25/E25</f>
        <v>6.8603532870855055</v>
      </c>
      <c r="M25" s="129">
        <f>((J25-L25)/L25)*100</f>
        <v>13.772893406593401</v>
      </c>
      <c r="N25" s="130">
        <v>21</v>
      </c>
      <c r="O25" s="128">
        <f>N25/E25</f>
        <v>1.5831584508658858</v>
      </c>
      <c r="P25" s="131">
        <f>O25*(1+M$29/100)</f>
        <v>2.8982219987446189</v>
      </c>
      <c r="Q25" s="2"/>
      <c r="R25" s="2"/>
      <c r="S25" s="2"/>
      <c r="T25" s="2"/>
    </row>
    <row r="26" spans="1:20" ht="15" x14ac:dyDescent="0.25">
      <c r="A26" s="119">
        <v>2</v>
      </c>
      <c r="B26" s="120"/>
      <c r="C26" s="132" t="s">
        <v>119</v>
      </c>
      <c r="D26" s="133">
        <v>1.4</v>
      </c>
      <c r="E26" s="123">
        <v>13.237128999999999</v>
      </c>
      <c r="F26" s="124" t="s">
        <v>118</v>
      </c>
      <c r="G26" s="125">
        <v>44430.418067129627</v>
      </c>
      <c r="H26" s="125">
        <v>44430.528796296298</v>
      </c>
      <c r="I26" s="126">
        <v>159.44999999999999</v>
      </c>
      <c r="J26" s="123">
        <f t="shared" ref="J26:J28" si="0">I26/E26</f>
        <v>12.045663376099153</v>
      </c>
      <c r="K26" s="127">
        <v>117</v>
      </c>
      <c r="L26" s="128">
        <f t="shared" ref="L26:L28" si="1">K26/E26</f>
        <v>8.8387746315685227</v>
      </c>
      <c r="M26" s="129">
        <f t="shared" ref="M26:M28" si="2">((J26-L26)/L26)*100</f>
        <v>36.282051282051277</v>
      </c>
      <c r="N26" s="130">
        <v>23</v>
      </c>
      <c r="O26" s="128">
        <f t="shared" ref="O26:O28" si="3">N26/E26</f>
        <v>1.7375368933852651</v>
      </c>
      <c r="P26" s="131">
        <f t="shared" ref="P26:P28" si="4">O26*(1+M$29/100)</f>
        <v>3.1808361603257831</v>
      </c>
      <c r="Q26" s="2"/>
      <c r="R26" s="2"/>
      <c r="S26" s="2"/>
      <c r="T26" s="2"/>
    </row>
    <row r="27" spans="1:20" ht="15" x14ac:dyDescent="0.25">
      <c r="A27" s="119">
        <v>3</v>
      </c>
      <c r="B27" s="120"/>
      <c r="C27" s="121" t="s">
        <v>120</v>
      </c>
      <c r="D27" s="122">
        <v>1.4</v>
      </c>
      <c r="E27" s="123">
        <v>5.9640909999999998</v>
      </c>
      <c r="F27" s="124" t="s">
        <v>118</v>
      </c>
      <c r="G27" s="125">
        <v>44430.63480324074</v>
      </c>
      <c r="H27" s="125">
        <v>44430.678773148145</v>
      </c>
      <c r="I27" s="126">
        <v>63.316667000000002</v>
      </c>
      <c r="J27" s="123">
        <f t="shared" si="0"/>
        <v>10.616314707471767</v>
      </c>
      <c r="K27" s="127">
        <v>20</v>
      </c>
      <c r="L27" s="128">
        <f t="shared" si="1"/>
        <v>3.3534028907338942</v>
      </c>
      <c r="M27" s="129">
        <f t="shared" si="2"/>
        <v>216.58333499999998</v>
      </c>
      <c r="N27" s="130">
        <v>12</v>
      </c>
      <c r="O27" s="128">
        <f t="shared" si="3"/>
        <v>2.0120417344403365</v>
      </c>
      <c r="P27" s="131">
        <f t="shared" si="4"/>
        <v>3.6833606983292748</v>
      </c>
      <c r="Q27" s="2"/>
      <c r="R27" s="2"/>
      <c r="S27" s="2"/>
      <c r="T27" s="2"/>
    </row>
    <row r="28" spans="1:20" ht="15" x14ac:dyDescent="0.25">
      <c r="A28" s="119">
        <v>4</v>
      </c>
      <c r="B28" s="120"/>
      <c r="C28" s="121" t="s">
        <v>121</v>
      </c>
      <c r="D28" s="122">
        <v>1.5</v>
      </c>
      <c r="E28" s="123">
        <v>3.3026200000000001</v>
      </c>
      <c r="F28" s="124" t="s">
        <v>118</v>
      </c>
      <c r="G28" s="125">
        <v>44431.476620370369</v>
      </c>
      <c r="H28" s="125">
        <v>44431.504224537035</v>
      </c>
      <c r="I28" s="126">
        <v>39.75</v>
      </c>
      <c r="J28" s="123">
        <f t="shared" si="0"/>
        <v>12.035898771278561</v>
      </c>
      <c r="K28" s="127">
        <v>24</v>
      </c>
      <c r="L28" s="128">
        <f t="shared" si="1"/>
        <v>7.2669577486964894</v>
      </c>
      <c r="M28" s="129">
        <f t="shared" si="2"/>
        <v>65.625</v>
      </c>
      <c r="N28" s="130">
        <v>8</v>
      </c>
      <c r="O28" s="128">
        <f t="shared" si="3"/>
        <v>2.4223192495654966</v>
      </c>
      <c r="P28" s="131">
        <f t="shared" si="4"/>
        <v>4.4344385953494179</v>
      </c>
      <c r="Q28" s="2"/>
      <c r="R28" s="2"/>
      <c r="S28" s="2"/>
      <c r="T28" s="2"/>
    </row>
    <row r="29" spans="1:20" ht="15" x14ac:dyDescent="0.25">
      <c r="A29" s="19"/>
      <c r="B29" s="20"/>
      <c r="C29" s="134" t="s">
        <v>91</v>
      </c>
      <c r="D29" s="135"/>
      <c r="E29" s="136"/>
      <c r="F29" s="136"/>
      <c r="G29" s="135"/>
      <c r="H29" s="135"/>
      <c r="I29" s="137"/>
      <c r="J29" s="136">
        <f>AVERAGE(J25:J28)</f>
        <v>10.62577482187025</v>
      </c>
      <c r="K29" s="138"/>
      <c r="L29" s="139">
        <f>AVERAGE(L25:L28)</f>
        <v>6.5798721395211022</v>
      </c>
      <c r="M29" s="140">
        <f>AVERAGE(M25:M28)</f>
        <v>83.065819922161168</v>
      </c>
      <c r="N29" s="135"/>
      <c r="O29" s="139">
        <f>AVERAGE(O25:O28)</f>
        <v>1.938764082064246</v>
      </c>
      <c r="P29" s="136">
        <f>AVERAGE(P25:P28)</f>
        <v>3.5492143631872737</v>
      </c>
      <c r="Q29" s="2"/>
      <c r="R29" s="2"/>
      <c r="S29" s="2"/>
      <c r="T29" s="2"/>
    </row>
    <row r="30" spans="1:20" ht="15" x14ac:dyDescent="0.25">
      <c r="A30" s="119"/>
      <c r="B30" s="120"/>
      <c r="C30" s="141"/>
      <c r="D30" s="142"/>
      <c r="E30" s="131"/>
      <c r="F30" s="131"/>
      <c r="G30" s="130"/>
      <c r="H30" s="130"/>
      <c r="I30" s="143"/>
      <c r="J30" s="131"/>
      <c r="K30" s="144"/>
      <c r="L30" s="128"/>
      <c r="M30" s="129"/>
      <c r="N30" s="130"/>
      <c r="O30" s="128"/>
      <c r="P30" s="131"/>
      <c r="Q30" s="2"/>
      <c r="R30" s="2"/>
      <c r="S30" s="2"/>
      <c r="T30" s="2"/>
    </row>
    <row r="31" spans="1:20" ht="15" x14ac:dyDescent="0.2">
      <c r="A31" s="119">
        <v>5</v>
      </c>
      <c r="B31" s="120"/>
      <c r="C31" s="145" t="s">
        <v>122</v>
      </c>
      <c r="D31" s="146">
        <v>2.9</v>
      </c>
      <c r="E31" s="123">
        <v>10.627103</v>
      </c>
      <c r="F31" s="124" t="s">
        <v>123</v>
      </c>
      <c r="G31" s="125">
        <v>44433.7809375</v>
      </c>
      <c r="H31" s="125">
        <v>44433.830300925925</v>
      </c>
      <c r="I31" s="126">
        <v>71.083332999999996</v>
      </c>
      <c r="J31" s="123">
        <f>I31/E31</f>
        <v>6.6888721225342405</v>
      </c>
      <c r="K31" s="129">
        <v>54</v>
      </c>
      <c r="L31" s="128">
        <f>K31/E31</f>
        <v>5.0813471931155654</v>
      </c>
      <c r="M31" s="129">
        <f>((J31-L31)/L31)*100</f>
        <v>31.635801851851831</v>
      </c>
      <c r="N31" s="147">
        <v>21</v>
      </c>
      <c r="O31" s="128">
        <f>N31/E31</f>
        <v>1.9760794639893864</v>
      </c>
      <c r="P31" s="148">
        <f>O31*(1+$M$35/100)</f>
        <v>3.0032360395282502</v>
      </c>
      <c r="Q31" s="2"/>
      <c r="R31" s="2"/>
      <c r="S31" s="2"/>
      <c r="T31" s="2"/>
    </row>
    <row r="32" spans="1:20" ht="15" x14ac:dyDescent="0.2">
      <c r="A32" s="119">
        <v>6</v>
      </c>
      <c r="B32" s="120"/>
      <c r="C32" s="145" t="s">
        <v>124</v>
      </c>
      <c r="D32" s="149">
        <v>3</v>
      </c>
      <c r="E32" s="123">
        <v>9.6083599999999993</v>
      </c>
      <c r="F32" s="124" t="s">
        <v>123</v>
      </c>
      <c r="G32" s="125">
        <v>44429.86923611111</v>
      </c>
      <c r="H32" s="125">
        <v>44429.913518518515</v>
      </c>
      <c r="I32" s="126">
        <v>63.766666999999998</v>
      </c>
      <c r="J32" s="123">
        <f t="shared" ref="J32:J34" si="5">I32/E32</f>
        <v>6.6365817891919123</v>
      </c>
      <c r="K32" s="129">
        <v>44</v>
      </c>
      <c r="L32" s="128">
        <f t="shared" ref="L32:L34" si="6">K32/E32</f>
        <v>4.5793454866387187</v>
      </c>
      <c r="M32" s="129">
        <f t="shared" ref="M32:M34" si="7">((J32-L32)/L32)*100</f>
        <v>44.924243181818191</v>
      </c>
      <c r="N32" s="147">
        <v>19</v>
      </c>
      <c r="O32" s="128">
        <f t="shared" ref="O32:O34" si="8">N32/E32</f>
        <v>1.9774446419576286</v>
      </c>
      <c r="P32" s="148">
        <f t="shared" ref="P32:P34" si="9">O32*(1+$M$35/100)</f>
        <v>3.0053108304206764</v>
      </c>
      <c r="Q32" s="2"/>
      <c r="R32" s="2"/>
      <c r="S32" s="2"/>
      <c r="T32" s="2"/>
    </row>
    <row r="33" spans="1:20" ht="15" x14ac:dyDescent="0.2">
      <c r="A33" s="119">
        <v>7</v>
      </c>
      <c r="B33" s="120"/>
      <c r="C33" s="150" t="s">
        <v>125</v>
      </c>
      <c r="D33" s="151">
        <v>2.2000000000000002</v>
      </c>
      <c r="E33" s="123">
        <v>1.820136</v>
      </c>
      <c r="F33" s="124" t="s">
        <v>123</v>
      </c>
      <c r="G33" s="125">
        <v>44431.928622685184</v>
      </c>
      <c r="H33" s="125">
        <v>44431.945706018516</v>
      </c>
      <c r="I33" s="126">
        <v>24.6</v>
      </c>
      <c r="J33" s="123">
        <f t="shared" si="5"/>
        <v>13.515473569008032</v>
      </c>
      <c r="K33" s="129">
        <v>18</v>
      </c>
      <c r="L33" s="128">
        <f t="shared" si="6"/>
        <v>9.8893709041522175</v>
      </c>
      <c r="M33" s="129">
        <f t="shared" si="7"/>
        <v>36.666666666666679</v>
      </c>
      <c r="N33" s="147">
        <v>8</v>
      </c>
      <c r="O33" s="128">
        <f t="shared" si="8"/>
        <v>4.3952759574009859</v>
      </c>
      <c r="P33" s="148">
        <f t="shared" si="9"/>
        <v>6.6799192033957464</v>
      </c>
      <c r="Q33" s="2"/>
      <c r="R33" s="2"/>
      <c r="S33" s="2"/>
      <c r="T33" s="2"/>
    </row>
    <row r="34" spans="1:20" ht="15" x14ac:dyDescent="0.2">
      <c r="A34" s="119">
        <v>8</v>
      </c>
      <c r="B34" s="120"/>
      <c r="C34" s="145" t="s">
        <v>126</v>
      </c>
      <c r="D34" s="147">
        <v>2.2000000000000002</v>
      </c>
      <c r="E34" s="123">
        <v>3.1</v>
      </c>
      <c r="F34" s="124" t="s">
        <v>123</v>
      </c>
      <c r="G34" s="125">
        <v>44431.791412037041</v>
      </c>
      <c r="H34" s="125">
        <v>44431.827916666669</v>
      </c>
      <c r="I34" s="126">
        <v>52.566667000000002</v>
      </c>
      <c r="J34" s="123">
        <f t="shared" si="5"/>
        <v>16.956989354838711</v>
      </c>
      <c r="K34" s="129">
        <v>27</v>
      </c>
      <c r="L34" s="128">
        <f t="shared" si="6"/>
        <v>8.7096774193548381</v>
      </c>
      <c r="M34" s="129">
        <f t="shared" si="7"/>
        <v>94.691359259259286</v>
      </c>
      <c r="N34" s="147">
        <v>11</v>
      </c>
      <c r="O34" s="128">
        <f t="shared" si="8"/>
        <v>3.5483870967741935</v>
      </c>
      <c r="P34" s="148">
        <f t="shared" si="9"/>
        <v>5.3928215972222224</v>
      </c>
      <c r="Q34" s="2"/>
      <c r="R34" s="2"/>
      <c r="S34" s="2"/>
      <c r="T34" s="2"/>
    </row>
    <row r="35" spans="1:20" ht="15" x14ac:dyDescent="0.2">
      <c r="A35" s="19"/>
      <c r="B35" s="20"/>
      <c r="C35" s="152" t="s">
        <v>91</v>
      </c>
      <c r="D35" s="149"/>
      <c r="E35" s="149"/>
      <c r="F35" s="149"/>
      <c r="G35" s="149"/>
      <c r="H35" s="149"/>
      <c r="I35" s="153"/>
      <c r="J35" s="154">
        <f>AVERAGE(J31:J34)</f>
        <v>10.949479208893225</v>
      </c>
      <c r="K35" s="154"/>
      <c r="L35" s="139">
        <f>AVERAGE(L31:L34)</f>
        <v>7.0649352508153349</v>
      </c>
      <c r="M35" s="140">
        <f>AVERAGE(M31:M34)</f>
        <v>51.979517739898995</v>
      </c>
      <c r="N35" s="155"/>
      <c r="O35" s="154">
        <f>AVERAGE(O31:O34)</f>
        <v>2.9742967900305488</v>
      </c>
      <c r="P35" s="154">
        <f>AVERAGE(P31:P34)</f>
        <v>4.5203219176417235</v>
      </c>
      <c r="Q35" s="2"/>
      <c r="R35" s="2"/>
      <c r="S35" s="2"/>
      <c r="T35" s="2"/>
    </row>
    <row r="36" spans="1:20" ht="15" x14ac:dyDescent="0.2">
      <c r="A36" s="26"/>
      <c r="B36" s="26"/>
      <c r="C36" s="26"/>
      <c r="D36" s="26"/>
      <c r="E36" s="26"/>
      <c r="F36" s="26"/>
      <c r="I36" s="4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x14ac:dyDescent="0.2">
      <c r="A37" s="26"/>
      <c r="B37" s="26"/>
      <c r="C37" s="26"/>
      <c r="D37" s="26"/>
      <c r="E37" s="26"/>
      <c r="F37" s="26"/>
      <c r="I37" s="4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 x14ac:dyDescent="0.2">
      <c r="A38" s="103"/>
      <c r="B38" s="104"/>
      <c r="C38" s="108"/>
      <c r="D38" s="108"/>
      <c r="E38" s="108"/>
      <c r="F38" s="52"/>
      <c r="G38" s="108"/>
      <c r="H38" s="52"/>
      <c r="I38" s="4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 x14ac:dyDescent="0.25">
      <c r="A39" s="103"/>
      <c r="B39" s="104"/>
      <c r="C39" s="115"/>
      <c r="D39" s="106"/>
      <c r="E39" s="103"/>
      <c r="F39" s="111"/>
      <c r="G39" s="103"/>
      <c r="H39" s="103"/>
      <c r="I39" s="4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x14ac:dyDescent="0.25">
      <c r="A40" s="103"/>
      <c r="B40" s="104"/>
      <c r="C40" s="115"/>
      <c r="D40" s="106"/>
      <c r="E40" s="103"/>
      <c r="F40" s="107"/>
      <c r="G40" s="103"/>
      <c r="H40" s="103"/>
      <c r="I40" s="4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" x14ac:dyDescent="0.25">
      <c r="A41" s="103"/>
      <c r="B41" s="104"/>
      <c r="C41" s="115"/>
      <c r="D41" s="113"/>
      <c r="E41" s="103"/>
      <c r="F41" s="111"/>
      <c r="G41" s="103"/>
      <c r="H41" s="103"/>
      <c r="I41" s="4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x14ac:dyDescent="0.25">
      <c r="A42" s="103"/>
      <c r="B42" s="104"/>
      <c r="C42" s="116"/>
      <c r="D42" s="114"/>
      <c r="E42" s="103"/>
      <c r="F42" s="107"/>
      <c r="G42" s="103"/>
      <c r="H42" s="103"/>
      <c r="I42" s="4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" x14ac:dyDescent="0.25">
      <c r="A43" s="103"/>
      <c r="B43" s="104"/>
      <c r="C43" s="115"/>
      <c r="D43" s="106"/>
      <c r="E43" s="103"/>
      <c r="F43" s="107"/>
      <c r="G43" s="103"/>
      <c r="H43" s="103"/>
      <c r="I43" s="4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" x14ac:dyDescent="0.25">
      <c r="A44" s="103"/>
      <c r="B44" s="104"/>
      <c r="C44" s="116"/>
      <c r="D44" s="106"/>
      <c r="E44" s="103"/>
      <c r="F44" s="107"/>
      <c r="G44" s="103"/>
      <c r="H44" s="103"/>
      <c r="I44" s="4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x14ac:dyDescent="0.25">
      <c r="A45" s="103"/>
      <c r="B45" s="104"/>
      <c r="C45" s="105"/>
      <c r="D45" s="106"/>
      <c r="E45" s="103"/>
      <c r="F45" s="107"/>
      <c r="G45" s="103"/>
      <c r="H45" s="103"/>
      <c r="I45" s="4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x14ac:dyDescent="0.25">
      <c r="A46" s="103"/>
      <c r="B46" s="104"/>
      <c r="C46" s="105"/>
      <c r="D46" s="106"/>
      <c r="E46" s="103"/>
      <c r="F46" s="107"/>
      <c r="G46" s="103"/>
      <c r="H46" s="103"/>
      <c r="I46" s="4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" x14ac:dyDescent="0.25">
      <c r="A47" s="103"/>
      <c r="B47" s="104"/>
      <c r="C47" s="112"/>
      <c r="D47" s="113"/>
      <c r="E47" s="103"/>
      <c r="F47" s="107"/>
      <c r="G47" s="103"/>
      <c r="H47" s="103"/>
      <c r="I47" s="4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x14ac:dyDescent="0.25">
      <c r="A48" s="103"/>
      <c r="B48" s="104"/>
      <c r="C48" s="105"/>
      <c r="D48" s="106"/>
      <c r="E48" s="103"/>
      <c r="F48" s="107"/>
      <c r="G48" s="103"/>
      <c r="H48" s="103"/>
      <c r="I48" s="4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x14ac:dyDescent="0.25">
      <c r="A49" s="103"/>
      <c r="B49" s="104"/>
      <c r="C49" s="105"/>
      <c r="D49" s="106"/>
      <c r="E49" s="103"/>
      <c r="F49" s="107"/>
      <c r="G49" s="103"/>
      <c r="H49" s="103"/>
      <c r="I49" s="4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26" customFormat="1" ht="15" x14ac:dyDescent="0.2">
      <c r="A50" s="58"/>
      <c r="B50" s="100"/>
      <c r="C50" s="58"/>
      <c r="D50" s="58"/>
      <c r="E50" s="58"/>
      <c r="F50" s="53"/>
      <c r="G50" s="53"/>
      <c r="H50" s="53"/>
    </row>
    <row r="51" spans="1:20" hidden="1" x14ac:dyDescent="0.2">
      <c r="A51" s="2"/>
      <c r="B51" s="2"/>
      <c r="C51" s="2"/>
      <c r="D51" s="2"/>
      <c r="E51" s="2"/>
      <c r="F51" s="2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idden="1" x14ac:dyDescent="0.2">
      <c r="A52" s="2"/>
      <c r="B52" s="2"/>
      <c r="C52" s="2"/>
      <c r="D52" s="2"/>
      <c r="E52" s="2"/>
      <c r="F52" s="2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idden="1" x14ac:dyDescent="0.2">
      <c r="A53" s="2"/>
      <c r="B53" s="2"/>
      <c r="C53" s="2"/>
      <c r="D53" s="2"/>
      <c r="E53" s="2"/>
      <c r="F53" s="2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idden="1" x14ac:dyDescent="0.2">
      <c r="A54" s="2"/>
      <c r="B54" s="2"/>
      <c r="C54" s="2"/>
      <c r="D54" s="2"/>
      <c r="E54" s="2"/>
      <c r="F54" s="2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idden="1" x14ac:dyDescent="0.2">
      <c r="A55" s="2"/>
      <c r="B55" s="2"/>
      <c r="C55" s="2"/>
      <c r="D55" s="2"/>
      <c r="E55" s="2"/>
      <c r="F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idden="1" x14ac:dyDescent="0.2">
      <c r="A56" s="2"/>
      <c r="B56" s="2"/>
      <c r="C56" s="2"/>
      <c r="D56" s="2"/>
      <c r="E56" s="2"/>
      <c r="F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idden="1" x14ac:dyDescent="0.2">
      <c r="A57" s="2"/>
      <c r="B57" s="2"/>
      <c r="C57" s="2"/>
      <c r="D57" s="2"/>
      <c r="E57" s="2"/>
      <c r="F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idden="1" x14ac:dyDescent="0.2">
      <c r="A58" s="2"/>
      <c r="B58" s="2"/>
      <c r="C58" s="2"/>
      <c r="D58" s="2"/>
      <c r="E58" s="2"/>
      <c r="F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idden="1" x14ac:dyDescent="0.2">
      <c r="A59" s="2"/>
      <c r="B59" s="2"/>
      <c r="C59" s="2"/>
      <c r="D59" s="2"/>
      <c r="E59" s="2"/>
      <c r="F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idden="1" x14ac:dyDescent="0.2">
      <c r="A60" s="2"/>
      <c r="B60" s="2"/>
      <c r="C60" s="2"/>
      <c r="D60" s="2"/>
      <c r="E60" s="2"/>
      <c r="F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idden="1" x14ac:dyDescent="0.2">
      <c r="A61" s="2"/>
      <c r="B61" s="2"/>
      <c r="C61" s="2"/>
      <c r="D61" s="2"/>
      <c r="E61" s="2"/>
      <c r="F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idden="1" x14ac:dyDescent="0.2">
      <c r="A62" s="2"/>
      <c r="B62" s="2"/>
      <c r="C62" s="2"/>
      <c r="D62" s="2"/>
      <c r="E62" s="2"/>
      <c r="F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idden="1" x14ac:dyDescent="0.2">
      <c r="A63" s="2"/>
      <c r="B63" s="2"/>
      <c r="C63" s="2"/>
      <c r="D63" s="2"/>
      <c r="E63" s="2"/>
      <c r="F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idden="1" x14ac:dyDescent="0.2">
      <c r="A64" s="2"/>
      <c r="B64" s="2"/>
      <c r="C64" s="2"/>
      <c r="D64" s="2"/>
      <c r="E64" s="2"/>
      <c r="F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idden="1" x14ac:dyDescent="0.2">
      <c r="A65" s="2"/>
      <c r="B65" s="2"/>
      <c r="C65" s="2"/>
      <c r="D65" s="2"/>
      <c r="E65" s="2"/>
      <c r="F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idden="1" x14ac:dyDescent="0.2">
      <c r="A66" s="2"/>
      <c r="B66" s="2"/>
      <c r="C66" s="2"/>
      <c r="D66" s="2"/>
      <c r="E66" s="2"/>
      <c r="F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idden="1" x14ac:dyDescent="0.2">
      <c r="A67" s="2"/>
      <c r="B67" s="2"/>
      <c r="C67" s="2"/>
      <c r="D67" s="2"/>
      <c r="E67" s="2"/>
      <c r="F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idden="1" x14ac:dyDescent="0.2">
      <c r="A68" s="2"/>
      <c r="B68" s="2"/>
      <c r="C68" s="2"/>
      <c r="D68" s="2"/>
      <c r="E68" s="2"/>
      <c r="F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idden="1" x14ac:dyDescent="0.2">
      <c r="A69" s="2"/>
      <c r="B69" s="2"/>
      <c r="C69" s="2"/>
      <c r="D69" s="2"/>
      <c r="E69" s="2"/>
      <c r="F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idden="1" x14ac:dyDescent="0.2">
      <c r="A70" s="2"/>
      <c r="B70" s="2"/>
      <c r="C70" s="2"/>
      <c r="D70" s="2"/>
      <c r="E70" s="2"/>
      <c r="F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T16"/>
  <sheetViews>
    <sheetView zoomScale="80" zoomScaleNormal="80" workbookViewId="0">
      <selection activeCell="E28" sqref="E28"/>
    </sheetView>
  </sheetViews>
  <sheetFormatPr defaultColWidth="0" defaultRowHeight="12.75" x14ac:dyDescent="0.2"/>
  <cols>
    <col min="1" max="1" width="7.42578125" customWidth="1"/>
    <col min="2" max="2" width="5.85546875" customWidth="1"/>
    <col min="3" max="3" width="34.85546875" customWidth="1"/>
    <col min="4" max="4" width="27.5703125" customWidth="1"/>
    <col min="5" max="5" width="27.140625" customWidth="1"/>
    <col min="6" max="6" width="26.5703125" customWidth="1"/>
    <col min="7" max="7" width="26.28515625" customWidth="1"/>
    <col min="8" max="8" width="50.85546875" customWidth="1"/>
    <col min="9" max="9" width="16.7109375" customWidth="1"/>
    <col min="10" max="11" width="8.7109375" hidden="1" customWidth="1"/>
    <col min="12" max="20" width="0" hidden="1" customWidth="1"/>
    <col min="21" max="16384" width="8.7109375" hidden="1"/>
  </cols>
  <sheetData>
    <row r="1" spans="1:20" x14ac:dyDescent="0.2">
      <c r="A1" s="2"/>
      <c r="B1" s="2"/>
      <c r="C1" s="2"/>
      <c r="D1" s="2"/>
      <c r="E1" s="2"/>
      <c r="F1" s="2"/>
      <c r="G1" s="2"/>
      <c r="H1" s="2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2"/>
      <c r="C2" s="2"/>
      <c r="D2" s="2"/>
      <c r="E2" s="2"/>
      <c r="F2" s="2"/>
      <c r="G2" s="2"/>
      <c r="H2" s="2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2"/>
      <c r="B3" s="2"/>
      <c r="C3" s="50" t="s">
        <v>137</v>
      </c>
      <c r="D3" s="50"/>
      <c r="E3" s="2"/>
      <c r="F3" s="2"/>
      <c r="G3" s="2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2.75" customHeight="1" thickBot="1" x14ac:dyDescent="0.25">
      <c r="A4" s="73" t="s">
        <v>26</v>
      </c>
      <c r="B4" s="74" t="s">
        <v>96</v>
      </c>
      <c r="C4" s="73" t="s">
        <v>35</v>
      </c>
      <c r="D4" s="73" t="s">
        <v>146</v>
      </c>
      <c r="E4" s="73" t="s">
        <v>147</v>
      </c>
      <c r="F4" s="73" t="s">
        <v>148</v>
      </c>
      <c r="G4" s="73" t="s">
        <v>149</v>
      </c>
      <c r="H4" s="73" t="s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thickTop="1" x14ac:dyDescent="0.2">
      <c r="A5" s="19">
        <v>1</v>
      </c>
      <c r="B5" s="20"/>
      <c r="C5" s="19" t="s">
        <v>38</v>
      </c>
      <c r="D5" s="19">
        <v>2</v>
      </c>
      <c r="E5" s="19">
        <v>2</v>
      </c>
      <c r="F5" s="19">
        <v>2</v>
      </c>
      <c r="G5" s="19">
        <v>1</v>
      </c>
      <c r="H5" s="2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x14ac:dyDescent="0.2">
      <c r="A6" s="7">
        <v>2</v>
      </c>
      <c r="B6" s="15"/>
      <c r="C6" s="7" t="s">
        <v>36</v>
      </c>
      <c r="D6" s="7">
        <v>4</v>
      </c>
      <c r="E6" s="7">
        <v>1.5</v>
      </c>
      <c r="F6" s="7">
        <v>0</v>
      </c>
      <c r="G6" s="7">
        <v>0</v>
      </c>
      <c r="H6" s="28" t="s">
        <v>37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x14ac:dyDescent="0.2">
      <c r="A7" s="7">
        <v>3</v>
      </c>
      <c r="B7" s="15"/>
      <c r="C7" s="166" t="s">
        <v>43</v>
      </c>
      <c r="D7" s="7">
        <v>4</v>
      </c>
      <c r="E7" s="7">
        <v>1.5</v>
      </c>
      <c r="F7" s="7">
        <v>0</v>
      </c>
      <c r="G7" s="7">
        <v>0</v>
      </c>
      <c r="H7" s="16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">
      <c r="A8" s="7">
        <v>4</v>
      </c>
      <c r="B8" s="15"/>
      <c r="C8" s="7" t="s">
        <v>39</v>
      </c>
      <c r="D8" s="7">
        <v>12</v>
      </c>
      <c r="E8" s="7">
        <v>0</v>
      </c>
      <c r="F8" s="7">
        <v>0</v>
      </c>
      <c r="G8" s="7">
        <v>0</v>
      </c>
      <c r="H8" s="16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x14ac:dyDescent="0.2">
      <c r="A9" s="7">
        <v>5</v>
      </c>
      <c r="B9" s="15"/>
      <c r="C9" s="7" t="s">
        <v>40</v>
      </c>
      <c r="D9" s="7">
        <v>12</v>
      </c>
      <c r="E9" s="7">
        <v>0</v>
      </c>
      <c r="F9" s="7">
        <v>0</v>
      </c>
      <c r="G9" s="7">
        <v>0</v>
      </c>
      <c r="H9" s="16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">
      <c r="A10" s="19">
        <v>6</v>
      </c>
      <c r="B10" s="20"/>
      <c r="C10" s="19" t="s">
        <v>41</v>
      </c>
      <c r="D10" s="19">
        <v>8</v>
      </c>
      <c r="E10" s="19">
        <v>2</v>
      </c>
      <c r="F10" s="19">
        <v>4</v>
      </c>
      <c r="G10" s="19">
        <v>1</v>
      </c>
      <c r="H10" s="2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">
      <c r="A11" s="19">
        <v>7</v>
      </c>
      <c r="B11" s="20"/>
      <c r="C11" s="19" t="s">
        <v>42</v>
      </c>
      <c r="D11" s="19">
        <v>4</v>
      </c>
      <c r="E11" s="19">
        <v>0.5</v>
      </c>
      <c r="F11" s="19">
        <v>2</v>
      </c>
      <c r="G11" s="19">
        <v>0.25</v>
      </c>
      <c r="H11" s="2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">
      <c r="A12" s="19">
        <v>8</v>
      </c>
      <c r="B12" s="20"/>
      <c r="C12" s="19" t="s">
        <v>47</v>
      </c>
      <c r="D12" s="19">
        <v>0</v>
      </c>
      <c r="E12" s="19">
        <v>0.5</v>
      </c>
      <c r="F12" s="19">
        <v>0</v>
      </c>
      <c r="G12" s="19">
        <v>0.25</v>
      </c>
      <c r="H12" s="29" t="s">
        <v>44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x14ac:dyDescent="0.2">
      <c r="A13" s="19"/>
      <c r="B13" s="20"/>
      <c r="C13" s="19" t="s">
        <v>150</v>
      </c>
      <c r="D13" s="19">
        <f>SUM(D5:D12)</f>
        <v>46</v>
      </c>
      <c r="E13" s="19">
        <f>SUM(E5:E12)</f>
        <v>8</v>
      </c>
      <c r="F13" s="19">
        <f>SUM(F5:F12)</f>
        <v>8</v>
      </c>
      <c r="G13" s="19">
        <f>SUM(G5:G12)</f>
        <v>2.5</v>
      </c>
      <c r="H13" s="2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x14ac:dyDescent="0.2">
      <c r="A14" s="56"/>
      <c r="B14" s="172"/>
      <c r="C14" s="56" t="s">
        <v>151</v>
      </c>
      <c r="D14" s="56">
        <f>D13/8</f>
        <v>5.75</v>
      </c>
      <c r="E14" s="56">
        <f t="shared" ref="E14:F14" si="0">E13/8</f>
        <v>1</v>
      </c>
      <c r="F14" s="56">
        <f t="shared" si="0"/>
        <v>1</v>
      </c>
      <c r="G14" s="56">
        <f>G13/8</f>
        <v>0.3125</v>
      </c>
      <c r="H14" s="17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</sheetData>
  <phoneticPr fontId="0" type="noConversion"/>
  <pageMargins left="0.75" right="0.75" top="0.4" bottom="0.47" header="0.3" footer="0.26"/>
  <pageSetup scale="8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Content</vt:lpstr>
      <vt:lpstr>1. Efforts and Costs - Dynamic</vt:lpstr>
      <vt:lpstr>2.1. Sampling - Breakdown Struc</vt:lpstr>
      <vt:lpstr>2.2. Drone - Breakdown Struc</vt:lpstr>
      <vt:lpstr>2.3. Processing - Breakdown</vt:lpstr>
      <vt:lpstr>'1. Efforts and Costs - Dynamic'!Print_Area</vt:lpstr>
    </vt:vector>
  </TitlesOfParts>
  <Company>NORTEL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Nortel</dc:creator>
  <cp:lastModifiedBy>rik.nuijten@alumni.ubc.ca</cp:lastModifiedBy>
  <cp:lastPrinted>1999-01-20T04:45:25Z</cp:lastPrinted>
  <dcterms:created xsi:type="dcterms:W3CDTF">1998-04-08T17:42:50Z</dcterms:created>
  <dcterms:modified xsi:type="dcterms:W3CDTF">2024-03-05T09:40:08Z</dcterms:modified>
</cp:coreProperties>
</file>