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razeal/Desktop/OpenMMS/"/>
    </mc:Choice>
  </mc:AlternateContent>
  <xr:revisionPtr revIDLastSave="0" documentId="13_ncr:1_{42AAEEA6-6CEC-D04C-82A2-FA3F11FB862B}" xr6:coauthVersionLast="45" xr6:coauthVersionMax="45" xr10:uidLastSave="{00000000-0000-0000-0000-000000000000}"/>
  <bookViews>
    <workbookView xWindow="0" yWindow="0" windowWidth="28800" windowHeight="17440" xr2:uid="{FFEC2100-552D-4248-B313-2CDEC491B696}"/>
  </bookViews>
  <sheets>
    <sheet name="DEMO (Epoch 1)" sheetId="2" r:id="rId1"/>
    <sheet name="DEMO (Epoch 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2" i="2" l="1"/>
  <c r="I62" i="2"/>
  <c r="H62" i="2"/>
  <c r="J61" i="2"/>
  <c r="I61" i="2"/>
  <c r="H61" i="2"/>
  <c r="H62" i="3"/>
  <c r="J61" i="3"/>
  <c r="I61" i="3"/>
  <c r="H61" i="3"/>
  <c r="J62" i="3"/>
  <c r="I62" i="3"/>
  <c r="H56" i="3"/>
  <c r="J52" i="3"/>
  <c r="I52" i="3"/>
  <c r="H52" i="3"/>
  <c r="J52" i="2"/>
  <c r="I52" i="2"/>
  <c r="H52" i="2"/>
  <c r="O47" i="2"/>
  <c r="O47" i="3"/>
  <c r="M47" i="3"/>
  <c r="N39" i="3"/>
  <c r="L39" i="3"/>
  <c r="N38" i="3"/>
  <c r="L38" i="3"/>
  <c r="N37" i="3"/>
  <c r="L37" i="3"/>
  <c r="N36" i="3"/>
  <c r="L36" i="3"/>
  <c r="N35" i="3"/>
  <c r="L35" i="3"/>
  <c r="N34" i="3"/>
  <c r="L34" i="3"/>
  <c r="N33" i="3"/>
  <c r="N25" i="3"/>
  <c r="L25" i="3"/>
  <c r="N24" i="3"/>
  <c r="L24" i="3"/>
  <c r="N23" i="3"/>
  <c r="L23" i="3"/>
  <c r="N22" i="3"/>
  <c r="L22" i="3"/>
  <c r="N21" i="3"/>
  <c r="L21" i="3"/>
  <c r="N20" i="3"/>
  <c r="L20" i="3"/>
  <c r="N19" i="3"/>
  <c r="T5" i="3" s="1"/>
  <c r="V18" i="3"/>
  <c r="U17" i="3"/>
  <c r="M47" i="2"/>
  <c r="N39" i="2"/>
  <c r="L39" i="2"/>
  <c r="N38" i="2"/>
  <c r="L38" i="2"/>
  <c r="N37" i="2"/>
  <c r="L37" i="2"/>
  <c r="N36" i="2"/>
  <c r="L36" i="2"/>
  <c r="N35" i="2"/>
  <c r="L35" i="2"/>
  <c r="N34" i="2"/>
  <c r="L34" i="2"/>
  <c r="N33" i="2"/>
  <c r="N25" i="2"/>
  <c r="L25" i="2"/>
  <c r="T24" i="2"/>
  <c r="N24" i="2"/>
  <c r="L24" i="2"/>
  <c r="T27" i="2" s="1"/>
  <c r="N23" i="2"/>
  <c r="L23" i="2"/>
  <c r="N22" i="2"/>
  <c r="L22" i="2"/>
  <c r="T25" i="2" s="1"/>
  <c r="N21" i="2"/>
  <c r="L21" i="2"/>
  <c r="N20" i="2"/>
  <c r="L20" i="2"/>
  <c r="T23" i="2" s="1"/>
  <c r="N19" i="2"/>
  <c r="V18" i="2"/>
  <c r="U17" i="2"/>
  <c r="T28" i="3" l="1"/>
  <c r="T24" i="3"/>
  <c r="T26" i="3"/>
  <c r="T23" i="3"/>
  <c r="T6" i="3"/>
  <c r="T25" i="3"/>
  <c r="T27" i="3"/>
  <c r="T5" i="2"/>
  <c r="T6" i="2" s="1"/>
  <c r="T26" i="2"/>
  <c r="T28" i="2"/>
  <c r="T11" i="3" l="1"/>
  <c r="T12" i="3" s="1"/>
  <c r="T13" i="3" s="1"/>
  <c r="T7" i="3"/>
  <c r="T11" i="2"/>
  <c r="T12" i="2" s="1"/>
  <c r="T13" i="2" s="1"/>
  <c r="T7" i="2"/>
  <c r="T10" i="3" l="1"/>
  <c r="T8" i="3"/>
  <c r="T9" i="3" s="1"/>
  <c r="V17" i="3" s="1"/>
  <c r="V19" i="3" s="1"/>
  <c r="T10" i="2"/>
  <c r="T8" i="2"/>
  <c r="T9" i="2" s="1"/>
  <c r="V17" i="2" s="1"/>
  <c r="V19" i="2" s="1"/>
  <c r="U24" i="3" l="1"/>
  <c r="V24" i="3"/>
  <c r="V26" i="3"/>
  <c r="U28" i="3"/>
  <c r="U23" i="3"/>
  <c r="T17" i="3"/>
  <c r="T19" i="3" s="1"/>
  <c r="V25" i="3"/>
  <c r="V27" i="3"/>
  <c r="U26" i="3"/>
  <c r="V28" i="3"/>
  <c r="U25" i="3"/>
  <c r="V23" i="3"/>
  <c r="U27" i="3"/>
  <c r="V27" i="2"/>
  <c r="V25" i="2"/>
  <c r="U27" i="2"/>
  <c r="U25" i="2"/>
  <c r="V23" i="2"/>
  <c r="U28" i="2"/>
  <c r="T17" i="2"/>
  <c r="T19" i="2" s="1"/>
  <c r="U24" i="2"/>
  <c r="V24" i="2"/>
  <c r="V28" i="2"/>
  <c r="U23" i="2"/>
  <c r="U26" i="2"/>
  <c r="V26" i="2"/>
  <c r="X27" i="3" l="1"/>
  <c r="AD27" i="3" s="1"/>
  <c r="AC27" i="3"/>
  <c r="AB24" i="3"/>
  <c r="AB26" i="3"/>
  <c r="AB27" i="3"/>
  <c r="AB25" i="3"/>
  <c r="AB23" i="3"/>
  <c r="AB28" i="3"/>
  <c r="AC28" i="3"/>
  <c r="X28" i="3"/>
  <c r="AD28" i="3" s="1"/>
  <c r="Z24" i="3"/>
  <c r="W24" i="3"/>
  <c r="AA24" i="3" s="1"/>
  <c r="Y24" i="3"/>
  <c r="X25" i="3"/>
  <c r="AD25" i="3" s="1"/>
  <c r="AC25" i="3"/>
  <c r="Z27" i="3"/>
  <c r="W27" i="3"/>
  <c r="AA27" i="3" s="1"/>
  <c r="Y27" i="3"/>
  <c r="W23" i="3"/>
  <c r="AA23" i="3" s="1"/>
  <c r="Y23" i="3"/>
  <c r="Z23" i="3"/>
  <c r="Y26" i="3"/>
  <c r="Z26" i="3"/>
  <c r="W26" i="3"/>
  <c r="AA26" i="3" s="1"/>
  <c r="AC23" i="3"/>
  <c r="X23" i="3"/>
  <c r="AD23" i="3" s="1"/>
  <c r="Z28" i="3"/>
  <c r="W28" i="3"/>
  <c r="AA28" i="3" s="1"/>
  <c r="Y28" i="3"/>
  <c r="X24" i="3"/>
  <c r="AD24" i="3" s="1"/>
  <c r="AC24" i="3"/>
  <c r="Z25" i="3"/>
  <c r="W25" i="3"/>
  <c r="AA25" i="3" s="1"/>
  <c r="Y25" i="3"/>
  <c r="X26" i="3"/>
  <c r="AD26" i="3" s="1"/>
  <c r="AC26" i="3"/>
  <c r="AC28" i="2"/>
  <c r="X28" i="2"/>
  <c r="AD28" i="2" s="1"/>
  <c r="W24" i="2"/>
  <c r="AA24" i="2" s="1"/>
  <c r="Y24" i="2"/>
  <c r="Z24" i="2"/>
  <c r="AB27" i="2"/>
  <c r="AB25" i="2"/>
  <c r="AB24" i="2"/>
  <c r="AB28" i="2"/>
  <c r="AB26" i="2"/>
  <c r="AB23" i="2"/>
  <c r="Z28" i="2"/>
  <c r="Y28" i="2"/>
  <c r="W28" i="2"/>
  <c r="AA28" i="2" s="1"/>
  <c r="AC27" i="2"/>
  <c r="X27" i="2"/>
  <c r="AD27" i="2" s="1"/>
  <c r="AC26" i="2"/>
  <c r="X26" i="2"/>
  <c r="AD26" i="2" s="1"/>
  <c r="X23" i="2"/>
  <c r="AD23" i="2" s="1"/>
  <c r="AC23" i="2"/>
  <c r="X24" i="2"/>
  <c r="AD24" i="2" s="1"/>
  <c r="AC24" i="2"/>
  <c r="AC25" i="2"/>
  <c r="X25" i="2"/>
  <c r="AD25" i="2" s="1"/>
  <c r="W26" i="2"/>
  <c r="AA26" i="2" s="1"/>
  <c r="Z26" i="2"/>
  <c r="Y26" i="2"/>
  <c r="Z25" i="2"/>
  <c r="Y25" i="2"/>
  <c r="W25" i="2"/>
  <c r="AA25" i="2" s="1"/>
  <c r="Y23" i="2"/>
  <c r="Z23" i="2"/>
  <c r="W23" i="2"/>
  <c r="AA23" i="2" s="1"/>
  <c r="Z27" i="2"/>
  <c r="Y27" i="2"/>
  <c r="W27" i="2"/>
  <c r="AA27" i="2" s="1"/>
  <c r="U33" i="3" l="1"/>
  <c r="C47" i="3"/>
  <c r="E48" i="3"/>
  <c r="D48" i="3"/>
  <c r="AE26" i="3"/>
  <c r="U35" i="3"/>
  <c r="C49" i="3"/>
  <c r="C48" i="3"/>
  <c r="U34" i="3"/>
  <c r="B48" i="3"/>
  <c r="T34" i="3"/>
  <c r="B50" i="3"/>
  <c r="T36" i="3"/>
  <c r="U31" i="3"/>
  <c r="C45" i="3"/>
  <c r="B46" i="3"/>
  <c r="T32" i="3"/>
  <c r="E50" i="3"/>
  <c r="D50" i="3"/>
  <c r="AE28" i="3"/>
  <c r="B45" i="3"/>
  <c r="T31" i="3"/>
  <c r="E46" i="3"/>
  <c r="D46" i="3"/>
  <c r="AE24" i="3"/>
  <c r="C50" i="3"/>
  <c r="U36" i="3"/>
  <c r="AE23" i="3"/>
  <c r="E45" i="3"/>
  <c r="D45" i="3"/>
  <c r="C46" i="3"/>
  <c r="U32" i="3"/>
  <c r="T33" i="3"/>
  <c r="B47" i="3"/>
  <c r="T35" i="3"/>
  <c r="B49" i="3"/>
  <c r="E47" i="3"/>
  <c r="D47" i="3"/>
  <c r="AE25" i="3"/>
  <c r="V33" i="3" s="1"/>
  <c r="E49" i="3"/>
  <c r="D49" i="3"/>
  <c r="AE27" i="3"/>
  <c r="U31" i="2"/>
  <c r="C45" i="2"/>
  <c r="E50" i="2"/>
  <c r="D50" i="2"/>
  <c r="AE28" i="2"/>
  <c r="T36" i="2"/>
  <c r="B50" i="2"/>
  <c r="C46" i="2"/>
  <c r="U32" i="2"/>
  <c r="E49" i="2"/>
  <c r="D49" i="2"/>
  <c r="AE27" i="2"/>
  <c r="C50" i="2"/>
  <c r="U36" i="2"/>
  <c r="B46" i="2"/>
  <c r="T32" i="2"/>
  <c r="T35" i="2"/>
  <c r="B49" i="2"/>
  <c r="B48" i="2"/>
  <c r="T34" i="2"/>
  <c r="E46" i="2"/>
  <c r="D46" i="2"/>
  <c r="AE24" i="2"/>
  <c r="V32" i="2" s="1"/>
  <c r="B45" i="2"/>
  <c r="T31" i="2"/>
  <c r="E47" i="2"/>
  <c r="D47" i="2"/>
  <c r="AE25" i="2"/>
  <c r="V33" i="2" s="1"/>
  <c r="C49" i="2"/>
  <c r="U35" i="2"/>
  <c r="T33" i="2"/>
  <c r="B47" i="2"/>
  <c r="U33" i="2"/>
  <c r="C47" i="2"/>
  <c r="C48" i="2"/>
  <c r="U34" i="2"/>
  <c r="AE23" i="2"/>
  <c r="E45" i="2"/>
  <c r="D45" i="2"/>
  <c r="E48" i="2"/>
  <c r="D48" i="2"/>
  <c r="AE26" i="2"/>
  <c r="V34" i="2" s="1"/>
  <c r="V31" i="3" l="1"/>
  <c r="V36" i="3"/>
  <c r="V34" i="3"/>
  <c r="T38" i="3"/>
  <c r="V35" i="3"/>
  <c r="V32" i="3"/>
  <c r="V31" i="2"/>
  <c r="V36" i="2"/>
  <c r="V35" i="2"/>
  <c r="T38" i="2"/>
  <c r="S40" i="3" l="1"/>
  <c r="T41" i="3"/>
  <c r="S41" i="3"/>
  <c r="T40" i="3"/>
  <c r="S40" i="2"/>
  <c r="T41" i="2"/>
  <c r="S41" i="2"/>
  <c r="T40" i="2"/>
  <c r="S44" i="3" l="1" a="1"/>
  <c r="S49" i="3" a="1"/>
  <c r="S45" i="3" a="1"/>
  <c r="S46" i="3" a="1"/>
  <c r="S48" i="3" a="1"/>
  <c r="S47" i="3" a="1"/>
  <c r="S49" i="2" a="1"/>
  <c r="S48" i="2" a="1"/>
  <c r="S44" i="2" a="1"/>
  <c r="S47" i="2" a="1"/>
  <c r="S46" i="2" a="1"/>
  <c r="S45" i="2" a="1"/>
  <c r="S46" i="3" l="1"/>
  <c r="U46" i="3"/>
  <c r="T46" i="3"/>
  <c r="U48" i="3"/>
  <c r="T48" i="3"/>
  <c r="S48" i="3"/>
  <c r="S45" i="3"/>
  <c r="U45" i="3"/>
  <c r="T45" i="3"/>
  <c r="U49" i="3"/>
  <c r="T49" i="3"/>
  <c r="S49" i="3"/>
  <c r="U47" i="3"/>
  <c r="T47" i="3"/>
  <c r="S47" i="3"/>
  <c r="U44" i="3"/>
  <c r="T44" i="3"/>
  <c r="S44" i="3"/>
  <c r="U47" i="2"/>
  <c r="T47" i="2"/>
  <c r="S47" i="2"/>
  <c r="S45" i="2"/>
  <c r="U45" i="2"/>
  <c r="T45" i="2"/>
  <c r="S46" i="2"/>
  <c r="U46" i="2"/>
  <c r="T46" i="2"/>
  <c r="U44" i="2"/>
  <c r="T44" i="2"/>
  <c r="S44" i="2"/>
  <c r="U48" i="2"/>
  <c r="T48" i="2"/>
  <c r="S48" i="2"/>
  <c r="U49" i="2"/>
  <c r="T49" i="2"/>
  <c r="S49" i="2"/>
  <c r="X38" i="3" l="1"/>
  <c r="X38" i="2"/>
  <c r="W42" i="3" l="1"/>
  <c r="Y40" i="3"/>
  <c r="W40" i="3"/>
  <c r="Y42" i="3"/>
  <c r="W42" i="2"/>
  <c r="Y40" i="2"/>
  <c r="W40" i="2"/>
  <c r="Y42" i="2"/>
  <c r="W47" i="3" l="1" a="1"/>
  <c r="W49" i="3" a="1"/>
  <c r="W45" i="3" a="1"/>
  <c r="W44" i="3" a="1"/>
  <c r="W48" i="3" a="1"/>
  <c r="W46" i="3" a="1"/>
  <c r="W46" i="2" a="1"/>
  <c r="W44" i="2" a="1"/>
  <c r="W47" i="2" a="1"/>
  <c r="W48" i="2" a="1"/>
  <c r="W45" i="2" a="1"/>
  <c r="W49" i="2" a="1"/>
  <c r="Y48" i="3" l="1"/>
  <c r="X48" i="3"/>
  <c r="W48" i="3"/>
  <c r="Y44" i="3"/>
  <c r="X44" i="3"/>
  <c r="W44" i="3"/>
  <c r="Y46" i="3"/>
  <c r="X46" i="3"/>
  <c r="W46" i="3"/>
  <c r="Y45" i="3"/>
  <c r="X45" i="3"/>
  <c r="W45" i="3"/>
  <c r="Y49" i="3"/>
  <c r="X49" i="3"/>
  <c r="W49" i="3"/>
  <c r="Y47" i="3"/>
  <c r="X47" i="3"/>
  <c r="W47" i="3"/>
  <c r="Y45" i="2"/>
  <c r="X45" i="2"/>
  <c r="AB38" i="2" s="1"/>
  <c r="W45" i="2"/>
  <c r="Y47" i="2"/>
  <c r="X47" i="2"/>
  <c r="W47" i="2"/>
  <c r="Y49" i="2"/>
  <c r="X49" i="2"/>
  <c r="W49" i="2"/>
  <c r="Y48" i="2"/>
  <c r="X48" i="2"/>
  <c r="W48" i="2"/>
  <c r="Y44" i="2"/>
  <c r="X44" i="2"/>
  <c r="W44" i="2"/>
  <c r="Y46" i="2"/>
  <c r="X46" i="2"/>
  <c r="W46" i="2"/>
  <c r="AB38" i="3" l="1"/>
  <c r="AC41" i="3" s="1"/>
  <c r="AC41" i="2"/>
  <c r="AB41" i="2"/>
  <c r="AA47" i="2" s="1" a="1"/>
  <c r="AC42" i="2"/>
  <c r="AB42" i="2"/>
  <c r="AA49" i="2" s="1" a="1"/>
  <c r="AB42" i="3" l="1"/>
  <c r="AC42" i="3"/>
  <c r="AB41" i="3"/>
  <c r="AC49" i="2"/>
  <c r="AB49" i="2"/>
  <c r="AA49" i="2"/>
  <c r="AC47" i="2"/>
  <c r="AB47" i="2"/>
  <c r="AA47" i="2"/>
  <c r="AA46" i="2" a="1"/>
  <c r="AA45" i="2" a="1"/>
  <c r="AA44" i="2" a="1"/>
  <c r="AA48" i="2" a="1"/>
  <c r="AA46" i="3" l="1" a="1"/>
  <c r="AB46" i="3" s="1"/>
  <c r="AA48" i="3" a="1"/>
  <c r="AB48" i="3" s="1"/>
  <c r="AA49" i="3" a="1"/>
  <c r="AB49" i="3" s="1"/>
  <c r="AA47" i="3" a="1"/>
  <c r="AB47" i="3" s="1"/>
  <c r="AA44" i="3" a="1"/>
  <c r="AC44" i="3" s="1"/>
  <c r="AA45" i="3" a="1"/>
  <c r="AA45" i="3" s="1"/>
  <c r="AA45" i="2"/>
  <c r="AC45" i="2"/>
  <c r="AB45" i="2"/>
  <c r="AA46" i="2"/>
  <c r="AC46" i="2"/>
  <c r="AB46" i="2"/>
  <c r="AC48" i="2"/>
  <c r="AB48" i="2"/>
  <c r="AA48" i="2"/>
  <c r="AC44" i="2"/>
  <c r="AB44" i="2"/>
  <c r="AA44" i="2"/>
  <c r="AA46" i="3" l="1"/>
  <c r="AC46" i="3"/>
  <c r="AC48" i="3"/>
  <c r="AA49" i="3"/>
  <c r="H50" i="3" s="1"/>
  <c r="AC49" i="3"/>
  <c r="J50" i="3" s="1"/>
  <c r="AA47" i="3"/>
  <c r="H48" i="3" s="1"/>
  <c r="AB44" i="3"/>
  <c r="I45" i="3" s="1"/>
  <c r="AC47" i="3"/>
  <c r="H45" i="3" s="1" a="1"/>
  <c r="AA48" i="3"/>
  <c r="H49" i="3" s="1"/>
  <c r="H51" i="3" s="1"/>
  <c r="AA44" i="3"/>
  <c r="H45" i="3" s="1"/>
  <c r="AC45" i="3"/>
  <c r="J46" i="3" s="1"/>
  <c r="AB45" i="3"/>
  <c r="I46" i="3" s="1"/>
  <c r="H46" i="3"/>
  <c r="I48" i="3"/>
  <c r="J45" i="3"/>
  <c r="I50" i="3"/>
  <c r="J47" i="3"/>
  <c r="I47" i="3"/>
  <c r="J49" i="3"/>
  <c r="J51" i="3" s="1"/>
  <c r="H47" i="3"/>
  <c r="I49" i="3"/>
  <c r="I51" i="3" s="1"/>
  <c r="H45" i="2" a="1"/>
  <c r="J48" i="3" l="1"/>
  <c r="J56" i="3"/>
  <c r="H57" i="3"/>
  <c r="J57" i="3"/>
  <c r="I56" i="3"/>
  <c r="I57" i="3"/>
  <c r="J48" i="2"/>
  <c r="H46" i="2"/>
  <c r="I48" i="2"/>
  <c r="J45" i="2"/>
  <c r="J50" i="2"/>
  <c r="J57" i="2" s="1"/>
  <c r="H48" i="2"/>
  <c r="I45" i="2"/>
  <c r="I50" i="2"/>
  <c r="J47" i="2"/>
  <c r="H45" i="2"/>
  <c r="H50" i="2"/>
  <c r="H57" i="2" s="1"/>
  <c r="I47" i="2"/>
  <c r="J49" i="2"/>
  <c r="J51" i="2" s="1"/>
  <c r="J56" i="2" s="1"/>
  <c r="H47" i="2"/>
  <c r="I49" i="2"/>
  <c r="I51" i="2" s="1"/>
  <c r="J46" i="2"/>
  <c r="H49" i="2"/>
  <c r="H51" i="2" s="1"/>
  <c r="H56" i="2" s="1"/>
  <c r="I46" i="2"/>
  <c r="I57" i="2" l="1"/>
  <c r="I56" i="2"/>
</calcChain>
</file>

<file path=xl/sharedStrings.xml><?xml version="1.0" encoding="utf-8"?>
<sst xmlns="http://schemas.openxmlformats.org/spreadsheetml/2006/main" count="298" uniqueCount="78">
  <si>
    <t>OpenMMS GNSS Lever Arms Calibration Survey</t>
  </si>
  <si>
    <t>Instrument @ 1</t>
  </si>
  <si>
    <t>Sighting</t>
  </si>
  <si>
    <t>Degrees</t>
  </si>
  <si>
    <t>Arcminutes</t>
  </si>
  <si>
    <t>Arcseconds</t>
  </si>
  <si>
    <t>BL</t>
  </si>
  <si>
    <t>BR</t>
  </si>
  <si>
    <t>FL</t>
  </si>
  <si>
    <t>FR</t>
  </si>
  <si>
    <t>Comments</t>
  </si>
  <si>
    <t>Top center of AV14 antenna, camera side of sensor</t>
  </si>
  <si>
    <t>Top center of AV14 antenna, lidar side of sensor</t>
  </si>
  <si>
    <t>Instrument @ 2</t>
  </si>
  <si>
    <t>N/A</t>
  </si>
  <si>
    <t>Note: Sensor is on the LEFT side of the baseline when observed from station 1</t>
  </si>
  <si>
    <t>Note: Sensor is on the RIGHT side of the baseline when observed from station 2</t>
  </si>
  <si>
    <t>Horizontal Circle Observation (Angles Right)</t>
  </si>
  <si>
    <t>Vertical Circle Observation (Zenith = 0)</t>
  </si>
  <si>
    <t>Height of Instrument [m]</t>
  </si>
  <si>
    <t>Reduced Observations</t>
  </si>
  <si>
    <t>Backsight check (not used to average obs.)</t>
  </si>
  <si>
    <t>Altitude Angle (Horizon = 0)</t>
  </si>
  <si>
    <t>Decimal Degrees</t>
  </si>
  <si>
    <t>Hor. Angle (Left)</t>
  </si>
  <si>
    <t>Hor. Angle (Right)</t>
  </si>
  <si>
    <t>Bolt Height [m]</t>
  </si>
  <si>
    <t>Chicken Scratch Workspace</t>
  </si>
  <si>
    <t>Baseline Slope Dist. [m]</t>
  </si>
  <si>
    <t>a1</t>
  </si>
  <si>
    <t>a2</t>
  </si>
  <si>
    <t>V</t>
  </si>
  <si>
    <t>Baseline Hor. Dist.</t>
  </si>
  <si>
    <t>Backsight to station 2 target point on the ground</t>
  </si>
  <si>
    <t>Backsight to station 1 target point on the ground</t>
  </si>
  <si>
    <t>Height diff. 1-&gt;2</t>
  </si>
  <si>
    <t>X</t>
  </si>
  <si>
    <t>Y</t>
  </si>
  <si>
    <t>Z</t>
  </si>
  <si>
    <t>a3</t>
  </si>
  <si>
    <t>a4</t>
  </si>
  <si>
    <t>HI2</t>
  </si>
  <si>
    <t>LOS slope1</t>
  </si>
  <si>
    <t>Obs. Origin @ 1</t>
  </si>
  <si>
    <t>Obs. Origin @ 2</t>
  </si>
  <si>
    <t>X [m]</t>
  </si>
  <si>
    <t>Y [m]</t>
  </si>
  <si>
    <t>Z [m]</t>
  </si>
  <si>
    <t>Diff. in Z [m]</t>
  </si>
  <si>
    <t>Avg. Z [m]</t>
  </si>
  <si>
    <t>Raw Observation Coordinate Frame</t>
  </si>
  <si>
    <t>Top Face Coordinate Frame</t>
  </si>
  <si>
    <t>Observations Intersection Calcs.</t>
  </si>
  <si>
    <t>3rd angle</t>
  </si>
  <si>
    <t>HD 1--&gt;Pt</t>
  </si>
  <si>
    <t>HD 2--&gt;Pt</t>
  </si>
  <si>
    <t>Height Diff. 1--&gt;Pt</t>
  </si>
  <si>
    <t>Height Diff. 2--&gt;Pt</t>
  </si>
  <si>
    <t>X (from 1)</t>
  </si>
  <si>
    <t>Y (from 1)</t>
  </si>
  <si>
    <t>Z (from 1)</t>
  </si>
  <si>
    <t>X (from 2)</t>
  </si>
  <si>
    <t>Y (from 2)</t>
  </si>
  <si>
    <t>Z (from 2)</t>
  </si>
  <si>
    <t>Avg. Z</t>
  </si>
  <si>
    <t>GS</t>
  </si>
  <si>
    <t>GP</t>
  </si>
  <si>
    <t>Primary to Secondary GNSS</t>
  </si>
  <si>
    <t>Reference to Primary GNSS</t>
  </si>
  <si>
    <t>FR to Ref. Offsets (VLP-16)</t>
  </si>
  <si>
    <t>FR to Ref. Offsets (MID-40)</t>
  </si>
  <si>
    <t>Ref. (VLP-16)</t>
  </si>
  <si>
    <t>Ref. (MID-40)</t>
  </si>
  <si>
    <t>Lever Arm Offsets for VLP-16 (in Vehicle Frame)</t>
  </si>
  <si>
    <t>Lever Arm Offsets for MID-40 (in Vehicle Frame)</t>
  </si>
  <si>
    <t>rot1 angle [rads]</t>
  </si>
  <si>
    <t>rot2 angle [rads]</t>
  </si>
  <si>
    <t>rot3 angle [rads]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</si>
</sst>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u/>
      <sz val="12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0" xfId="0" applyFill="1"/>
    <xf numFmtId="166" fontId="0" fillId="0" borderId="0" xfId="0" applyNumberFormat="1"/>
    <xf numFmtId="165" fontId="0" fillId="0" borderId="0" xfId="0" applyNumberFormat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/>
    <xf numFmtId="164" fontId="7" fillId="3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12700</xdr:rowOff>
    </xdr:from>
    <xdr:to>
      <xdr:col>6</xdr:col>
      <xdr:colOff>38100</xdr:colOff>
      <xdr:row>7</xdr:row>
      <xdr:rowOff>75708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A7C4E-603D-6D48-8456-EE44EE51C0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2" t="31041" r="1640" b="26934"/>
        <a:stretch/>
      </xdr:blipFill>
      <xdr:spPr>
        <a:xfrm>
          <a:off x="114300" y="215900"/>
          <a:ext cx="5638800" cy="12822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12700</xdr:rowOff>
    </xdr:from>
    <xdr:to>
      <xdr:col>6</xdr:col>
      <xdr:colOff>38100</xdr:colOff>
      <xdr:row>7</xdr:row>
      <xdr:rowOff>75708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BE3A17-1225-AD49-AB91-5D6F36ABE3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2" t="31041" r="1640" b="26934"/>
        <a:stretch/>
      </xdr:blipFill>
      <xdr:spPr>
        <a:xfrm>
          <a:off x="114300" y="215900"/>
          <a:ext cx="5638800" cy="1282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3155-6C3B-9E44-BFF4-FDCCCE99FE19}">
  <dimension ref="A3:AH62"/>
  <sheetViews>
    <sheetView tabSelected="1" workbookViewId="0"/>
  </sheetViews>
  <sheetFormatPr baseColWidth="10" defaultRowHeight="16"/>
  <cols>
    <col min="1" max="1" width="10.83203125" style="3"/>
    <col min="2" max="7" width="12.83203125" style="3" customWidth="1"/>
    <col min="8" max="10" width="15.83203125" style="3" customWidth="1"/>
    <col min="11" max="11" width="6.1640625" style="3" customWidth="1"/>
    <col min="12" max="12" width="12.83203125" style="3" customWidth="1"/>
    <col min="13" max="13" width="15" style="3" customWidth="1"/>
    <col min="14" max="15" width="12.83203125" style="3" customWidth="1"/>
    <col min="16" max="16" width="10.83203125" style="3"/>
    <col min="17" max="17" width="1.5" style="10" customWidth="1"/>
    <col min="18" max="18" width="3.1640625" style="3" customWidth="1"/>
    <col min="19" max="19" width="16.33203125" style="3" customWidth="1"/>
    <col min="20" max="20" width="12.5" style="3" bestFit="1" customWidth="1"/>
    <col min="21" max="21" width="11.6640625" style="3" bestFit="1" customWidth="1"/>
    <col min="22" max="22" width="11.6640625" style="3" customWidth="1"/>
    <col min="23" max="23" width="16.5" style="3" customWidth="1"/>
    <col min="24" max="24" width="16.6640625" style="3" customWidth="1"/>
    <col min="25" max="25" width="11.33203125" style="3" bestFit="1" customWidth="1"/>
    <col min="26" max="26" width="10.83203125" style="3"/>
    <col min="27" max="28" width="15" style="3" customWidth="1"/>
    <col min="29" max="29" width="15.5" style="3" customWidth="1"/>
    <col min="30" max="16384" width="10.83203125" style="3"/>
  </cols>
  <sheetData>
    <row r="3" spans="1:22">
      <c r="S3" s="26" t="s">
        <v>27</v>
      </c>
      <c r="T3" s="26"/>
    </row>
    <row r="5" spans="1:22">
      <c r="S5" s="3" t="s">
        <v>29</v>
      </c>
      <c r="T5" s="11">
        <f>ASIN(E15*SIN(RADIANS(90+N19))/C12)</f>
        <v>0.31300916241231996</v>
      </c>
    </row>
    <row r="6" spans="1:22">
      <c r="S6" s="3" t="s">
        <v>30</v>
      </c>
      <c r="T6" s="11">
        <f>PI()-(RADIANS(90+N19))-T5</f>
        <v>1.5773811911067939</v>
      </c>
    </row>
    <row r="7" spans="1:22">
      <c r="S7" s="3" t="s">
        <v>42</v>
      </c>
      <c r="T7" s="11">
        <f>C12*SIN(T6)/SIN(RADIANS(90+N19))</f>
        <v>5.0401121924299392</v>
      </c>
    </row>
    <row r="8" spans="1:22">
      <c r="S8" s="3" t="s">
        <v>31</v>
      </c>
      <c r="T8" s="11">
        <f>SIN(RADIANS(-N19))*T7</f>
        <v>1.5835083480286478</v>
      </c>
    </row>
    <row r="9" spans="1:22">
      <c r="S9" s="3" t="s">
        <v>35</v>
      </c>
      <c r="T9" s="11">
        <f>E15-T8</f>
        <v>-3.150834802864777E-2</v>
      </c>
    </row>
    <row r="10" spans="1:22" ht="19">
      <c r="A10" s="1" t="s">
        <v>0</v>
      </c>
      <c r="S10" s="3" t="s">
        <v>32</v>
      </c>
      <c r="T10" s="11">
        <f>COS(RADIANS(-N19))*T7</f>
        <v>4.7848962605269207</v>
      </c>
    </row>
    <row r="11" spans="1:22" ht="16" customHeight="1">
      <c r="A11" s="1"/>
      <c r="S11" s="3" t="s">
        <v>39</v>
      </c>
      <c r="T11" s="11">
        <f>PI()-T6</f>
        <v>1.5642114624829992</v>
      </c>
    </row>
    <row r="12" spans="1:22" ht="16" customHeight="1">
      <c r="A12" s="25" t="s">
        <v>28</v>
      </c>
      <c r="B12" s="25"/>
      <c r="C12" s="7">
        <v>4.7850000000000001</v>
      </c>
      <c r="S12" s="3" t="s">
        <v>40</v>
      </c>
      <c r="T12" s="11">
        <f>PI()-T11-RADIANS(90+N33)</f>
        <v>0.31428641143849756</v>
      </c>
    </row>
    <row r="13" spans="1:22" ht="16" customHeight="1">
      <c r="A13" s="25" t="s">
        <v>26</v>
      </c>
      <c r="B13" s="25"/>
      <c r="C13" s="7">
        <v>1.35E-2</v>
      </c>
      <c r="S13" s="3" t="s">
        <v>41</v>
      </c>
      <c r="T13" s="11">
        <f>SIN(T12)*C12/SIN(RADIANS(90+N33))</f>
        <v>1.5521247838018597</v>
      </c>
    </row>
    <row r="14" spans="1:22" ht="16" customHeight="1"/>
    <row r="15" spans="1:22">
      <c r="A15" s="25" t="s">
        <v>1</v>
      </c>
      <c r="B15" s="25"/>
      <c r="C15" s="25" t="s">
        <v>19</v>
      </c>
      <c r="D15" s="25"/>
      <c r="E15" s="7">
        <v>1.552</v>
      </c>
      <c r="G15" s="4" t="s">
        <v>15</v>
      </c>
      <c r="S15" s="2"/>
      <c r="T15" s="2" t="s">
        <v>36</v>
      </c>
      <c r="U15" s="2" t="s">
        <v>37</v>
      </c>
      <c r="V15" s="2" t="s">
        <v>38</v>
      </c>
    </row>
    <row r="16" spans="1:22">
      <c r="L16" s="21" t="s">
        <v>20</v>
      </c>
      <c r="M16" s="21"/>
      <c r="N16" s="21"/>
      <c r="O16" s="21"/>
      <c r="S16" s="2">
        <v>1</v>
      </c>
      <c r="T16" s="9">
        <v>0</v>
      </c>
      <c r="U16" s="9">
        <v>0</v>
      </c>
      <c r="V16" s="9">
        <v>0</v>
      </c>
    </row>
    <row r="17" spans="1:34">
      <c r="A17" s="24" t="s">
        <v>2</v>
      </c>
      <c r="B17" s="21" t="s">
        <v>17</v>
      </c>
      <c r="C17" s="21"/>
      <c r="D17" s="21"/>
      <c r="E17" s="21" t="s">
        <v>18</v>
      </c>
      <c r="F17" s="21"/>
      <c r="G17" s="21"/>
      <c r="H17" s="24" t="s">
        <v>10</v>
      </c>
      <c r="I17" s="24"/>
      <c r="J17" s="24"/>
      <c r="L17" s="21" t="s">
        <v>24</v>
      </c>
      <c r="M17" s="21"/>
      <c r="N17" s="21" t="s">
        <v>22</v>
      </c>
      <c r="O17" s="21"/>
      <c r="S17" s="2">
        <v>2</v>
      </c>
      <c r="T17" s="9">
        <f>T10</f>
        <v>4.7848962605269207</v>
      </c>
      <c r="U17" s="9">
        <f>0</f>
        <v>0</v>
      </c>
      <c r="V17" s="9">
        <f>T9</f>
        <v>-3.150834802864777E-2</v>
      </c>
    </row>
    <row r="18" spans="1:34">
      <c r="A18" s="24"/>
      <c r="B18" s="8" t="s">
        <v>3</v>
      </c>
      <c r="C18" s="8" t="s">
        <v>4</v>
      </c>
      <c r="D18" s="8" t="s">
        <v>5</v>
      </c>
      <c r="E18" s="8" t="s">
        <v>3</v>
      </c>
      <c r="F18" s="8" t="s">
        <v>4</v>
      </c>
      <c r="G18" s="8" t="s">
        <v>5</v>
      </c>
      <c r="H18" s="24"/>
      <c r="I18" s="24"/>
      <c r="J18" s="24"/>
      <c r="L18" s="21" t="s">
        <v>23</v>
      </c>
      <c r="M18" s="21"/>
      <c r="N18" s="21" t="s">
        <v>23</v>
      </c>
      <c r="O18" s="21"/>
      <c r="S18" s="2" t="s">
        <v>43</v>
      </c>
      <c r="T18" s="9">
        <v>0</v>
      </c>
      <c r="U18" s="9">
        <v>0</v>
      </c>
      <c r="V18" s="9">
        <f>E15</f>
        <v>1.552</v>
      </c>
    </row>
    <row r="19" spans="1:34">
      <c r="A19" s="5">
        <v>2</v>
      </c>
      <c r="B19" s="7">
        <v>0</v>
      </c>
      <c r="C19" s="7">
        <v>0</v>
      </c>
      <c r="D19" s="7">
        <v>0</v>
      </c>
      <c r="E19" s="7">
        <v>108</v>
      </c>
      <c r="F19" s="7">
        <v>18</v>
      </c>
      <c r="G19" s="7">
        <v>41</v>
      </c>
      <c r="H19" s="22" t="s">
        <v>33</v>
      </c>
      <c r="I19" s="22"/>
      <c r="J19" s="22"/>
      <c r="L19" s="23">
        <v>0</v>
      </c>
      <c r="M19" s="23"/>
      <c r="N19" s="23">
        <f>90-(E19+F19/60+G19/3600)</f>
        <v>-18.311388888888885</v>
      </c>
      <c r="O19" s="23"/>
      <c r="S19" s="2" t="s">
        <v>44</v>
      </c>
      <c r="T19" s="9">
        <f>T17</f>
        <v>4.7848962605269207</v>
      </c>
      <c r="U19" s="9">
        <v>0</v>
      </c>
      <c r="V19" s="9">
        <f>V17+T13</f>
        <v>1.5206164357732119</v>
      </c>
    </row>
    <row r="20" spans="1:34">
      <c r="A20" s="5" t="s">
        <v>65</v>
      </c>
      <c r="B20" s="7">
        <v>306</v>
      </c>
      <c r="C20" s="7">
        <v>57</v>
      </c>
      <c r="D20" s="7">
        <v>20</v>
      </c>
      <c r="E20" s="7">
        <v>98</v>
      </c>
      <c r="F20" s="7">
        <v>56</v>
      </c>
      <c r="G20" s="7">
        <v>38</v>
      </c>
      <c r="H20" s="22" t="s">
        <v>11</v>
      </c>
      <c r="I20" s="22"/>
      <c r="J20" s="22"/>
      <c r="L20" s="23">
        <f>360+($B$19+$C$19/60+$D$19/3600)-(B20+C20/60+D20/3600)</f>
        <v>53.04444444444448</v>
      </c>
      <c r="M20" s="23"/>
      <c r="N20" s="23">
        <f>90-(E20+F20/60+G20/3600)</f>
        <v>-8.9438888888888926</v>
      </c>
      <c r="O20" s="23"/>
    </row>
    <row r="21" spans="1:34">
      <c r="A21" s="5" t="s">
        <v>6</v>
      </c>
      <c r="B21" s="7">
        <v>317</v>
      </c>
      <c r="C21" s="7">
        <v>5</v>
      </c>
      <c r="D21" s="7">
        <v>27</v>
      </c>
      <c r="E21" s="7">
        <v>98</v>
      </c>
      <c r="F21" s="7">
        <v>31</v>
      </c>
      <c r="G21" s="7">
        <v>34</v>
      </c>
      <c r="H21" s="22"/>
      <c r="I21" s="22"/>
      <c r="J21" s="22"/>
      <c r="L21" s="23">
        <f t="shared" ref="L21:L25" si="0">360+($B$19+$C$19/60+$D$19/3600)-(B21+C21/60+D21/3600)</f>
        <v>42.909166666666692</v>
      </c>
      <c r="M21" s="23"/>
      <c r="N21" s="23">
        <f t="shared" ref="N21:N25" si="1">90-(E21+F21/60+G21/3600)</f>
        <v>-8.5261111111111063</v>
      </c>
      <c r="O21" s="23"/>
      <c r="S21" s="3" t="s">
        <v>52</v>
      </c>
      <c r="AD21" s="2"/>
      <c r="AE21" s="2"/>
      <c r="AF21" s="2"/>
      <c r="AG21" s="2"/>
      <c r="AH21" s="2"/>
    </row>
    <row r="22" spans="1:34">
      <c r="A22" s="5" t="s">
        <v>7</v>
      </c>
      <c r="B22" s="7">
        <v>317</v>
      </c>
      <c r="C22" s="7">
        <v>52</v>
      </c>
      <c r="D22" s="7">
        <v>46</v>
      </c>
      <c r="E22" s="7">
        <v>98</v>
      </c>
      <c r="F22" s="7">
        <v>40</v>
      </c>
      <c r="G22" s="7">
        <v>32</v>
      </c>
      <c r="H22" s="22"/>
      <c r="I22" s="22"/>
      <c r="J22" s="22"/>
      <c r="L22" s="23">
        <f t="shared" si="0"/>
        <v>42.120555555555541</v>
      </c>
      <c r="M22" s="23"/>
      <c r="N22" s="23">
        <f t="shared" si="1"/>
        <v>-8.6755555555555617</v>
      </c>
      <c r="O22" s="23"/>
      <c r="T22" s="2" t="s">
        <v>53</v>
      </c>
      <c r="U22" s="2" t="s">
        <v>54</v>
      </c>
      <c r="V22" s="2" t="s">
        <v>55</v>
      </c>
      <c r="W22" s="2" t="s">
        <v>56</v>
      </c>
      <c r="X22" s="2" t="s">
        <v>57</v>
      </c>
      <c r="Y22" s="2" t="s">
        <v>58</v>
      </c>
      <c r="Z22" s="2" t="s">
        <v>59</v>
      </c>
      <c r="AA22" s="2" t="s">
        <v>60</v>
      </c>
      <c r="AB22" s="2" t="s">
        <v>61</v>
      </c>
      <c r="AC22" s="2" t="s">
        <v>62</v>
      </c>
      <c r="AD22" s="2" t="s">
        <v>63</v>
      </c>
      <c r="AE22" s="2" t="s">
        <v>64</v>
      </c>
    </row>
    <row r="23" spans="1:34">
      <c r="A23" s="5" t="s">
        <v>8</v>
      </c>
      <c r="B23" s="7">
        <v>318</v>
      </c>
      <c r="C23" s="7">
        <v>11</v>
      </c>
      <c r="D23" s="7">
        <v>39</v>
      </c>
      <c r="E23" s="7">
        <v>98</v>
      </c>
      <c r="F23" s="7">
        <v>25</v>
      </c>
      <c r="G23" s="7">
        <v>20</v>
      </c>
      <c r="H23" s="22"/>
      <c r="I23" s="22"/>
      <c r="J23" s="22"/>
      <c r="L23" s="23">
        <f t="shared" si="0"/>
        <v>41.805833333333339</v>
      </c>
      <c r="M23" s="23"/>
      <c r="N23" s="23">
        <f t="shared" si="1"/>
        <v>-8.4222222222222314</v>
      </c>
      <c r="O23" s="23"/>
      <c r="S23" s="2" t="s">
        <v>65</v>
      </c>
      <c r="T23" s="9">
        <f t="shared" ref="T23:T28" si="2">PI()-RADIANS(L20+L34)</f>
        <v>1.5706945159218628</v>
      </c>
      <c r="U23" s="2">
        <f t="shared" ref="U23:U28" si="3">SIN(RADIANS(L34))*$T$10/SIN(T23)</f>
        <v>2.8770466159660022</v>
      </c>
      <c r="V23" s="2">
        <f t="shared" ref="V23:V28" si="4">SIN(RADIANS(L20))*$T$10/SIN(T23)</f>
        <v>3.8236206640311465</v>
      </c>
      <c r="W23" s="2">
        <f t="shared" ref="W23:W28" si="5">TAN(RADIANS(N20))*U23</f>
        <v>-0.45279162504214299</v>
      </c>
      <c r="X23" s="2">
        <f t="shared" ref="X23:X28" si="6">TAN(RADIANS(N34))*V23</f>
        <v>-0.4229009666584711</v>
      </c>
      <c r="Y23" s="2">
        <f t="shared" ref="Y23:Y28" si="7">$T$18+COS(RADIANS(L20))*U23</f>
        <v>1.7296670158338139</v>
      </c>
      <c r="Z23" s="2">
        <f t="shared" ref="Z23:Z28" si="8">$U$18+SIN(RADIANS(L20))*U23</f>
        <v>2.2990539890959445</v>
      </c>
      <c r="AA23" s="9">
        <f>$V$18+W23</f>
        <v>1.0992083749578572</v>
      </c>
      <c r="AB23" s="2">
        <f t="shared" ref="AB23:AB28" si="9">$T$19-COS(RADIANS(L34))*V23</f>
        <v>1.7296670158338143</v>
      </c>
      <c r="AC23" s="2">
        <f t="shared" ref="AC23:AC28" si="10">$U$19+SIN(RADIANS(L34))*V23</f>
        <v>2.2990539890959441</v>
      </c>
      <c r="AD23" s="9">
        <f>$V$19+X23</f>
        <v>1.0977154691147408</v>
      </c>
      <c r="AE23" s="11">
        <f>AVERAGE(AA23,AD23)</f>
        <v>1.098461922036299</v>
      </c>
    </row>
    <row r="24" spans="1:34">
      <c r="A24" s="5" t="s">
        <v>9</v>
      </c>
      <c r="B24" s="7">
        <v>318</v>
      </c>
      <c r="C24" s="7">
        <v>57</v>
      </c>
      <c r="D24" s="7">
        <v>34</v>
      </c>
      <c r="E24" s="6">
        <v>98</v>
      </c>
      <c r="F24" s="7">
        <v>33</v>
      </c>
      <c r="G24" s="7">
        <v>27</v>
      </c>
      <c r="H24" s="22"/>
      <c r="I24" s="22"/>
      <c r="J24" s="22"/>
      <c r="L24" s="23">
        <f t="shared" si="0"/>
        <v>41.040555555555557</v>
      </c>
      <c r="M24" s="23"/>
      <c r="N24" s="23">
        <f t="shared" si="1"/>
        <v>-8.5574999999999903</v>
      </c>
      <c r="O24" s="23"/>
      <c r="S24" s="2" t="s">
        <v>6</v>
      </c>
      <c r="T24" s="9">
        <f t="shared" si="2"/>
        <v>1.6162233687148597</v>
      </c>
      <c r="U24" s="2">
        <f t="shared" si="3"/>
        <v>3.3565292711486694</v>
      </c>
      <c r="V24" s="2">
        <f t="shared" si="4"/>
        <v>3.2611037356265755</v>
      </c>
      <c r="W24" s="2">
        <f t="shared" si="5"/>
        <v>-0.50320058682772706</v>
      </c>
      <c r="X24" s="2">
        <f t="shared" si="6"/>
        <v>-0.47345097573241129</v>
      </c>
      <c r="Y24" s="2">
        <f t="shared" si="7"/>
        <v>2.4584360994039525</v>
      </c>
      <c r="Z24" s="2">
        <f t="shared" si="8"/>
        <v>2.2852528729279169</v>
      </c>
      <c r="AA24" s="9">
        <f t="shared" ref="AA24:AA28" si="11">$V$18+W24</f>
        <v>1.0487994131722731</v>
      </c>
      <c r="AB24" s="2">
        <f t="shared" si="9"/>
        <v>2.4584360994039525</v>
      </c>
      <c r="AC24" s="2">
        <f t="shared" si="10"/>
        <v>2.2852528729279169</v>
      </c>
      <c r="AD24" s="9">
        <f t="shared" ref="AD24:AD28" si="12">$V$19+X24</f>
        <v>1.0471654600408007</v>
      </c>
      <c r="AE24" s="11">
        <f t="shared" ref="AE24:AE28" si="13">AVERAGE(AA24,AD24)</f>
        <v>1.0479824366065369</v>
      </c>
    </row>
    <row r="25" spans="1:34">
      <c r="A25" s="5" t="s">
        <v>66</v>
      </c>
      <c r="B25" s="7">
        <v>326</v>
      </c>
      <c r="C25" s="7">
        <v>8</v>
      </c>
      <c r="D25" s="7">
        <v>50</v>
      </c>
      <c r="E25" s="7">
        <v>96</v>
      </c>
      <c r="F25" s="7">
        <v>45</v>
      </c>
      <c r="G25" s="7">
        <v>39</v>
      </c>
      <c r="H25" s="22" t="s">
        <v>12</v>
      </c>
      <c r="I25" s="22"/>
      <c r="J25" s="22"/>
      <c r="L25" s="23">
        <f t="shared" si="0"/>
        <v>33.85277777777776</v>
      </c>
      <c r="M25" s="23"/>
      <c r="N25" s="23">
        <f t="shared" si="1"/>
        <v>-6.7608333333333377</v>
      </c>
      <c r="O25" s="23"/>
      <c r="S25" s="2" t="s">
        <v>7</v>
      </c>
      <c r="T25" s="9">
        <f t="shared" si="2"/>
        <v>1.6498742863206732</v>
      </c>
      <c r="U25" s="2">
        <f t="shared" si="3"/>
        <v>3.2948193909501255</v>
      </c>
      <c r="V25" s="2">
        <f t="shared" si="4"/>
        <v>3.2192556000982289</v>
      </c>
      <c r="W25" s="2">
        <f t="shared" si="5"/>
        <v>-0.50273970536793655</v>
      </c>
      <c r="X25" s="2">
        <f t="shared" si="6"/>
        <v>-0.47282696452853812</v>
      </c>
      <c r="Y25" s="2">
        <f t="shared" si="7"/>
        <v>2.4438837490748639</v>
      </c>
      <c r="Z25" s="2">
        <f t="shared" si="8"/>
        <v>2.2098115394731614</v>
      </c>
      <c r="AA25" s="9">
        <f t="shared" si="11"/>
        <v>1.0492602946320635</v>
      </c>
      <c r="AB25" s="2">
        <f t="shared" si="9"/>
        <v>2.4438837490748644</v>
      </c>
      <c r="AC25" s="2">
        <f t="shared" si="10"/>
        <v>2.2098115394731614</v>
      </c>
      <c r="AD25" s="9">
        <f t="shared" si="12"/>
        <v>1.0477894712446738</v>
      </c>
      <c r="AE25" s="11">
        <f t="shared" si="13"/>
        <v>1.0485248829383687</v>
      </c>
    </row>
    <row r="26" spans="1:34">
      <c r="A26" s="5">
        <v>2</v>
      </c>
      <c r="B26" s="17">
        <v>0</v>
      </c>
      <c r="C26" s="17">
        <v>0</v>
      </c>
      <c r="D26" s="17">
        <v>3</v>
      </c>
      <c r="E26" s="17">
        <v>108</v>
      </c>
      <c r="F26" s="17">
        <v>18</v>
      </c>
      <c r="G26" s="17">
        <v>43</v>
      </c>
      <c r="H26" s="22" t="s">
        <v>21</v>
      </c>
      <c r="I26" s="22"/>
      <c r="J26" s="22"/>
      <c r="S26" s="2" t="s">
        <v>8</v>
      </c>
      <c r="T26" s="9">
        <f t="shared" si="2"/>
        <v>1.6226616943999947</v>
      </c>
      <c r="U26" s="2">
        <f t="shared" si="3"/>
        <v>3.4011196352094704</v>
      </c>
      <c r="V26" s="2">
        <f t="shared" si="4"/>
        <v>3.1939467914911392</v>
      </c>
      <c r="W26" s="2">
        <f t="shared" si="5"/>
        <v>-0.50358162129393436</v>
      </c>
      <c r="X26" s="2">
        <f t="shared" si="6"/>
        <v>-0.47387220432703975</v>
      </c>
      <c r="Y26" s="2">
        <f t="shared" si="7"/>
        <v>2.5352222461207177</v>
      </c>
      <c r="Z26" s="2">
        <f t="shared" si="8"/>
        <v>2.2672147970102046</v>
      </c>
      <c r="AA26" s="9">
        <f t="shared" si="11"/>
        <v>1.0484183787060657</v>
      </c>
      <c r="AB26" s="2">
        <f t="shared" si="9"/>
        <v>2.5352222461207181</v>
      </c>
      <c r="AC26" s="2">
        <f t="shared" si="10"/>
        <v>2.2672147970102046</v>
      </c>
      <c r="AD26" s="9">
        <f t="shared" si="12"/>
        <v>1.0467442314461721</v>
      </c>
      <c r="AE26" s="11">
        <f t="shared" si="13"/>
        <v>1.0475813050761189</v>
      </c>
    </row>
    <row r="27" spans="1:34">
      <c r="S27" s="2" t="s">
        <v>9</v>
      </c>
      <c r="T27" s="9">
        <f t="shared" si="2"/>
        <v>1.6554399473798105</v>
      </c>
      <c r="U27" s="2">
        <f t="shared" si="3"/>
        <v>3.3424198617801801</v>
      </c>
      <c r="V27" s="2">
        <f t="shared" si="4"/>
        <v>3.1530179448117344</v>
      </c>
      <c r="W27" s="2">
        <f t="shared" si="5"/>
        <v>-0.50295776520188862</v>
      </c>
      <c r="X27" s="2">
        <f t="shared" si="6"/>
        <v>-0.47317532758300268</v>
      </c>
      <c r="Y27" s="2">
        <f t="shared" si="7"/>
        <v>2.5210035163296931</v>
      </c>
      <c r="Z27" s="2">
        <f t="shared" si="8"/>
        <v>2.1946097154336943</v>
      </c>
      <c r="AA27" s="9">
        <f t="shared" si="11"/>
        <v>1.0490422347981114</v>
      </c>
      <c r="AB27" s="2">
        <f t="shared" si="9"/>
        <v>2.5210035163296931</v>
      </c>
      <c r="AC27" s="2">
        <f t="shared" si="10"/>
        <v>2.1946097154336939</v>
      </c>
      <c r="AD27" s="9">
        <f t="shared" si="12"/>
        <v>1.0474411081902093</v>
      </c>
      <c r="AE27" s="11">
        <f t="shared" si="13"/>
        <v>1.0482416714941603</v>
      </c>
    </row>
    <row r="28" spans="1:34">
      <c r="S28" s="2" t="s">
        <v>66</v>
      </c>
      <c r="T28" s="9">
        <f t="shared" si="2"/>
        <v>1.5927099051810478</v>
      </c>
      <c r="U28" s="2">
        <f t="shared" si="3"/>
        <v>3.9153013516645396</v>
      </c>
      <c r="V28" s="2">
        <f t="shared" si="4"/>
        <v>2.6661184337170933</v>
      </c>
      <c r="W28" s="2">
        <f t="shared" si="5"/>
        <v>-0.46415713493946187</v>
      </c>
      <c r="X28" s="2">
        <f t="shared" si="6"/>
        <v>-0.43437745218275314</v>
      </c>
      <c r="Y28" s="2">
        <f t="shared" si="7"/>
        <v>3.2515469198822271</v>
      </c>
      <c r="Z28" s="2">
        <f t="shared" si="8"/>
        <v>2.1810610496156619</v>
      </c>
      <c r="AA28" s="9">
        <f t="shared" si="11"/>
        <v>1.0878428650605381</v>
      </c>
      <c r="AB28" s="2">
        <f t="shared" si="9"/>
        <v>3.2515469198822275</v>
      </c>
      <c r="AC28" s="2">
        <f t="shared" si="10"/>
        <v>2.1810610496156615</v>
      </c>
      <c r="AD28" s="9">
        <f t="shared" si="12"/>
        <v>1.0862389835904587</v>
      </c>
      <c r="AE28" s="11">
        <f t="shared" si="13"/>
        <v>1.0870409243254984</v>
      </c>
    </row>
    <row r="29" spans="1:34">
      <c r="A29" s="25" t="s">
        <v>13</v>
      </c>
      <c r="B29" s="25"/>
      <c r="C29" s="25" t="s">
        <v>19</v>
      </c>
      <c r="D29" s="25"/>
      <c r="E29" s="2" t="s">
        <v>14</v>
      </c>
      <c r="G29" s="4" t="s">
        <v>16</v>
      </c>
    </row>
    <row r="30" spans="1:34">
      <c r="L30" s="21" t="s">
        <v>20</v>
      </c>
      <c r="M30" s="21"/>
      <c r="N30" s="21"/>
      <c r="O30" s="21"/>
      <c r="S30" s="2"/>
      <c r="T30" s="2" t="s">
        <v>36</v>
      </c>
      <c r="U30" s="2" t="s">
        <v>37</v>
      </c>
      <c r="V30" s="2" t="s">
        <v>38</v>
      </c>
    </row>
    <row r="31" spans="1:34">
      <c r="A31" s="24" t="s">
        <v>2</v>
      </c>
      <c r="B31" s="21" t="s">
        <v>17</v>
      </c>
      <c r="C31" s="21"/>
      <c r="D31" s="21"/>
      <c r="E31" s="21" t="s">
        <v>18</v>
      </c>
      <c r="F31" s="21"/>
      <c r="G31" s="21"/>
      <c r="H31" s="24" t="s">
        <v>10</v>
      </c>
      <c r="I31" s="24"/>
      <c r="J31" s="24"/>
      <c r="L31" s="21" t="s">
        <v>25</v>
      </c>
      <c r="M31" s="21"/>
      <c r="N31" s="21" t="s">
        <v>22</v>
      </c>
      <c r="O31" s="21"/>
      <c r="S31" s="2" t="s">
        <v>65</v>
      </c>
      <c r="T31" s="9">
        <f>Y23-$Y$25</f>
        <v>-0.71421673324105006</v>
      </c>
      <c r="U31" s="9">
        <f>Z23-$Z$25</f>
        <v>8.9242449622783049E-2</v>
      </c>
      <c r="V31" s="9">
        <f>AE23-$AE$25</f>
        <v>4.9937039097930347E-2</v>
      </c>
    </row>
    <row r="32" spans="1:34">
      <c r="A32" s="24"/>
      <c r="B32" s="8" t="s">
        <v>3</v>
      </c>
      <c r="C32" s="8" t="s">
        <v>4</v>
      </c>
      <c r="D32" s="8" t="s">
        <v>5</v>
      </c>
      <c r="E32" s="8" t="s">
        <v>3</v>
      </c>
      <c r="F32" s="8" t="s">
        <v>4</v>
      </c>
      <c r="G32" s="8" t="s">
        <v>5</v>
      </c>
      <c r="H32" s="24"/>
      <c r="I32" s="24"/>
      <c r="J32" s="24"/>
      <c r="L32" s="21" t="s">
        <v>23</v>
      </c>
      <c r="M32" s="21"/>
      <c r="N32" s="21" t="s">
        <v>23</v>
      </c>
      <c r="O32" s="21"/>
      <c r="S32" s="2" t="s">
        <v>6</v>
      </c>
      <c r="T32" s="9">
        <f t="shared" ref="T32:T36" si="14">Y24-$Y$25</f>
        <v>1.4552350329088526E-2</v>
      </c>
      <c r="U32" s="9">
        <f t="shared" ref="U32:U36" si="15">Z24-$Z$25</f>
        <v>7.5441333454755455E-2</v>
      </c>
      <c r="V32" s="9">
        <f t="shared" ref="V32:V36" si="16">AE24-$AE$25</f>
        <v>-5.424463318317585E-4</v>
      </c>
    </row>
    <row r="33" spans="1:29">
      <c r="A33" s="5">
        <v>1</v>
      </c>
      <c r="B33" s="7">
        <v>0</v>
      </c>
      <c r="C33" s="7">
        <v>0</v>
      </c>
      <c r="D33" s="7">
        <v>0</v>
      </c>
      <c r="E33" s="7">
        <v>107</v>
      </c>
      <c r="F33" s="7">
        <v>37</v>
      </c>
      <c r="G33" s="7">
        <v>48</v>
      </c>
      <c r="H33" s="22" t="s">
        <v>34</v>
      </c>
      <c r="I33" s="22"/>
      <c r="J33" s="22"/>
      <c r="L33" s="23">
        <v>0</v>
      </c>
      <c r="M33" s="23"/>
      <c r="N33" s="23">
        <f>90-(E33+F33/60+G33/3600)</f>
        <v>-17.629999999999995</v>
      </c>
      <c r="O33" s="23"/>
      <c r="S33" s="2" t="s">
        <v>7</v>
      </c>
      <c r="T33" s="9">
        <f t="shared" si="14"/>
        <v>0</v>
      </c>
      <c r="U33" s="9">
        <f t="shared" si="15"/>
        <v>0</v>
      </c>
      <c r="V33" s="9">
        <f t="shared" si="16"/>
        <v>0</v>
      </c>
    </row>
    <row r="34" spans="1:29">
      <c r="A34" s="5" t="s">
        <v>65</v>
      </c>
      <c r="B34" s="7">
        <v>36</v>
      </c>
      <c r="C34" s="7">
        <v>57</v>
      </c>
      <c r="D34" s="7">
        <v>41</v>
      </c>
      <c r="E34" s="7">
        <v>96</v>
      </c>
      <c r="F34" s="7">
        <v>18</v>
      </c>
      <c r="G34" s="7">
        <v>41</v>
      </c>
      <c r="H34" s="22" t="s">
        <v>11</v>
      </c>
      <c r="I34" s="22"/>
      <c r="J34" s="22"/>
      <c r="L34" s="23">
        <f>(B34+C34/60+D34/3600)-($B$33+$C$33/60+$D$33/3600)</f>
        <v>36.961388888888891</v>
      </c>
      <c r="M34" s="23"/>
      <c r="N34" s="23">
        <f>90-(E34+F34/60+G34/3600)</f>
        <v>-6.3113888888888852</v>
      </c>
      <c r="O34" s="23"/>
      <c r="S34" s="2" t="s">
        <v>8</v>
      </c>
      <c r="T34" s="9">
        <f t="shared" si="14"/>
        <v>9.1338497045853728E-2</v>
      </c>
      <c r="U34" s="9">
        <f t="shared" si="15"/>
        <v>5.7403257537043118E-2</v>
      </c>
      <c r="V34" s="9">
        <f t="shared" si="16"/>
        <v>-9.4357786224974483E-4</v>
      </c>
    </row>
    <row r="35" spans="1:29">
      <c r="A35" s="5" t="s">
        <v>6</v>
      </c>
      <c r="B35" s="7">
        <v>44</v>
      </c>
      <c r="C35" s="7">
        <v>29</v>
      </c>
      <c r="D35" s="7">
        <v>17</v>
      </c>
      <c r="E35" s="7">
        <v>98</v>
      </c>
      <c r="F35" s="7">
        <v>15</v>
      </c>
      <c r="G35" s="7">
        <v>38</v>
      </c>
      <c r="H35" s="22"/>
      <c r="I35" s="22"/>
      <c r="J35" s="22"/>
      <c r="L35" s="23">
        <f t="shared" ref="L35:L39" si="17">(B35+C35/60+D35/3600)-($B$33+$C$33/60+$D$33/3600)</f>
        <v>44.488055555555555</v>
      </c>
      <c r="M35" s="23"/>
      <c r="N35" s="23">
        <f t="shared" ref="N35:N39" si="18">90-(E35+F35/60+G35/3600)</f>
        <v>-8.2605555555555554</v>
      </c>
      <c r="O35" s="23"/>
      <c r="S35" s="2" t="s">
        <v>9</v>
      </c>
      <c r="T35" s="9">
        <f t="shared" si="14"/>
        <v>7.7119767254829164E-2</v>
      </c>
      <c r="U35" s="9">
        <f t="shared" si="15"/>
        <v>-1.5201824039467127E-2</v>
      </c>
      <c r="V35" s="9">
        <f t="shared" si="16"/>
        <v>-2.8321144420839772E-4</v>
      </c>
    </row>
    <row r="36" spans="1:29">
      <c r="A36" s="5" t="s">
        <v>7</v>
      </c>
      <c r="B36" s="7">
        <v>43</v>
      </c>
      <c r="C36" s="7">
        <v>20</v>
      </c>
      <c r="D36" s="7">
        <v>55</v>
      </c>
      <c r="E36" s="7">
        <v>98</v>
      </c>
      <c r="F36" s="7">
        <v>21</v>
      </c>
      <c r="G36" s="7">
        <v>20</v>
      </c>
      <c r="H36" s="22"/>
      <c r="I36" s="22"/>
      <c r="J36" s="22"/>
      <c r="L36" s="23">
        <f t="shared" si="17"/>
        <v>43.348611111111111</v>
      </c>
      <c r="M36" s="23"/>
      <c r="N36" s="23">
        <f t="shared" si="18"/>
        <v>-8.3555555555555543</v>
      </c>
      <c r="O36" s="23"/>
      <c r="S36" s="2" t="s">
        <v>66</v>
      </c>
      <c r="T36" s="9">
        <f t="shared" si="14"/>
        <v>0.80766317080736316</v>
      </c>
      <c r="U36" s="9">
        <f t="shared" si="15"/>
        <v>-2.8750489857499506E-2</v>
      </c>
      <c r="V36" s="9">
        <f t="shared" si="16"/>
        <v>3.8516041387129718E-2</v>
      </c>
    </row>
    <row r="37" spans="1:29">
      <c r="A37" s="5" t="s">
        <v>8</v>
      </c>
      <c r="B37" s="7">
        <v>45</v>
      </c>
      <c r="C37" s="7">
        <v>13</v>
      </c>
      <c r="D37" s="7">
        <v>21</v>
      </c>
      <c r="E37" s="7">
        <v>98</v>
      </c>
      <c r="F37" s="7">
        <v>26</v>
      </c>
      <c r="G37" s="7">
        <v>21</v>
      </c>
      <c r="H37" s="22"/>
      <c r="I37" s="22"/>
      <c r="J37" s="22"/>
      <c r="L37" s="23">
        <f t="shared" si="17"/>
        <v>45.222500000000004</v>
      </c>
      <c r="M37" s="23"/>
      <c r="N37" s="23">
        <f t="shared" si="18"/>
        <v>-8.4391666666666652</v>
      </c>
      <c r="O37" s="23"/>
    </row>
    <row r="38" spans="1:29">
      <c r="A38" s="5" t="s">
        <v>9</v>
      </c>
      <c r="B38" s="7">
        <v>44</v>
      </c>
      <c r="C38" s="7">
        <v>6</v>
      </c>
      <c r="D38" s="7">
        <v>35</v>
      </c>
      <c r="E38" s="7">
        <v>98</v>
      </c>
      <c r="F38" s="7">
        <v>32</v>
      </c>
      <c r="G38" s="7">
        <v>5</v>
      </c>
      <c r="H38" s="22"/>
      <c r="I38" s="22"/>
      <c r="J38" s="22"/>
      <c r="L38" s="23">
        <f t="shared" si="17"/>
        <v>44.109722222222224</v>
      </c>
      <c r="M38" s="23"/>
      <c r="N38" s="23">
        <f t="shared" si="18"/>
        <v>-8.5347222222222143</v>
      </c>
      <c r="O38" s="23"/>
      <c r="S38" s="2" t="s">
        <v>75</v>
      </c>
      <c r="T38" s="9">
        <f>ATAN2(T35,U35)</f>
        <v>-0.1946244960152734</v>
      </c>
      <c r="W38" s="2" t="s">
        <v>76</v>
      </c>
      <c r="X38" s="16">
        <f>ATAN2(S48,U48)</f>
        <v>-3.6030102494214104E-3</v>
      </c>
      <c r="AA38" s="2" t="s">
        <v>77</v>
      </c>
      <c r="AB38" s="16">
        <f>ATAN2(X45,Y45)</f>
        <v>-7.0747100833561082E-3</v>
      </c>
    </row>
    <row r="39" spans="1:29">
      <c r="A39" s="5" t="s">
        <v>66</v>
      </c>
      <c r="B39" s="7">
        <v>54</v>
      </c>
      <c r="C39" s="7">
        <v>53</v>
      </c>
      <c r="D39" s="7">
        <v>30</v>
      </c>
      <c r="E39" s="7">
        <v>99</v>
      </c>
      <c r="F39" s="7">
        <v>15</v>
      </c>
      <c r="G39" s="7">
        <v>13</v>
      </c>
      <c r="H39" s="22" t="s">
        <v>12</v>
      </c>
      <c r="I39" s="22"/>
      <c r="J39" s="22"/>
      <c r="L39" s="23">
        <f t="shared" si="17"/>
        <v>54.891666666666666</v>
      </c>
      <c r="M39" s="23"/>
      <c r="N39" s="23">
        <f t="shared" si="18"/>
        <v>-9.2536111111111126</v>
      </c>
      <c r="O39" s="23"/>
      <c r="S39" s="2"/>
      <c r="T39" s="2"/>
      <c r="U39" s="2"/>
      <c r="V39" s="2"/>
      <c r="W39" s="2"/>
    </row>
    <row r="40" spans="1:29">
      <c r="A40" s="5">
        <v>1</v>
      </c>
      <c r="B40" s="17">
        <v>359</v>
      </c>
      <c r="C40" s="17">
        <v>59</v>
      </c>
      <c r="D40" s="17">
        <v>56</v>
      </c>
      <c r="E40" s="17">
        <v>107</v>
      </c>
      <c r="F40" s="17">
        <v>37</v>
      </c>
      <c r="G40" s="17">
        <v>43</v>
      </c>
      <c r="H40" s="22" t="s">
        <v>21</v>
      </c>
      <c r="I40" s="22"/>
      <c r="J40" s="22"/>
      <c r="S40" s="9">
        <f>COS(T38)</f>
        <v>0.98112036048840201</v>
      </c>
      <c r="T40" s="9">
        <f>SIN(T38)</f>
        <v>-0.19339813400110192</v>
      </c>
      <c r="U40" s="9">
        <v>0</v>
      </c>
      <c r="V40" s="2"/>
      <c r="W40" s="9">
        <f>COS(-X38)</f>
        <v>0.99999350916559315</v>
      </c>
      <c r="X40" s="9">
        <v>0</v>
      </c>
      <c r="Y40" s="9">
        <f>-SIN(-X38)</f>
        <v>-3.6030024539037385E-3</v>
      </c>
      <c r="AA40" s="9">
        <v>1</v>
      </c>
      <c r="AB40" s="9">
        <v>0</v>
      </c>
      <c r="AC40" s="9">
        <v>0</v>
      </c>
    </row>
    <row r="41" spans="1:29">
      <c r="S41" s="9">
        <f>-SIN(T38)</f>
        <v>0.19339813400110192</v>
      </c>
      <c r="T41" s="9">
        <f>COS(T38)</f>
        <v>0.98112036048840201</v>
      </c>
      <c r="U41" s="9">
        <v>0</v>
      </c>
      <c r="V41" s="2"/>
      <c r="W41" s="9">
        <v>0</v>
      </c>
      <c r="X41" s="9">
        <v>1</v>
      </c>
      <c r="Y41" s="9">
        <v>0</v>
      </c>
      <c r="AA41" s="9">
        <v>0</v>
      </c>
      <c r="AB41" s="9">
        <f>COS(AB38)</f>
        <v>0.99997497434299953</v>
      </c>
      <c r="AC41" s="9">
        <f>SIN(AB38)</f>
        <v>-7.0746510668350049E-3</v>
      </c>
    </row>
    <row r="42" spans="1:29">
      <c r="S42" s="9">
        <v>0</v>
      </c>
      <c r="T42" s="9">
        <v>0</v>
      </c>
      <c r="U42" s="9">
        <v>1</v>
      </c>
      <c r="V42" s="2"/>
      <c r="W42" s="9">
        <f>SIN(-X38)</f>
        <v>3.6030024539037385E-3</v>
      </c>
      <c r="X42" s="9">
        <v>0</v>
      </c>
      <c r="Y42" s="9">
        <f>COS(-X38)</f>
        <v>0.99999350916559315</v>
      </c>
      <c r="AA42" s="9">
        <v>0</v>
      </c>
      <c r="AB42" s="9">
        <f>-SIN(AB38)</f>
        <v>7.0746510668350049E-3</v>
      </c>
      <c r="AC42" s="9">
        <f>COS(AB38)</f>
        <v>0.99997497434299953</v>
      </c>
    </row>
    <row r="43" spans="1:29">
      <c r="B43" s="21" t="s">
        <v>50</v>
      </c>
      <c r="C43" s="21"/>
      <c r="D43" s="21"/>
      <c r="E43" s="21"/>
      <c r="H43" s="21" t="s">
        <v>51</v>
      </c>
      <c r="I43" s="21"/>
      <c r="J43" s="21"/>
      <c r="L43" s="21" t="s">
        <v>69</v>
      </c>
      <c r="M43" s="21"/>
      <c r="N43" s="21" t="s">
        <v>70</v>
      </c>
      <c r="O43" s="21"/>
      <c r="S43" s="2"/>
      <c r="T43" s="2"/>
      <c r="U43" s="2"/>
      <c r="W43" s="2"/>
      <c r="X43" s="2"/>
      <c r="Y43" s="2"/>
      <c r="AA43" s="9"/>
      <c r="AB43" s="9"/>
      <c r="AC43" s="9"/>
    </row>
    <row r="44" spans="1:29">
      <c r="A44" s="2"/>
      <c r="B44" s="8" t="s">
        <v>45</v>
      </c>
      <c r="C44" s="8" t="s">
        <v>46</v>
      </c>
      <c r="D44" s="8" t="s">
        <v>49</v>
      </c>
      <c r="E44" s="8" t="s">
        <v>48</v>
      </c>
      <c r="H44" s="8" t="s">
        <v>45</v>
      </c>
      <c r="I44" s="8" t="s">
        <v>46</v>
      </c>
      <c r="J44" s="8" t="s">
        <v>49</v>
      </c>
      <c r="S44" s="9">
        <f t="array" ref="S44:U44">TRANSPOSE(MMULT($S$40:$U$42,TRANSPOSE(T31:V31)))</f>
        <v>-0.71799190201504137</v>
      </c>
      <c r="T44" s="9">
        <v>-5.0570599136408906E-2</v>
      </c>
      <c r="U44" s="9">
        <v>4.9937039097930347E-2</v>
      </c>
      <c r="W44" s="9">
        <f t="array" ref="W44:Y44">TRANSPOSE(MMULT($W$40:$Y$42,TRANSPOSE(S44:U44)))</f>
        <v>-0.71816716492291044</v>
      </c>
      <c r="X44" s="9">
        <v>-5.0570599136408906E-2</v>
      </c>
      <c r="Y44" s="9">
        <v>4.734978838003559E-2</v>
      </c>
      <c r="AA44" s="9">
        <f t="array" ref="AA44:AC44">TRANSPOSE(MMULT($AA$40:$AC$42,TRANSPOSE(W44:Y44)))</f>
        <v>-0.71816716492291044</v>
      </c>
      <c r="AB44" s="9">
        <v>-5.0904316804817842E-2</v>
      </c>
      <c r="AC44" s="9">
        <v>4.699083407734167E-2</v>
      </c>
    </row>
    <row r="45" spans="1:29">
      <c r="A45" s="5" t="s">
        <v>65</v>
      </c>
      <c r="B45" s="12">
        <f t="shared" ref="B45:D50" si="19">Y23</f>
        <v>1.7296670158338139</v>
      </c>
      <c r="C45" s="12">
        <f t="shared" si="19"/>
        <v>2.2990539890959445</v>
      </c>
      <c r="D45" s="12">
        <f t="shared" si="19"/>
        <v>1.0992083749578572</v>
      </c>
      <c r="E45" s="12">
        <f t="shared" ref="E45:E50" si="20">ABS(AA23-AD23)</f>
        <v>1.4929058431163433E-3</v>
      </c>
      <c r="G45" s="5" t="s">
        <v>65</v>
      </c>
      <c r="H45" s="12">
        <f t="array" ref="H45:J50">AA44:AC49</f>
        <v>-0.71816716492291044</v>
      </c>
      <c r="I45" s="12">
        <v>-5.0904316804817842E-2</v>
      </c>
      <c r="J45" s="12">
        <v>4.699083407734167E-2</v>
      </c>
      <c r="L45" s="5" t="s">
        <v>36</v>
      </c>
      <c r="M45" s="2">
        <v>4.9000000000000002E-2</v>
      </c>
      <c r="N45" s="5" t="s">
        <v>36</v>
      </c>
      <c r="O45" s="2">
        <v>5.7000000000000002E-2</v>
      </c>
      <c r="S45" s="9">
        <f t="array" ref="S45:U45">TRANSPOSE(MMULT($S$40:$U$42,TRANSPOSE(T32:V32)))</f>
        <v>-3.1260591587575944E-4</v>
      </c>
      <c r="T45" s="9">
        <v>7.6831425673831458E-2</v>
      </c>
      <c r="U45" s="9">
        <v>-5.424463318317585E-4</v>
      </c>
      <c r="W45" s="9">
        <f t="array" ref="W45:Y45">TRANSPOSE(MMULT($W$40:$Y$42,TRANSPOSE(S45:U45)))</f>
        <v>-3.1064945133782397E-4</v>
      </c>
      <c r="X45" s="9">
        <v>7.6831425673831458E-2</v>
      </c>
      <c r="Y45" s="9">
        <v>-5.4356913078444917E-4</v>
      </c>
      <c r="AA45" s="9">
        <f t="array" ref="AA45:AC45">TRANSPOSE(MMULT($AA$40:$AC$42,TRANSPOSE(W45:Y45)))</f>
        <v>-3.1064945133782397E-4</v>
      </c>
      <c r="AB45" s="9">
        <v>7.6833348478856686E-2</v>
      </c>
      <c r="AC45" s="9">
        <v>0</v>
      </c>
    </row>
    <row r="46" spans="1:29">
      <c r="A46" s="5" t="s">
        <v>6</v>
      </c>
      <c r="B46" s="12">
        <f t="shared" si="19"/>
        <v>2.4584360994039525</v>
      </c>
      <c r="C46" s="12">
        <f t="shared" si="19"/>
        <v>2.2852528729279169</v>
      </c>
      <c r="D46" s="12">
        <f t="shared" si="19"/>
        <v>1.0487994131722731</v>
      </c>
      <c r="E46" s="12">
        <f t="shared" si="20"/>
        <v>1.6339531314724098E-3</v>
      </c>
      <c r="G46" s="5" t="s">
        <v>6</v>
      </c>
      <c r="H46" s="12">
        <v>-3.1064945133782397E-4</v>
      </c>
      <c r="I46" s="12">
        <v>7.6833348478856686E-2</v>
      </c>
      <c r="J46" s="12">
        <v>0</v>
      </c>
      <c r="L46" s="5" t="s">
        <v>37</v>
      </c>
      <c r="M46" s="2">
        <v>3.85E-2</v>
      </c>
      <c r="N46" s="5" t="s">
        <v>37</v>
      </c>
      <c r="O46" s="2">
        <v>3.85E-2</v>
      </c>
      <c r="S46" s="9">
        <f t="array" ref="S46:U46">TRANSPOSE(MMULT($S$40:$U$42,TRANSPOSE(T33:V33)))</f>
        <v>0</v>
      </c>
      <c r="T46" s="9">
        <v>0</v>
      </c>
      <c r="U46" s="9">
        <v>0</v>
      </c>
      <c r="W46" s="9">
        <f t="array" ref="W46:Y46">TRANSPOSE(MMULT($W$40:$Y$42,TRANSPOSE(S46:U46)))</f>
        <v>0</v>
      </c>
      <c r="X46" s="9">
        <v>0</v>
      </c>
      <c r="Y46" s="9">
        <v>0</v>
      </c>
      <c r="AA46" s="9">
        <f t="array" ref="AA46:AC46">TRANSPOSE(MMULT($AA$40:$AC$42,TRANSPOSE(W46:Y46)))</f>
        <v>0</v>
      </c>
      <c r="AB46" s="9">
        <v>0</v>
      </c>
      <c r="AC46" s="9">
        <v>0</v>
      </c>
    </row>
    <row r="47" spans="1:29">
      <c r="A47" s="5" t="s">
        <v>7</v>
      </c>
      <c r="B47" s="12">
        <f t="shared" si="19"/>
        <v>2.4438837490748639</v>
      </c>
      <c r="C47" s="12">
        <f t="shared" si="19"/>
        <v>2.2098115394731614</v>
      </c>
      <c r="D47" s="12">
        <f t="shared" si="19"/>
        <v>1.0492602946320635</v>
      </c>
      <c r="E47" s="12">
        <f t="shared" si="20"/>
        <v>1.4708233873896859E-3</v>
      </c>
      <c r="G47" s="5" t="s">
        <v>7</v>
      </c>
      <c r="H47" s="12">
        <v>0</v>
      </c>
      <c r="I47" s="12">
        <v>0</v>
      </c>
      <c r="J47" s="12">
        <v>0</v>
      </c>
      <c r="L47" s="5" t="s">
        <v>38</v>
      </c>
      <c r="M47" s="2">
        <f>-0.0511-C13</f>
        <v>-6.4600000000000005E-2</v>
      </c>
      <c r="N47" s="5" t="s">
        <v>38</v>
      </c>
      <c r="O47" s="2">
        <f>-0.0998-C13</f>
        <v>-0.1133</v>
      </c>
      <c r="S47" s="9">
        <f t="array" ref="S47:U47">TRANSPOSE(MMULT($S$40:$U$42,TRANSPOSE(T34:V34)))</f>
        <v>7.8512376254848026E-2</v>
      </c>
      <c r="T47" s="9">
        <v>7.3984199619085589E-2</v>
      </c>
      <c r="U47" s="9">
        <v>-9.4357786224974483E-4</v>
      </c>
      <c r="W47" s="9">
        <f t="array" ref="W47:Y47">TRANSPOSE(MMULT($W$40:$Y$42,TRANSPOSE(S47:U47)))</f>
        <v>7.851526635736801E-2</v>
      </c>
      <c r="X47" s="9">
        <v>7.3984199619085589E-2</v>
      </c>
      <c r="Y47" s="9">
        <v>-6.6069145333405989E-4</v>
      </c>
      <c r="AA47" s="9">
        <f t="array" ref="AA47:AC47">TRANSPOSE(MMULT($AA$40:$AC$42,TRANSPOSE(W47:Y47)))</f>
        <v>7.851526635736801E-2</v>
      </c>
      <c r="AB47" s="9">
        <v>7.3987022277377648E-2</v>
      </c>
      <c r="AC47" s="9">
        <v>-1.372625223322678E-4</v>
      </c>
    </row>
    <row r="48" spans="1:29">
      <c r="A48" s="5" t="s">
        <v>8</v>
      </c>
      <c r="B48" s="12">
        <f t="shared" si="19"/>
        <v>2.5352222461207177</v>
      </c>
      <c r="C48" s="12">
        <f t="shared" si="19"/>
        <v>2.2672147970102046</v>
      </c>
      <c r="D48" s="12">
        <f t="shared" si="19"/>
        <v>1.0484183787060657</v>
      </c>
      <c r="E48" s="12">
        <f t="shared" si="20"/>
        <v>1.6741472598935658E-3</v>
      </c>
      <c r="G48" s="5" t="s">
        <v>8</v>
      </c>
      <c r="H48" s="12">
        <v>7.851526635736801E-2</v>
      </c>
      <c r="I48" s="12">
        <v>7.3987022277377648E-2</v>
      </c>
      <c r="J48" s="12">
        <v>-1.372625223322678E-4</v>
      </c>
      <c r="S48" s="9">
        <f t="array" ref="S48:U48">TRANSPOSE(MMULT($S$40:$U$42,TRANSPOSE(T35:V35)))</f>
        <v>7.8603778252485684E-2</v>
      </c>
      <c r="T48" s="9">
        <v>0</v>
      </c>
      <c r="U48" s="9">
        <v>-2.8321144420839772E-4</v>
      </c>
      <c r="W48" s="9">
        <f t="array" ref="W48:Y48">TRANSPOSE(MMULT($W$40:$Y$42,TRANSPOSE(S48:U48)))</f>
        <v>7.8604288459905747E-2</v>
      </c>
      <c r="X48" s="9">
        <v>0</v>
      </c>
      <c r="Y48" s="9">
        <v>0</v>
      </c>
      <c r="AA48" s="9">
        <f t="array" ref="AA48:AC48">TRANSPOSE(MMULT($AA$40:$AC$42,TRANSPOSE(W48:Y48)))</f>
        <v>7.8604288459905747E-2</v>
      </c>
      <c r="AB48" s="9">
        <v>0</v>
      </c>
      <c r="AC48" s="9">
        <v>0</v>
      </c>
    </row>
    <row r="49" spans="1:29">
      <c r="A49" s="5" t="s">
        <v>9</v>
      </c>
      <c r="B49" s="12">
        <f t="shared" si="19"/>
        <v>2.5210035163296931</v>
      </c>
      <c r="C49" s="12">
        <f t="shared" si="19"/>
        <v>2.1946097154336943</v>
      </c>
      <c r="D49" s="12">
        <f t="shared" si="19"/>
        <v>1.0490422347981114</v>
      </c>
      <c r="E49" s="12">
        <f t="shared" si="20"/>
        <v>1.6011266079021258E-3</v>
      </c>
      <c r="G49" s="5" t="s">
        <v>9</v>
      </c>
      <c r="H49" s="12">
        <v>7.8604288459905747E-2</v>
      </c>
      <c r="I49" s="12">
        <v>0</v>
      </c>
      <c r="J49" s="12">
        <v>0</v>
      </c>
      <c r="S49" s="9">
        <f t="array" ref="S49:U49">TRANSPOSE(MMULT($S$40:$U$42,TRANSPOSE(T36:V36)))</f>
        <v>0.79797507238578391</v>
      </c>
      <c r="T49" s="9">
        <v>0.12799285916234923</v>
      </c>
      <c r="U49" s="9">
        <v>3.8516041387129718E-2</v>
      </c>
      <c r="W49" s="9">
        <f t="array" ref="W49:Y49">TRANSPOSE(MMULT($W$40:$Y$42,TRANSPOSE(S49:U49)))</f>
        <v>0.79783111947009577</v>
      </c>
      <c r="X49" s="9">
        <v>0.12799285916234923</v>
      </c>
      <c r="Y49" s="9">
        <v>4.1390897529843061E-2</v>
      </c>
      <c r="AA49" s="9">
        <f t="array" ref="AA49:AC49">TRANSPOSE(MMULT($AA$40:$AC$42,TRANSPOSE(W49:Y49)))</f>
        <v>0.79783111947009577</v>
      </c>
      <c r="AB49" s="9">
        <v>0.12769682989959058</v>
      </c>
      <c r="AC49" s="9">
        <v>4.2295366513058714E-2</v>
      </c>
    </row>
    <row r="50" spans="1:29">
      <c r="A50" s="5" t="s">
        <v>66</v>
      </c>
      <c r="B50" s="12">
        <f t="shared" si="19"/>
        <v>3.2515469198822271</v>
      </c>
      <c r="C50" s="12">
        <f t="shared" si="19"/>
        <v>2.1810610496156619</v>
      </c>
      <c r="D50" s="12">
        <f t="shared" si="19"/>
        <v>1.0878428650605381</v>
      </c>
      <c r="E50" s="12">
        <f t="shared" si="20"/>
        <v>1.6038814700793935E-3</v>
      </c>
      <c r="G50" s="5" t="s">
        <v>66</v>
      </c>
      <c r="H50" s="12">
        <v>0.79783111947009577</v>
      </c>
      <c r="I50" s="12">
        <v>0.12769682989959058</v>
      </c>
      <c r="J50" s="12">
        <v>4.2295366513058714E-2</v>
      </c>
    </row>
    <row r="51" spans="1:29">
      <c r="G51" s="5" t="s">
        <v>71</v>
      </c>
      <c r="H51" s="12">
        <f>H49+M45</f>
        <v>0.12760428845990573</v>
      </c>
      <c r="I51" s="12">
        <f>I49+M46</f>
        <v>3.85E-2</v>
      </c>
      <c r="J51" s="12">
        <f>J49+M47</f>
        <v>-6.4600000000000005E-2</v>
      </c>
    </row>
    <row r="52" spans="1:29">
      <c r="G52" s="5" t="s">
        <v>72</v>
      </c>
      <c r="H52" s="12">
        <f>H49+O45</f>
        <v>0.13560428845990574</v>
      </c>
      <c r="I52" s="12">
        <f>I49+O46</f>
        <v>3.85E-2</v>
      </c>
      <c r="J52" s="12">
        <f>J49+O47</f>
        <v>-0.1133</v>
      </c>
    </row>
    <row r="54" spans="1:29">
      <c r="F54" s="20"/>
      <c r="G54" s="20"/>
      <c r="H54" s="14" t="s">
        <v>73</v>
      </c>
      <c r="I54" s="14"/>
      <c r="J54" s="14"/>
    </row>
    <row r="55" spans="1:29">
      <c r="F55" s="20"/>
      <c r="G55" s="20"/>
      <c r="H55" s="13" t="s">
        <v>45</v>
      </c>
      <c r="I55" s="13" t="s">
        <v>46</v>
      </c>
      <c r="J55" s="13" t="s">
        <v>47</v>
      </c>
    </row>
    <row r="56" spans="1:29">
      <c r="F56" s="19" t="s">
        <v>68</v>
      </c>
      <c r="G56" s="19"/>
      <c r="H56" s="15">
        <f>H51-H50</f>
        <v>-0.67022683101018998</v>
      </c>
      <c r="I56" s="15">
        <f>I50-I51</f>
        <v>8.9196829899590574E-2</v>
      </c>
      <c r="J56" s="15">
        <f>J51-J50+0.03</f>
        <v>-7.6895366513058727E-2</v>
      </c>
    </row>
    <row r="57" spans="1:29">
      <c r="F57" s="19" t="s">
        <v>67</v>
      </c>
      <c r="G57" s="19"/>
      <c r="H57" s="15">
        <f>H50-H45</f>
        <v>1.5159982843930062</v>
      </c>
      <c r="I57" s="15">
        <f>I45-I50</f>
        <v>-0.17860114670440841</v>
      </c>
      <c r="J57" s="15">
        <f>J50-J45</f>
        <v>-4.6954675642829555E-3</v>
      </c>
    </row>
    <row r="59" spans="1:29">
      <c r="F59" s="18"/>
      <c r="G59" s="18"/>
      <c r="H59" s="14" t="s">
        <v>74</v>
      </c>
      <c r="I59" s="10"/>
      <c r="J59" s="10"/>
    </row>
    <row r="60" spans="1:29">
      <c r="F60" s="18"/>
      <c r="G60" s="18"/>
      <c r="H60" s="13" t="s">
        <v>45</v>
      </c>
      <c r="I60" s="13" t="s">
        <v>46</v>
      </c>
      <c r="J60" s="13" t="s">
        <v>47</v>
      </c>
    </row>
    <row r="61" spans="1:29">
      <c r="F61" s="19" t="s">
        <v>68</v>
      </c>
      <c r="G61" s="19"/>
      <c r="H61" s="15">
        <f>H52-H50</f>
        <v>-0.66222683101018998</v>
      </c>
      <c r="I61" s="15">
        <f>I50-I52</f>
        <v>8.9196829899590574E-2</v>
      </c>
      <c r="J61" s="15">
        <f>J52-J50+0.03</f>
        <v>-0.12559536651305872</v>
      </c>
    </row>
    <row r="62" spans="1:29">
      <c r="F62" s="19" t="s">
        <v>67</v>
      </c>
      <c r="G62" s="19"/>
      <c r="H62" s="15">
        <f>H50-H45</f>
        <v>1.5159982843930062</v>
      </c>
      <c r="I62" s="15">
        <f>I45-I50</f>
        <v>-0.17860114670440841</v>
      </c>
      <c r="J62" s="15">
        <f>J50-J45</f>
        <v>-4.6954675642829555E-3</v>
      </c>
    </row>
  </sheetData>
  <mergeCells count="81">
    <mergeCell ref="N17:O17"/>
    <mergeCell ref="L18:M18"/>
    <mergeCell ref="N18:O18"/>
    <mergeCell ref="S3:T3"/>
    <mergeCell ref="A12:B12"/>
    <mergeCell ref="A13:B13"/>
    <mergeCell ref="A15:B15"/>
    <mergeCell ref="C15:D15"/>
    <mergeCell ref="L16:O16"/>
    <mergeCell ref="A17:A18"/>
    <mergeCell ref="B17:D17"/>
    <mergeCell ref="E17:G17"/>
    <mergeCell ref="H17:J18"/>
    <mergeCell ref="L17:M17"/>
    <mergeCell ref="H19:J19"/>
    <mergeCell ref="L19:M19"/>
    <mergeCell ref="N19:O19"/>
    <mergeCell ref="H20:J20"/>
    <mergeCell ref="L20:M20"/>
    <mergeCell ref="N20:O20"/>
    <mergeCell ref="H21:J21"/>
    <mergeCell ref="L21:M21"/>
    <mergeCell ref="N21:O21"/>
    <mergeCell ref="H22:J22"/>
    <mergeCell ref="L22:M22"/>
    <mergeCell ref="N22:O22"/>
    <mergeCell ref="H23:J23"/>
    <mergeCell ref="L23:M23"/>
    <mergeCell ref="N23:O23"/>
    <mergeCell ref="H24:J24"/>
    <mergeCell ref="L24:M24"/>
    <mergeCell ref="N24:O24"/>
    <mergeCell ref="H25:J25"/>
    <mergeCell ref="L25:M25"/>
    <mergeCell ref="N25:O25"/>
    <mergeCell ref="H26:J26"/>
    <mergeCell ref="A29:B29"/>
    <mergeCell ref="C29:D29"/>
    <mergeCell ref="L30:O30"/>
    <mergeCell ref="A31:A32"/>
    <mergeCell ref="B31:D31"/>
    <mergeCell ref="E31:G31"/>
    <mergeCell ref="H31:J32"/>
    <mergeCell ref="L31:M31"/>
    <mergeCell ref="N31:O31"/>
    <mergeCell ref="L32:M32"/>
    <mergeCell ref="N32:O32"/>
    <mergeCell ref="H33:J33"/>
    <mergeCell ref="L33:M33"/>
    <mergeCell ref="N33:O33"/>
    <mergeCell ref="H34:J34"/>
    <mergeCell ref="L34:M34"/>
    <mergeCell ref="N34:O34"/>
    <mergeCell ref="N37:O37"/>
    <mergeCell ref="H38:J38"/>
    <mergeCell ref="L38:M38"/>
    <mergeCell ref="N38:O38"/>
    <mergeCell ref="H35:J35"/>
    <mergeCell ref="L35:M35"/>
    <mergeCell ref="N35:O35"/>
    <mergeCell ref="H36:J36"/>
    <mergeCell ref="L36:M36"/>
    <mergeCell ref="N36:O36"/>
    <mergeCell ref="B43:E43"/>
    <mergeCell ref="H43:J43"/>
    <mergeCell ref="L43:M43"/>
    <mergeCell ref="H37:J37"/>
    <mergeCell ref="L37:M37"/>
    <mergeCell ref="N43:O43"/>
    <mergeCell ref="F59:G59"/>
    <mergeCell ref="H39:J39"/>
    <mergeCell ref="L39:M39"/>
    <mergeCell ref="N39:O39"/>
    <mergeCell ref="H40:J40"/>
    <mergeCell ref="F60:G60"/>
    <mergeCell ref="F61:G61"/>
    <mergeCell ref="F62:G62"/>
    <mergeCell ref="F54:G54"/>
    <mergeCell ref="F55:G55"/>
    <mergeCell ref="F56:G56"/>
    <mergeCell ref="F57:G57"/>
  </mergeCells>
  <conditionalFormatting sqref="E45">
    <cfRule type="cellIs" dxfId="7" priority="3" operator="greaterThan">
      <formula>0.002</formula>
    </cfRule>
    <cfRule type="cellIs" dxfId="6" priority="4" operator="between">
      <formula>0</formula>
      <formula>0.002</formula>
    </cfRule>
  </conditionalFormatting>
  <conditionalFormatting sqref="E46:E50">
    <cfRule type="cellIs" dxfId="5" priority="1" operator="greaterThan">
      <formula>0.002</formula>
    </cfRule>
    <cfRule type="cellIs" dxfId="4" priority="2" operator="between">
      <formula>0</formula>
      <formula>0.002</formula>
    </cfRule>
  </conditionalFormatting>
  <pageMargins left="0.7" right="0.7" top="0.75" bottom="0.75" header="0.3" footer="0.3"/>
  <ignoredErrors>
    <ignoredError sqref="I57 I6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86D-32D9-CB48-98CD-A190D0D5F416}">
  <dimension ref="A3:AH62"/>
  <sheetViews>
    <sheetView workbookViewId="0"/>
  </sheetViews>
  <sheetFormatPr baseColWidth="10" defaultRowHeight="16"/>
  <cols>
    <col min="1" max="1" width="10.83203125" style="3"/>
    <col min="2" max="7" width="12.83203125" style="3" customWidth="1"/>
    <col min="8" max="10" width="15.83203125" style="3" customWidth="1"/>
    <col min="11" max="11" width="6.1640625" style="3" customWidth="1"/>
    <col min="12" max="12" width="12.83203125" style="3" customWidth="1"/>
    <col min="13" max="13" width="15" style="3" customWidth="1"/>
    <col min="14" max="15" width="12.83203125" style="3" customWidth="1"/>
    <col min="16" max="16" width="10.83203125" style="3"/>
    <col min="17" max="17" width="1.5" style="10" customWidth="1"/>
    <col min="18" max="18" width="3.1640625" style="3" customWidth="1"/>
    <col min="19" max="19" width="16.33203125" style="3" customWidth="1"/>
    <col min="20" max="20" width="12.5" style="3" bestFit="1" customWidth="1"/>
    <col min="21" max="21" width="11.6640625" style="3" bestFit="1" customWidth="1"/>
    <col min="22" max="22" width="11.6640625" style="3" customWidth="1"/>
    <col min="23" max="23" width="16.5" style="3" customWidth="1"/>
    <col min="24" max="24" width="16.6640625" style="3" customWidth="1"/>
    <col min="25" max="25" width="11.33203125" style="3" bestFit="1" customWidth="1"/>
    <col min="26" max="26" width="10.83203125" style="3"/>
    <col min="27" max="27" width="16.5" style="3" customWidth="1"/>
    <col min="28" max="28" width="13.6640625" style="3" customWidth="1"/>
    <col min="29" max="29" width="13.83203125" style="3" customWidth="1"/>
    <col min="30" max="16384" width="10.83203125" style="3"/>
  </cols>
  <sheetData>
    <row r="3" spans="1:22">
      <c r="S3" s="26" t="s">
        <v>27</v>
      </c>
      <c r="T3" s="26"/>
    </row>
    <row r="5" spans="1:22">
      <c r="S5" s="3" t="s">
        <v>29</v>
      </c>
      <c r="T5" s="11">
        <f>ASIN(E15*SIN(RADIANS(90+N19))/C12)</f>
        <v>0.32732857323239334</v>
      </c>
    </row>
    <row r="6" spans="1:22">
      <c r="S6" s="3" t="s">
        <v>30</v>
      </c>
      <c r="T6" s="11">
        <f>PI()-(RADIANS(90+N19))-T5</f>
        <v>1.5830215595379999</v>
      </c>
    </row>
    <row r="7" spans="1:22">
      <c r="S7" s="3" t="s">
        <v>42</v>
      </c>
      <c r="T7" s="11">
        <f>C12*SIN(T6)/SIN(RADIANS(90+N19))</f>
        <v>4.5282274337205415</v>
      </c>
    </row>
    <row r="8" spans="1:22">
      <c r="S8" s="3" t="s">
        <v>31</v>
      </c>
      <c r="T8" s="11">
        <f>SIN(RADIANS(-N19))*T7</f>
        <v>1.508200443509385</v>
      </c>
    </row>
    <row r="9" spans="1:22">
      <c r="S9" s="3" t="s">
        <v>35</v>
      </c>
      <c r="T9" s="11">
        <f>E15-T8</f>
        <v>-5.2200443509385019E-2</v>
      </c>
    </row>
    <row r="10" spans="1:22" ht="19">
      <c r="A10" s="1" t="s">
        <v>0</v>
      </c>
      <c r="S10" s="3" t="s">
        <v>32</v>
      </c>
      <c r="T10" s="11">
        <f>COS(RADIANS(-N19))*T7</f>
        <v>4.2696809147402828</v>
      </c>
    </row>
    <row r="11" spans="1:22" ht="16" customHeight="1">
      <c r="A11" s="1"/>
      <c r="S11" s="3" t="s">
        <v>39</v>
      </c>
      <c r="T11" s="11">
        <f>PI()-T6</f>
        <v>1.5585710940517932</v>
      </c>
    </row>
    <row r="12" spans="1:22" ht="16" customHeight="1">
      <c r="A12" s="25" t="s">
        <v>28</v>
      </c>
      <c r="B12" s="25"/>
      <c r="C12" s="7">
        <v>4.2699999999999996</v>
      </c>
      <c r="S12" s="3" t="s">
        <v>40</v>
      </c>
      <c r="T12" s="11">
        <f>PI()-T11-RADIANS(90+N33)</f>
        <v>0.33612925309238451</v>
      </c>
    </row>
    <row r="13" spans="1:22" ht="16" customHeight="1">
      <c r="A13" s="25" t="s">
        <v>26</v>
      </c>
      <c r="B13" s="25"/>
      <c r="C13" s="7">
        <v>1.35E-2</v>
      </c>
      <c r="S13" s="3" t="s">
        <v>41</v>
      </c>
      <c r="T13" s="11">
        <f>SIN(T12)*C12/SIN(RADIANS(90+N33))</f>
        <v>1.4856510056985113</v>
      </c>
    </row>
    <row r="14" spans="1:22" ht="16" customHeight="1"/>
    <row r="15" spans="1:22">
      <c r="A15" s="25" t="s">
        <v>1</v>
      </c>
      <c r="B15" s="25"/>
      <c r="C15" s="25" t="s">
        <v>19</v>
      </c>
      <c r="D15" s="25"/>
      <c r="E15" s="7">
        <v>1.456</v>
      </c>
      <c r="G15" s="4" t="s">
        <v>15</v>
      </c>
      <c r="S15" s="2"/>
      <c r="T15" s="2" t="s">
        <v>36</v>
      </c>
      <c r="U15" s="2" t="s">
        <v>37</v>
      </c>
      <c r="V15" s="2" t="s">
        <v>38</v>
      </c>
    </row>
    <row r="16" spans="1:22">
      <c r="L16" s="21" t="s">
        <v>20</v>
      </c>
      <c r="M16" s="21"/>
      <c r="N16" s="21"/>
      <c r="O16" s="21"/>
      <c r="S16" s="2">
        <v>1</v>
      </c>
      <c r="T16" s="9">
        <v>0</v>
      </c>
      <c r="U16" s="9">
        <v>0</v>
      </c>
      <c r="V16" s="9">
        <v>0</v>
      </c>
    </row>
    <row r="17" spans="1:34">
      <c r="A17" s="24" t="s">
        <v>2</v>
      </c>
      <c r="B17" s="21" t="s">
        <v>17</v>
      </c>
      <c r="C17" s="21"/>
      <c r="D17" s="21"/>
      <c r="E17" s="21" t="s">
        <v>18</v>
      </c>
      <c r="F17" s="21"/>
      <c r="G17" s="21"/>
      <c r="H17" s="24" t="s">
        <v>10</v>
      </c>
      <c r="I17" s="24"/>
      <c r="J17" s="24"/>
      <c r="L17" s="21" t="s">
        <v>24</v>
      </c>
      <c r="M17" s="21"/>
      <c r="N17" s="21" t="s">
        <v>22</v>
      </c>
      <c r="O17" s="21"/>
      <c r="S17" s="2">
        <v>2</v>
      </c>
      <c r="T17" s="9">
        <f>T10</f>
        <v>4.2696809147402828</v>
      </c>
      <c r="U17" s="9">
        <f>0</f>
        <v>0</v>
      </c>
      <c r="V17" s="9">
        <f>T9</f>
        <v>-5.2200443509385019E-2</v>
      </c>
    </row>
    <row r="18" spans="1:34">
      <c r="A18" s="24"/>
      <c r="B18" s="8" t="s">
        <v>3</v>
      </c>
      <c r="C18" s="8" t="s">
        <v>4</v>
      </c>
      <c r="D18" s="8" t="s">
        <v>5</v>
      </c>
      <c r="E18" s="8" t="s">
        <v>3</v>
      </c>
      <c r="F18" s="8" t="s">
        <v>4</v>
      </c>
      <c r="G18" s="8" t="s">
        <v>5</v>
      </c>
      <c r="H18" s="24"/>
      <c r="I18" s="24"/>
      <c r="J18" s="24"/>
      <c r="L18" s="21" t="s">
        <v>23</v>
      </c>
      <c r="M18" s="21"/>
      <c r="N18" s="21" t="s">
        <v>23</v>
      </c>
      <c r="O18" s="21"/>
      <c r="S18" s="2" t="s">
        <v>43</v>
      </c>
      <c r="T18" s="9">
        <v>0</v>
      </c>
      <c r="U18" s="9">
        <v>0</v>
      </c>
      <c r="V18" s="9">
        <f>E15</f>
        <v>1.456</v>
      </c>
    </row>
    <row r="19" spans="1:34">
      <c r="A19" s="5">
        <v>2</v>
      </c>
      <c r="B19" s="7">
        <v>0</v>
      </c>
      <c r="C19" s="7">
        <v>0</v>
      </c>
      <c r="D19" s="7">
        <v>0</v>
      </c>
      <c r="E19" s="7">
        <v>109</v>
      </c>
      <c r="F19" s="7">
        <v>27</v>
      </c>
      <c r="G19" s="7">
        <v>18</v>
      </c>
      <c r="H19" s="22" t="s">
        <v>33</v>
      </c>
      <c r="I19" s="22"/>
      <c r="J19" s="22"/>
      <c r="L19" s="23">
        <v>0</v>
      </c>
      <c r="M19" s="23"/>
      <c r="N19" s="23">
        <f>90-(E19+F19/60+G19/3600)</f>
        <v>-19.454999999999998</v>
      </c>
      <c r="O19" s="23"/>
      <c r="S19" s="2" t="s">
        <v>44</v>
      </c>
      <c r="T19" s="9">
        <f>T17</f>
        <v>4.2696809147402828</v>
      </c>
      <c r="U19" s="9">
        <v>0</v>
      </c>
      <c r="V19" s="9">
        <f>V17+T13</f>
        <v>1.4334505621891263</v>
      </c>
    </row>
    <row r="20" spans="1:34">
      <c r="A20" s="5" t="s">
        <v>65</v>
      </c>
      <c r="B20" s="7">
        <v>328</v>
      </c>
      <c r="C20" s="7">
        <v>23</v>
      </c>
      <c r="D20" s="7">
        <v>59</v>
      </c>
      <c r="E20" s="7">
        <v>99</v>
      </c>
      <c r="F20" s="7">
        <v>9</v>
      </c>
      <c r="G20" s="7">
        <v>42</v>
      </c>
      <c r="H20" s="22" t="s">
        <v>11</v>
      </c>
      <c r="I20" s="22"/>
      <c r="J20" s="22"/>
      <c r="L20" s="23">
        <f>360+($B$19+$C$19/60+$D$19/3600)-(B20+C20/60+D20/3600)</f>
        <v>31.600277777777762</v>
      </c>
      <c r="M20" s="23"/>
      <c r="N20" s="23">
        <f>90-(E20+F20/60+G20/3600)</f>
        <v>-9.161666666666676</v>
      </c>
      <c r="O20" s="23"/>
    </row>
    <row r="21" spans="1:34">
      <c r="A21" s="5" t="s">
        <v>6</v>
      </c>
      <c r="B21" s="7">
        <v>316</v>
      </c>
      <c r="C21" s="7">
        <v>56</v>
      </c>
      <c r="D21" s="7">
        <v>8</v>
      </c>
      <c r="E21" s="7">
        <v>99</v>
      </c>
      <c r="F21" s="7">
        <v>20</v>
      </c>
      <c r="G21" s="7">
        <v>56</v>
      </c>
      <c r="H21" s="22"/>
      <c r="I21" s="22"/>
      <c r="J21" s="22"/>
      <c r="L21" s="23">
        <f t="shared" ref="L21:L25" si="0">360+($B$19+$C$19/60+$D$19/3600)-(B21+C21/60+D21/3600)</f>
        <v>43.064444444444462</v>
      </c>
      <c r="M21" s="23"/>
      <c r="N21" s="23">
        <f t="shared" ref="N21:N25" si="1">90-(E21+F21/60+G21/3600)</f>
        <v>-9.3488888888888795</v>
      </c>
      <c r="O21" s="23"/>
      <c r="S21" s="3" t="s">
        <v>52</v>
      </c>
      <c r="AD21" s="2"/>
      <c r="AE21" s="2"/>
      <c r="AF21" s="2"/>
      <c r="AG21" s="2"/>
      <c r="AH21" s="2"/>
    </row>
    <row r="22" spans="1:34">
      <c r="A22" s="5" t="s">
        <v>7</v>
      </c>
      <c r="B22" s="7">
        <v>318</v>
      </c>
      <c r="C22" s="7">
        <v>7</v>
      </c>
      <c r="D22" s="7">
        <v>26</v>
      </c>
      <c r="E22" s="7">
        <v>99</v>
      </c>
      <c r="F22" s="7">
        <v>13</v>
      </c>
      <c r="G22" s="7">
        <v>26</v>
      </c>
      <c r="H22" s="22"/>
      <c r="I22" s="22"/>
      <c r="J22" s="22"/>
      <c r="L22" s="23">
        <f t="shared" si="0"/>
        <v>41.876111111111129</v>
      </c>
      <c r="M22" s="23"/>
      <c r="N22" s="23">
        <f t="shared" si="1"/>
        <v>-9.2238888888888937</v>
      </c>
      <c r="O22" s="23"/>
      <c r="T22" s="2" t="s">
        <v>53</v>
      </c>
      <c r="U22" s="2" t="s">
        <v>54</v>
      </c>
      <c r="V22" s="2" t="s">
        <v>55</v>
      </c>
      <c r="W22" s="2" t="s">
        <v>56</v>
      </c>
      <c r="X22" s="2" t="s">
        <v>57</v>
      </c>
      <c r="Y22" s="2" t="s">
        <v>58</v>
      </c>
      <c r="Z22" s="2" t="s">
        <v>59</v>
      </c>
      <c r="AA22" s="2" t="s">
        <v>60</v>
      </c>
      <c r="AB22" s="2" t="s">
        <v>61</v>
      </c>
      <c r="AC22" s="2" t="s">
        <v>62</v>
      </c>
      <c r="AD22" s="2" t="s">
        <v>63</v>
      </c>
      <c r="AE22" s="2" t="s">
        <v>64</v>
      </c>
    </row>
    <row r="23" spans="1:34">
      <c r="A23" s="5" t="s">
        <v>8</v>
      </c>
      <c r="B23" s="7">
        <v>316</v>
      </c>
      <c r="C23" s="7">
        <v>9</v>
      </c>
      <c r="D23" s="7">
        <v>44</v>
      </c>
      <c r="E23" s="7">
        <v>99</v>
      </c>
      <c r="F23" s="7">
        <v>13</v>
      </c>
      <c r="G23" s="7">
        <v>50</v>
      </c>
      <c r="H23" s="22"/>
      <c r="I23" s="22"/>
      <c r="J23" s="22"/>
      <c r="L23" s="23">
        <f t="shared" si="0"/>
        <v>43.837777777777774</v>
      </c>
      <c r="M23" s="23"/>
      <c r="N23" s="23">
        <f t="shared" si="1"/>
        <v>-9.2305555555555543</v>
      </c>
      <c r="O23" s="23"/>
      <c r="S23" s="2" t="s">
        <v>65</v>
      </c>
      <c r="T23" s="9">
        <f t="shared" ref="T23:T28" si="2">PI()-RADIANS(L20+L34)</f>
        <v>2.0237529009187254</v>
      </c>
      <c r="U23" s="2">
        <f t="shared" ref="U23:U28" si="3">SIN(RADIANS(L34))*$T$10/SIN(T23)</f>
        <v>2.5476968344549937</v>
      </c>
      <c r="V23" s="2">
        <f t="shared" ref="V23:V28" si="4">SIN(RADIANS(L20))*$T$10/SIN(T23)</f>
        <v>2.4881859929344921</v>
      </c>
      <c r="W23" s="2">
        <f t="shared" ref="W23:W28" si="5">TAN(RADIANS(N20))*U23</f>
        <v>-0.41088780376421818</v>
      </c>
      <c r="X23" s="2">
        <f t="shared" ref="X23:X28" si="6">TAN(RADIANS(N34))*V23</f>
        <v>-0.38755114519706979</v>
      </c>
      <c r="Y23" s="2">
        <f t="shared" ref="Y23:Y28" si="7">$T$18+COS(RADIANS(L20))*U23</f>
        <v>2.1699355418554913</v>
      </c>
      <c r="Z23" s="2">
        <f t="shared" ref="Z23:Z28" si="8">$U$18+SIN(RADIANS(L20))*U23</f>
        <v>1.3349677540990688</v>
      </c>
      <c r="AA23" s="9">
        <f>$V$18+W23</f>
        <v>1.0451121962357819</v>
      </c>
      <c r="AB23" s="2">
        <f t="shared" ref="AB23:AB28" si="9">$T$19-COS(RADIANS(L34))*V23</f>
        <v>2.1699355418554913</v>
      </c>
      <c r="AC23" s="2">
        <f t="shared" ref="AC23:AC28" si="10">$U$19+SIN(RADIANS(L34))*V23</f>
        <v>1.334967754099069</v>
      </c>
      <c r="AD23" s="9">
        <f>$V$19+X23</f>
        <v>1.0458994169920564</v>
      </c>
      <c r="AE23" s="11">
        <f>AVERAGE(AA23,AD23)</f>
        <v>1.0455058066139191</v>
      </c>
    </row>
    <row r="24" spans="1:34">
      <c r="A24" s="5" t="s">
        <v>9</v>
      </c>
      <c r="B24" s="7">
        <v>317</v>
      </c>
      <c r="C24" s="7">
        <v>17</v>
      </c>
      <c r="D24" s="7">
        <v>37</v>
      </c>
      <c r="E24" s="6">
        <v>99</v>
      </c>
      <c r="F24" s="7">
        <v>6</v>
      </c>
      <c r="G24" s="7">
        <v>49</v>
      </c>
      <c r="H24" s="22"/>
      <c r="I24" s="22"/>
      <c r="J24" s="22"/>
      <c r="L24" s="23">
        <f t="shared" si="0"/>
        <v>42.706388888888853</v>
      </c>
      <c r="M24" s="23"/>
      <c r="N24" s="23">
        <f t="shared" si="1"/>
        <v>-9.113611111111112</v>
      </c>
      <c r="O24" s="23"/>
      <c r="S24" s="2" t="s">
        <v>6</v>
      </c>
      <c r="T24" s="9">
        <f t="shared" si="2"/>
        <v>1.605208401880051</v>
      </c>
      <c r="U24" s="2">
        <f t="shared" si="3"/>
        <v>3.0190042670303607</v>
      </c>
      <c r="V24" s="2">
        <f t="shared" si="4"/>
        <v>2.9171528542188803</v>
      </c>
      <c r="W24" s="2">
        <f t="shared" si="5"/>
        <v>-0.49702638986268527</v>
      </c>
      <c r="X24" s="2">
        <f t="shared" si="6"/>
        <v>-0.47368038510897731</v>
      </c>
      <c r="Y24" s="2">
        <f t="shared" si="7"/>
        <v>2.2056427024961032</v>
      </c>
      <c r="Z24" s="2">
        <f t="shared" si="8"/>
        <v>2.0614380983365015</v>
      </c>
      <c r="AA24" s="9">
        <f t="shared" ref="AA24:AA28" si="11">$V$18+W24</f>
        <v>0.95897361013731475</v>
      </c>
      <c r="AB24" s="2">
        <f t="shared" si="9"/>
        <v>2.2056427024961032</v>
      </c>
      <c r="AC24" s="2">
        <f t="shared" si="10"/>
        <v>2.0614380983365015</v>
      </c>
      <c r="AD24" s="9">
        <f t="shared" ref="AD24:AD28" si="12">$V$19+X24</f>
        <v>0.959770177080149</v>
      </c>
      <c r="AE24" s="11">
        <f t="shared" ref="AE24:AE28" si="13">AVERAGE(AA24,AD24)</f>
        <v>0.95937189360873187</v>
      </c>
    </row>
    <row r="25" spans="1:34">
      <c r="A25" s="5" t="s">
        <v>66</v>
      </c>
      <c r="B25" s="7">
        <v>309</v>
      </c>
      <c r="C25" s="7">
        <v>18</v>
      </c>
      <c r="D25" s="7">
        <v>56</v>
      </c>
      <c r="E25" s="7">
        <v>97</v>
      </c>
      <c r="F25" s="7">
        <v>41</v>
      </c>
      <c r="G25" s="7">
        <v>15</v>
      </c>
      <c r="H25" s="22" t="s">
        <v>12</v>
      </c>
      <c r="I25" s="22"/>
      <c r="J25" s="22"/>
      <c r="L25" s="23">
        <f t="shared" si="0"/>
        <v>50.684444444444409</v>
      </c>
      <c r="M25" s="23"/>
      <c r="N25" s="23">
        <f t="shared" si="1"/>
        <v>-7.6875</v>
      </c>
      <c r="O25" s="23"/>
      <c r="S25" s="2" t="s">
        <v>7</v>
      </c>
      <c r="T25" s="9">
        <f t="shared" si="2"/>
        <v>1.6115933980602635</v>
      </c>
      <c r="U25" s="2">
        <f t="shared" si="3"/>
        <v>3.0628208457916046</v>
      </c>
      <c r="V25" s="2">
        <f t="shared" si="4"/>
        <v>2.8524801515037552</v>
      </c>
      <c r="W25" s="2">
        <f t="shared" si="5"/>
        <v>-0.49737933083864722</v>
      </c>
      <c r="X25" s="2">
        <f t="shared" si="6"/>
        <v>-0.47395860009996765</v>
      </c>
      <c r="Y25" s="2">
        <f t="shared" si="7"/>
        <v>2.2805455514437107</v>
      </c>
      <c r="Z25" s="2">
        <f t="shared" si="8"/>
        <v>2.0445008000012868</v>
      </c>
      <c r="AA25" s="9">
        <f t="shared" si="11"/>
        <v>0.9586206691613528</v>
      </c>
      <c r="AB25" s="2">
        <f t="shared" si="9"/>
        <v>2.2805455514437107</v>
      </c>
      <c r="AC25" s="2">
        <f t="shared" si="10"/>
        <v>2.0445008000012868</v>
      </c>
      <c r="AD25" s="9">
        <f t="shared" si="12"/>
        <v>0.95949196208915866</v>
      </c>
      <c r="AE25" s="11">
        <f t="shared" si="13"/>
        <v>0.95905631562525573</v>
      </c>
    </row>
    <row r="26" spans="1:34">
      <c r="A26" s="5">
        <v>2</v>
      </c>
      <c r="B26" s="17"/>
      <c r="C26" s="17"/>
      <c r="D26" s="17"/>
      <c r="E26" s="17"/>
      <c r="F26" s="17"/>
      <c r="G26" s="17"/>
      <c r="H26" s="22" t="s">
        <v>21</v>
      </c>
      <c r="I26" s="22"/>
      <c r="J26" s="22"/>
      <c r="S26" s="2" t="s">
        <v>8</v>
      </c>
      <c r="T26" s="9">
        <f t="shared" si="2"/>
        <v>1.568682539145259</v>
      </c>
      <c r="U26" s="2">
        <f t="shared" si="3"/>
        <v>3.0859877126949926</v>
      </c>
      <c r="V26" s="2">
        <f t="shared" si="4"/>
        <v>2.9572683630206336</v>
      </c>
      <c r="W26" s="2">
        <f t="shared" si="5"/>
        <v>-0.50151000488467001</v>
      </c>
      <c r="X26" s="2">
        <f t="shared" si="6"/>
        <v>-0.47804606454043641</v>
      </c>
      <c r="Y26" s="2">
        <f t="shared" si="7"/>
        <v>2.2259343830656464</v>
      </c>
      <c r="Z26" s="2">
        <f t="shared" si="8"/>
        <v>2.137413456772141</v>
      </c>
      <c r="AA26" s="9">
        <f t="shared" si="11"/>
        <v>0.95448999511532995</v>
      </c>
      <c r="AB26" s="2">
        <f t="shared" si="9"/>
        <v>2.2259343830656464</v>
      </c>
      <c r="AC26" s="2">
        <f t="shared" si="10"/>
        <v>2.137413456772141</v>
      </c>
      <c r="AD26" s="9">
        <f t="shared" si="12"/>
        <v>0.95540449764868984</v>
      </c>
      <c r="AE26" s="11">
        <f t="shared" si="13"/>
        <v>0.9549472463820099</v>
      </c>
    </row>
    <row r="27" spans="1:34">
      <c r="S27" s="2" t="s">
        <v>9</v>
      </c>
      <c r="T27" s="9">
        <f t="shared" si="2"/>
        <v>1.574291833435697</v>
      </c>
      <c r="U27" s="2">
        <f t="shared" si="3"/>
        <v>3.1274053371130002</v>
      </c>
      <c r="V27" s="2">
        <f t="shared" si="4"/>
        <v>2.8958929661845878</v>
      </c>
      <c r="W27" s="2">
        <f t="shared" si="5"/>
        <v>-0.50169120713399651</v>
      </c>
      <c r="X27" s="2">
        <f t="shared" si="6"/>
        <v>-0.47827251133212845</v>
      </c>
      <c r="Y27" s="2">
        <f t="shared" si="7"/>
        <v>2.2981393196096316</v>
      </c>
      <c r="Z27" s="2">
        <f t="shared" si="8"/>
        <v>2.121136443104747</v>
      </c>
      <c r="AA27" s="9">
        <f t="shared" si="11"/>
        <v>0.95430879286600345</v>
      </c>
      <c r="AB27" s="2">
        <f t="shared" si="9"/>
        <v>2.2981393196096316</v>
      </c>
      <c r="AC27" s="2">
        <f t="shared" si="10"/>
        <v>2.121136443104747</v>
      </c>
      <c r="AD27" s="9">
        <f t="shared" si="12"/>
        <v>0.95517805085699781</v>
      </c>
      <c r="AE27" s="11">
        <f t="shared" si="13"/>
        <v>0.95474342186150063</v>
      </c>
    </row>
    <row r="28" spans="1:34">
      <c r="S28" s="2" t="s">
        <v>66</v>
      </c>
      <c r="T28" s="9">
        <f t="shared" si="2"/>
        <v>1.2822255275248791</v>
      </c>
      <c r="U28" s="2">
        <f t="shared" si="3"/>
        <v>3.685843693561353</v>
      </c>
      <c r="V28" s="2">
        <f t="shared" si="4"/>
        <v>3.4457946006881737</v>
      </c>
      <c r="W28" s="2">
        <f t="shared" si="5"/>
        <v>-0.49752681744823535</v>
      </c>
      <c r="X28" s="2">
        <f t="shared" si="6"/>
        <v>-0.47410867343500807</v>
      </c>
      <c r="Y28" s="2">
        <f t="shared" si="7"/>
        <v>2.3353171835493813</v>
      </c>
      <c r="Z28" s="2">
        <f t="shared" si="8"/>
        <v>2.8516201334653575</v>
      </c>
      <c r="AA28" s="9">
        <f t="shared" si="11"/>
        <v>0.95847318255176461</v>
      </c>
      <c r="AB28" s="2">
        <f t="shared" si="9"/>
        <v>2.3353171835493809</v>
      </c>
      <c r="AC28" s="2">
        <f t="shared" si="10"/>
        <v>2.8516201334653575</v>
      </c>
      <c r="AD28" s="9">
        <f t="shared" si="12"/>
        <v>0.95934188875411819</v>
      </c>
      <c r="AE28" s="11">
        <f t="shared" si="13"/>
        <v>0.9589075356529414</v>
      </c>
    </row>
    <row r="29" spans="1:34">
      <c r="A29" s="25" t="s">
        <v>13</v>
      </c>
      <c r="B29" s="25"/>
      <c r="C29" s="25" t="s">
        <v>19</v>
      </c>
      <c r="D29" s="25"/>
      <c r="E29" s="2" t="s">
        <v>14</v>
      </c>
      <c r="G29" s="4" t="s">
        <v>16</v>
      </c>
    </row>
    <row r="30" spans="1:34">
      <c r="L30" s="21" t="s">
        <v>20</v>
      </c>
      <c r="M30" s="21"/>
      <c r="N30" s="21"/>
      <c r="O30" s="21"/>
      <c r="S30" s="2"/>
      <c r="T30" s="2" t="s">
        <v>36</v>
      </c>
      <c r="U30" s="2" t="s">
        <v>37</v>
      </c>
      <c r="V30" s="2" t="s">
        <v>38</v>
      </c>
    </row>
    <row r="31" spans="1:34">
      <c r="A31" s="24" t="s">
        <v>2</v>
      </c>
      <c r="B31" s="21" t="s">
        <v>17</v>
      </c>
      <c r="C31" s="21"/>
      <c r="D31" s="21"/>
      <c r="E31" s="21" t="s">
        <v>18</v>
      </c>
      <c r="F31" s="21"/>
      <c r="G31" s="21"/>
      <c r="H31" s="24" t="s">
        <v>10</v>
      </c>
      <c r="I31" s="24"/>
      <c r="J31" s="24"/>
      <c r="L31" s="21" t="s">
        <v>25</v>
      </c>
      <c r="M31" s="21"/>
      <c r="N31" s="21" t="s">
        <v>22</v>
      </c>
      <c r="O31" s="21"/>
      <c r="S31" s="2" t="s">
        <v>65</v>
      </c>
      <c r="T31" s="9">
        <f>Y23-$Y$25</f>
        <v>-0.11061000958821943</v>
      </c>
      <c r="U31" s="9">
        <f>Z23-$Z$25</f>
        <v>-0.709533045902218</v>
      </c>
      <c r="V31" s="9">
        <f>AE23-$AE$25</f>
        <v>8.6449490988663391E-2</v>
      </c>
    </row>
    <row r="32" spans="1:34">
      <c r="A32" s="24"/>
      <c r="B32" s="8" t="s">
        <v>3</v>
      </c>
      <c r="C32" s="8" t="s">
        <v>4</v>
      </c>
      <c r="D32" s="8" t="s">
        <v>5</v>
      </c>
      <c r="E32" s="8" t="s">
        <v>3</v>
      </c>
      <c r="F32" s="8" t="s">
        <v>4</v>
      </c>
      <c r="G32" s="8" t="s">
        <v>5</v>
      </c>
      <c r="H32" s="24"/>
      <c r="I32" s="24"/>
      <c r="J32" s="24"/>
      <c r="L32" s="21" t="s">
        <v>23</v>
      </c>
      <c r="M32" s="21"/>
      <c r="N32" s="21" t="s">
        <v>23</v>
      </c>
      <c r="O32" s="21"/>
      <c r="S32" s="2" t="s">
        <v>6</v>
      </c>
      <c r="T32" s="9">
        <f t="shared" ref="T32:T36" si="14">Y24-$Y$25</f>
        <v>-7.490284894760757E-2</v>
      </c>
      <c r="U32" s="9">
        <f t="shared" ref="U32:U36" si="15">Z24-$Z$25</f>
        <v>1.6937298335214734E-2</v>
      </c>
      <c r="V32" s="9">
        <f t="shared" ref="V32:V36" si="16">AE24-$AE$25</f>
        <v>3.1557798347614519E-4</v>
      </c>
    </row>
    <row r="33" spans="1:29">
      <c r="A33" s="5">
        <v>1</v>
      </c>
      <c r="B33" s="7">
        <v>0</v>
      </c>
      <c r="C33" s="7">
        <v>0</v>
      </c>
      <c r="D33" s="7">
        <v>0</v>
      </c>
      <c r="E33" s="7">
        <v>108</v>
      </c>
      <c r="F33" s="7">
        <v>33</v>
      </c>
      <c r="G33" s="7">
        <v>30</v>
      </c>
      <c r="H33" s="22" t="s">
        <v>34</v>
      </c>
      <c r="I33" s="22"/>
      <c r="J33" s="22"/>
      <c r="L33" s="23">
        <v>0</v>
      </c>
      <c r="M33" s="23"/>
      <c r="N33" s="23">
        <f>90-(E33+F33/60+G33/3600)</f>
        <v>-18.558333333333337</v>
      </c>
      <c r="O33" s="23"/>
      <c r="S33" s="2" t="s">
        <v>7</v>
      </c>
      <c r="T33" s="9">
        <f t="shared" si="14"/>
        <v>0</v>
      </c>
      <c r="U33" s="9">
        <f t="shared" si="15"/>
        <v>0</v>
      </c>
      <c r="V33" s="9">
        <f t="shared" si="16"/>
        <v>0</v>
      </c>
    </row>
    <row r="34" spans="1:29">
      <c r="A34" s="5" t="s">
        <v>65</v>
      </c>
      <c r="B34" s="7">
        <v>32</v>
      </c>
      <c r="C34" s="7">
        <v>26</v>
      </c>
      <c r="D34" s="7">
        <v>50</v>
      </c>
      <c r="E34" s="7">
        <v>98</v>
      </c>
      <c r="F34" s="7">
        <v>51</v>
      </c>
      <c r="G34" s="7">
        <v>11</v>
      </c>
      <c r="H34" s="22" t="s">
        <v>11</v>
      </c>
      <c r="I34" s="22"/>
      <c r="J34" s="22"/>
      <c r="L34" s="23">
        <f>(B34+C34/60+D34/3600)-($B$33+$C$33/60+$D$33/3600)</f>
        <v>32.447222222222216</v>
      </c>
      <c r="M34" s="23"/>
      <c r="N34" s="23">
        <f>90-(E34+F34/60+G34/3600)</f>
        <v>-8.8530555555555566</v>
      </c>
      <c r="O34" s="23"/>
      <c r="S34" s="2" t="s">
        <v>8</v>
      </c>
      <c r="T34" s="9">
        <f t="shared" si="14"/>
        <v>-5.4611168378064345E-2</v>
      </c>
      <c r="U34" s="9">
        <f t="shared" si="15"/>
        <v>9.2912656770854252E-2</v>
      </c>
      <c r="V34" s="9">
        <f t="shared" si="16"/>
        <v>-4.1090692432458331E-3</v>
      </c>
    </row>
    <row r="35" spans="1:29">
      <c r="A35" s="5" t="s">
        <v>6</v>
      </c>
      <c r="B35" s="7">
        <v>44</v>
      </c>
      <c r="C35" s="7">
        <v>57</v>
      </c>
      <c r="D35" s="7">
        <v>50</v>
      </c>
      <c r="E35" s="7">
        <v>99</v>
      </c>
      <c r="F35" s="7">
        <v>13</v>
      </c>
      <c r="G35" s="7">
        <v>23</v>
      </c>
      <c r="H35" s="22"/>
      <c r="I35" s="22"/>
      <c r="J35" s="22"/>
      <c r="L35" s="23">
        <f t="shared" ref="L35:L39" si="17">(B35+C35/60+D35/3600)-($B$33+$C$33/60+$D$33/3600)</f>
        <v>44.963888888888889</v>
      </c>
      <c r="M35" s="23"/>
      <c r="N35" s="23">
        <f t="shared" ref="N35:N39" si="18">90-(E35+F35/60+G35/3600)</f>
        <v>-9.2230555555555611</v>
      </c>
      <c r="O35" s="23"/>
      <c r="S35" s="2" t="s">
        <v>9</v>
      </c>
      <c r="T35" s="9">
        <f t="shared" si="14"/>
        <v>1.7593768165920842E-2</v>
      </c>
      <c r="U35" s="9">
        <f t="shared" si="15"/>
        <v>7.6635643103460271E-2</v>
      </c>
      <c r="V35" s="9">
        <f t="shared" si="16"/>
        <v>-4.312893763755099E-3</v>
      </c>
    </row>
    <row r="36" spans="1:29">
      <c r="A36" s="5" t="s">
        <v>7</v>
      </c>
      <c r="B36" s="7">
        <v>45</v>
      </c>
      <c r="C36" s="7">
        <v>47</v>
      </c>
      <c r="D36" s="7">
        <v>11</v>
      </c>
      <c r="E36" s="7">
        <v>99</v>
      </c>
      <c r="F36" s="7">
        <v>26</v>
      </c>
      <c r="G36" s="7">
        <v>2</v>
      </c>
      <c r="H36" s="22"/>
      <c r="I36" s="22"/>
      <c r="J36" s="22"/>
      <c r="L36" s="23">
        <f t="shared" si="17"/>
        <v>45.786388888888887</v>
      </c>
      <c r="M36" s="23"/>
      <c r="N36" s="23">
        <f t="shared" si="18"/>
        <v>-9.4338888888888874</v>
      </c>
      <c r="O36" s="23"/>
      <c r="S36" s="2" t="s">
        <v>66</v>
      </c>
      <c r="T36" s="9">
        <f t="shared" si="14"/>
        <v>5.4771632105670598E-2</v>
      </c>
      <c r="U36" s="9">
        <f t="shared" si="15"/>
        <v>0.80711933346407072</v>
      </c>
      <c r="V36" s="9">
        <f t="shared" si="16"/>
        <v>-1.4877997231432794E-4</v>
      </c>
    </row>
    <row r="37" spans="1:29">
      <c r="A37" s="5" t="s">
        <v>8</v>
      </c>
      <c r="B37" s="7">
        <v>46</v>
      </c>
      <c r="C37" s="7">
        <v>17</v>
      </c>
      <c r="D37" s="7">
        <v>0</v>
      </c>
      <c r="E37" s="7">
        <v>99</v>
      </c>
      <c r="F37" s="7">
        <v>10</v>
      </c>
      <c r="G37" s="7">
        <v>57</v>
      </c>
      <c r="H37" s="22"/>
      <c r="I37" s="22"/>
      <c r="J37" s="22"/>
      <c r="L37" s="23">
        <f t="shared" si="17"/>
        <v>46.283333333333331</v>
      </c>
      <c r="M37" s="23"/>
      <c r="N37" s="23">
        <f t="shared" si="18"/>
        <v>-9.1825000000000045</v>
      </c>
      <c r="O37" s="23"/>
    </row>
    <row r="38" spans="1:29">
      <c r="A38" s="5" t="s">
        <v>9</v>
      </c>
      <c r="B38" s="7">
        <v>47</v>
      </c>
      <c r="C38" s="7">
        <v>5</v>
      </c>
      <c r="D38" s="7">
        <v>36</v>
      </c>
      <c r="E38" s="7">
        <v>99</v>
      </c>
      <c r="F38" s="7">
        <v>22</v>
      </c>
      <c r="G38" s="7">
        <v>41</v>
      </c>
      <c r="H38" s="22"/>
      <c r="I38" s="22"/>
      <c r="J38" s="22"/>
      <c r="L38" s="23">
        <f t="shared" si="17"/>
        <v>47.093333333333334</v>
      </c>
      <c r="M38" s="23"/>
      <c r="N38" s="23">
        <f t="shared" si="18"/>
        <v>-9.378055555555548</v>
      </c>
      <c r="O38" s="23"/>
      <c r="S38" s="2" t="s">
        <v>75</v>
      </c>
      <c r="T38" s="16">
        <f>ATAN2(T35,U35)</f>
        <v>1.345129882999323</v>
      </c>
      <c r="U38" s="2"/>
      <c r="V38" s="2"/>
      <c r="W38" s="2" t="s">
        <v>76</v>
      </c>
      <c r="X38" s="16">
        <f>ATAN2(S48,U48)</f>
        <v>-5.4796084495825965E-2</v>
      </c>
      <c r="Y38" s="2"/>
      <c r="Z38" s="2"/>
      <c r="AA38" s="2" t="s">
        <v>77</v>
      </c>
      <c r="AB38" s="16">
        <f>ATAN2(X45,Y45)</f>
        <v>3.9234490514419183E-3</v>
      </c>
      <c r="AC38" s="2"/>
    </row>
    <row r="39" spans="1:29">
      <c r="A39" s="5" t="s">
        <v>66</v>
      </c>
      <c r="B39" s="7">
        <v>55</v>
      </c>
      <c r="C39" s="7">
        <v>50</v>
      </c>
      <c r="D39" s="7">
        <v>58</v>
      </c>
      <c r="E39" s="7">
        <v>97</v>
      </c>
      <c r="F39" s="7">
        <v>50</v>
      </c>
      <c r="G39" s="7">
        <v>3</v>
      </c>
      <c r="H39" s="22" t="s">
        <v>12</v>
      </c>
      <c r="I39" s="22"/>
      <c r="J39" s="22"/>
      <c r="L39" s="23">
        <f t="shared" si="17"/>
        <v>55.849444444444444</v>
      </c>
      <c r="M39" s="23"/>
      <c r="N39" s="23">
        <f t="shared" si="18"/>
        <v>-7.8341666666666612</v>
      </c>
      <c r="O39" s="2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5">
        <v>1</v>
      </c>
      <c r="B40" s="17"/>
      <c r="C40" s="17"/>
      <c r="D40" s="17"/>
      <c r="E40" s="17"/>
      <c r="F40" s="17"/>
      <c r="G40" s="17"/>
      <c r="H40" s="22" t="s">
        <v>21</v>
      </c>
      <c r="I40" s="22"/>
      <c r="J40" s="22"/>
      <c r="S40" s="16">
        <f>COS(T38)</f>
        <v>0.22375595802222756</v>
      </c>
      <c r="T40" s="16">
        <f>SIN(T38)</f>
        <v>0.97464520275306088</v>
      </c>
      <c r="U40" s="16">
        <v>0</v>
      </c>
      <c r="V40" s="2"/>
      <c r="W40" s="16">
        <f>COS(-X38)</f>
        <v>0.99849907017737027</v>
      </c>
      <c r="X40" s="16">
        <v>0</v>
      </c>
      <c r="Y40" s="16">
        <f>-SIN(-X38)</f>
        <v>-5.4768666725848826E-2</v>
      </c>
      <c r="Z40" s="2"/>
      <c r="AA40" s="16">
        <v>1</v>
      </c>
      <c r="AB40" s="16">
        <v>0</v>
      </c>
      <c r="AC40" s="16">
        <v>0</v>
      </c>
    </row>
    <row r="41" spans="1:29">
      <c r="S41" s="16">
        <f>-SIN(T38)</f>
        <v>-0.97464520275306088</v>
      </c>
      <c r="T41" s="16">
        <f>COS(T38)</f>
        <v>0.22375595802222756</v>
      </c>
      <c r="U41" s="16">
        <v>0</v>
      </c>
      <c r="V41" s="2"/>
      <c r="W41" s="16">
        <v>0</v>
      </c>
      <c r="X41" s="16">
        <v>1</v>
      </c>
      <c r="Y41" s="16">
        <v>0</v>
      </c>
      <c r="Z41" s="2"/>
      <c r="AA41" s="16">
        <v>0</v>
      </c>
      <c r="AB41" s="16">
        <f>COS(AB38)</f>
        <v>0.99999230328364364</v>
      </c>
      <c r="AC41" s="16">
        <f>SIN(AB38)</f>
        <v>3.9234389855452578E-3</v>
      </c>
    </row>
    <row r="42" spans="1:29">
      <c r="S42" s="16">
        <v>0</v>
      </c>
      <c r="T42" s="16">
        <v>0</v>
      </c>
      <c r="U42" s="16">
        <v>1</v>
      </c>
      <c r="V42" s="2"/>
      <c r="W42" s="16">
        <f>SIN(-X38)</f>
        <v>5.4768666725848826E-2</v>
      </c>
      <c r="X42" s="16">
        <v>0</v>
      </c>
      <c r="Y42" s="16">
        <f>COS(-X38)</f>
        <v>0.99849907017737027</v>
      </c>
      <c r="Z42" s="2"/>
      <c r="AA42" s="16">
        <v>0</v>
      </c>
      <c r="AB42" s="16">
        <f>-SIN(AB38)</f>
        <v>-3.9234389855452578E-3</v>
      </c>
      <c r="AC42" s="16">
        <f>COS(AB38)</f>
        <v>0.99999230328364364</v>
      </c>
    </row>
    <row r="43" spans="1:29">
      <c r="B43" s="21" t="s">
        <v>50</v>
      </c>
      <c r="C43" s="21"/>
      <c r="D43" s="21"/>
      <c r="E43" s="21"/>
      <c r="H43" s="21" t="s">
        <v>51</v>
      </c>
      <c r="I43" s="21"/>
      <c r="J43" s="21"/>
      <c r="L43" s="21" t="s">
        <v>69</v>
      </c>
      <c r="M43" s="21"/>
      <c r="N43" s="21" t="s">
        <v>70</v>
      </c>
      <c r="O43" s="21"/>
      <c r="S43" s="2"/>
      <c r="T43" s="2"/>
      <c r="U43" s="2"/>
      <c r="V43" s="2"/>
      <c r="W43" s="2"/>
      <c r="X43" s="2"/>
      <c r="Y43" s="2"/>
      <c r="Z43" s="2"/>
      <c r="AA43" s="16"/>
      <c r="AB43" s="16"/>
      <c r="AC43" s="16"/>
    </row>
    <row r="44" spans="1:29">
      <c r="A44" s="2"/>
      <c r="B44" s="8" t="s">
        <v>45</v>
      </c>
      <c r="C44" s="8" t="s">
        <v>46</v>
      </c>
      <c r="D44" s="8" t="s">
        <v>49</v>
      </c>
      <c r="E44" s="8" t="s">
        <v>48</v>
      </c>
      <c r="H44" s="8" t="s">
        <v>45</v>
      </c>
      <c r="I44" s="8" t="s">
        <v>46</v>
      </c>
      <c r="J44" s="8" t="s">
        <v>49</v>
      </c>
      <c r="S44" s="16">
        <f t="array" ref="S44:U44">TRANSPOSE(MMULT($S$40:$U$42,TRANSPOSE(T31:V31)))</f>
        <v>-0.71629262804562388</v>
      </c>
      <c r="T44" s="16">
        <v>-5.0956731212651804E-2</v>
      </c>
      <c r="U44" s="16">
        <v>8.6449490988663391E-2</v>
      </c>
      <c r="V44" s="2"/>
      <c r="W44" s="16">
        <f t="array" ref="W44:Y44">TRANSPOSE(MMULT($W$40:$Y$42,TRANSPOSE(S44:U44)))</f>
        <v>-0.71995224643903777</v>
      </c>
      <c r="X44" s="16">
        <v>-5.0956731212651804E-2</v>
      </c>
      <c r="Y44" s="16">
        <v>4.7089344145874179E-2</v>
      </c>
      <c r="Z44" s="2"/>
      <c r="AA44" s="16">
        <f t="array" ref="AA44:AC44">TRANSPOSE(MMULT($AA$40:$AC$42,TRANSPOSE(W44:Y44)))</f>
        <v>-0.71995224643903777</v>
      </c>
      <c r="AB44" s="16">
        <v>-5.0771586844519531E-2</v>
      </c>
      <c r="AC44" s="16">
        <v>4.728890733836455E-2</v>
      </c>
    </row>
    <row r="45" spans="1:29">
      <c r="A45" s="5" t="s">
        <v>65</v>
      </c>
      <c r="B45" s="12">
        <f t="shared" ref="B45:D50" si="19">Y23</f>
        <v>2.1699355418554913</v>
      </c>
      <c r="C45" s="12">
        <f t="shared" si="19"/>
        <v>1.3349677540990688</v>
      </c>
      <c r="D45" s="12">
        <f t="shared" si="19"/>
        <v>1.0451121962357819</v>
      </c>
      <c r="E45" s="12">
        <f t="shared" ref="E45:E50" si="20">ABS(AA23-AD23)</f>
        <v>7.8722075627446486E-4</v>
      </c>
      <c r="G45" s="5" t="s">
        <v>65</v>
      </c>
      <c r="H45" s="12">
        <f t="array" ref="H45:J50">AA44:AC49</f>
        <v>-0.71995224643903777</v>
      </c>
      <c r="I45" s="12">
        <v>-5.0771586844519531E-2</v>
      </c>
      <c r="J45" s="12">
        <v>4.728890733836455E-2</v>
      </c>
      <c r="L45" s="5" t="s">
        <v>36</v>
      </c>
      <c r="M45" s="2">
        <v>4.9000000000000002E-2</v>
      </c>
      <c r="N45" s="5" t="s">
        <v>36</v>
      </c>
      <c r="O45" s="2">
        <v>5.7000000000000002E-2</v>
      </c>
      <c r="S45" s="16">
        <f t="array" ref="S45:U45">TRANSPOSE(MMULT($S$40:$U$42,TRANSPOSE(T32:V32)))</f>
        <v>-2.5210215485168413E-4</v>
      </c>
      <c r="T45" s="16">
        <v>7.6793523814627118E-2</v>
      </c>
      <c r="U45" s="16">
        <v>3.1557798347614519E-4</v>
      </c>
      <c r="V45" s="2"/>
      <c r="W45" s="16">
        <f t="array" ref="W45:Y45">TRANSPOSE(MMULT($W$40:$Y$42,TRANSPOSE(S45:U45)))</f>
        <v>-2.6900755261213848E-4</v>
      </c>
      <c r="X45" s="16">
        <v>7.6793523814627118E-2</v>
      </c>
      <c r="Y45" s="16">
        <v>3.0129702416944022E-4</v>
      </c>
      <c r="Z45" s="2"/>
      <c r="AA45" s="16">
        <f t="array" ref="AA45:AC45">TRANSPOSE(MMULT($AA$40:$AC$42,TRANSPOSE(W45:Y45)))</f>
        <v>-2.6900755261213848E-4</v>
      </c>
      <c r="AB45" s="16">
        <v>7.6794114877147171E-2</v>
      </c>
      <c r="AC45" s="16">
        <v>-5.4210108624275222E-20</v>
      </c>
    </row>
    <row r="46" spans="1:29">
      <c r="A46" s="5" t="s">
        <v>6</v>
      </c>
      <c r="B46" s="12">
        <f t="shared" si="19"/>
        <v>2.2056427024961032</v>
      </c>
      <c r="C46" s="12">
        <f t="shared" si="19"/>
        <v>2.0614380983365015</v>
      </c>
      <c r="D46" s="12">
        <f t="shared" si="19"/>
        <v>0.95897361013731475</v>
      </c>
      <c r="E46" s="12">
        <f t="shared" si="20"/>
        <v>7.9656694283425367E-4</v>
      </c>
      <c r="G46" s="5" t="s">
        <v>6</v>
      </c>
      <c r="H46" s="12">
        <v>-2.6900755261213848E-4</v>
      </c>
      <c r="I46" s="12">
        <v>7.6794114877147171E-2</v>
      </c>
      <c r="J46" s="12">
        <v>-5.4210108624275222E-20</v>
      </c>
      <c r="L46" s="5" t="s">
        <v>37</v>
      </c>
      <c r="M46" s="2">
        <v>3.85E-2</v>
      </c>
      <c r="N46" s="5" t="s">
        <v>37</v>
      </c>
      <c r="O46" s="2">
        <v>3.85E-2</v>
      </c>
      <c r="S46" s="16">
        <f t="array" ref="S46:U46">TRANSPOSE(MMULT($S$40:$U$42,TRANSPOSE(T33:V33)))</f>
        <v>0</v>
      </c>
      <c r="T46" s="16">
        <v>0</v>
      </c>
      <c r="U46" s="16">
        <v>0</v>
      </c>
      <c r="V46" s="2"/>
      <c r="W46" s="16">
        <f t="array" ref="W46:Y46">TRANSPOSE(MMULT($W$40:$Y$42,TRANSPOSE(S46:U46)))</f>
        <v>0</v>
      </c>
      <c r="X46" s="16">
        <v>0</v>
      </c>
      <c r="Y46" s="16">
        <v>0</v>
      </c>
      <c r="Z46" s="2"/>
      <c r="AA46" s="16">
        <f t="array" ref="AA46:AC46">TRANSPOSE(MMULT($AA$40:$AC$42,TRANSPOSE(W46:Y46)))</f>
        <v>0</v>
      </c>
      <c r="AB46" s="16">
        <v>0</v>
      </c>
      <c r="AC46" s="16">
        <v>0</v>
      </c>
    </row>
    <row r="47" spans="1:29">
      <c r="A47" s="5" t="s">
        <v>7</v>
      </c>
      <c r="B47" s="12">
        <f t="shared" si="19"/>
        <v>2.2805455514437107</v>
      </c>
      <c r="C47" s="12">
        <f t="shared" si="19"/>
        <v>2.0445008000012868</v>
      </c>
      <c r="D47" s="12">
        <f t="shared" si="19"/>
        <v>0.9586206691613528</v>
      </c>
      <c r="E47" s="12">
        <f t="shared" si="20"/>
        <v>8.7129292780585565E-4</v>
      </c>
      <c r="G47" s="5" t="s">
        <v>7</v>
      </c>
      <c r="H47" s="12">
        <v>0</v>
      </c>
      <c r="I47" s="12">
        <v>0</v>
      </c>
      <c r="J47" s="12">
        <v>0</v>
      </c>
      <c r="L47" s="5" t="s">
        <v>38</v>
      </c>
      <c r="M47" s="2">
        <f>-0.0511-C13</f>
        <v>-6.4600000000000005E-2</v>
      </c>
      <c r="N47" s="5" t="s">
        <v>38</v>
      </c>
      <c r="O47" s="2">
        <f>-0.0998-C13</f>
        <v>-0.1133</v>
      </c>
      <c r="S47" s="16">
        <f t="array" ref="S47:U47">TRANSPOSE(MMULT($S$40:$U$42,TRANSPOSE(T34:V34)))</f>
        <v>7.8337300897607834E-2</v>
      </c>
      <c r="T47" s="16">
        <v>7.4016273804572971E-2</v>
      </c>
      <c r="U47" s="16">
        <v>-4.1090692432458331E-3</v>
      </c>
      <c r="V47" s="2"/>
      <c r="W47" s="16">
        <f t="array" ref="W47:Y47">TRANSPOSE(MMULT($W$40:$Y$42,TRANSPOSE(S47:U47)))</f>
        <v>7.8444770350403065E-2</v>
      </c>
      <c r="X47" s="16">
        <v>7.4016273804572971E-2</v>
      </c>
      <c r="Y47" s="16">
        <v>1.8752770638822639E-4</v>
      </c>
      <c r="Z47" s="2"/>
      <c r="AA47" s="16">
        <f t="array" ref="AA47:AC47">TRANSPOSE(MMULT($AA$40:$AC$42,TRANSPOSE(W47:Y47)))</f>
        <v>7.8444770350403065E-2</v>
      </c>
      <c r="AB47" s="16">
        <v>7.4016439875821863E-2</v>
      </c>
      <c r="AC47" s="16">
        <v>-1.0287207116899244E-4</v>
      </c>
    </row>
    <row r="48" spans="1:29">
      <c r="A48" s="5" t="s">
        <v>8</v>
      </c>
      <c r="B48" s="12">
        <f t="shared" si="19"/>
        <v>2.2259343830656464</v>
      </c>
      <c r="C48" s="12">
        <f t="shared" si="19"/>
        <v>2.137413456772141</v>
      </c>
      <c r="D48" s="12">
        <f t="shared" si="19"/>
        <v>0.95448999511532995</v>
      </c>
      <c r="E48" s="12">
        <f t="shared" si="20"/>
        <v>9.1450253335989551E-4</v>
      </c>
      <c r="G48" s="5" t="s">
        <v>8</v>
      </c>
      <c r="H48" s="12">
        <v>7.8444770350403065E-2</v>
      </c>
      <c r="I48" s="12">
        <v>7.4016439875821863E-2</v>
      </c>
      <c r="J48" s="12">
        <v>-1.0287207116899244E-4</v>
      </c>
      <c r="S48" s="16">
        <f t="array" ref="S48:U48">TRANSPOSE(MMULT($S$40:$U$42,TRANSPOSE(T35:V35)))</f>
        <v>7.8629272361869826E-2</v>
      </c>
      <c r="T48" s="16">
        <v>3.4694469519536142E-18</v>
      </c>
      <c r="U48" s="16">
        <v>-4.312893763755099E-3</v>
      </c>
      <c r="V48" s="2"/>
      <c r="W48" s="16">
        <f t="array" ref="W48:Y48">TRANSPOSE(MMULT($W$40:$Y$42,TRANSPOSE(S48:U48)))</f>
        <v>7.8747466783221323E-2</v>
      </c>
      <c r="X48" s="16">
        <v>3.4694469519536142E-18</v>
      </c>
      <c r="Y48" s="16">
        <v>0</v>
      </c>
      <c r="Z48" s="2"/>
      <c r="AA48" s="16">
        <f t="array" ref="AA48:AC48">TRANSPOSE(MMULT($AA$40:$AC$42,TRANSPOSE(W48:Y48)))</f>
        <v>7.8747466783221323E-2</v>
      </c>
      <c r="AB48" s="16">
        <v>3.4694202486045115E-18</v>
      </c>
      <c r="AC48" s="16">
        <v>-1.3612163429575975E-20</v>
      </c>
    </row>
    <row r="49" spans="1:29">
      <c r="A49" s="5" t="s">
        <v>9</v>
      </c>
      <c r="B49" s="12">
        <f t="shared" si="19"/>
        <v>2.2981393196096316</v>
      </c>
      <c r="C49" s="12">
        <f t="shared" si="19"/>
        <v>2.121136443104747</v>
      </c>
      <c r="D49" s="12">
        <f t="shared" si="19"/>
        <v>0.95430879286600345</v>
      </c>
      <c r="E49" s="12">
        <f t="shared" si="20"/>
        <v>8.692579909943543E-4</v>
      </c>
      <c r="G49" s="5" t="s">
        <v>9</v>
      </c>
      <c r="H49" s="12">
        <v>7.8747466783221323E-2</v>
      </c>
      <c r="I49" s="12">
        <v>3.4694202486045115E-18</v>
      </c>
      <c r="J49" s="12">
        <v>-1.3612163429575975E-20</v>
      </c>
      <c r="S49" s="16">
        <f t="array" ref="S49:U49">TRANSPOSE(MMULT($S$40:$U$42,TRANSPOSE(T36:V36)))</f>
        <v>0.79891046542424982</v>
      </c>
      <c r="T49" s="16">
        <v>0.12721485121876752</v>
      </c>
      <c r="U49" s="16">
        <v>-1.4877997231432794E-4</v>
      </c>
      <c r="V49" s="2"/>
      <c r="W49" s="16">
        <f t="array" ref="W49:Y49">TRANSPOSE(MMULT($W$40:$Y$42,TRANSPOSE(S49:U49)))</f>
        <v>0.79771950536180269</v>
      </c>
      <c r="X49" s="16">
        <v>0.12721485121876752</v>
      </c>
      <c r="Y49" s="16">
        <v>4.3606704360596639E-2</v>
      </c>
      <c r="Z49" s="2"/>
      <c r="AA49" s="16">
        <f t="array" ref="AA49:AC49">TRANSPOSE(MMULT($AA$40:$AC$42,TRANSPOSE(W49:Y49)))</f>
        <v>0.79771950536180269</v>
      </c>
      <c r="AB49" s="16">
        <v>0.12738496032606089</v>
      </c>
      <c r="AC49" s="16">
        <v>4.3107249025349889E-2</v>
      </c>
    </row>
    <row r="50" spans="1:29">
      <c r="A50" s="5" t="s">
        <v>66</v>
      </c>
      <c r="B50" s="12">
        <f t="shared" si="19"/>
        <v>2.3353171835493813</v>
      </c>
      <c r="C50" s="12">
        <f t="shared" si="19"/>
        <v>2.8516201334653575</v>
      </c>
      <c r="D50" s="12">
        <f t="shared" si="19"/>
        <v>0.95847318255176461</v>
      </c>
      <c r="E50" s="12">
        <f t="shared" si="20"/>
        <v>8.6870620235357521E-4</v>
      </c>
      <c r="G50" s="5" t="s">
        <v>66</v>
      </c>
      <c r="H50" s="12">
        <v>0.79771950536180269</v>
      </c>
      <c r="I50" s="12">
        <v>0.12738496032606089</v>
      </c>
      <c r="J50" s="12">
        <v>4.3107249025349889E-2</v>
      </c>
    </row>
    <row r="51" spans="1:29">
      <c r="G51" s="5" t="s">
        <v>71</v>
      </c>
      <c r="H51" s="12">
        <f>H49+M45</f>
        <v>0.12774746678322133</v>
      </c>
      <c r="I51" s="12">
        <f>I49+M46</f>
        <v>3.85E-2</v>
      </c>
      <c r="J51" s="12">
        <f>J49+M47</f>
        <v>-6.4600000000000005E-2</v>
      </c>
    </row>
    <row r="52" spans="1:29">
      <c r="G52" s="5" t="s">
        <v>72</v>
      </c>
      <c r="H52" s="12">
        <f>H49+O45</f>
        <v>0.13574746678322133</v>
      </c>
      <c r="I52" s="12">
        <f>I49+O46</f>
        <v>3.85E-2</v>
      </c>
      <c r="J52" s="12">
        <f>J49+O47</f>
        <v>-0.1133</v>
      </c>
    </row>
    <row r="54" spans="1:29">
      <c r="F54" s="20"/>
      <c r="G54" s="20"/>
      <c r="H54" s="14" t="s">
        <v>73</v>
      </c>
      <c r="I54" s="14"/>
      <c r="J54" s="14"/>
    </row>
    <row r="55" spans="1:29">
      <c r="F55" s="20"/>
      <c r="G55" s="20"/>
      <c r="H55" s="13" t="s">
        <v>45</v>
      </c>
      <c r="I55" s="13" t="s">
        <v>46</v>
      </c>
      <c r="J55" s="13" t="s">
        <v>47</v>
      </c>
    </row>
    <row r="56" spans="1:29">
      <c r="F56" s="19" t="s">
        <v>68</v>
      </c>
      <c r="G56" s="19"/>
      <c r="H56" s="15">
        <f>H51-H50</f>
        <v>-0.66997203857858134</v>
      </c>
      <c r="I56" s="15">
        <f>I50-I51</f>
        <v>8.8884960326060886E-2</v>
      </c>
      <c r="J56" s="15">
        <f>J51-J50+0.03</f>
        <v>-7.7707249025349895E-2</v>
      </c>
    </row>
    <row r="57" spans="1:29">
      <c r="F57" s="19" t="s">
        <v>67</v>
      </c>
      <c r="G57" s="19"/>
      <c r="H57" s="15">
        <f>H50-H45</f>
        <v>1.5176717518008405</v>
      </c>
      <c r="I57" s="15">
        <f>I45-I50</f>
        <v>-0.17815654717058044</v>
      </c>
      <c r="J57" s="15">
        <f>J50-J45</f>
        <v>-4.1816583130146606E-3</v>
      </c>
    </row>
    <row r="59" spans="1:29">
      <c r="F59" s="18"/>
      <c r="G59" s="18"/>
      <c r="H59" s="14" t="s">
        <v>74</v>
      </c>
      <c r="I59" s="10"/>
      <c r="J59" s="10"/>
    </row>
    <row r="60" spans="1:29">
      <c r="F60" s="18"/>
      <c r="G60" s="18"/>
      <c r="H60" s="13" t="s">
        <v>45</v>
      </c>
      <c r="I60" s="13" t="s">
        <v>46</v>
      </c>
      <c r="J60" s="13" t="s">
        <v>47</v>
      </c>
    </row>
    <row r="61" spans="1:29">
      <c r="F61" s="19" t="s">
        <v>68</v>
      </c>
      <c r="G61" s="19"/>
      <c r="H61" s="15">
        <f>H52-H50</f>
        <v>-0.66197203857858133</v>
      </c>
      <c r="I61" s="15">
        <f>I50-I52</f>
        <v>8.8884960326060886E-2</v>
      </c>
      <c r="J61" s="15">
        <f>J52-J50+0.03</f>
        <v>-0.12640724902534989</v>
      </c>
    </row>
    <row r="62" spans="1:29">
      <c r="F62" s="19" t="s">
        <v>67</v>
      </c>
      <c r="G62" s="19"/>
      <c r="H62" s="15">
        <f>H50-H45</f>
        <v>1.5176717518008405</v>
      </c>
      <c r="I62" s="15">
        <f>I45-I50</f>
        <v>-0.17815654717058044</v>
      </c>
      <c r="J62" s="15">
        <f>J50-J45</f>
        <v>-4.1816583130146606E-3</v>
      </c>
    </row>
  </sheetData>
  <mergeCells count="81">
    <mergeCell ref="N17:O17"/>
    <mergeCell ref="L18:M18"/>
    <mergeCell ref="N18:O18"/>
    <mergeCell ref="S3:T3"/>
    <mergeCell ref="A12:B12"/>
    <mergeCell ref="A13:B13"/>
    <mergeCell ref="A15:B15"/>
    <mergeCell ref="C15:D15"/>
    <mergeCell ref="L16:O16"/>
    <mergeCell ref="A17:A18"/>
    <mergeCell ref="B17:D17"/>
    <mergeCell ref="E17:G17"/>
    <mergeCell ref="H17:J18"/>
    <mergeCell ref="L17:M17"/>
    <mergeCell ref="H19:J19"/>
    <mergeCell ref="L19:M19"/>
    <mergeCell ref="N19:O19"/>
    <mergeCell ref="H20:J20"/>
    <mergeCell ref="L20:M20"/>
    <mergeCell ref="N20:O20"/>
    <mergeCell ref="H21:J21"/>
    <mergeCell ref="L21:M21"/>
    <mergeCell ref="N21:O21"/>
    <mergeCell ref="H22:J22"/>
    <mergeCell ref="L22:M22"/>
    <mergeCell ref="N22:O22"/>
    <mergeCell ref="H23:J23"/>
    <mergeCell ref="L23:M23"/>
    <mergeCell ref="N23:O23"/>
    <mergeCell ref="H24:J24"/>
    <mergeCell ref="L24:M24"/>
    <mergeCell ref="N24:O24"/>
    <mergeCell ref="H25:J25"/>
    <mergeCell ref="L25:M25"/>
    <mergeCell ref="N25:O25"/>
    <mergeCell ref="H26:J26"/>
    <mergeCell ref="A29:B29"/>
    <mergeCell ref="C29:D29"/>
    <mergeCell ref="L30:O30"/>
    <mergeCell ref="A31:A32"/>
    <mergeCell ref="B31:D31"/>
    <mergeCell ref="E31:G31"/>
    <mergeCell ref="H31:J32"/>
    <mergeCell ref="L31:M31"/>
    <mergeCell ref="N31:O31"/>
    <mergeCell ref="L32:M32"/>
    <mergeCell ref="N32:O32"/>
    <mergeCell ref="H33:J33"/>
    <mergeCell ref="L33:M33"/>
    <mergeCell ref="N33:O33"/>
    <mergeCell ref="H34:J34"/>
    <mergeCell ref="L34:M34"/>
    <mergeCell ref="N34:O34"/>
    <mergeCell ref="N37:O37"/>
    <mergeCell ref="H38:J38"/>
    <mergeCell ref="L38:M38"/>
    <mergeCell ref="N38:O38"/>
    <mergeCell ref="H35:J35"/>
    <mergeCell ref="L35:M35"/>
    <mergeCell ref="N35:O35"/>
    <mergeCell ref="H36:J36"/>
    <mergeCell ref="L36:M36"/>
    <mergeCell ref="N36:O36"/>
    <mergeCell ref="B43:E43"/>
    <mergeCell ref="H43:J43"/>
    <mergeCell ref="L43:M43"/>
    <mergeCell ref="H37:J37"/>
    <mergeCell ref="L37:M37"/>
    <mergeCell ref="N43:O43"/>
    <mergeCell ref="F59:G59"/>
    <mergeCell ref="H39:J39"/>
    <mergeCell ref="L39:M39"/>
    <mergeCell ref="N39:O39"/>
    <mergeCell ref="H40:J40"/>
    <mergeCell ref="F61:G61"/>
    <mergeCell ref="F60:G60"/>
    <mergeCell ref="F62:G62"/>
    <mergeCell ref="F54:G54"/>
    <mergeCell ref="F55:G55"/>
    <mergeCell ref="F56:G56"/>
    <mergeCell ref="F57:G57"/>
  </mergeCells>
  <conditionalFormatting sqref="E45">
    <cfRule type="cellIs" dxfId="3" priority="3" operator="greaterThan">
      <formula>0.002</formula>
    </cfRule>
    <cfRule type="cellIs" dxfId="2" priority="4" operator="between">
      <formula>0</formula>
      <formula>0.002</formula>
    </cfRule>
  </conditionalFormatting>
  <conditionalFormatting sqref="E46:E50">
    <cfRule type="cellIs" dxfId="1" priority="1" operator="greaterThan">
      <formula>0.002</formula>
    </cfRule>
    <cfRule type="cellIs" dxfId="0" priority="2" operator="between">
      <formula>0</formula>
      <formula>0.002</formula>
    </cfRule>
  </conditionalFormatting>
  <pageMargins left="0.7" right="0.7" top="0.75" bottom="0.75" header="0.3" footer="0.3"/>
  <ignoredErrors>
    <ignoredError sqref="I57 I6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 (Epoch 1)</vt:lpstr>
      <vt:lpstr>DEMO (Epoch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Brazeal</dc:creator>
  <cp:lastModifiedBy>Ryan Brazeal</cp:lastModifiedBy>
  <dcterms:created xsi:type="dcterms:W3CDTF">2020-06-26T16:22:29Z</dcterms:created>
  <dcterms:modified xsi:type="dcterms:W3CDTF">2020-06-28T04:12:27Z</dcterms:modified>
</cp:coreProperties>
</file>