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bookViews>
    <workbookView xWindow="0" yWindow="460" windowWidth="25600" windowHeight="14280" activeTab="6"/>
  </bookViews>
  <sheets>
    <sheet name="S-Curve Forecast" sheetId="1" r:id="rId1"/>
    <sheet name="Incorporating Seasonality" sheetId="2" r:id="rId2"/>
    <sheet name="Gompertz Curve" sheetId="3" r:id="rId3"/>
    <sheet name="Problems 26.1 - 26.4" sheetId="4" r:id="rId4"/>
    <sheet name="Problems 26.5 - 26.9" sheetId="5" r:id="rId5"/>
    <sheet name="Problem 26.12" sheetId="6" r:id="rId6"/>
    <sheet name="Problem 26.13" sheetId="7" r:id="rId7"/>
  </sheets>
  <definedNames>
    <definedName name="_c2">'Gompertz Curve'!$I$4</definedName>
    <definedName name="a">'S-Curve Forecast'!$I$4</definedName>
    <definedName name="a1_">'Incorporating Seasonality'!$L$4</definedName>
    <definedName name="a2_">'Gompertz Curve'!$I$2</definedName>
    <definedName name="b">'S-Curve Forecast'!$I$5</definedName>
    <definedName name="b1_">'Incorporating Seasonality'!$L$5</definedName>
    <definedName name="b2_">'Gompertz Curve'!$I$3</definedName>
    <definedName name="L">'S-Curve Forecast'!$I$3</definedName>
    <definedName name="L1_">'Incorporating Seasonality'!$L$3</definedName>
    <definedName name="Seasonality_Factors">'Incorporating Seasonality'!$K$8:$L$11</definedName>
    <definedName name="solver_adj" localSheetId="2" hidden="1">'Gompertz Curve'!$I$2:$I$4</definedName>
    <definedName name="solver_adj" localSheetId="1" hidden="1">'Incorporating Seasonality'!$L$3:$L$5,'Incorporating Seasonality'!$L$8:$L$11</definedName>
    <definedName name="solver_adj" localSheetId="5" hidden="1">'Problem 26.12'!$K$2:$K$4</definedName>
    <definedName name="solver_adj" localSheetId="6" hidden="1">'Problem 26.13'!$I$21:$I$23</definedName>
    <definedName name="solver_adj" localSheetId="3" hidden="1">'Problems 26.1 - 26.4'!$K$3:$K$5</definedName>
    <definedName name="solver_adj" localSheetId="4" hidden="1">'Problems 26.5 - 26.9'!$I$50:$I$52</definedName>
    <definedName name="solver_adj" localSheetId="0" hidden="1">'S-Curve Forecast'!$I$3:$I$5</definedName>
    <definedName name="solver_cvg" localSheetId="2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5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0" hidden="1">1</definedName>
    <definedName name="solver_itr" localSheetId="2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lhs1" localSheetId="2" hidden="1">'Gompertz Curve'!$I$2:$I$4</definedName>
    <definedName name="solver_lhs1" localSheetId="1" hidden="1">'Incorporating Seasonality'!$L$13</definedName>
    <definedName name="solver_lhs1" localSheetId="5" hidden="1">'Problem 26.12'!$K$2:$K$4</definedName>
    <definedName name="solver_lhs1" localSheetId="6" hidden="1">'Problem 26.13'!$I$21:$I$23</definedName>
    <definedName name="solver_lhs1" localSheetId="3" hidden="1">'Problems 26.1 - 26.4'!$K$3:$K$5</definedName>
    <definedName name="solver_lhs1" localSheetId="4" hidden="1">'Problems 26.5 - 26.9'!$I$26:$I$28</definedName>
    <definedName name="solver_lhs1" localSheetId="0" hidden="1">'S-Curve Forecast'!$I$3:$I$5</definedName>
    <definedName name="solver_lhs2" localSheetId="2" hidden="1">'Gompertz Curve'!$I$2:$I$4</definedName>
    <definedName name="solver_lhs2" localSheetId="1" hidden="1">'Incorporating Seasonality'!$L$3:$L$5</definedName>
    <definedName name="solver_lhs2" localSheetId="5" hidden="1">'Problem 26.12'!$K$2:$K$4</definedName>
    <definedName name="solver_lhs2" localSheetId="6" hidden="1">'Problem 26.13'!$I$21:$I$23</definedName>
    <definedName name="solver_lhs2" localSheetId="3" hidden="1">'Problems 26.1 - 26.4'!$K$31:$K$33</definedName>
    <definedName name="solver_lhs2" localSheetId="4" hidden="1">'Problems 26.5 - 26.9'!$I$26:$I$28</definedName>
    <definedName name="solver_lhs2" localSheetId="0" hidden="1">'S-Curve Forecast'!$I$4:$I$5</definedName>
    <definedName name="solver_lhs3" localSheetId="1" hidden="1">'Incorporating Seasonality'!$L$3:$L$5</definedName>
    <definedName name="solver_lhs3" localSheetId="3" hidden="1">'Problems 26.1 - 26.4'!$K$32:$K$33</definedName>
    <definedName name="solver_lhs3" localSheetId="0" hidden="1">'S-Curve Forecast'!$I$3</definedName>
    <definedName name="solver_lhs4" localSheetId="1" hidden="1">'Incorporating Seasonality'!$L$8:$L$11</definedName>
    <definedName name="solver_lhs5" localSheetId="1" hidden="1">'Incorporating Seasonality'!$L$8:$L$11</definedName>
    <definedName name="solver_lin" localSheetId="2" hidden="1">2</definedName>
    <definedName name="solver_lin" localSheetId="1" hidden="1">2</definedName>
    <definedName name="solver_lin" localSheetId="5" hidden="1">2</definedName>
    <definedName name="solver_lin" localSheetId="6" hidden="1">2</definedName>
    <definedName name="solver_lin" localSheetId="3" hidden="1">2</definedName>
    <definedName name="solver_lin" localSheetId="4" hidden="1">2</definedName>
    <definedName name="solver_lin" localSheetId="0" hidden="1">2</definedName>
    <definedName name="solver_mip" localSheetId="2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3" hidden="1">0.5</definedName>
    <definedName name="solver_mrt" localSheetId="4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3" hidden="1">1</definedName>
    <definedName name="solver_msl" localSheetId="4" hidden="1">1</definedName>
    <definedName name="solver_msl" localSheetId="0" hidden="1">2</definedName>
    <definedName name="solver_neg" localSheetId="2" hidden="1">2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3" hidden="1">1</definedName>
    <definedName name="solver_neg" localSheetId="4" hidden="1">2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um" localSheetId="2" hidden="1">2</definedName>
    <definedName name="solver_num" localSheetId="1" hidden="1">5</definedName>
    <definedName name="solver_num" localSheetId="5" hidden="1">2</definedName>
    <definedName name="solver_num" localSheetId="6" hidden="1">2</definedName>
    <definedName name="solver_num" localSheetId="3" hidden="1">1</definedName>
    <definedName name="solver_num" localSheetId="4" hidden="1">2</definedName>
    <definedName name="solver_num" localSheetId="0" hidden="1">3</definedName>
    <definedName name="solver_opt" localSheetId="2" hidden="1">'Gompertz Curve'!$F$3</definedName>
    <definedName name="solver_opt" localSheetId="1" hidden="1">'Incorporating Seasonality'!$I$2</definedName>
    <definedName name="solver_opt" localSheetId="5" hidden="1">'Problem 26.12'!$H$3</definedName>
    <definedName name="solver_opt" localSheetId="6" hidden="1">'Problem 26.13'!$F$21</definedName>
    <definedName name="solver_opt" localSheetId="3" hidden="1">'Problems 26.1 - 26.4'!$H$2</definedName>
    <definedName name="solver_opt" localSheetId="4" hidden="1">'Problems 26.5 - 26.9'!$F$48</definedName>
    <definedName name="solver_opt" localSheetId="0" hidden="1">'S-Curve Forecast'!$F$3</definedName>
    <definedName name="solver_pre" localSheetId="2" hidden="1">0.000001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el1" localSheetId="2" hidden="1">1</definedName>
    <definedName name="solver_rel1" localSheetId="1" hidden="1">2</definedName>
    <definedName name="solver_rel1" localSheetId="5" hidden="1">1</definedName>
    <definedName name="solver_rel1" localSheetId="6" hidden="1">1</definedName>
    <definedName name="solver_rel1" localSheetId="3" hidden="1">1</definedName>
    <definedName name="solver_rel1" localSheetId="4" hidden="1">1</definedName>
    <definedName name="solver_rel1" localSheetId="0" hidden="1">3</definedName>
    <definedName name="solver_rel2" localSheetId="2" hidden="1">3</definedName>
    <definedName name="solver_rel2" localSheetId="1" hidden="1">1</definedName>
    <definedName name="solver_rel2" localSheetId="5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0" hidden="1">1</definedName>
    <definedName name="solver_rel3" localSheetId="1" hidden="1">3</definedName>
    <definedName name="solver_rel3" localSheetId="3" hidden="1">1</definedName>
    <definedName name="solver_rel3" localSheetId="0" hidden="1">1</definedName>
    <definedName name="solver_rel4" localSheetId="1" hidden="1">1</definedName>
    <definedName name="solver_rel5" localSheetId="1" hidden="1">3</definedName>
    <definedName name="solver_rhs1" localSheetId="2" hidden="1">1000</definedName>
    <definedName name="solver_rhs1" localSheetId="1" hidden="1">1</definedName>
    <definedName name="solver_rhs1" localSheetId="5" hidden="1">2500</definedName>
    <definedName name="solver_rhs1" localSheetId="6" hidden="1">1500</definedName>
    <definedName name="solver_rhs1" localSheetId="3" hidden="1">5000</definedName>
    <definedName name="solver_rhs1" localSheetId="4" hidden="1">1500</definedName>
    <definedName name="solver_rhs1" localSheetId="0" hidden="1">0</definedName>
    <definedName name="solver_rhs2" localSheetId="2" hidden="1">0.001</definedName>
    <definedName name="solver_rhs2" localSheetId="1" hidden="1">10000</definedName>
    <definedName name="solver_rhs2" localSheetId="5" hidden="1">0</definedName>
    <definedName name="solver_rhs2" localSheetId="6" hidden="1">0</definedName>
    <definedName name="solver_rhs2" localSheetId="3" hidden="1">0.001</definedName>
    <definedName name="solver_rhs2" localSheetId="4" hidden="1">0</definedName>
    <definedName name="solver_rhs2" localSheetId="0" hidden="1">1000</definedName>
    <definedName name="solver_rhs3" localSheetId="1" hidden="1">0.01</definedName>
    <definedName name="solver_rhs3" localSheetId="3" hidden="1">2000</definedName>
    <definedName name="solver_rhs3" localSheetId="0" hidden="1">200</definedName>
    <definedName name="solver_rhs4" localSheetId="1" hidden="1">2</definedName>
    <definedName name="solver_rhs5" localSheetId="1" hidden="1">0.01</definedName>
    <definedName name="solver_rlx" localSheetId="2" hidden="1">2</definedName>
    <definedName name="solver_rlx" localSheetId="1" hidden="1">2</definedName>
    <definedName name="solver_rlx" localSheetId="5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5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5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er" localSheetId="2" hidden="1">2</definedName>
    <definedName name="solver_ver" localSheetId="1" hidden="1">2</definedName>
    <definedName name="solver_ver" localSheetId="5" hidden="1">2</definedName>
    <definedName name="solver_ver" localSheetId="6" hidden="1">2</definedName>
    <definedName name="solver_ver" localSheetId="3" hidden="1">2</definedName>
    <definedName name="solver_ver" localSheetId="4" hidden="1">2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7" l="1"/>
  <c r="D35" i="7"/>
  <c r="D36" i="7"/>
  <c r="D25" i="7"/>
  <c r="E25" i="7" s="1"/>
  <c r="F25" i="7" s="1"/>
  <c r="D26" i="7"/>
  <c r="E26" i="7" s="1"/>
  <c r="F26" i="7" s="1"/>
  <c r="D27" i="7"/>
  <c r="E27" i="7" s="1"/>
  <c r="F27" i="7" s="1"/>
  <c r="D28" i="7"/>
  <c r="E28" i="7" s="1"/>
  <c r="F28" i="7" s="1"/>
  <c r="D29" i="7"/>
  <c r="E29" i="7" s="1"/>
  <c r="F29" i="7" s="1"/>
  <c r="D30" i="7"/>
  <c r="E30" i="7" s="1"/>
  <c r="F30" i="7" s="1"/>
  <c r="D31" i="7"/>
  <c r="E31" i="7" s="1"/>
  <c r="F31" i="7" s="1"/>
  <c r="D32" i="7"/>
  <c r="E32" i="7" s="1"/>
  <c r="F32" i="7" s="1"/>
  <c r="D33" i="7"/>
  <c r="E33" i="7" s="1"/>
  <c r="F33" i="7" s="1"/>
  <c r="D24" i="7"/>
  <c r="E24" i="7" s="1"/>
  <c r="F24" i="7" s="1"/>
  <c r="D6" i="7"/>
  <c r="E6" i="7"/>
  <c r="F6" i="7"/>
  <c r="D7" i="7"/>
  <c r="E7" i="7" s="1"/>
  <c r="F7" i="7" s="1"/>
  <c r="D8" i="7"/>
  <c r="E8" i="7"/>
  <c r="F8" i="7"/>
  <c r="D9" i="7"/>
  <c r="E9" i="7"/>
  <c r="F9" i="7"/>
  <c r="D10" i="7"/>
  <c r="E10" i="7" s="1"/>
  <c r="F10" i="7" s="1"/>
  <c r="D11" i="7"/>
  <c r="E11" i="7"/>
  <c r="F11" i="7" s="1"/>
  <c r="D12" i="7"/>
  <c r="E12" i="7"/>
  <c r="F12" i="7"/>
  <c r="D13" i="7"/>
  <c r="E13" i="7"/>
  <c r="F13" i="7"/>
  <c r="D14" i="7"/>
  <c r="E14" i="7" s="1"/>
  <c r="F14" i="7" s="1"/>
  <c r="D15" i="7"/>
  <c r="E15" i="7"/>
  <c r="F15" i="7" s="1"/>
  <c r="D16" i="7"/>
  <c r="D17" i="7"/>
  <c r="D18" i="7"/>
  <c r="B34" i="7"/>
  <c r="B35" i="7" s="1"/>
  <c r="B36" i="7" s="1"/>
  <c r="B17" i="7"/>
  <c r="B18" i="7"/>
  <c r="B16" i="7"/>
  <c r="F21" i="7" l="1"/>
  <c r="F3" i="7"/>
  <c r="K16" i="6"/>
  <c r="C16" i="6"/>
  <c r="C17" i="6"/>
  <c r="C18" i="6"/>
  <c r="C15" i="6"/>
  <c r="F15" i="6"/>
  <c r="F16" i="6"/>
  <c r="F17" i="6"/>
  <c r="F18" i="6"/>
  <c r="E7" i="6"/>
  <c r="E8" i="6"/>
  <c r="E9" i="6"/>
  <c r="E10" i="6"/>
  <c r="E11" i="6"/>
  <c r="E12" i="6"/>
  <c r="E13" i="6"/>
  <c r="E14" i="6"/>
  <c r="E6" i="6"/>
  <c r="K15" i="6" l="1"/>
  <c r="F7" i="6"/>
  <c r="F8" i="6"/>
  <c r="F9" i="6"/>
  <c r="F10" i="6"/>
  <c r="F11" i="6"/>
  <c r="F12" i="6"/>
  <c r="F13" i="6"/>
  <c r="F14" i="6"/>
  <c r="F6" i="6"/>
  <c r="I55" i="5"/>
  <c r="G12" i="6" l="1"/>
  <c r="H12" i="6" s="1"/>
  <c r="G13" i="6"/>
  <c r="H13" i="6" s="1"/>
  <c r="G9" i="6"/>
  <c r="H9" i="6" s="1"/>
  <c r="G8" i="6"/>
  <c r="H8" i="6" s="1"/>
  <c r="G6" i="6"/>
  <c r="H6" i="6" s="1"/>
  <c r="G11" i="6"/>
  <c r="H11" i="6" s="1"/>
  <c r="G7" i="6"/>
  <c r="H7" i="6" s="1"/>
  <c r="G14" i="6"/>
  <c r="H14" i="6" s="1"/>
  <c r="G10" i="6"/>
  <c r="H10" i="6" s="1"/>
  <c r="D63" i="5"/>
  <c r="D64" i="5"/>
  <c r="D65" i="5"/>
  <c r="D66" i="5"/>
  <c r="H3" i="6" l="1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27" i="5"/>
  <c r="D52" i="5"/>
  <c r="D53" i="5"/>
  <c r="D54" i="5"/>
  <c r="D55" i="5"/>
  <c r="D56" i="5"/>
  <c r="D57" i="5"/>
  <c r="D58" i="5"/>
  <c r="D59" i="5"/>
  <c r="D60" i="5"/>
  <c r="D61" i="5"/>
  <c r="D62" i="5"/>
  <c r="D51" i="5" l="1"/>
  <c r="E51" i="5" s="1"/>
  <c r="F51" i="5" s="1"/>
  <c r="E62" i="5" l="1"/>
  <c r="F62" i="5" s="1"/>
  <c r="E58" i="5"/>
  <c r="F58" i="5" s="1"/>
  <c r="E54" i="5"/>
  <c r="F54" i="5" s="1"/>
  <c r="E57" i="5"/>
  <c r="F57" i="5" s="1"/>
  <c r="E53" i="5"/>
  <c r="F53" i="5" s="1"/>
  <c r="E60" i="5"/>
  <c r="F60" i="5" s="1"/>
  <c r="E56" i="5"/>
  <c r="F56" i="5" s="1"/>
  <c r="E52" i="5"/>
  <c r="F52" i="5" s="1"/>
  <c r="E59" i="5"/>
  <c r="F59" i="5" s="1"/>
  <c r="E55" i="5"/>
  <c r="F55" i="5" s="1"/>
  <c r="E61" i="5"/>
  <c r="F61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27" i="5"/>
  <c r="F27" i="5" s="1"/>
  <c r="D16" i="5"/>
  <c r="D17" i="5"/>
  <c r="D18" i="5"/>
  <c r="D19" i="5"/>
  <c r="I6" i="5"/>
  <c r="D6" i="5"/>
  <c r="E6" i="5" s="1"/>
  <c r="F6" i="5" s="1"/>
  <c r="D7" i="5"/>
  <c r="E7" i="5" s="1"/>
  <c r="F7" i="5" s="1"/>
  <c r="D8" i="5"/>
  <c r="E8" i="5" s="1"/>
  <c r="F8" i="5" s="1"/>
  <c r="D9" i="5"/>
  <c r="E9" i="5" s="1"/>
  <c r="F9" i="5" s="1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5" i="5"/>
  <c r="E5" i="5" s="1"/>
  <c r="F5" i="5" s="1"/>
  <c r="D4" i="5"/>
  <c r="E4" i="5" s="1"/>
  <c r="F4" i="5" s="1"/>
  <c r="F48" i="5" l="1"/>
  <c r="F24" i="5"/>
  <c r="F1" i="5"/>
  <c r="K47" i="4"/>
  <c r="N47" i="4"/>
  <c r="C24" i="4"/>
  <c r="C25" i="4"/>
  <c r="C2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5" i="4"/>
  <c r="C51" i="4"/>
  <c r="F53" i="4"/>
  <c r="C53" i="4" s="1"/>
  <c r="F52" i="4"/>
  <c r="C52" i="4" s="1"/>
  <c r="F51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33" i="4"/>
  <c r="F35" i="4"/>
  <c r="G35" i="4" s="1"/>
  <c r="H35" i="4" s="1"/>
  <c r="F36" i="4"/>
  <c r="F37" i="4"/>
  <c r="F38" i="4"/>
  <c r="G38" i="4" s="1"/>
  <c r="H38" i="4" s="1"/>
  <c r="F39" i="4"/>
  <c r="G39" i="4" s="1"/>
  <c r="H39" i="4" s="1"/>
  <c r="F40" i="4"/>
  <c r="F41" i="4"/>
  <c r="F42" i="4"/>
  <c r="G42" i="4" s="1"/>
  <c r="H42" i="4" s="1"/>
  <c r="F43" i="4"/>
  <c r="G43" i="4" s="1"/>
  <c r="H43" i="4" s="1"/>
  <c r="F44" i="4"/>
  <c r="F45" i="4"/>
  <c r="F46" i="4"/>
  <c r="G46" i="4" s="1"/>
  <c r="H46" i="4" s="1"/>
  <c r="F47" i="4"/>
  <c r="G47" i="4" s="1"/>
  <c r="H47" i="4" s="1"/>
  <c r="F48" i="4"/>
  <c r="F49" i="4"/>
  <c r="F50" i="4"/>
  <c r="G50" i="4" s="1"/>
  <c r="H50" i="4" s="1"/>
  <c r="F34" i="4"/>
  <c r="G34" i="4" s="1"/>
  <c r="H34" i="4" s="1"/>
  <c r="F33" i="4"/>
  <c r="G33" i="4" s="1"/>
  <c r="H33" i="4" s="1"/>
  <c r="K19" i="4"/>
  <c r="N19" i="4" s="1"/>
  <c r="F23" i="4"/>
  <c r="F24" i="4"/>
  <c r="F2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5" i="4"/>
  <c r="G12" i="4" l="1"/>
  <c r="H12" i="4" s="1"/>
  <c r="G15" i="4"/>
  <c r="H15" i="4" s="1"/>
  <c r="G5" i="4"/>
  <c r="H5" i="4" s="1"/>
  <c r="G49" i="4"/>
  <c r="H49" i="4" s="1"/>
  <c r="G45" i="4"/>
  <c r="H45" i="4" s="1"/>
  <c r="G41" i="4"/>
  <c r="H41" i="4" s="1"/>
  <c r="G37" i="4"/>
  <c r="H37" i="4" s="1"/>
  <c r="G48" i="4"/>
  <c r="H48" i="4" s="1"/>
  <c r="G44" i="4"/>
  <c r="H44" i="4" s="1"/>
  <c r="G40" i="4"/>
  <c r="H40" i="4" s="1"/>
  <c r="G36" i="4"/>
  <c r="H36" i="4" s="1"/>
  <c r="G21" i="4"/>
  <c r="H21" i="4" s="1"/>
  <c r="G13" i="4"/>
  <c r="H13" i="4" s="1"/>
  <c r="G16" i="4"/>
  <c r="H16" i="4" s="1"/>
  <c r="G8" i="4"/>
  <c r="H8" i="4" s="1"/>
  <c r="G19" i="4"/>
  <c r="H19" i="4" s="1"/>
  <c r="G11" i="4"/>
  <c r="H11" i="4" s="1"/>
  <c r="G7" i="4"/>
  <c r="H7" i="4" s="1"/>
  <c r="G17" i="4"/>
  <c r="H17" i="4" s="1"/>
  <c r="G9" i="4"/>
  <c r="H9" i="4" s="1"/>
  <c r="G20" i="4"/>
  <c r="H20" i="4" s="1"/>
  <c r="G22" i="4"/>
  <c r="H22" i="4" s="1"/>
  <c r="G18" i="4"/>
  <c r="H18" i="4" s="1"/>
  <c r="G14" i="4"/>
  <c r="H14" i="4" s="1"/>
  <c r="G10" i="4"/>
  <c r="H10" i="4" s="1"/>
  <c r="G6" i="4"/>
  <c r="H6" i="4" s="1"/>
  <c r="I7" i="3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 s="1"/>
  <c r="F14" i="3" s="1"/>
  <c r="D15" i="3"/>
  <c r="E15" i="3" s="1"/>
  <c r="F15" i="3" s="1"/>
  <c r="D16" i="3"/>
  <c r="E16" i="3" s="1"/>
  <c r="F16" i="3" s="1"/>
  <c r="D6" i="3"/>
  <c r="E6" i="3" s="1"/>
  <c r="F6" i="3" s="1"/>
  <c r="H30" i="4" l="1"/>
  <c r="H2" i="4"/>
  <c r="F3" i="3"/>
  <c r="E7" i="1" l="1"/>
  <c r="E8" i="1"/>
  <c r="E9" i="1"/>
  <c r="E10" i="1"/>
  <c r="E11" i="1"/>
  <c r="E12" i="1"/>
  <c r="E13" i="1"/>
  <c r="E14" i="1"/>
  <c r="E15" i="1"/>
  <c r="E16" i="1"/>
  <c r="G20" i="2"/>
  <c r="G21" i="2"/>
  <c r="G22" i="2"/>
  <c r="G23" i="2"/>
  <c r="L15" i="2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5" i="2"/>
  <c r="H5" i="2" s="1"/>
  <c r="I5" i="2" s="1"/>
  <c r="L13" i="2"/>
  <c r="I8" i="1"/>
  <c r="F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F19" i="2" s="1"/>
  <c r="D17" i="1"/>
  <c r="D18" i="1"/>
  <c r="D19" i="1"/>
  <c r="D7" i="1"/>
  <c r="D8" i="1"/>
  <c r="F8" i="1" s="1"/>
  <c r="D9" i="1"/>
  <c r="F9" i="1" s="1"/>
  <c r="D10" i="1"/>
  <c r="D11" i="1"/>
  <c r="F11" i="1" s="1"/>
  <c r="D12" i="1"/>
  <c r="F12" i="1" s="1"/>
  <c r="D13" i="1"/>
  <c r="F13" i="1" s="1"/>
  <c r="D14" i="1"/>
  <c r="D15" i="1"/>
  <c r="F15" i="1" s="1"/>
  <c r="D16" i="1"/>
  <c r="F16" i="1" s="1"/>
  <c r="D6" i="1"/>
  <c r="E6" i="1" s="1"/>
  <c r="F6" i="1" s="1"/>
  <c r="F7" i="1"/>
  <c r="F14" i="1" l="1"/>
  <c r="F10" i="1"/>
  <c r="F3" i="1" s="1"/>
  <c r="I2" i="2"/>
  <c r="F17" i="2"/>
  <c r="F13" i="2"/>
  <c r="F9" i="2"/>
  <c r="F16" i="2"/>
  <c r="F12" i="2"/>
  <c r="F8" i="2"/>
  <c r="F15" i="2"/>
  <c r="F11" i="2"/>
  <c r="F7" i="2"/>
  <c r="F18" i="2"/>
  <c r="F14" i="2"/>
  <c r="F10" i="2"/>
  <c r="F6" i="2"/>
</calcChain>
</file>

<file path=xl/sharedStrings.xml><?xml version="1.0" encoding="utf-8"?>
<sst xmlns="http://schemas.openxmlformats.org/spreadsheetml/2006/main" count="144" uniqueCount="49">
  <si>
    <t>Year</t>
  </si>
  <si>
    <t>cell phones/100</t>
  </si>
  <si>
    <t>Period</t>
  </si>
  <si>
    <t>L</t>
  </si>
  <si>
    <t>a</t>
  </si>
  <si>
    <t>b</t>
  </si>
  <si>
    <t>Forecast</t>
  </si>
  <si>
    <t>Error</t>
  </si>
  <si>
    <t>Error^2</t>
  </si>
  <si>
    <t>SSE</t>
  </si>
  <si>
    <t>x(t) = L/(1+a*exp(-b*t))</t>
  </si>
  <si>
    <t>Quarter#</t>
  </si>
  <si>
    <t>Quarter</t>
  </si>
  <si>
    <t>Sales</t>
  </si>
  <si>
    <t>Pop</t>
  </si>
  <si>
    <t>Sales Per 100</t>
  </si>
  <si>
    <t>L1</t>
  </si>
  <si>
    <t>a1</t>
  </si>
  <si>
    <t>b1</t>
  </si>
  <si>
    <t>Seasonality Factors</t>
  </si>
  <si>
    <t>Standard Error</t>
  </si>
  <si>
    <t>Average</t>
  </si>
  <si>
    <t>x(t) = a*EXP(−c*EXP( − b*t))</t>
  </si>
  <si>
    <t>a2</t>
  </si>
  <si>
    <t>b2</t>
  </si>
  <si>
    <t>c2</t>
  </si>
  <si>
    <t>subscribers</t>
  </si>
  <si>
    <t>Forecast (Pearl)</t>
  </si>
  <si>
    <t>pop  (M)</t>
  </si>
  <si>
    <t xml:space="preserve">Inflection Point </t>
  </si>
  <si>
    <t xml:space="preserve">years or </t>
  </si>
  <si>
    <t xml:space="preserve">Year </t>
  </si>
  <si>
    <t>c</t>
  </si>
  <si>
    <t>subscribers per 1K</t>
  </si>
  <si>
    <t>Percentage</t>
  </si>
  <si>
    <t>Nigeria</t>
  </si>
  <si>
    <t>Nigeria is past the inflection point.</t>
  </si>
  <si>
    <t xml:space="preserve">Percentage on internet </t>
  </si>
  <si>
    <t>United States</t>
  </si>
  <si>
    <t>Sweden</t>
  </si>
  <si>
    <t>Inflection Point</t>
  </si>
  <si>
    <t>We are way past the inflection point!</t>
  </si>
  <si>
    <t>Users(millions)</t>
  </si>
  <si>
    <t>Inflection Point:</t>
  </si>
  <si>
    <t>World Population</t>
  </si>
  <si>
    <t>Users Per 1000</t>
  </si>
  <si>
    <t>Facebook Users</t>
  </si>
  <si>
    <t>Articles (millions)</t>
  </si>
  <si>
    <t>Wikipedia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</si>
</sst>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0000000000"/>
  </numFmts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2" fontId="0" fillId="2" borderId="0" xfId="0" applyNumberFormat="1" applyFill="1"/>
    <xf numFmtId="11" fontId="0" fillId="0" borderId="0" xfId="0" applyNumberFormat="1"/>
    <xf numFmtId="43" fontId="0" fillId="0" borderId="0" xfId="1" applyFont="1"/>
    <xf numFmtId="2" fontId="0" fillId="0" borderId="0" xfId="1" applyNumberFormat="1" applyFon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vs.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'S-Curve Forecast'!$A$6:$A$19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'S-Curve Forecast'!$C$6:$C$16</c:f>
              <c:numCache>
                <c:formatCode>General</c:formatCode>
                <c:ptCount val="11"/>
                <c:pt idx="0">
                  <c:v>15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42</c:v>
                </c:pt>
                <c:pt idx="6">
                  <c:v>53</c:v>
                </c:pt>
                <c:pt idx="7">
                  <c:v>64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2-A249-8419-04A21C930C6C}"/>
            </c:ext>
          </c:extLst>
        </c:ser>
        <c:ser>
          <c:idx val="2"/>
          <c:order val="1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'S-Curve Forecast'!$A$6:$A$19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'S-Curve Forecast'!$D$6:$D$19</c:f>
              <c:numCache>
                <c:formatCode>0</c:formatCode>
                <c:ptCount val="14"/>
                <c:pt idx="0">
                  <c:v>12.515272363536365</c:v>
                </c:pt>
                <c:pt idx="1">
                  <c:v>16.565277562556496</c:v>
                </c:pt>
                <c:pt idx="2">
                  <c:v>21.657214163104047</c:v>
                </c:pt>
                <c:pt idx="3">
                  <c:v>27.884748363202185</c:v>
                </c:pt>
                <c:pt idx="4">
                  <c:v>35.248932093319787</c:v>
                </c:pt>
                <c:pt idx="5">
                  <c:v>43.618278121018541</c:v>
                </c:pt>
                <c:pt idx="6">
                  <c:v>52.711456170768201</c:v>
                </c:pt>
                <c:pt idx="7">
                  <c:v>62.120544675674552</c:v>
                </c:pt>
                <c:pt idx="8">
                  <c:v>71.377520225148601</c:v>
                </c:pt>
                <c:pt idx="9">
                  <c:v>80.04366518859905</c:v>
                </c:pt>
                <c:pt idx="10">
                  <c:v>87.787621560777737</c:v>
                </c:pt>
                <c:pt idx="11">
                  <c:v>94.424859701661305</c:v>
                </c:pt>
                <c:pt idx="12">
                  <c:v>99.913214384429949</c:v>
                </c:pt>
                <c:pt idx="13">
                  <c:v>104.31858690107062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2-A249-8419-04A21C93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368959"/>
        <c:axId val="859250159"/>
      </c:lineChart>
      <c:catAx>
        <c:axId val="88936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0159"/>
        <c:crosses val="autoZero"/>
        <c:auto val="1"/>
        <c:lblAlgn val="ctr"/>
        <c:lblOffset val="100"/>
        <c:noMultiLvlLbl val="0"/>
      </c:catAx>
      <c:valAx>
        <c:axId val="8592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Phones/100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6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26.13'!$A$6:$A$18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'Problem 26.13'!$C$6:$C$18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  <c:pt idx="4">
                  <c:v>1.5</c:v>
                </c:pt>
                <c:pt idx="5">
                  <c:v>2.2000000000000002</c:v>
                </c:pt>
                <c:pt idx="6">
                  <c:v>2.7</c:v>
                </c:pt>
                <c:pt idx="7">
                  <c:v>3.2</c:v>
                </c:pt>
                <c:pt idx="8">
                  <c:v>3.5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1-FC4B-BFE6-722053A70FDA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26.13'!$A$6:$A$18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'Problem 26.13'!$D$6:$D$18</c:f>
              <c:numCache>
                <c:formatCode>General</c:formatCode>
                <c:ptCount val="13"/>
                <c:pt idx="0">
                  <c:v>0.15644060102016535</c:v>
                </c:pt>
                <c:pt idx="1">
                  <c:v>0.29283132408275347</c:v>
                </c:pt>
                <c:pt idx="2">
                  <c:v>0.5318020311160585</c:v>
                </c:pt>
                <c:pt idx="3">
                  <c:v>0.9178759267330201</c:v>
                </c:pt>
                <c:pt idx="4">
                  <c:v>1.4666755793708803</c:v>
                </c:pt>
                <c:pt idx="5">
                  <c:v>2.1199916021023379</c:v>
                </c:pt>
                <c:pt idx="6">
                  <c:v>2.7517623127341948</c:v>
                </c:pt>
                <c:pt idx="7">
                  <c:v>3.2511280529347264</c:v>
                </c:pt>
                <c:pt idx="8">
                  <c:v>3.5865947855145537</c:v>
                </c:pt>
                <c:pt idx="9">
                  <c:v>3.788055827057863</c:v>
                </c:pt>
                <c:pt idx="10">
                  <c:v>3.9009946983426151</c:v>
                </c:pt>
                <c:pt idx="11">
                  <c:v>3.9618764758914509</c:v>
                </c:pt>
                <c:pt idx="12">
                  <c:v>3.9940041880809098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1-FC4B-BFE6-722053A7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787183"/>
        <c:axId val="1961799791"/>
      </c:lineChart>
      <c:catAx>
        <c:axId val="19617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99791"/>
        <c:crosses val="autoZero"/>
        <c:auto val="1"/>
        <c:lblAlgn val="ctr"/>
        <c:lblOffset val="100"/>
        <c:noMultiLvlLbl val="0"/>
      </c:catAx>
      <c:valAx>
        <c:axId val="19617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8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26.13'!$A$24:$A$36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'Problem 26.13'!$C$24:$C$36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  <c:pt idx="4">
                  <c:v>1.5</c:v>
                </c:pt>
                <c:pt idx="5">
                  <c:v>2.2000000000000002</c:v>
                </c:pt>
                <c:pt idx="6">
                  <c:v>2.7</c:v>
                </c:pt>
                <c:pt idx="7">
                  <c:v>3.2</c:v>
                </c:pt>
                <c:pt idx="8">
                  <c:v>3.5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2-F14E-9CE6-F762D01356C9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26.13'!$A$24:$A$36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'Problem 26.13'!$D$24:$D$36</c:f>
              <c:numCache>
                <c:formatCode>General</c:formatCode>
                <c:ptCount val="13"/>
                <c:pt idx="0">
                  <c:v>5.0829337225629011E-2</c:v>
                </c:pt>
                <c:pt idx="1">
                  <c:v>0.19378702960801034</c:v>
                </c:pt>
                <c:pt idx="2">
                  <c:v>0.49730073927415575</c:v>
                </c:pt>
                <c:pt idx="3">
                  <c:v>0.96571402945208784</c:v>
                </c:pt>
                <c:pt idx="4">
                  <c:v>1.5410713680001837</c:v>
                </c:pt>
                <c:pt idx="5">
                  <c:v>2.1417034357055384</c:v>
                </c:pt>
                <c:pt idx="6">
                  <c:v>2.7003296366247604</c:v>
                </c:pt>
                <c:pt idx="7">
                  <c:v>3.1790753476822733</c:v>
                </c:pt>
                <c:pt idx="8">
                  <c:v>3.5663019358900918</c:v>
                </c:pt>
                <c:pt idx="9">
                  <c:v>3.8669663278912356</c:v>
                </c:pt>
                <c:pt idx="10">
                  <c:v>4.093784692863867</c:v>
                </c:pt>
                <c:pt idx="11">
                  <c:v>4.2614505533724918</c:v>
                </c:pt>
                <c:pt idx="12">
                  <c:v>4.3836267955502155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2-F14E-9CE6-F762D013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262079"/>
        <c:axId val="2129758015"/>
      </c:lineChart>
      <c:catAx>
        <c:axId val="212526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58015"/>
        <c:crosses val="autoZero"/>
        <c:auto val="1"/>
        <c:lblAlgn val="ctr"/>
        <c:lblOffset val="100"/>
        <c:noMultiLvlLbl val="0"/>
      </c:catAx>
      <c:valAx>
        <c:axId val="21297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'Incorporating Seasonality'!$F$5:$F$19</c:f>
              <c:numCache>
                <c:formatCode>General</c:formatCode>
                <c:ptCount val="15"/>
                <c:pt idx="0">
                  <c:v>7.4482758620689649E-2</c:v>
                </c:pt>
                <c:pt idx="1">
                  <c:v>5.5030094582975066E-2</c:v>
                </c:pt>
                <c:pt idx="2">
                  <c:v>0.16020583190394513</c:v>
                </c:pt>
                <c:pt idx="3">
                  <c:v>0.13686911890504705</c:v>
                </c:pt>
                <c:pt idx="4">
                  <c:v>0.30034129692832767</c:v>
                </c:pt>
                <c:pt idx="5">
                  <c:v>0.27472340425531916</c:v>
                </c:pt>
                <c:pt idx="6">
                  <c:v>0.29202037351443122</c:v>
                </c:pt>
                <c:pt idx="7">
                  <c:v>0.67739204064352243</c:v>
                </c:pt>
                <c:pt idx="8">
                  <c:v>1.5540540540540539</c:v>
                </c:pt>
                <c:pt idx="9">
                  <c:v>1.7860151642796966</c:v>
                </c:pt>
                <c:pt idx="10">
                  <c:v>2.0840336134453783</c:v>
                </c:pt>
                <c:pt idx="11">
                  <c:v>2.145850796311819</c:v>
                </c:pt>
                <c:pt idx="12">
                  <c:v>4.6822742474916392</c:v>
                </c:pt>
                <c:pt idx="13">
                  <c:v>2.8356964136780651</c:v>
                </c:pt>
                <c:pt idx="14">
                  <c:v>2.6955074875207985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5-CB48-9EA0-099D4F8F2512}"/>
            </c:ext>
          </c:extLst>
        </c:ser>
        <c:ser>
          <c:idx val="2"/>
          <c:order val="1"/>
          <c:tx>
            <c:v>Forecast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'Incorporating Seasonality'!$G$5:$G$23</c:f>
              <c:numCache>
                <c:formatCode>General</c:formatCode>
                <c:ptCount val="19"/>
                <c:pt idx="0">
                  <c:v>7.0093400972872566E-3</c:v>
                </c:pt>
                <c:pt idx="1">
                  <c:v>8.9781271598153647E-3</c:v>
                </c:pt>
                <c:pt idx="2">
                  <c:v>1.7422463629545311E-2</c:v>
                </c:pt>
                <c:pt idx="3">
                  <c:v>3.3797799941113413E-2</c:v>
                </c:pt>
                <c:pt idx="4">
                  <c:v>0.13562400748695055</c:v>
                </c:pt>
                <c:pt idx="5">
                  <c:v>0.16891606067588683</c:v>
                </c:pt>
                <c:pt idx="6">
                  <c:v>0.30979810065596441</c:v>
                </c:pt>
                <c:pt idx="7">
                  <c:v>0.53913851468613938</c:v>
                </c:pt>
                <c:pt idx="8">
                  <c:v>1.7840592464587284</c:v>
                </c:pt>
                <c:pt idx="9">
                  <c:v>1.6407032253465954</c:v>
                </c:pt>
                <c:pt idx="10">
                  <c:v>1.9993036952411427</c:v>
                </c:pt>
                <c:pt idx="11">
                  <c:v>2.1819832879182068</c:v>
                </c:pt>
                <c:pt idx="12">
                  <c:v>4.5986444611434116</c:v>
                </c:pt>
                <c:pt idx="13">
                  <c:v>2.9233345231006704</c:v>
                </c:pt>
                <c:pt idx="14">
                  <c:v>2.7562107587299089</c:v>
                </c:pt>
                <c:pt idx="15">
                  <c:v>2.5774776874877663</c:v>
                </c:pt>
                <c:pt idx="16">
                  <c:v>4.995500890973263</c:v>
                </c:pt>
                <c:pt idx="17">
                  <c:v>3.0431303264613305</c:v>
                </c:pt>
                <c:pt idx="18">
                  <c:v>2.8097762104426969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5-CB48-9EA0-099D4F8F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80616815"/>
        <c:axId val="880618511"/>
      </c:lineChart>
      <c:catAx>
        <c:axId val="88061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1851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061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1681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vs. Forecast (Gompertz)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'Gompertz Curve'!$C$6:$C$16</c:f>
              <c:numCache>
                <c:formatCode>General</c:formatCode>
                <c:ptCount val="11"/>
                <c:pt idx="0">
                  <c:v>15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42</c:v>
                </c:pt>
                <c:pt idx="6">
                  <c:v>53</c:v>
                </c:pt>
                <c:pt idx="7">
                  <c:v>64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5-5C4A-8B09-44F6F84E27F0}"/>
            </c:ext>
          </c:extLst>
        </c:ser>
        <c:ser>
          <c:idx val="2"/>
          <c:order val="1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'Gompertz Curve'!$D$6:$D$16</c:f>
              <c:numCache>
                <c:formatCode>General</c:formatCode>
                <c:ptCount val="11"/>
                <c:pt idx="0">
                  <c:v>12.097536494414182</c:v>
                </c:pt>
                <c:pt idx="1">
                  <c:v>16.704693791024393</c:v>
                </c:pt>
                <c:pt idx="2">
                  <c:v>22.240102043942052</c:v>
                </c:pt>
                <c:pt idx="3">
                  <c:v>28.667038757006729</c:v>
                </c:pt>
                <c:pt idx="4">
                  <c:v>35.905859394785388</c:v>
                </c:pt>
                <c:pt idx="5">
                  <c:v>43.842295681320756</c:v>
                </c:pt>
                <c:pt idx="6">
                  <c:v>52.337919611084516</c:v>
                </c:pt>
                <c:pt idx="7">
                  <c:v>61.241142895028673</c:v>
                </c:pt>
                <c:pt idx="8">
                  <c:v>70.39744884951925</c:v>
                </c:pt>
                <c:pt idx="9">
                  <c:v>79.65799150914296</c:v>
                </c:pt>
                <c:pt idx="10">
                  <c:v>88.886129090356476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5-5C4A-8B09-44F6F84E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983055"/>
        <c:axId val="891984751"/>
      </c:lineChart>
      <c:catAx>
        <c:axId val="89198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84751"/>
        <c:crosses val="autoZero"/>
        <c:auto val="1"/>
        <c:lblAlgn val="ctr"/>
        <c:lblOffset val="100"/>
        <c:noMultiLvlLbl val="0"/>
      </c:catAx>
      <c:valAx>
        <c:axId val="8919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8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Pearl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'Problems 26.1 - 26.4'!$A$5:$A$25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'Problems 26.1 - 26.4'!$E$5:$E$22</c:f>
              <c:numCache>
                <c:formatCode>General</c:formatCode>
                <c:ptCount val="18"/>
                <c:pt idx="0">
                  <c:v>1.4321673722606854</c:v>
                </c:pt>
                <c:pt idx="1">
                  <c:v>2.8415217625597067</c:v>
                </c:pt>
                <c:pt idx="2">
                  <c:v>5.0783210594578856</c:v>
                </c:pt>
                <c:pt idx="3">
                  <c:v>8.4528177189754512</c:v>
                </c:pt>
                <c:pt idx="4">
                  <c:v>14.189271101670295</c:v>
                </c:pt>
                <c:pt idx="5">
                  <c:v>21.149688522710655</c:v>
                </c:pt>
                <c:pt idx="6">
                  <c:v>29.951044056294233</c:v>
                </c:pt>
                <c:pt idx="7">
                  <c:v>43.288558918465036</c:v>
                </c:pt>
                <c:pt idx="8">
                  <c:v>62.187219345330625</c:v>
                </c:pt>
                <c:pt idx="9">
                  <c:v>92.810370516194027</c:v>
                </c:pt>
                <c:pt idx="10">
                  <c:v>128.52275582601229</c:v>
                </c:pt>
                <c:pt idx="11">
                  <c:v>165.99951756369666</c:v>
                </c:pt>
                <c:pt idx="12">
                  <c:v>206.38915298507462</c:v>
                </c:pt>
                <c:pt idx="13">
                  <c:v>255.68686641052165</c:v>
                </c:pt>
                <c:pt idx="14">
                  <c:v>314.74454143360254</c:v>
                </c:pt>
                <c:pt idx="15">
                  <c:v>396.48618769819865</c:v>
                </c:pt>
                <c:pt idx="16">
                  <c:v>460.31859237211296</c:v>
                </c:pt>
                <c:pt idx="17">
                  <c:v>499.75679152426869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F-CA47-B728-E33232954A18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'Problems 26.1 - 26.4'!$A$5:$A$25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'Problems 26.1 - 26.4'!$F$5:$F$25</c:f>
              <c:numCache>
                <c:formatCode>General</c:formatCode>
                <c:ptCount val="21"/>
                <c:pt idx="0">
                  <c:v>4.009849159866226</c:v>
                </c:pt>
                <c:pt idx="1">
                  <c:v>5.7188793372153013</c:v>
                </c:pt>
                <c:pt idx="2">
                  <c:v>8.1479177159410945</c:v>
                </c:pt>
                <c:pt idx="3">
                  <c:v>11.591710550289019</c:v>
                </c:pt>
                <c:pt idx="4">
                  <c:v>16.456974816685435</c:v>
                </c:pt>
                <c:pt idx="5">
                  <c:v>23.296269916210754</c:v>
                </c:pt>
                <c:pt idx="6">
                  <c:v>32.84348227295456</c:v>
                </c:pt>
                <c:pt idx="7">
                  <c:v>46.041372053598565</c:v>
                </c:pt>
                <c:pt idx="8">
                  <c:v>64.04191795851915</c:v>
                </c:pt>
                <c:pt idx="9">
                  <c:v>88.147182413228393</c:v>
                </c:pt>
                <c:pt idx="10">
                  <c:v>119.64772776327801</c:v>
                </c:pt>
                <c:pt idx="11">
                  <c:v>159.52242853563234</c:v>
                </c:pt>
                <c:pt idx="12">
                  <c:v>208.01186491522898</c:v>
                </c:pt>
                <c:pt idx="13">
                  <c:v>264.18022363448949</c:v>
                </c:pt>
                <c:pt idx="14">
                  <c:v>325.69522956965506</c:v>
                </c:pt>
                <c:pt idx="15">
                  <c:v>389.06270679538858</c:v>
                </c:pt>
                <c:pt idx="16">
                  <c:v>450.35012950427938</c:v>
                </c:pt>
                <c:pt idx="17">
                  <c:v>506.11591088702579</c:v>
                </c:pt>
                <c:pt idx="18">
                  <c:v>554.10900559109439</c:v>
                </c:pt>
                <c:pt idx="19">
                  <c:v>593.47267143137731</c:v>
                </c:pt>
                <c:pt idx="20">
                  <c:v>624.5040924228764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F-CA47-B728-E3323295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35968"/>
        <c:axId val="412672160"/>
      </c:lineChart>
      <c:catAx>
        <c:axId val="3638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72160"/>
        <c:crosses val="autoZero"/>
        <c:auto val="1"/>
        <c:lblAlgn val="ctr"/>
        <c:lblOffset val="100"/>
        <c:noMultiLvlLbl val="0"/>
      </c:catAx>
      <c:valAx>
        <c:axId val="4126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'Problems 26.1 - 26.4'!$E$33:$E$50</c:f>
              <c:numCache>
                <c:formatCode>General</c:formatCode>
                <c:ptCount val="18"/>
                <c:pt idx="0">
                  <c:v>1.4321673722606854</c:v>
                </c:pt>
                <c:pt idx="1">
                  <c:v>2.8415217625597067</c:v>
                </c:pt>
                <c:pt idx="2">
                  <c:v>5.0783210594578856</c:v>
                </c:pt>
                <c:pt idx="3">
                  <c:v>8.452817718975453</c:v>
                </c:pt>
                <c:pt idx="4">
                  <c:v>14.189271101670293</c:v>
                </c:pt>
                <c:pt idx="5">
                  <c:v>21.149688522710651</c:v>
                </c:pt>
                <c:pt idx="6">
                  <c:v>29.951044056294229</c:v>
                </c:pt>
                <c:pt idx="7">
                  <c:v>43.288558918465036</c:v>
                </c:pt>
                <c:pt idx="8">
                  <c:v>62.187219345330625</c:v>
                </c:pt>
                <c:pt idx="9">
                  <c:v>92.810370516194027</c:v>
                </c:pt>
                <c:pt idx="10">
                  <c:v>128.52275582601229</c:v>
                </c:pt>
                <c:pt idx="11">
                  <c:v>165.99951756369666</c:v>
                </c:pt>
                <c:pt idx="12">
                  <c:v>206.38915298507462</c:v>
                </c:pt>
                <c:pt idx="13">
                  <c:v>255.68686641052165</c:v>
                </c:pt>
                <c:pt idx="14">
                  <c:v>314.74454143360254</c:v>
                </c:pt>
                <c:pt idx="15">
                  <c:v>396.48618769819865</c:v>
                </c:pt>
                <c:pt idx="16">
                  <c:v>460.31859237211296</c:v>
                </c:pt>
                <c:pt idx="17">
                  <c:v>499.75679152426869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3-C743-B582-CB3E0DD10958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'Problems 26.1 - 26.4'!$F$33:$F$53</c:f>
              <c:numCache>
                <c:formatCode>General</c:formatCode>
                <c:ptCount val="21"/>
                <c:pt idx="0">
                  <c:v>0.53176052577995814</c:v>
                </c:pt>
                <c:pt idx="1">
                  <c:v>1.2651530004576803</c:v>
                </c:pt>
                <c:pt idx="2">
                  <c:v>2.7408495683672225</c:v>
                </c:pt>
                <c:pt idx="3">
                  <c:v>5.4618506660391439</c:v>
                </c:pt>
                <c:pt idx="4">
                  <c:v>10.102501586871577</c:v>
                </c:pt>
                <c:pt idx="5">
                  <c:v>17.484395885938717</c:v>
                </c:pt>
                <c:pt idx="6">
                  <c:v>28.518387577615229</c:v>
                </c:pt>
                <c:pt idx="7">
                  <c:v>44.119923369649008</c:v>
                </c:pt>
                <c:pt idx="8">
                  <c:v>65.112148059812739</c:v>
                </c:pt>
                <c:pt idx="9">
                  <c:v>92.134136257685455</c:v>
                </c:pt>
                <c:pt idx="10">
                  <c:v>125.56971220183718</c:v>
                </c:pt>
                <c:pt idx="11">
                  <c:v>165.5069049559379</c:v>
                </c:pt>
                <c:pt idx="12">
                  <c:v>211.73126148786884</c:v>
                </c:pt>
                <c:pt idx="13">
                  <c:v>263.75001497253322</c:v>
                </c:pt>
                <c:pt idx="14">
                  <c:v>320.83978054530678</c:v>
                </c:pt>
                <c:pt idx="15">
                  <c:v>382.1084590663811</c:v>
                </c:pt>
                <c:pt idx="16">
                  <c:v>446.56211220505725</c:v>
                </c:pt>
                <c:pt idx="17">
                  <c:v>513.16909170644624</c:v>
                </c:pt>
                <c:pt idx="18">
                  <c:v>580.91594135467403</c:v>
                </c:pt>
                <c:pt idx="19">
                  <c:v>648.8519350720718</c:v>
                </c:pt>
                <c:pt idx="20">
                  <c:v>716.12116241539547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3-C743-B582-CB3E0DD1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54112"/>
        <c:axId val="366609120"/>
      </c:lineChart>
      <c:catAx>
        <c:axId val="41355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09120"/>
        <c:crosses val="autoZero"/>
        <c:auto val="1"/>
        <c:lblAlgn val="ctr"/>
        <c:lblOffset val="100"/>
        <c:noMultiLvlLbl val="0"/>
      </c:catAx>
      <c:valAx>
        <c:axId val="366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Using Internet -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'Problems 26.5 - 26.9'!$A$4:$A$19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'Problems 26.5 - 26.9'!$C$4:$C$15</c:f>
              <c:numCache>
                <c:formatCode>0.00</c:formatCode>
                <c:ptCount val="12"/>
                <c:pt idx="0">
                  <c:v>6.4080807949410096E-2</c:v>
                </c:pt>
                <c:pt idx="1">
                  <c:v>8.9901370457273005E-2</c:v>
                </c:pt>
                <c:pt idx="2">
                  <c:v>0.32046197554232703</c:v>
                </c:pt>
                <c:pt idx="3">
                  <c:v>0.55857624486052104</c:v>
                </c:pt>
                <c:pt idx="4">
                  <c:v>1.2861376413452701</c:v>
                </c:pt>
                <c:pt idx="5">
                  <c:v>3.5491557179649198</c:v>
                </c:pt>
                <c:pt idx="6">
                  <c:v>5.5450360830053604</c:v>
                </c:pt>
                <c:pt idx="7">
                  <c:v>6.77</c:v>
                </c:pt>
                <c:pt idx="8">
                  <c:v>15.86</c:v>
                </c:pt>
                <c:pt idx="9">
                  <c:v>20</c:v>
                </c:pt>
                <c:pt idx="10">
                  <c:v>24</c:v>
                </c:pt>
                <c:pt idx="11">
                  <c:v>28.43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6-3D41-8F9A-8CE871B592E0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'Problems 26.5 - 26.9'!$A$4:$A$19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'Problems 26.5 - 26.9'!$D$4:$D$19</c:f>
              <c:numCache>
                <c:formatCode>General</c:formatCode>
                <c:ptCount val="16"/>
                <c:pt idx="0">
                  <c:v>7.8784363753814743E-2</c:v>
                </c:pt>
                <c:pt idx="1">
                  <c:v>0.16184475867400475</c:v>
                </c:pt>
                <c:pt idx="2">
                  <c:v>0.3315670943340806</c:v>
                </c:pt>
                <c:pt idx="3">
                  <c:v>0.67550903798361162</c:v>
                </c:pt>
                <c:pt idx="4">
                  <c:v>1.3609482515502207</c:v>
                </c:pt>
                <c:pt idx="5">
                  <c:v>2.6825417238863745</c:v>
                </c:pt>
                <c:pt idx="6">
                  <c:v>5.0756417417885595</c:v>
                </c:pt>
                <c:pt idx="7">
                  <c:v>8.9539550576618616</c:v>
                </c:pt>
                <c:pt idx="8">
                  <c:v>14.235061009670325</c:v>
                </c:pt>
                <c:pt idx="9">
                  <c:v>19.947324646058043</c:v>
                </c:pt>
                <c:pt idx="10">
                  <c:v>24.774145921557242</c:v>
                </c:pt>
                <c:pt idx="11">
                  <c:v>30.012180397148299</c:v>
                </c:pt>
                <c:pt idx="12">
                  <c:v>31.054102501811041</c:v>
                </c:pt>
                <c:pt idx="13">
                  <c:v>31.586520973536786</c:v>
                </c:pt>
                <c:pt idx="14">
                  <c:v>31.851663794139078</c:v>
                </c:pt>
                <c:pt idx="15">
                  <c:v>31.982009715272945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6-3D41-8F9A-8CE871B5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86831"/>
        <c:axId val="2120942895"/>
      </c:lineChart>
      <c:catAx>
        <c:axId val="212028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42895"/>
        <c:crosses val="autoZero"/>
        <c:auto val="1"/>
        <c:lblAlgn val="ctr"/>
        <c:lblOffset val="100"/>
        <c:noMultiLvlLbl val="0"/>
      </c:catAx>
      <c:valAx>
        <c:axId val="21209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8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'Problems 26.5 - 26.9'!$A$27:$A$42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'Problems 26.5 - 26.9'!$C$27:$C$38</c:f>
              <c:numCache>
                <c:formatCode>0.00</c:formatCode>
                <c:ptCount val="12"/>
                <c:pt idx="0">
                  <c:v>43.079162637520099</c:v>
                </c:pt>
                <c:pt idx="1">
                  <c:v>49.080831589695102</c:v>
                </c:pt>
                <c:pt idx="2">
                  <c:v>58.785403883695203</c:v>
                </c:pt>
                <c:pt idx="3">
                  <c:v>61.6971171244207</c:v>
                </c:pt>
                <c:pt idx="4">
                  <c:v>64.758256475989597</c:v>
                </c:pt>
                <c:pt idx="5">
                  <c:v>67.968052915002005</c:v>
                </c:pt>
                <c:pt idx="6">
                  <c:v>68.931193269972098</c:v>
                </c:pt>
                <c:pt idx="7">
                  <c:v>75</c:v>
                </c:pt>
                <c:pt idx="8">
                  <c:v>74</c:v>
                </c:pt>
                <c:pt idx="9">
                  <c:v>71</c:v>
                </c:pt>
                <c:pt idx="10">
                  <c:v>74</c:v>
                </c:pt>
                <c:pt idx="11">
                  <c:v>77.863021000000003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5-B942-820B-EB376E41F6AA}"/>
            </c:ext>
          </c:extLst>
        </c:ser>
        <c:ser>
          <c:idx val="3"/>
          <c:order val="1"/>
          <c:tx>
            <c:v>Forecast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'Problems 26.5 - 26.9'!$A$27:$A$42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'Problems 26.5 - 26.9'!$D$27:$D$42</c:f>
              <c:numCache>
                <c:formatCode>General</c:formatCode>
                <c:ptCount val="16"/>
                <c:pt idx="0">
                  <c:v>43.369637594695256</c:v>
                </c:pt>
                <c:pt idx="1">
                  <c:v>50.270203958657511</c:v>
                </c:pt>
                <c:pt idx="2">
                  <c:v>56.369575615622487</c:v>
                </c:pt>
                <c:pt idx="3">
                  <c:v>61.43901688564479</c:v>
                </c:pt>
                <c:pt idx="4">
                  <c:v>65.441308153550281</c:v>
                </c:pt>
                <c:pt idx="5">
                  <c:v>68.474754412008053</c:v>
                </c:pt>
                <c:pt idx="6">
                  <c:v>70.703532524461238</c:v>
                </c:pt>
                <c:pt idx="7">
                  <c:v>72.303974412042763</c:v>
                </c:pt>
                <c:pt idx="8">
                  <c:v>73.434394068460151</c:v>
                </c:pt>
                <c:pt idx="9">
                  <c:v>74.223545988255538</c:v>
                </c:pt>
                <c:pt idx="10">
                  <c:v>74.769969899720621</c:v>
                </c:pt>
                <c:pt idx="11">
                  <c:v>75.404200735447645</c:v>
                </c:pt>
                <c:pt idx="12">
                  <c:v>75.580679025230154</c:v>
                </c:pt>
                <c:pt idx="13">
                  <c:v>75.701165889574739</c:v>
                </c:pt>
                <c:pt idx="14">
                  <c:v>75.783322770754097</c:v>
                </c:pt>
                <c:pt idx="15">
                  <c:v>75.839295573605696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5-B942-820B-EB376E4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411263"/>
        <c:axId val="11307104"/>
      </c:lineChart>
      <c:catAx>
        <c:axId val="21324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104"/>
        <c:crosses val="autoZero"/>
        <c:auto val="1"/>
        <c:lblAlgn val="ctr"/>
        <c:lblOffset val="100"/>
        <c:noMultiLvlLbl val="0"/>
      </c:catAx>
      <c:valAx>
        <c:axId val="11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'Problems 26.5 - 26.9'!$C$51:$C$62</c:f>
              <c:numCache>
                <c:formatCode>0.00</c:formatCode>
                <c:ptCount val="12"/>
                <c:pt idx="0">
                  <c:v>45.687652212228201</c:v>
                </c:pt>
                <c:pt idx="1">
                  <c:v>51.765664937280803</c:v>
                </c:pt>
                <c:pt idx="2">
                  <c:v>70.569999999999993</c:v>
                </c:pt>
                <c:pt idx="3">
                  <c:v>79.13</c:v>
                </c:pt>
                <c:pt idx="4">
                  <c:v>83.89</c:v>
                </c:pt>
                <c:pt idx="5">
                  <c:v>84.83</c:v>
                </c:pt>
                <c:pt idx="6">
                  <c:v>87.76</c:v>
                </c:pt>
                <c:pt idx="7">
                  <c:v>82.01</c:v>
                </c:pt>
                <c:pt idx="8">
                  <c:v>90</c:v>
                </c:pt>
                <c:pt idx="9">
                  <c:v>91</c:v>
                </c:pt>
                <c:pt idx="10">
                  <c:v>90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6-B349-A20C-41C10AC392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'Problems 26.5 - 26.9'!$D$51:$D$62</c:f>
              <c:numCache>
                <c:formatCode>General</c:formatCode>
                <c:ptCount val="12"/>
                <c:pt idx="0">
                  <c:v>43.167853495379212</c:v>
                </c:pt>
                <c:pt idx="1">
                  <c:v>56.989558714986401</c:v>
                </c:pt>
                <c:pt idx="2">
                  <c:v>68.693941789355961</c:v>
                </c:pt>
                <c:pt idx="3">
                  <c:v>77.122717004149308</c:v>
                </c:pt>
                <c:pt idx="4">
                  <c:v>82.51015592377199</c:v>
                </c:pt>
                <c:pt idx="5">
                  <c:v>85.695733274011204</c:v>
                </c:pt>
                <c:pt idx="6">
                  <c:v>87.493297638333516</c:v>
                </c:pt>
                <c:pt idx="7">
                  <c:v>88.480949628195077</c:v>
                </c:pt>
                <c:pt idx="8">
                  <c:v>89.015667287054356</c:v>
                </c:pt>
                <c:pt idx="9">
                  <c:v>89.302857094662357</c:v>
                </c:pt>
                <c:pt idx="10">
                  <c:v>89.456440078085436</c:v>
                </c:pt>
                <c:pt idx="11">
                  <c:v>89.582050930192395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6-B349-A20C-41C10AC3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035088"/>
        <c:axId val="1769036784"/>
      </c:lineChart>
      <c:catAx>
        <c:axId val="176903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6784"/>
        <c:crosses val="autoZero"/>
        <c:auto val="1"/>
        <c:lblAlgn val="ctr"/>
        <c:lblOffset val="100"/>
        <c:noMultiLvlLbl val="0"/>
      </c:catAx>
      <c:valAx>
        <c:axId val="17690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  <a:r>
              <a:rPr lang="en-US" baseline="0"/>
              <a:t> Per 1000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26.12'!$A$6:$A$18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'Problem 26.12'!$E$6:$E$14</c:f>
              <c:numCache>
                <c:formatCode>_(* #,##0.00_);_(* \(#,##0.00\);_(* "-"??_);_(@_)</c:formatCode>
                <c:ptCount val="9"/>
                <c:pt idx="0">
                  <c:v>0.15625</c:v>
                </c:pt>
                <c:pt idx="1">
                  <c:v>0.84615384615384615</c:v>
                </c:pt>
                <c:pt idx="2">
                  <c:v>1.8461538461538463</c:v>
                </c:pt>
                <c:pt idx="3">
                  <c:v>7.5757575757575761</c:v>
                </c:pt>
                <c:pt idx="4">
                  <c:v>14.925373134328359</c:v>
                </c:pt>
                <c:pt idx="5">
                  <c:v>51.470588235294116</c:v>
                </c:pt>
                <c:pt idx="6">
                  <c:v>88.115942028985501</c:v>
                </c:pt>
                <c:pt idx="7">
                  <c:v>120.71428571428571</c:v>
                </c:pt>
                <c:pt idx="8">
                  <c:v>140.8450704225352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F-3A4D-AB8F-94792D8067EB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26.12'!$A$6:$A$18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'Problem 26.12'!$F$6:$F$18</c:f>
              <c:numCache>
                <c:formatCode>General</c:formatCode>
                <c:ptCount val="13"/>
                <c:pt idx="0">
                  <c:v>0.23165868405863616</c:v>
                </c:pt>
                <c:pt idx="1">
                  <c:v>0.72330144688400211</c:v>
                </c:pt>
                <c:pt idx="2">
                  <c:v>2.2426343604546783</c:v>
                </c:pt>
                <c:pt idx="3">
                  <c:v>6.8070747819336974</c:v>
                </c:pt>
                <c:pt idx="4">
                  <c:v>19.432926751272429</c:v>
                </c:pt>
                <c:pt idx="5">
                  <c:v>47.641163418867684</c:v>
                </c:pt>
                <c:pt idx="6">
                  <c:v>88.77898833872338</c:v>
                </c:pt>
                <c:pt idx="7">
                  <c:v>122.56305799174287</c:v>
                </c:pt>
                <c:pt idx="8">
                  <c:v>139.5104075822706</c:v>
                </c:pt>
                <c:pt idx="9">
                  <c:v>145.95281341986333</c:v>
                </c:pt>
                <c:pt idx="10">
                  <c:v>148.13653396330668</c:v>
                </c:pt>
                <c:pt idx="11">
                  <c:v>148.84745178508157</c:v>
                </c:pt>
                <c:pt idx="12">
                  <c:v>149.07583168176927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F-3A4D-AB8F-94792D80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87696"/>
        <c:axId val="1781918368"/>
      </c:lineChart>
      <c:catAx>
        <c:axId val="17787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18368"/>
        <c:crosses val="autoZero"/>
        <c:auto val="1"/>
        <c:lblAlgn val="ctr"/>
        <c:lblOffset val="100"/>
        <c:noMultiLvlLbl val="0"/>
      </c:catAx>
      <c:valAx>
        <c:axId val="1781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</xdr:row>
      <xdr:rowOff>279400</xdr:rowOff>
    </xdr:from>
    <xdr:to>
      <xdr:col>15</xdr:col>
      <xdr:colOff>355600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B841A-05CF-5E45-A4C3-828AE1AB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565150</xdr:colOff>
      <xdr:row>2</xdr:row>
      <xdr:rowOff>25400</xdr:rowOff>
    </xdr:from>
    <xdr:to>
      <xdr:col>18</xdr:col>
      <xdr:colOff>184150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AD42F2-EAFE-B442-A850-CD96AC366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3</xdr:row>
      <xdr:rowOff>88900</xdr:rowOff>
    </xdr:from>
    <xdr:to>
      <xdr:col>15</xdr:col>
      <xdr:colOff>82550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BAE95-D060-8446-B87B-84D544C7F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2</xdr:row>
      <xdr:rowOff>6350</xdr:rowOff>
    </xdr:from>
    <xdr:to>
      <xdr:col>17</xdr:col>
      <xdr:colOff>95250</xdr:colOff>
      <xdr:row>15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3EBB4-DF3A-2D45-95C7-9866BB19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30</xdr:row>
      <xdr:rowOff>6350</xdr:rowOff>
    </xdr:from>
    <xdr:to>
      <xdr:col>17</xdr:col>
      <xdr:colOff>82550</xdr:colOff>
      <xdr:row>43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47EAD-8433-5B4F-B6ED-A117D61A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0</xdr:row>
      <xdr:rowOff>260350</xdr:rowOff>
    </xdr:from>
    <xdr:to>
      <xdr:col>17</xdr:col>
      <xdr:colOff>381000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5BC0A-29DC-4148-8A23-3272F506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387350</xdr:colOff>
      <xdr:row>24</xdr:row>
      <xdr:rowOff>133350</xdr:rowOff>
    </xdr:from>
    <xdr:to>
      <xdr:col>17</xdr:col>
      <xdr:colOff>444500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A4C21-8F80-BA4B-A6B7-A59241CAC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768350</xdr:colOff>
      <xdr:row>46</xdr:row>
      <xdr:rowOff>19050</xdr:rowOff>
    </xdr:from>
    <xdr:to>
      <xdr:col>17</xdr:col>
      <xdr:colOff>387350</xdr:colOff>
      <xdr:row>59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9789E-404B-5B43-8183-0D0544B28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1</xdr:row>
      <xdr:rowOff>6350</xdr:rowOff>
    </xdr:from>
    <xdr:to>
      <xdr:col>16</xdr:col>
      <xdr:colOff>793750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92A0C-D11E-6D4E-AFD3-9F5720D9D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2</xdr:row>
      <xdr:rowOff>133350</xdr:rowOff>
    </xdr:from>
    <xdr:to>
      <xdr:col>15</xdr:col>
      <xdr:colOff>628650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36DEA-6C18-8144-87F1-CE8AA4270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21</xdr:row>
      <xdr:rowOff>196850</xdr:rowOff>
    </xdr:from>
    <xdr:to>
      <xdr:col>15</xdr:col>
      <xdr:colOff>438150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38A59C-2FC5-624F-8D9F-B77287EAD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F21" sqref="F21"/>
    </sheetView>
  </sheetViews>
  <sheetFormatPr baseColWidth="10" defaultRowHeight="16"/>
  <cols>
    <col min="3" max="3" width="13.83203125" bestFit="1" customWidth="1"/>
    <col min="7" max="7" width="2.33203125" customWidth="1"/>
    <col min="8" max="8" width="13" bestFit="1" customWidth="1"/>
  </cols>
  <sheetData>
    <row r="2" spans="1:9" ht="24">
      <c r="A2" s="8" t="s">
        <v>10</v>
      </c>
    </row>
    <row r="3" spans="1:9">
      <c r="E3" t="s">
        <v>9</v>
      </c>
      <c r="F3" s="6">
        <f>SUM(F6:F19)</f>
        <v>42.636414641617861</v>
      </c>
      <c r="H3" s="2" t="s">
        <v>3</v>
      </c>
      <c r="I3" s="4">
        <v>118.16129700869499</v>
      </c>
    </row>
    <row r="4" spans="1:9">
      <c r="H4" s="3" t="s">
        <v>4</v>
      </c>
      <c r="I4" s="5">
        <v>11.618437688619023</v>
      </c>
    </row>
    <row r="5" spans="1:9">
      <c r="A5" s="1" t="s">
        <v>2</v>
      </c>
      <c r="B5" s="1" t="s">
        <v>0</v>
      </c>
      <c r="C5" s="1" t="s">
        <v>1</v>
      </c>
      <c r="D5" s="1" t="s">
        <v>6</v>
      </c>
      <c r="E5" s="1" t="s">
        <v>7</v>
      </c>
      <c r="F5" s="1" t="s">
        <v>8</v>
      </c>
      <c r="H5" s="3" t="s">
        <v>5</v>
      </c>
      <c r="I5" s="5">
        <v>0.31944886402936978</v>
      </c>
    </row>
    <row r="6" spans="1:9">
      <c r="A6" s="1">
        <v>1</v>
      </c>
      <c r="B6" s="1">
        <v>2001</v>
      </c>
      <c r="C6" s="1">
        <v>15</v>
      </c>
      <c r="D6" s="7">
        <f t="shared" ref="D6:D19" si="0">L/(1+a*EXP(-b*A6))</f>
        <v>12.515272363536365</v>
      </c>
      <c r="E6">
        <f>C6-D6</f>
        <v>2.484727636463635</v>
      </c>
      <c r="F6">
        <f>E6^2</f>
        <v>6.1738714274061621</v>
      </c>
    </row>
    <row r="7" spans="1:9">
      <c r="A7" s="1">
        <v>2</v>
      </c>
      <c r="B7" s="1">
        <v>2002</v>
      </c>
      <c r="C7" s="1">
        <v>19</v>
      </c>
      <c r="D7" s="7">
        <f t="shared" si="0"/>
        <v>16.565277562556496</v>
      </c>
      <c r="E7">
        <f t="shared" ref="E7:E16" si="1">C7-D7</f>
        <v>2.4347224374435044</v>
      </c>
      <c r="F7">
        <f t="shared" ref="F7:F16" si="2">E7^2</f>
        <v>5.9278733473908387</v>
      </c>
    </row>
    <row r="8" spans="1:9">
      <c r="A8" s="1">
        <v>3</v>
      </c>
      <c r="B8" s="1">
        <v>2003</v>
      </c>
      <c r="C8" s="1">
        <v>22</v>
      </c>
      <c r="D8" s="7">
        <f t="shared" si="0"/>
        <v>21.657214163104047</v>
      </c>
      <c r="E8">
        <f t="shared" si="1"/>
        <v>0.34278583689595266</v>
      </c>
      <c r="F8">
        <f t="shared" si="2"/>
        <v>0.11750212997645866</v>
      </c>
      <c r="H8" t="s">
        <v>20</v>
      </c>
      <c r="I8">
        <f>STDEV(E6:E16)</f>
        <v>2.0600997778356485</v>
      </c>
    </row>
    <row r="9" spans="1:9">
      <c r="A9" s="1">
        <v>4</v>
      </c>
      <c r="B9" s="1">
        <v>2004</v>
      </c>
      <c r="C9" s="1">
        <v>26</v>
      </c>
      <c r="D9" s="7">
        <f t="shared" si="0"/>
        <v>27.884748363202185</v>
      </c>
      <c r="E9">
        <f t="shared" si="1"/>
        <v>-1.8847483632021849</v>
      </c>
      <c r="F9">
        <f t="shared" si="2"/>
        <v>3.5522763925933147</v>
      </c>
    </row>
    <row r="10" spans="1:9">
      <c r="A10" s="1">
        <v>5</v>
      </c>
      <c r="B10" s="1">
        <v>2005</v>
      </c>
      <c r="C10" s="1">
        <v>32</v>
      </c>
      <c r="D10" s="7">
        <f t="shared" si="0"/>
        <v>35.248932093319787</v>
      </c>
      <c r="E10">
        <f t="shared" si="1"/>
        <v>-3.2489320933197874</v>
      </c>
      <c r="F10">
        <f t="shared" si="2"/>
        <v>10.555559747003295</v>
      </c>
    </row>
    <row r="11" spans="1:9">
      <c r="A11" s="1">
        <v>6</v>
      </c>
      <c r="B11" s="1">
        <v>2006</v>
      </c>
      <c r="C11" s="1">
        <v>42</v>
      </c>
      <c r="D11" s="7">
        <f t="shared" si="0"/>
        <v>43.618278121018541</v>
      </c>
      <c r="E11">
        <f t="shared" si="1"/>
        <v>-1.6182781210185411</v>
      </c>
      <c r="F11">
        <f t="shared" si="2"/>
        <v>2.6188240769672997</v>
      </c>
    </row>
    <row r="12" spans="1:9">
      <c r="A12" s="1">
        <v>7</v>
      </c>
      <c r="B12" s="1">
        <v>2007</v>
      </c>
      <c r="C12" s="1">
        <v>53</v>
      </c>
      <c r="D12" s="7">
        <f t="shared" si="0"/>
        <v>52.711456170768201</v>
      </c>
      <c r="E12">
        <f t="shared" si="1"/>
        <v>0.28854382923179855</v>
      </c>
      <c r="F12">
        <f t="shared" si="2"/>
        <v>8.3257541387749323E-2</v>
      </c>
    </row>
    <row r="13" spans="1:9">
      <c r="A13" s="1">
        <v>8</v>
      </c>
      <c r="B13" s="1">
        <v>2008</v>
      </c>
      <c r="C13" s="1">
        <v>64</v>
      </c>
      <c r="D13" s="7">
        <f t="shared" si="0"/>
        <v>62.120544675674552</v>
      </c>
      <c r="E13">
        <f t="shared" si="1"/>
        <v>1.8794553243254484</v>
      </c>
      <c r="F13">
        <f t="shared" si="2"/>
        <v>3.5323523161352761</v>
      </c>
    </row>
    <row r="14" spans="1:9">
      <c r="A14" s="1">
        <v>9</v>
      </c>
      <c r="B14" s="1">
        <v>2009</v>
      </c>
      <c r="C14" s="1">
        <v>74</v>
      </c>
      <c r="D14" s="7">
        <f t="shared" si="0"/>
        <v>71.377520225148601</v>
      </c>
      <c r="E14">
        <f t="shared" si="1"/>
        <v>2.6224797748513993</v>
      </c>
      <c r="F14">
        <f t="shared" si="2"/>
        <v>6.8774001695046456</v>
      </c>
    </row>
    <row r="15" spans="1:9">
      <c r="A15" s="1">
        <v>10</v>
      </c>
      <c r="B15" s="1">
        <v>2010</v>
      </c>
      <c r="C15" s="1">
        <v>80</v>
      </c>
      <c r="D15" s="7">
        <f t="shared" si="0"/>
        <v>80.04366518859905</v>
      </c>
      <c r="E15">
        <f t="shared" si="1"/>
        <v>-4.3665188599049998E-2</v>
      </c>
      <c r="F15">
        <f t="shared" si="2"/>
        <v>1.9066486953906059E-3</v>
      </c>
    </row>
    <row r="16" spans="1:9">
      <c r="A16" s="1">
        <v>11</v>
      </c>
      <c r="B16" s="1">
        <v>2011</v>
      </c>
      <c r="C16" s="1">
        <v>86</v>
      </c>
      <c r="D16" s="7">
        <f t="shared" si="0"/>
        <v>87.787621560777737</v>
      </c>
      <c r="E16">
        <f t="shared" si="1"/>
        <v>-1.7876215607777368</v>
      </c>
      <c r="F16">
        <f t="shared" si="2"/>
        <v>3.1955908445574317</v>
      </c>
    </row>
    <row r="17" spans="1:4">
      <c r="A17" s="1">
        <v>12</v>
      </c>
      <c r="B17" s="1">
        <v>2012</v>
      </c>
      <c r="C17" s="1"/>
      <c r="D17" s="7">
        <f t="shared" si="0"/>
        <v>94.424859701661305</v>
      </c>
    </row>
    <row r="18" spans="1:4">
      <c r="A18" s="1">
        <v>13</v>
      </c>
      <c r="B18" s="1">
        <v>2013</v>
      </c>
      <c r="C18" s="1"/>
      <c r="D18" s="7">
        <f t="shared" si="0"/>
        <v>99.913214384429949</v>
      </c>
    </row>
    <row r="19" spans="1:4">
      <c r="A19" s="1">
        <v>14</v>
      </c>
      <c r="B19" s="1">
        <v>2014</v>
      </c>
      <c r="C19" s="1"/>
      <c r="D19" s="7">
        <f t="shared" si="0"/>
        <v>104.31858690107062</v>
      </c>
    </row>
  </sheetData>
  <conditionalFormatting sqref="E6:E16">
    <cfRule type="expression" dxfId="0" priority="1">
      <formula>ABS(E6)&gt;=2*$I$8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K25" sqref="K25"/>
    </sheetView>
  </sheetViews>
  <sheetFormatPr baseColWidth="10" defaultRowHeight="16"/>
  <cols>
    <col min="6" max="6" width="15.1640625" customWidth="1"/>
    <col min="11" max="11" width="12.83203125" customWidth="1"/>
  </cols>
  <sheetData>
    <row r="2" spans="1:12">
      <c r="H2" t="s">
        <v>9</v>
      </c>
      <c r="I2" s="6">
        <f>SUM(I5:I19)</f>
        <v>0.19630322801924022</v>
      </c>
    </row>
    <row r="3" spans="1:12">
      <c r="K3" s="3" t="s">
        <v>16</v>
      </c>
      <c r="L3" s="4">
        <v>3.3708471261151898</v>
      </c>
    </row>
    <row r="4" spans="1:12">
      <c r="A4" s="9" t="s">
        <v>11</v>
      </c>
      <c r="B4" s="9" t="s">
        <v>0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6</v>
      </c>
      <c r="H4" s="9" t="s">
        <v>7</v>
      </c>
      <c r="I4" s="9" t="s">
        <v>8</v>
      </c>
      <c r="K4" s="10" t="s">
        <v>17</v>
      </c>
      <c r="L4" s="4">
        <v>1509.2963003475729</v>
      </c>
    </row>
    <row r="5" spans="1:12">
      <c r="A5" s="9">
        <v>1</v>
      </c>
      <c r="B5" s="9">
        <v>2002</v>
      </c>
      <c r="C5" s="9">
        <v>4</v>
      </c>
      <c r="D5" s="9">
        <v>0.21599999999999997</v>
      </c>
      <c r="E5" s="9">
        <v>290</v>
      </c>
      <c r="F5">
        <f>D5*100/E5</f>
        <v>7.4482758620689649E-2</v>
      </c>
      <c r="G5">
        <f t="shared" ref="G5:G23" si="0">(L1_/(1+a1_*EXP(-b1_*A5)))*VLOOKUP(C5,Seasonality_Factors,2)</f>
        <v>7.0093400972872566E-3</v>
      </c>
      <c r="H5">
        <f>F5-G5</f>
        <v>6.7473418523402398E-2</v>
      </c>
      <c r="I5">
        <f>H5^2</f>
        <v>4.5526622072342218E-3</v>
      </c>
      <c r="K5" s="3" t="s">
        <v>18</v>
      </c>
      <c r="L5" s="4">
        <v>0.74716051148474072</v>
      </c>
    </row>
    <row r="6" spans="1:12">
      <c r="A6" s="9">
        <v>2</v>
      </c>
      <c r="B6" s="9">
        <v>2003</v>
      </c>
      <c r="C6" s="9">
        <v>1</v>
      </c>
      <c r="D6" s="9">
        <v>0.16</v>
      </c>
      <c r="E6" s="9">
        <f>E5+0.75</f>
        <v>290.75</v>
      </c>
      <c r="F6">
        <f t="shared" ref="F6:F19" si="1">D6*100/E6</f>
        <v>5.5030094582975066E-2</v>
      </c>
      <c r="G6">
        <f t="shared" si="0"/>
        <v>8.9781271598153647E-3</v>
      </c>
      <c r="H6">
        <f t="shared" ref="H6:H19" si="2">F6-G6</f>
        <v>4.6051967423159701E-2</v>
      </c>
      <c r="I6">
        <f t="shared" ref="I6:I19" si="3">H6^2</f>
        <v>2.1207837035437625E-3</v>
      </c>
      <c r="K6" s="3"/>
      <c r="L6" s="3"/>
    </row>
    <row r="7" spans="1:12">
      <c r="A7" s="9">
        <v>3</v>
      </c>
      <c r="B7" s="9">
        <v>2003</v>
      </c>
      <c r="C7" s="9">
        <v>2</v>
      </c>
      <c r="D7" s="9">
        <v>0.46700000000000003</v>
      </c>
      <c r="E7" s="9">
        <f t="shared" ref="E7:E19" si="4">E6+0.75</f>
        <v>291.5</v>
      </c>
      <c r="F7">
        <f t="shared" si="1"/>
        <v>0.16020583190394513</v>
      </c>
      <c r="G7">
        <f t="shared" si="0"/>
        <v>1.7422463629545311E-2</v>
      </c>
      <c r="H7">
        <f t="shared" si="2"/>
        <v>0.14278336827439983</v>
      </c>
      <c r="I7">
        <f t="shared" si="3"/>
        <v>2.0387090255782888E-2</v>
      </c>
      <c r="K7" s="11" t="s">
        <v>19</v>
      </c>
      <c r="L7" s="3"/>
    </row>
    <row r="8" spans="1:12">
      <c r="A8" s="9">
        <v>4</v>
      </c>
      <c r="B8" s="9">
        <v>2003</v>
      </c>
      <c r="C8" s="9">
        <v>3</v>
      </c>
      <c r="D8" s="9">
        <v>0.4</v>
      </c>
      <c r="E8" s="9">
        <f t="shared" si="4"/>
        <v>292.25</v>
      </c>
      <c r="F8">
        <f t="shared" si="1"/>
        <v>0.13686911890504705</v>
      </c>
      <c r="G8">
        <f t="shared" si="0"/>
        <v>3.3797799941113413E-2</v>
      </c>
      <c r="H8">
        <f t="shared" si="2"/>
        <v>0.10307131896393364</v>
      </c>
      <c r="I8">
        <f t="shared" si="3"/>
        <v>1.0623696792964946E-2</v>
      </c>
      <c r="K8" s="3">
        <v>1</v>
      </c>
      <c r="L8" s="4">
        <v>0.90474507091757472</v>
      </c>
    </row>
    <row r="9" spans="1:12">
      <c r="A9" s="9">
        <v>5</v>
      </c>
      <c r="B9" s="9">
        <v>2003</v>
      </c>
      <c r="C9" s="9">
        <v>4</v>
      </c>
      <c r="D9" s="9">
        <v>0.88</v>
      </c>
      <c r="E9" s="9">
        <f t="shared" si="4"/>
        <v>293</v>
      </c>
      <c r="F9">
        <f t="shared" si="1"/>
        <v>0.30034129692832767</v>
      </c>
      <c r="G9">
        <f t="shared" si="0"/>
        <v>0.13562400748695055</v>
      </c>
      <c r="H9">
        <f t="shared" si="2"/>
        <v>0.16471728944137712</v>
      </c>
      <c r="I9">
        <f t="shared" si="3"/>
        <v>2.7131785440914404E-2</v>
      </c>
      <c r="K9" s="3">
        <v>2</v>
      </c>
      <c r="L9" s="4">
        <v>0.83441184103132593</v>
      </c>
    </row>
    <row r="10" spans="1:12">
      <c r="A10" s="9">
        <v>6</v>
      </c>
      <c r="B10" s="9">
        <v>2004</v>
      </c>
      <c r="C10" s="9">
        <v>1</v>
      </c>
      <c r="D10" s="9">
        <v>0.80700000000000005</v>
      </c>
      <c r="E10" s="9">
        <f t="shared" si="4"/>
        <v>293.75</v>
      </c>
      <c r="F10">
        <f t="shared" si="1"/>
        <v>0.27472340425531916</v>
      </c>
      <c r="G10">
        <f t="shared" si="0"/>
        <v>0.16891606067588683</v>
      </c>
      <c r="H10">
        <f t="shared" si="2"/>
        <v>0.10580734357943233</v>
      </c>
      <c r="I10">
        <f t="shared" si="3"/>
        <v>1.119519395533604E-2</v>
      </c>
      <c r="K10" s="3">
        <v>3</v>
      </c>
      <c r="L10" s="4">
        <v>0.77205836608876977</v>
      </c>
    </row>
    <row r="11" spans="1:12">
      <c r="A11" s="9">
        <v>7</v>
      </c>
      <c r="B11" s="9">
        <v>2004</v>
      </c>
      <c r="C11" s="9">
        <v>2</v>
      </c>
      <c r="D11" s="9">
        <v>0.86</v>
      </c>
      <c r="E11" s="9">
        <f t="shared" si="4"/>
        <v>294.5</v>
      </c>
      <c r="F11">
        <f t="shared" si="1"/>
        <v>0.29202037351443122</v>
      </c>
      <c r="G11">
        <f t="shared" si="0"/>
        <v>0.30979810065596441</v>
      </c>
      <c r="H11">
        <f t="shared" si="2"/>
        <v>-1.7777727141533195E-2</v>
      </c>
      <c r="I11">
        <f t="shared" si="3"/>
        <v>3.1604758231880604E-4</v>
      </c>
      <c r="K11" s="3">
        <v>4</v>
      </c>
      <c r="L11" s="4">
        <v>1.4887847219623309</v>
      </c>
    </row>
    <row r="12" spans="1:12">
      <c r="A12" s="9">
        <v>8</v>
      </c>
      <c r="B12" s="9">
        <v>2004</v>
      </c>
      <c r="C12" s="9">
        <v>3</v>
      </c>
      <c r="D12" s="9">
        <v>2</v>
      </c>
      <c r="E12" s="9">
        <f t="shared" si="4"/>
        <v>295.25</v>
      </c>
      <c r="F12">
        <f t="shared" si="1"/>
        <v>0.67739204064352243</v>
      </c>
      <c r="G12">
        <f t="shared" si="0"/>
        <v>0.53913851468613938</v>
      </c>
      <c r="H12">
        <f t="shared" si="2"/>
        <v>0.13825352595738305</v>
      </c>
      <c r="I12">
        <f t="shared" si="3"/>
        <v>1.911403743964879E-2</v>
      </c>
    </row>
    <row r="13" spans="1:12">
      <c r="A13" s="9">
        <v>9</v>
      </c>
      <c r="B13" s="9">
        <v>2004</v>
      </c>
      <c r="C13" s="9">
        <v>4</v>
      </c>
      <c r="D13" s="9">
        <v>4.5999999999999996</v>
      </c>
      <c r="E13" s="9">
        <f t="shared" si="4"/>
        <v>296</v>
      </c>
      <c r="F13">
        <f t="shared" si="1"/>
        <v>1.5540540540540539</v>
      </c>
      <c r="G13">
        <f t="shared" si="0"/>
        <v>1.7840592464587284</v>
      </c>
      <c r="H13">
        <f t="shared" si="2"/>
        <v>-0.23000519240467443</v>
      </c>
      <c r="I13">
        <f t="shared" si="3"/>
        <v>5.2902388533111307E-2</v>
      </c>
      <c r="K13" t="s">
        <v>21</v>
      </c>
      <c r="L13" s="3">
        <f>AVERAGE(L8:L11)</f>
        <v>1.0000000000000004</v>
      </c>
    </row>
    <row r="14" spans="1:12">
      <c r="A14" s="9">
        <v>10</v>
      </c>
      <c r="B14" s="9">
        <v>2005</v>
      </c>
      <c r="C14" s="9">
        <v>1</v>
      </c>
      <c r="D14" s="9">
        <v>5.3</v>
      </c>
      <c r="E14" s="9">
        <f t="shared" si="4"/>
        <v>296.75</v>
      </c>
      <c r="F14">
        <f t="shared" si="1"/>
        <v>1.7860151642796966</v>
      </c>
      <c r="G14">
        <f t="shared" si="0"/>
        <v>1.6407032253465954</v>
      </c>
      <c r="H14">
        <f t="shared" si="2"/>
        <v>0.14531193893310124</v>
      </c>
      <c r="I14">
        <f t="shared" si="3"/>
        <v>2.1115559596497344E-2</v>
      </c>
    </row>
    <row r="15" spans="1:12">
      <c r="A15" s="9">
        <v>11</v>
      </c>
      <c r="B15" s="9">
        <v>2005</v>
      </c>
      <c r="C15" s="9">
        <v>2</v>
      </c>
      <c r="D15" s="9">
        <v>6.2</v>
      </c>
      <c r="E15" s="9">
        <f t="shared" si="4"/>
        <v>297.5</v>
      </c>
      <c r="F15">
        <f t="shared" si="1"/>
        <v>2.0840336134453783</v>
      </c>
      <c r="G15">
        <f t="shared" si="0"/>
        <v>1.9993036952411427</v>
      </c>
      <c r="H15">
        <f t="shared" si="2"/>
        <v>8.4729918204235588E-2</v>
      </c>
      <c r="I15">
        <f t="shared" si="3"/>
        <v>7.179159038896453E-3</v>
      </c>
      <c r="K15" t="s">
        <v>20</v>
      </c>
      <c r="L15">
        <f>STDEV(H5:H19)</f>
        <v>0.1096010781361547</v>
      </c>
    </row>
    <row r="16" spans="1:12">
      <c r="A16" s="9">
        <v>12</v>
      </c>
      <c r="B16" s="9">
        <v>2005</v>
      </c>
      <c r="C16" s="9">
        <v>3</v>
      </c>
      <c r="D16" s="9">
        <v>6.4</v>
      </c>
      <c r="E16" s="9">
        <f t="shared" si="4"/>
        <v>298.25</v>
      </c>
      <c r="F16">
        <f t="shared" si="1"/>
        <v>2.145850796311819</v>
      </c>
      <c r="G16">
        <f t="shared" si="0"/>
        <v>2.1819832879182068</v>
      </c>
      <c r="H16">
        <f t="shared" si="2"/>
        <v>-3.6132491606387873E-2</v>
      </c>
      <c r="I16">
        <f t="shared" si="3"/>
        <v>1.3055569496856901E-3</v>
      </c>
    </row>
    <row r="17" spans="1:9">
      <c r="A17" s="9">
        <v>13</v>
      </c>
      <c r="B17" s="9">
        <v>2005</v>
      </c>
      <c r="C17" s="9">
        <v>4</v>
      </c>
      <c r="D17" s="9">
        <v>14</v>
      </c>
      <c r="E17" s="9">
        <f t="shared" si="4"/>
        <v>299</v>
      </c>
      <c r="F17">
        <f t="shared" si="1"/>
        <v>4.6822742474916392</v>
      </c>
      <c r="G17">
        <f t="shared" si="0"/>
        <v>4.5986444611434116</v>
      </c>
      <c r="H17">
        <f t="shared" si="2"/>
        <v>8.3629786348227597E-2</v>
      </c>
      <c r="I17">
        <f t="shared" si="3"/>
        <v>6.9939411646501946E-3</v>
      </c>
    </row>
    <row r="18" spans="1:9">
      <c r="A18" s="9">
        <v>14</v>
      </c>
      <c r="B18" s="9">
        <v>2006</v>
      </c>
      <c r="C18" s="9">
        <v>1</v>
      </c>
      <c r="D18" s="9">
        <v>8.5</v>
      </c>
      <c r="E18" s="9">
        <f t="shared" si="4"/>
        <v>299.75</v>
      </c>
      <c r="F18">
        <f t="shared" si="1"/>
        <v>2.8356964136780651</v>
      </c>
      <c r="G18">
        <f t="shared" si="0"/>
        <v>2.9233345231006704</v>
      </c>
      <c r="H18">
        <f t="shared" si="2"/>
        <v>-8.7638109422605304E-2</v>
      </c>
      <c r="I18">
        <f t="shared" si="3"/>
        <v>7.6804382231685404E-3</v>
      </c>
    </row>
    <row r="19" spans="1:9">
      <c r="A19" s="9">
        <v>15</v>
      </c>
      <c r="B19" s="9">
        <v>2006</v>
      </c>
      <c r="C19" s="9">
        <v>2</v>
      </c>
      <c r="D19" s="9">
        <v>8.1</v>
      </c>
      <c r="E19" s="9">
        <f t="shared" si="4"/>
        <v>300.5</v>
      </c>
      <c r="F19">
        <f t="shared" si="1"/>
        <v>2.6955074875207985</v>
      </c>
      <c r="G19">
        <f t="shared" si="0"/>
        <v>2.7562107587299089</v>
      </c>
      <c r="H19">
        <f t="shared" si="2"/>
        <v>-6.0703271209110454E-2</v>
      </c>
      <c r="I19">
        <f t="shared" si="3"/>
        <v>3.6848871354868184E-3</v>
      </c>
    </row>
    <row r="20" spans="1:9">
      <c r="A20" s="9">
        <v>16</v>
      </c>
      <c r="B20" s="9">
        <v>2006</v>
      </c>
      <c r="C20" s="9">
        <v>3</v>
      </c>
      <c r="G20">
        <f t="shared" si="0"/>
        <v>2.5774776874877663</v>
      </c>
    </row>
    <row r="21" spans="1:9">
      <c r="A21" s="9">
        <v>17</v>
      </c>
      <c r="B21" s="9">
        <v>2006</v>
      </c>
      <c r="C21" s="9">
        <v>4</v>
      </c>
      <c r="G21">
        <f t="shared" si="0"/>
        <v>4.995500890973263</v>
      </c>
    </row>
    <row r="22" spans="1:9">
      <c r="A22" s="9">
        <v>18</v>
      </c>
      <c r="B22" s="9">
        <v>2007</v>
      </c>
      <c r="C22" s="9">
        <v>1</v>
      </c>
      <c r="G22">
        <f t="shared" si="0"/>
        <v>3.0431303264613305</v>
      </c>
    </row>
    <row r="23" spans="1:9">
      <c r="A23" s="9">
        <v>19</v>
      </c>
      <c r="B23" s="9">
        <v>2007</v>
      </c>
      <c r="C23" s="9">
        <v>2</v>
      </c>
      <c r="G23">
        <f t="shared" si="0"/>
        <v>2.8097762104426969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baseColWidth="10" defaultRowHeight="16"/>
  <cols>
    <col min="3" max="3" width="13.33203125" bestFit="1" customWidth="1"/>
    <col min="4" max="4" width="12.33203125" customWidth="1"/>
    <col min="8" max="8" width="12.6640625" customWidth="1"/>
  </cols>
  <sheetData>
    <row r="1" spans="1:9" ht="24">
      <c r="A1" s="8" t="s">
        <v>22</v>
      </c>
    </row>
    <row r="2" spans="1:9">
      <c r="H2" s="3" t="s">
        <v>23</v>
      </c>
      <c r="I2" s="4">
        <v>210.04610537559984</v>
      </c>
    </row>
    <row r="3" spans="1:9">
      <c r="E3" t="s">
        <v>9</v>
      </c>
      <c r="F3">
        <f>SUM(F6:F16)</f>
        <v>68.987989399234635</v>
      </c>
      <c r="H3" s="3" t="s">
        <v>24</v>
      </c>
      <c r="I3" s="4">
        <v>0.11996921296162984</v>
      </c>
    </row>
    <row r="4" spans="1:9">
      <c r="H4" s="3" t="s">
        <v>25</v>
      </c>
      <c r="I4" s="4">
        <v>3.2181436199098039</v>
      </c>
    </row>
    <row r="5" spans="1:9">
      <c r="A5" s="1" t="s">
        <v>2</v>
      </c>
      <c r="B5" s="1" t="s">
        <v>0</v>
      </c>
      <c r="C5" s="1" t="s">
        <v>1</v>
      </c>
      <c r="D5" s="1" t="s">
        <v>6</v>
      </c>
      <c r="E5" s="1" t="s">
        <v>7</v>
      </c>
      <c r="F5" s="1" t="s">
        <v>8</v>
      </c>
    </row>
    <row r="6" spans="1:9">
      <c r="A6" s="1">
        <v>1</v>
      </c>
      <c r="B6" s="1">
        <v>2001</v>
      </c>
      <c r="C6" s="1">
        <v>15</v>
      </c>
      <c r="D6">
        <f t="shared" ref="D6:D16" si="0">a2_*EXP(-_c2*EXP(-b2_*A6))</f>
        <v>12.097536494414182</v>
      </c>
      <c r="E6">
        <f>C6-D6</f>
        <v>2.9024635055858177</v>
      </c>
      <c r="F6">
        <f>E6^2</f>
        <v>8.4242944012575141</v>
      </c>
    </row>
    <row r="7" spans="1:9">
      <c r="A7" s="1">
        <v>2</v>
      </c>
      <c r="B7" s="1">
        <v>2002</v>
      </c>
      <c r="C7" s="1">
        <v>19</v>
      </c>
      <c r="D7">
        <f t="shared" si="0"/>
        <v>16.704693791024393</v>
      </c>
      <c r="E7">
        <f t="shared" ref="E7:E16" si="1">C7-D7</f>
        <v>2.2953062089756067</v>
      </c>
      <c r="F7">
        <f t="shared" ref="F7:F16" si="2">E7^2</f>
        <v>5.2684305929619715</v>
      </c>
      <c r="H7" s="3" t="s">
        <v>20</v>
      </c>
      <c r="I7">
        <f>STDEV(E6:E16)</f>
        <v>2.6247488582182941</v>
      </c>
    </row>
    <row r="8" spans="1:9">
      <c r="A8" s="1">
        <v>3</v>
      </c>
      <c r="B8" s="1">
        <v>2003</v>
      </c>
      <c r="C8" s="1">
        <v>22</v>
      </c>
      <c r="D8">
        <f t="shared" si="0"/>
        <v>22.240102043942052</v>
      </c>
      <c r="E8">
        <f t="shared" si="1"/>
        <v>-0.24010204394205203</v>
      </c>
      <c r="F8">
        <f t="shared" si="2"/>
        <v>5.7648991505151084E-2</v>
      </c>
    </row>
    <row r="9" spans="1:9">
      <c r="A9" s="1">
        <v>4</v>
      </c>
      <c r="B9" s="1">
        <v>2004</v>
      </c>
      <c r="C9" s="1">
        <v>26</v>
      </c>
      <c r="D9">
        <f t="shared" si="0"/>
        <v>28.667038757006729</v>
      </c>
      <c r="E9">
        <f t="shared" si="1"/>
        <v>-2.6670387570067291</v>
      </c>
      <c r="F9">
        <f t="shared" si="2"/>
        <v>7.1130957313759984</v>
      </c>
    </row>
    <row r="10" spans="1:9">
      <c r="A10" s="1">
        <v>5</v>
      </c>
      <c r="B10" s="1">
        <v>2005</v>
      </c>
      <c r="C10" s="1">
        <v>32</v>
      </c>
      <c r="D10">
        <f t="shared" si="0"/>
        <v>35.905859394785388</v>
      </c>
      <c r="E10">
        <f t="shared" si="1"/>
        <v>-3.9058593947853879</v>
      </c>
      <c r="F10">
        <f t="shared" si="2"/>
        <v>15.255737611833277</v>
      </c>
    </row>
    <row r="11" spans="1:9">
      <c r="A11" s="1">
        <v>6</v>
      </c>
      <c r="B11" s="1">
        <v>2006</v>
      </c>
      <c r="C11" s="1">
        <v>42</v>
      </c>
      <c r="D11">
        <f t="shared" si="0"/>
        <v>43.842295681320756</v>
      </c>
      <c r="E11">
        <f t="shared" si="1"/>
        <v>-1.8422956813207563</v>
      </c>
      <c r="F11">
        <f t="shared" si="2"/>
        <v>3.3940533774131096</v>
      </c>
    </row>
    <row r="12" spans="1:9">
      <c r="A12" s="1">
        <v>7</v>
      </c>
      <c r="B12" s="1">
        <v>2007</v>
      </c>
      <c r="C12" s="1">
        <v>53</v>
      </c>
      <c r="D12">
        <f t="shared" si="0"/>
        <v>52.337919611084516</v>
      </c>
      <c r="E12">
        <f t="shared" si="1"/>
        <v>0.66208038891548426</v>
      </c>
      <c r="F12">
        <f t="shared" si="2"/>
        <v>0.43835044138647888</v>
      </c>
    </row>
    <row r="13" spans="1:9">
      <c r="A13" s="1">
        <v>8</v>
      </c>
      <c r="B13" s="1">
        <v>2008</v>
      </c>
      <c r="C13" s="1">
        <v>64</v>
      </c>
      <c r="D13">
        <f t="shared" si="0"/>
        <v>61.241142895028673</v>
      </c>
      <c r="E13">
        <f t="shared" si="1"/>
        <v>2.7588571049713266</v>
      </c>
      <c r="F13">
        <f t="shared" si="2"/>
        <v>7.6112925256507697</v>
      </c>
    </row>
    <row r="14" spans="1:9">
      <c r="A14" s="1">
        <v>9</v>
      </c>
      <c r="B14" s="1">
        <v>2009</v>
      </c>
      <c r="C14" s="1">
        <v>74</v>
      </c>
      <c r="D14">
        <f t="shared" si="0"/>
        <v>70.39744884951925</v>
      </c>
      <c r="E14">
        <f t="shared" si="1"/>
        <v>3.6025511504807497</v>
      </c>
      <c r="F14">
        <f t="shared" si="2"/>
        <v>12.978374791830174</v>
      </c>
    </row>
    <row r="15" spans="1:9">
      <c r="A15" s="1">
        <v>10</v>
      </c>
      <c r="B15" s="1">
        <v>2010</v>
      </c>
      <c r="C15" s="1">
        <v>80</v>
      </c>
      <c r="D15">
        <f t="shared" si="0"/>
        <v>79.65799150914296</v>
      </c>
      <c r="E15">
        <f t="shared" si="1"/>
        <v>0.34200849085704021</v>
      </c>
      <c r="F15">
        <f t="shared" si="2"/>
        <v>0.11696980781831016</v>
      </c>
    </row>
    <row r="16" spans="1:9">
      <c r="A16" s="1">
        <v>11</v>
      </c>
      <c r="B16" s="1">
        <v>2011</v>
      </c>
      <c r="C16" s="1">
        <v>86</v>
      </c>
      <c r="D16">
        <f t="shared" si="0"/>
        <v>88.886129090356476</v>
      </c>
      <c r="E16">
        <f t="shared" si="1"/>
        <v>-2.8861290903564765</v>
      </c>
      <c r="F16">
        <f t="shared" si="2"/>
        <v>8.3297411262019025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3"/>
  <sheetViews>
    <sheetView workbookViewId="0">
      <selection activeCell="K19" sqref="K19"/>
    </sheetView>
  </sheetViews>
  <sheetFormatPr baseColWidth="10" defaultRowHeight="16"/>
  <cols>
    <col min="5" max="5" width="15.5" bestFit="1" customWidth="1"/>
    <col min="6" max="6" width="13.33203125" bestFit="1" customWidth="1"/>
    <col min="8" max="8" width="18.33203125" bestFit="1" customWidth="1"/>
    <col min="9" max="9" width="2" customWidth="1"/>
    <col min="10" max="10" width="14.1640625" customWidth="1"/>
  </cols>
  <sheetData>
    <row r="2" spans="1:11">
      <c r="H2" s="13">
        <f>SUM(H5:H22)</f>
        <v>595.40180961074509</v>
      </c>
    </row>
    <row r="3" spans="1:11">
      <c r="J3" s="3" t="s">
        <v>3</v>
      </c>
      <c r="K3" s="4">
        <v>711.03313638255634</v>
      </c>
    </row>
    <row r="4" spans="1:11">
      <c r="A4" s="9" t="s">
        <v>2</v>
      </c>
      <c r="B4" s="9" t="s">
        <v>0</v>
      </c>
      <c r="C4" s="9" t="s">
        <v>26</v>
      </c>
      <c r="D4" s="9" t="s">
        <v>28</v>
      </c>
      <c r="E4" s="9" t="s">
        <v>33</v>
      </c>
      <c r="F4" s="9" t="s">
        <v>27</v>
      </c>
      <c r="G4" s="9" t="s">
        <v>7</v>
      </c>
      <c r="H4" s="9" t="s">
        <v>8</v>
      </c>
      <c r="J4" s="10" t="s">
        <v>4</v>
      </c>
      <c r="K4" s="4">
        <v>252.08072300347246</v>
      </c>
    </row>
    <row r="5" spans="1:11">
      <c r="A5" s="9">
        <v>1</v>
      </c>
      <c r="B5" s="9">
        <v>1985</v>
      </c>
      <c r="C5" s="9">
        <v>340213</v>
      </c>
      <c r="D5" s="9">
        <v>237.55114561992261</v>
      </c>
      <c r="E5" s="9">
        <f>C5/D5/1000</f>
        <v>1.4321673722606854</v>
      </c>
      <c r="F5">
        <f t="shared" ref="F5:F25" si="0">$K$3/(1+$K$4*EXP(-$K$5*A5))</f>
        <v>4.009849159866226</v>
      </c>
      <c r="G5" s="7">
        <f>E5-F5</f>
        <v>-2.5776817876055409</v>
      </c>
      <c r="H5" s="7">
        <f>G5^2</f>
        <v>6.6444433981532969</v>
      </c>
      <c r="J5" s="3" t="s">
        <v>5</v>
      </c>
      <c r="K5" s="4">
        <v>0.35743938677898923</v>
      </c>
    </row>
    <row r="6" spans="1:11">
      <c r="A6" s="9">
        <v>2</v>
      </c>
      <c r="B6" s="9">
        <v>1986</v>
      </c>
      <c r="C6" s="9">
        <v>681825</v>
      </c>
      <c r="D6" s="9">
        <v>239.95065214133598</v>
      </c>
      <c r="E6" s="9">
        <f t="shared" ref="E6:E22" si="1">C6/D6/1000</f>
        <v>2.8415217625597067</v>
      </c>
      <c r="F6">
        <f t="shared" si="0"/>
        <v>5.7188793372153013</v>
      </c>
      <c r="G6" s="7">
        <f t="shared" ref="G6:G22" si="2">E6-F6</f>
        <v>-2.8773575746555946</v>
      </c>
      <c r="H6" s="7">
        <f t="shared" ref="H6:H22" si="3">G6^2</f>
        <v>8.2791866124279263</v>
      </c>
    </row>
    <row r="7" spans="1:11">
      <c r="A7" s="9">
        <v>3</v>
      </c>
      <c r="B7" s="9">
        <v>1987</v>
      </c>
      <c r="C7" s="9">
        <v>1230855</v>
      </c>
      <c r="D7" s="9">
        <v>242.37439610235958</v>
      </c>
      <c r="E7" s="9">
        <f t="shared" si="1"/>
        <v>5.0783210594578856</v>
      </c>
      <c r="F7">
        <f t="shared" si="0"/>
        <v>8.1479177159410945</v>
      </c>
      <c r="G7" s="7">
        <f t="shared" si="2"/>
        <v>-3.0695966564832089</v>
      </c>
      <c r="H7" s="7">
        <f t="shared" si="3"/>
        <v>9.4224236334928957</v>
      </c>
    </row>
    <row r="8" spans="1:11">
      <c r="A8" s="9">
        <v>4</v>
      </c>
      <c r="B8" s="9">
        <v>1988</v>
      </c>
      <c r="C8" s="9">
        <v>2069441</v>
      </c>
      <c r="D8" s="9">
        <v>244.82262232561575</v>
      </c>
      <c r="E8" s="9">
        <f t="shared" si="1"/>
        <v>8.4528177189754512</v>
      </c>
      <c r="F8">
        <f t="shared" si="0"/>
        <v>11.591710550289019</v>
      </c>
      <c r="G8" s="7">
        <f t="shared" si="2"/>
        <v>-3.1388928313135676</v>
      </c>
      <c r="H8" s="7">
        <f t="shared" si="3"/>
        <v>9.852648206471704</v>
      </c>
    </row>
    <row r="9" spans="1:11">
      <c r="A9" s="9">
        <v>5</v>
      </c>
      <c r="B9" s="9">
        <v>1989</v>
      </c>
      <c r="C9" s="9">
        <v>3508944</v>
      </c>
      <c r="D9" s="9">
        <v>247.29557810668257</v>
      </c>
      <c r="E9" s="9">
        <f t="shared" si="1"/>
        <v>14.189271101670295</v>
      </c>
      <c r="F9">
        <f t="shared" si="0"/>
        <v>16.456974816685435</v>
      </c>
      <c r="G9" s="7">
        <f t="shared" si="2"/>
        <v>-2.2677037150151396</v>
      </c>
      <c r="H9" s="7">
        <f t="shared" si="3"/>
        <v>5.1424801390934656</v>
      </c>
    </row>
    <row r="10" spans="1:11">
      <c r="A10" s="9">
        <v>6</v>
      </c>
      <c r="B10" s="9">
        <v>1990</v>
      </c>
      <c r="C10" s="9">
        <v>5283055</v>
      </c>
      <c r="D10" s="9">
        <v>249.79351323907329</v>
      </c>
      <c r="E10" s="9">
        <f t="shared" si="1"/>
        <v>21.149688522710655</v>
      </c>
      <c r="F10">
        <f t="shared" si="0"/>
        <v>23.296269916210754</v>
      </c>
      <c r="G10" s="7">
        <f t="shared" si="2"/>
        <v>-2.1465813935000995</v>
      </c>
      <c r="H10" s="7">
        <f t="shared" si="3"/>
        <v>4.6078116789208288</v>
      </c>
    </row>
    <row r="11" spans="1:11">
      <c r="A11" s="9">
        <v>7</v>
      </c>
      <c r="B11" s="9">
        <v>1991</v>
      </c>
      <c r="C11" s="9">
        <v>7557148</v>
      </c>
      <c r="D11" s="9">
        <v>252.31668003946797</v>
      </c>
      <c r="E11" s="9">
        <f t="shared" si="1"/>
        <v>29.951044056294233</v>
      </c>
      <c r="F11">
        <f t="shared" si="0"/>
        <v>32.84348227295456</v>
      </c>
      <c r="G11" s="7">
        <f t="shared" si="2"/>
        <v>-2.8924382166603273</v>
      </c>
      <c r="H11" s="7">
        <f t="shared" si="3"/>
        <v>8.3661988371971745</v>
      </c>
    </row>
    <row r="12" spans="1:11">
      <c r="A12" s="9">
        <v>8</v>
      </c>
      <c r="B12" s="9">
        <v>1992</v>
      </c>
      <c r="C12" s="9">
        <v>11032753</v>
      </c>
      <c r="D12" s="9">
        <v>254.86533337319997</v>
      </c>
      <c r="E12" s="9">
        <f t="shared" si="1"/>
        <v>43.288558918465036</v>
      </c>
      <c r="F12">
        <f t="shared" si="0"/>
        <v>46.041372053598565</v>
      </c>
      <c r="G12" s="7">
        <f t="shared" si="2"/>
        <v>-2.752813135133529</v>
      </c>
      <c r="H12" s="7">
        <f t="shared" si="3"/>
        <v>7.5779801569636893</v>
      </c>
    </row>
    <row r="13" spans="1:11">
      <c r="A13" s="9">
        <v>9</v>
      </c>
      <c r="B13" s="9">
        <v>1993</v>
      </c>
      <c r="C13" s="9">
        <v>16009461</v>
      </c>
      <c r="D13" s="9">
        <v>257.43973067999997</v>
      </c>
      <c r="E13" s="9">
        <f t="shared" si="1"/>
        <v>62.187219345330625</v>
      </c>
      <c r="F13">
        <f t="shared" si="0"/>
        <v>64.04191795851915</v>
      </c>
      <c r="G13" s="7">
        <f t="shared" si="2"/>
        <v>-1.8546986131885248</v>
      </c>
      <c r="H13" s="7">
        <f t="shared" si="3"/>
        <v>3.439906945763437</v>
      </c>
    </row>
    <row r="14" spans="1:11">
      <c r="A14" s="9">
        <v>10</v>
      </c>
      <c r="B14" s="9">
        <v>1994</v>
      </c>
      <c r="C14" s="9">
        <v>24134421</v>
      </c>
      <c r="D14" s="9">
        <v>260.04013199999997</v>
      </c>
      <c r="E14" s="9">
        <f t="shared" si="1"/>
        <v>92.810370516194027</v>
      </c>
      <c r="F14">
        <f t="shared" si="0"/>
        <v>88.147182413228393</v>
      </c>
      <c r="G14" s="7">
        <f t="shared" si="2"/>
        <v>4.6631881029656341</v>
      </c>
      <c r="H14" s="7">
        <f t="shared" si="3"/>
        <v>21.745323283640229</v>
      </c>
    </row>
    <row r="15" spans="1:11">
      <c r="A15" s="9">
        <v>11</v>
      </c>
      <c r="B15" s="9">
        <v>1995</v>
      </c>
      <c r="C15" s="9">
        <v>33758661</v>
      </c>
      <c r="D15" s="9">
        <v>262.66679999999997</v>
      </c>
      <c r="E15" s="9">
        <f t="shared" si="1"/>
        <v>128.52275582601229</v>
      </c>
      <c r="F15">
        <f t="shared" si="0"/>
        <v>119.64772776327801</v>
      </c>
      <c r="G15" s="7">
        <f t="shared" si="2"/>
        <v>8.8750280627342732</v>
      </c>
      <c r="H15" s="7">
        <f t="shared" si="3"/>
        <v>78.766123114320862</v>
      </c>
    </row>
    <row r="16" spans="1:11">
      <c r="A16" s="9">
        <v>12</v>
      </c>
      <c r="B16" s="9">
        <v>1996</v>
      </c>
      <c r="C16" s="9">
        <v>44042992</v>
      </c>
      <c r="D16" s="9">
        <v>265.32</v>
      </c>
      <c r="E16" s="9">
        <f t="shared" si="1"/>
        <v>165.99951756369666</v>
      </c>
      <c r="F16">
        <f t="shared" si="0"/>
        <v>159.52242853563234</v>
      </c>
      <c r="G16" s="7">
        <f t="shared" si="2"/>
        <v>6.477089028064313</v>
      </c>
      <c r="H16" s="7">
        <f t="shared" si="3"/>
        <v>41.952682277471105</v>
      </c>
    </row>
    <row r="17" spans="1:14">
      <c r="A17" s="9">
        <v>13</v>
      </c>
      <c r="B17" s="9">
        <v>1997</v>
      </c>
      <c r="C17" s="9">
        <v>55312293</v>
      </c>
      <c r="D17" s="9">
        <v>268</v>
      </c>
      <c r="E17" s="9">
        <f t="shared" si="1"/>
        <v>206.38915298507462</v>
      </c>
      <c r="F17">
        <f t="shared" si="0"/>
        <v>208.01186491522898</v>
      </c>
      <c r="G17" s="7">
        <f t="shared" si="2"/>
        <v>-1.6227119301543667</v>
      </c>
      <c r="H17" s="7">
        <f t="shared" si="3"/>
        <v>2.6331940082653102</v>
      </c>
    </row>
    <row r="18" spans="1:14">
      <c r="A18" s="9">
        <v>14</v>
      </c>
      <c r="B18" s="9">
        <v>1998</v>
      </c>
      <c r="C18" s="9">
        <v>69209321</v>
      </c>
      <c r="D18" s="9">
        <v>270.68</v>
      </c>
      <c r="E18" s="9">
        <f t="shared" si="1"/>
        <v>255.68686641052165</v>
      </c>
      <c r="F18">
        <f t="shared" si="0"/>
        <v>264.18022363448949</v>
      </c>
      <c r="G18" s="7">
        <f t="shared" si="2"/>
        <v>-8.4933572239678483</v>
      </c>
      <c r="H18" s="7">
        <f t="shared" si="3"/>
        <v>72.137116933926833</v>
      </c>
    </row>
    <row r="19" spans="1:14">
      <c r="A19" s="9">
        <v>15</v>
      </c>
      <c r="B19" s="9">
        <v>1999</v>
      </c>
      <c r="C19" s="9">
        <v>86047003</v>
      </c>
      <c r="D19" s="9">
        <v>273.38679999999999</v>
      </c>
      <c r="E19" s="9">
        <f t="shared" si="1"/>
        <v>314.74454143360254</v>
      </c>
      <c r="F19">
        <f t="shared" si="0"/>
        <v>325.69522956965506</v>
      </c>
      <c r="G19" s="7">
        <f t="shared" si="2"/>
        <v>-10.95068813605252</v>
      </c>
      <c r="H19" s="7">
        <f t="shared" si="3"/>
        <v>119.91757065308141</v>
      </c>
      <c r="J19" t="s">
        <v>29</v>
      </c>
      <c r="K19" s="6">
        <f>LN(K4)/K5</f>
        <v>15.470453369524488</v>
      </c>
      <c r="L19" s="3" t="s">
        <v>30</v>
      </c>
      <c r="M19" t="s">
        <v>31</v>
      </c>
      <c r="N19">
        <f>INT(B5+K19)</f>
        <v>2000</v>
      </c>
    </row>
    <row r="20" spans="1:14">
      <c r="A20" s="9">
        <v>16</v>
      </c>
      <c r="B20" s="9">
        <v>2000</v>
      </c>
      <c r="C20" s="9">
        <v>109478031</v>
      </c>
      <c r="D20" s="9">
        <v>276.12066800000002</v>
      </c>
      <c r="E20" s="9">
        <f t="shared" si="1"/>
        <v>396.48618769819865</v>
      </c>
      <c r="F20">
        <f t="shared" si="0"/>
        <v>389.06270679538858</v>
      </c>
      <c r="G20" s="7">
        <f t="shared" si="2"/>
        <v>7.4234809028100699</v>
      </c>
      <c r="H20" s="7">
        <f t="shared" si="3"/>
        <v>55.108068714385809</v>
      </c>
    </row>
    <row r="21" spans="1:14">
      <c r="A21" s="9">
        <v>17</v>
      </c>
      <c r="B21" s="9">
        <v>2001</v>
      </c>
      <c r="C21" s="9">
        <v>128374512</v>
      </c>
      <c r="D21" s="9">
        <v>278.88187470000003</v>
      </c>
      <c r="E21" s="9">
        <f t="shared" si="1"/>
        <v>460.31859237211296</v>
      </c>
      <c r="F21">
        <f t="shared" si="0"/>
        <v>450.35012950427938</v>
      </c>
      <c r="G21" s="7">
        <f t="shared" si="2"/>
        <v>9.9684628678335798</v>
      </c>
      <c r="H21" s="7">
        <f t="shared" si="3"/>
        <v>99.370251947376872</v>
      </c>
    </row>
    <row r="22" spans="1:14">
      <c r="A22" s="9">
        <v>18</v>
      </c>
      <c r="B22" s="9">
        <v>2002</v>
      </c>
      <c r="C22" s="9">
        <v>140766842</v>
      </c>
      <c r="D22" s="9">
        <v>281.6706934</v>
      </c>
      <c r="E22" s="9">
        <f t="shared" si="1"/>
        <v>499.75679152426869</v>
      </c>
      <c r="F22">
        <f t="shared" si="0"/>
        <v>506.11591088702579</v>
      </c>
      <c r="G22" s="7">
        <f t="shared" si="2"/>
        <v>-6.3591193627570988</v>
      </c>
      <c r="H22" s="7">
        <f t="shared" si="3"/>
        <v>40.438399069792247</v>
      </c>
    </row>
    <row r="23" spans="1:14">
      <c r="A23" s="9">
        <v>19</v>
      </c>
      <c r="B23" s="9"/>
      <c r="C23" s="14">
        <f>D23*F23*1000</f>
        <v>157637030.53883952</v>
      </c>
      <c r="D23" s="9">
        <v>284.48740040000001</v>
      </c>
      <c r="E23" s="9"/>
      <c r="F23" s="6">
        <f t="shared" si="0"/>
        <v>554.10900559109439</v>
      </c>
      <c r="G23" s="7"/>
      <c r="H23" s="7"/>
    </row>
    <row r="24" spans="1:14">
      <c r="A24" s="9">
        <v>20</v>
      </c>
      <c r="B24" s="9"/>
      <c r="C24" s="14">
        <f t="shared" ref="C24:C25" si="4">D24*F24*1000</f>
        <v>170523852.47899544</v>
      </c>
      <c r="D24" s="9">
        <v>287.33227440400003</v>
      </c>
      <c r="E24" s="9"/>
      <c r="F24" s="6">
        <f t="shared" si="0"/>
        <v>593.47267143137731</v>
      </c>
      <c r="G24" s="7"/>
      <c r="H24" s="7"/>
    </row>
    <row r="25" spans="1:14">
      <c r="A25" s="9">
        <v>21</v>
      </c>
      <c r="B25" s="9"/>
      <c r="C25" s="14">
        <f t="shared" si="4"/>
        <v>181234583.06297565</v>
      </c>
      <c r="D25" s="9">
        <v>290.20559714804006</v>
      </c>
      <c r="E25" s="9"/>
      <c r="F25" s="6">
        <f t="shared" si="0"/>
        <v>624.5040924228764</v>
      </c>
      <c r="G25" s="7"/>
      <c r="H25" s="7"/>
    </row>
    <row r="30" spans="1:14" ht="24">
      <c r="A30" s="8" t="s">
        <v>22</v>
      </c>
      <c r="G30" t="s">
        <v>9</v>
      </c>
      <c r="H30" s="13">
        <f>SUM(H33:H50)</f>
        <v>775.11474023954327</v>
      </c>
    </row>
    <row r="31" spans="1:14">
      <c r="J31" s="3" t="s">
        <v>4</v>
      </c>
      <c r="K31" s="4">
        <v>1616.2977921087806</v>
      </c>
    </row>
    <row r="32" spans="1:14">
      <c r="A32" s="9" t="s">
        <v>2</v>
      </c>
      <c r="B32" s="9" t="s">
        <v>0</v>
      </c>
      <c r="C32" s="9" t="s">
        <v>26</v>
      </c>
      <c r="D32" s="9" t="s">
        <v>28</v>
      </c>
      <c r="E32" s="9" t="s">
        <v>33</v>
      </c>
      <c r="F32" s="9" t="s">
        <v>6</v>
      </c>
      <c r="G32" s="9" t="s">
        <v>7</v>
      </c>
      <c r="H32" s="9" t="s">
        <v>8</v>
      </c>
      <c r="J32" s="3" t="s">
        <v>5</v>
      </c>
      <c r="K32" s="4">
        <v>0.11438056183729568</v>
      </c>
    </row>
    <row r="33" spans="1:14">
      <c r="A33" s="9">
        <v>1</v>
      </c>
      <c r="B33" s="9">
        <v>1985</v>
      </c>
      <c r="C33" s="9">
        <v>340213</v>
      </c>
      <c r="D33" s="9">
        <v>237.55114561992261</v>
      </c>
      <c r="E33" s="9">
        <f>C33/(1000*D33)</f>
        <v>1.4321673722606854</v>
      </c>
      <c r="F33">
        <f t="shared" ref="F33:F53" si="5">$K$31*EXP(-$K$33*EXP(-$K$32*A33))</f>
        <v>0.53176052577995814</v>
      </c>
      <c r="G33" s="12">
        <f>E33-F33</f>
        <v>0.90040684648072722</v>
      </c>
      <c r="H33" s="12">
        <f>G33^2</f>
        <v>0.81073248918936791</v>
      </c>
      <c r="J33" s="3" t="s">
        <v>32</v>
      </c>
      <c r="K33" s="4">
        <v>8.9912428984536685</v>
      </c>
    </row>
    <row r="34" spans="1:14">
      <c r="A34" s="9">
        <v>2</v>
      </c>
      <c r="B34" s="9">
        <v>1986</v>
      </c>
      <c r="C34" s="9">
        <v>681825</v>
      </c>
      <c r="D34" s="9">
        <v>239.95065214133598</v>
      </c>
      <c r="E34" s="9">
        <f t="shared" ref="E34:E50" si="6">C34/(1000*D34)</f>
        <v>2.8415217625597067</v>
      </c>
      <c r="F34">
        <f t="shared" si="5"/>
        <v>1.2651530004576803</v>
      </c>
      <c r="G34" s="12">
        <f t="shared" ref="G34:G50" si="7">E34-F34</f>
        <v>1.5763687621020264</v>
      </c>
      <c r="H34" s="12">
        <f t="shared" ref="H34:H50" si="8">G34^2</f>
        <v>2.4849384741310749</v>
      </c>
    </row>
    <row r="35" spans="1:14">
      <c r="A35" s="9">
        <v>3</v>
      </c>
      <c r="B35" s="9">
        <v>1987</v>
      </c>
      <c r="C35" s="9">
        <v>1230855</v>
      </c>
      <c r="D35" s="9">
        <v>242.37439610235958</v>
      </c>
      <c r="E35" s="9">
        <f t="shared" si="6"/>
        <v>5.0783210594578856</v>
      </c>
      <c r="F35">
        <f t="shared" si="5"/>
        <v>2.7408495683672225</v>
      </c>
      <c r="G35" s="12">
        <f t="shared" si="7"/>
        <v>2.3374714910906631</v>
      </c>
      <c r="H35" s="12">
        <f t="shared" si="8"/>
        <v>5.4637729716616077</v>
      </c>
    </row>
    <row r="36" spans="1:14">
      <c r="A36" s="9">
        <v>4</v>
      </c>
      <c r="B36" s="9">
        <v>1988</v>
      </c>
      <c r="C36" s="9">
        <v>2069441</v>
      </c>
      <c r="D36" s="9">
        <v>244.82262232561575</v>
      </c>
      <c r="E36" s="9">
        <f t="shared" si="6"/>
        <v>8.452817718975453</v>
      </c>
      <c r="F36">
        <f t="shared" si="5"/>
        <v>5.4618506660391439</v>
      </c>
      <c r="G36" s="12">
        <f t="shared" si="7"/>
        <v>2.990967052936309</v>
      </c>
      <c r="H36" s="12">
        <f t="shared" si="8"/>
        <v>8.94588391175051</v>
      </c>
    </row>
    <row r="37" spans="1:14">
      <c r="A37" s="9">
        <v>5</v>
      </c>
      <c r="B37" s="9">
        <v>1989</v>
      </c>
      <c r="C37" s="9">
        <v>3508944</v>
      </c>
      <c r="D37" s="9">
        <v>247.29557810668257</v>
      </c>
      <c r="E37" s="9">
        <f t="shared" si="6"/>
        <v>14.189271101670293</v>
      </c>
      <c r="F37">
        <f t="shared" si="5"/>
        <v>10.102501586871577</v>
      </c>
      <c r="G37" s="12">
        <f t="shared" si="7"/>
        <v>4.086769514798716</v>
      </c>
      <c r="H37" s="12">
        <f t="shared" si="8"/>
        <v>16.701685067088132</v>
      </c>
    </row>
    <row r="38" spans="1:14">
      <c r="A38" s="9">
        <v>6</v>
      </c>
      <c r="B38" s="9">
        <v>1990</v>
      </c>
      <c r="C38" s="9">
        <v>5283055</v>
      </c>
      <c r="D38" s="9">
        <v>249.79351323907329</v>
      </c>
      <c r="E38" s="9">
        <f t="shared" si="6"/>
        <v>21.149688522710651</v>
      </c>
      <c r="F38">
        <f t="shared" si="5"/>
        <v>17.484395885938717</v>
      </c>
      <c r="G38" s="12">
        <f t="shared" si="7"/>
        <v>3.6652926367719338</v>
      </c>
      <c r="H38" s="12">
        <f t="shared" si="8"/>
        <v>13.434370113174555</v>
      </c>
    </row>
    <row r="39" spans="1:14">
      <c r="A39" s="9">
        <v>7</v>
      </c>
      <c r="B39" s="9">
        <v>1991</v>
      </c>
      <c r="C39" s="9">
        <v>7557148</v>
      </c>
      <c r="D39" s="9">
        <v>252.31668003946797</v>
      </c>
      <c r="E39" s="9">
        <f t="shared" si="6"/>
        <v>29.951044056294229</v>
      </c>
      <c r="F39">
        <f t="shared" si="5"/>
        <v>28.518387577615229</v>
      </c>
      <c r="G39" s="12">
        <f t="shared" si="7"/>
        <v>1.4326564786790001</v>
      </c>
      <c r="H39" s="12">
        <f t="shared" si="8"/>
        <v>2.0525045859009126</v>
      </c>
    </row>
    <row r="40" spans="1:14">
      <c r="A40" s="9">
        <v>8</v>
      </c>
      <c r="B40" s="9">
        <v>1992</v>
      </c>
      <c r="C40" s="9">
        <v>11032753</v>
      </c>
      <c r="D40" s="9">
        <v>254.86533337319997</v>
      </c>
      <c r="E40" s="9">
        <f t="shared" si="6"/>
        <v>43.288558918465036</v>
      </c>
      <c r="F40">
        <f t="shared" si="5"/>
        <v>44.119923369649008</v>
      </c>
      <c r="G40" s="12">
        <f t="shared" si="7"/>
        <v>-0.83136445118397262</v>
      </c>
      <c r="H40" s="12">
        <f t="shared" si="8"/>
        <v>0.691166850692428</v>
      </c>
    </row>
    <row r="41" spans="1:14">
      <c r="A41" s="9">
        <v>9</v>
      </c>
      <c r="B41" s="9">
        <v>1993</v>
      </c>
      <c r="C41" s="9">
        <v>16009461</v>
      </c>
      <c r="D41" s="9">
        <v>257.43973067999997</v>
      </c>
      <c r="E41" s="9">
        <f t="shared" si="6"/>
        <v>62.187219345330625</v>
      </c>
      <c r="F41">
        <f t="shared" si="5"/>
        <v>65.112148059812739</v>
      </c>
      <c r="G41" s="12">
        <f t="shared" si="7"/>
        <v>-2.9249287144821139</v>
      </c>
      <c r="H41" s="12">
        <f t="shared" si="8"/>
        <v>8.5552079848019922</v>
      </c>
    </row>
    <row r="42" spans="1:14">
      <c r="A42" s="9">
        <v>10</v>
      </c>
      <c r="B42" s="9">
        <v>1994</v>
      </c>
      <c r="C42" s="9">
        <v>24134421</v>
      </c>
      <c r="D42" s="9">
        <v>260.04013199999997</v>
      </c>
      <c r="E42" s="9">
        <f t="shared" si="6"/>
        <v>92.810370516194027</v>
      </c>
      <c r="F42">
        <f t="shared" si="5"/>
        <v>92.134136257685455</v>
      </c>
      <c r="G42" s="12">
        <f t="shared" si="7"/>
        <v>0.67623425850857188</v>
      </c>
      <c r="H42" s="12">
        <f t="shared" si="8"/>
        <v>0.45729277238063804</v>
      </c>
    </row>
    <row r="43" spans="1:14">
      <c r="A43" s="9">
        <v>11</v>
      </c>
      <c r="B43" s="9">
        <v>1995</v>
      </c>
      <c r="C43" s="9">
        <v>33758661</v>
      </c>
      <c r="D43" s="9">
        <v>262.66679999999997</v>
      </c>
      <c r="E43" s="9">
        <f t="shared" si="6"/>
        <v>128.52275582601229</v>
      </c>
      <c r="F43">
        <f t="shared" si="5"/>
        <v>125.56971220183718</v>
      </c>
      <c r="G43" s="12">
        <f t="shared" si="7"/>
        <v>2.953043624175109</v>
      </c>
      <c r="H43" s="12">
        <f t="shared" si="8"/>
        <v>8.7204666462812632</v>
      </c>
    </row>
    <row r="44" spans="1:14">
      <c r="A44" s="9">
        <v>12</v>
      </c>
      <c r="B44" s="9">
        <v>1996</v>
      </c>
      <c r="C44" s="9">
        <v>44042992</v>
      </c>
      <c r="D44" s="9">
        <v>265.32</v>
      </c>
      <c r="E44" s="9">
        <f t="shared" si="6"/>
        <v>165.99951756369666</v>
      </c>
      <c r="F44">
        <f t="shared" si="5"/>
        <v>165.5069049559379</v>
      </c>
      <c r="G44" s="12">
        <f t="shared" si="7"/>
        <v>0.49261260775875826</v>
      </c>
      <c r="H44" s="12">
        <f t="shared" si="8"/>
        <v>0.24266718132288423</v>
      </c>
    </row>
    <row r="45" spans="1:14">
      <c r="A45" s="9">
        <v>13</v>
      </c>
      <c r="B45" s="9">
        <v>1997</v>
      </c>
      <c r="C45" s="9">
        <v>55312293</v>
      </c>
      <c r="D45" s="9">
        <v>268</v>
      </c>
      <c r="E45" s="9">
        <f t="shared" si="6"/>
        <v>206.38915298507462</v>
      </c>
      <c r="F45">
        <f t="shared" si="5"/>
        <v>211.73126148786884</v>
      </c>
      <c r="G45" s="12">
        <f t="shared" si="7"/>
        <v>-5.3421085027942183</v>
      </c>
      <c r="H45" s="12">
        <f t="shared" si="8"/>
        <v>28.538123255626285</v>
      </c>
    </row>
    <row r="46" spans="1:14">
      <c r="A46" s="9">
        <v>14</v>
      </c>
      <c r="B46" s="9">
        <v>1998</v>
      </c>
      <c r="C46" s="9">
        <v>69209321</v>
      </c>
      <c r="D46" s="9">
        <v>270.68</v>
      </c>
      <c r="E46" s="9">
        <f t="shared" si="6"/>
        <v>255.68686641052165</v>
      </c>
      <c r="F46">
        <f t="shared" si="5"/>
        <v>263.75001497253322</v>
      </c>
      <c r="G46" s="12">
        <f t="shared" si="7"/>
        <v>-8.0631485620115768</v>
      </c>
      <c r="H46" s="12">
        <f t="shared" si="8"/>
        <v>65.014364733069357</v>
      </c>
    </row>
    <row r="47" spans="1:14">
      <c r="A47" s="9">
        <v>15</v>
      </c>
      <c r="B47" s="9">
        <v>1999</v>
      </c>
      <c r="C47" s="9">
        <v>86047003</v>
      </c>
      <c r="D47" s="9">
        <v>273.38679999999999</v>
      </c>
      <c r="E47" s="9">
        <f t="shared" si="6"/>
        <v>314.74454143360254</v>
      </c>
      <c r="F47">
        <f t="shared" si="5"/>
        <v>320.83978054530678</v>
      </c>
      <c r="G47" s="12">
        <f t="shared" si="7"/>
        <v>-6.0952391117042453</v>
      </c>
      <c r="H47" s="12">
        <f t="shared" si="8"/>
        <v>37.151939828849159</v>
      </c>
      <c r="J47" t="s">
        <v>29</v>
      </c>
      <c r="K47" s="6">
        <f>LN(K33)/K32</f>
        <v>19.201261622535593</v>
      </c>
      <c r="L47" s="3" t="s">
        <v>30</v>
      </c>
      <c r="M47" t="s">
        <v>31</v>
      </c>
      <c r="N47">
        <f>INT(B33+K47)</f>
        <v>2004</v>
      </c>
    </row>
    <row r="48" spans="1:14">
      <c r="A48" s="9">
        <v>16</v>
      </c>
      <c r="B48" s="9">
        <v>2000</v>
      </c>
      <c r="C48" s="9">
        <v>109478031</v>
      </c>
      <c r="D48" s="9">
        <v>276.12066800000002</v>
      </c>
      <c r="E48" s="9">
        <f t="shared" si="6"/>
        <v>396.48618769819865</v>
      </c>
      <c r="F48">
        <f t="shared" si="5"/>
        <v>382.1084590663811</v>
      </c>
      <c r="G48" s="12">
        <f t="shared" si="7"/>
        <v>14.377728631817547</v>
      </c>
      <c r="H48" s="12">
        <f t="shared" si="8"/>
        <v>206.71908061018607</v>
      </c>
    </row>
    <row r="49" spans="1:8">
      <c r="A49" s="9">
        <v>17</v>
      </c>
      <c r="B49" s="9">
        <v>2001</v>
      </c>
      <c r="C49" s="9">
        <v>128374512</v>
      </c>
      <c r="D49" s="9">
        <v>278.88187470000003</v>
      </c>
      <c r="E49" s="9">
        <f t="shared" si="6"/>
        <v>460.31859237211296</v>
      </c>
      <c r="F49">
        <f t="shared" si="5"/>
        <v>446.56211220505725</v>
      </c>
      <c r="G49" s="12">
        <f t="shared" si="7"/>
        <v>13.756480167055713</v>
      </c>
      <c r="H49" s="12">
        <f t="shared" si="8"/>
        <v>189.24074658659717</v>
      </c>
    </row>
    <row r="50" spans="1:8">
      <c r="A50" s="9">
        <v>18</v>
      </c>
      <c r="B50" s="9">
        <v>2002</v>
      </c>
      <c r="C50" s="9">
        <v>140766842</v>
      </c>
      <c r="D50" s="9">
        <v>281.6706934</v>
      </c>
      <c r="E50" s="9">
        <f t="shared" si="6"/>
        <v>499.75679152426869</v>
      </c>
      <c r="F50">
        <f t="shared" si="5"/>
        <v>513.16909170644624</v>
      </c>
      <c r="G50" s="12">
        <f t="shared" si="7"/>
        <v>-13.412300182177546</v>
      </c>
      <c r="H50" s="12">
        <f t="shared" si="8"/>
        <v>179.88979617683984</v>
      </c>
    </row>
    <row r="51" spans="1:8">
      <c r="A51" s="9">
        <v>19</v>
      </c>
      <c r="C51" s="6">
        <f>F51*D51*1000</f>
        <v>165263266.00691006</v>
      </c>
      <c r="D51" s="9">
        <v>284.48740040000001</v>
      </c>
      <c r="F51" s="6">
        <f t="shared" si="5"/>
        <v>580.91594135467403</v>
      </c>
    </row>
    <row r="52" spans="1:8">
      <c r="A52" s="9">
        <v>20</v>
      </c>
      <c r="C52" s="6">
        <f t="shared" ref="C52:C53" si="9">F52*D52*1000</f>
        <v>186436102.25569496</v>
      </c>
      <c r="D52" s="9">
        <v>287.33227440400003</v>
      </c>
      <c r="F52" s="6">
        <f t="shared" si="5"/>
        <v>648.8519350720718</v>
      </c>
    </row>
    <row r="53" spans="1:8">
      <c r="A53" s="9">
        <v>21</v>
      </c>
      <c r="C53" s="6">
        <f t="shared" si="9"/>
        <v>207822369.56910843</v>
      </c>
      <c r="D53" s="9">
        <v>290.20559714804006</v>
      </c>
      <c r="F53" s="6">
        <f t="shared" si="5"/>
        <v>716.12116241539547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49" sqref="I49"/>
    </sheetView>
  </sheetViews>
  <sheetFormatPr baseColWidth="10" defaultRowHeight="16"/>
  <cols>
    <col min="3" max="3" width="12.6640625" bestFit="1" customWidth="1"/>
    <col min="5" max="5" width="9.5" customWidth="1"/>
    <col min="6" max="6" width="8.6640625" bestFit="1" customWidth="1"/>
    <col min="7" max="7" width="3.5" customWidth="1"/>
    <col min="8" max="8" width="14" bestFit="1" customWidth="1"/>
  </cols>
  <sheetData>
    <row r="1" spans="1:10" ht="21">
      <c r="A1" s="17" t="s">
        <v>35</v>
      </c>
      <c r="E1" t="s">
        <v>9</v>
      </c>
      <c r="F1" s="18">
        <f>SUM(F4:F15)</f>
        <v>11.511593963208124</v>
      </c>
    </row>
    <row r="2" spans="1:10">
      <c r="H2" s="3" t="s">
        <v>3</v>
      </c>
      <c r="I2" s="6">
        <v>32.106004331746789</v>
      </c>
      <c r="J2" t="s">
        <v>37</v>
      </c>
    </row>
    <row r="3" spans="1:10">
      <c r="A3" t="s">
        <v>0</v>
      </c>
      <c r="B3" t="s">
        <v>2</v>
      </c>
      <c r="C3" t="s">
        <v>34</v>
      </c>
      <c r="D3" t="s">
        <v>6</v>
      </c>
      <c r="E3" t="s">
        <v>7</v>
      </c>
      <c r="F3" t="s">
        <v>8</v>
      </c>
      <c r="H3" s="3" t="s">
        <v>4</v>
      </c>
      <c r="I3" s="6">
        <v>837.27012212014006</v>
      </c>
    </row>
    <row r="4" spans="1:10">
      <c r="A4">
        <v>2000</v>
      </c>
      <c r="B4">
        <v>1</v>
      </c>
      <c r="C4" s="15">
        <v>6.4080807949410096E-2</v>
      </c>
      <c r="D4">
        <f t="shared" ref="D4:D15" si="0">$I$2/(1+$I$3*EXP(-$I$4*B4))</f>
        <v>7.8784363753814743E-2</v>
      </c>
      <c r="E4" s="15">
        <f>C4-D4</f>
        <v>-1.4703555804404647E-2</v>
      </c>
      <c r="F4" s="15">
        <f>E4^2</f>
        <v>2.1619455329324158E-4</v>
      </c>
      <c r="H4" s="3" t="s">
        <v>5</v>
      </c>
      <c r="I4" s="6">
        <v>0.72251984841972006</v>
      </c>
    </row>
    <row r="5" spans="1:10">
      <c r="A5">
        <v>2001</v>
      </c>
      <c r="B5">
        <v>2</v>
      </c>
      <c r="C5" s="15">
        <v>8.9901370457273005E-2</v>
      </c>
      <c r="D5">
        <f t="shared" si="0"/>
        <v>0.16184475867400475</v>
      </c>
      <c r="E5" s="15">
        <f t="shared" ref="E5:E15" si="1">C5-D5</f>
        <v>-7.1943388216731741E-2</v>
      </c>
      <c r="F5" s="15">
        <f t="shared" ref="F5:F15" si="2">E5^2</f>
        <v>5.1758511081033756E-3</v>
      </c>
    </row>
    <row r="6" spans="1:10">
      <c r="A6">
        <v>2002</v>
      </c>
      <c r="B6">
        <v>3</v>
      </c>
      <c r="C6" s="15">
        <v>0.32046197554232703</v>
      </c>
      <c r="D6">
        <f t="shared" si="0"/>
        <v>0.3315670943340806</v>
      </c>
      <c r="E6" s="15">
        <f t="shared" si="1"/>
        <v>-1.1105118791753577E-2</v>
      </c>
      <c r="F6" s="15">
        <f t="shared" si="2"/>
        <v>1.2332366337895843E-4</v>
      </c>
      <c r="H6" s="3" t="s">
        <v>29</v>
      </c>
      <c r="I6">
        <f>LN(I3)/I4</f>
        <v>9.3148261043511216</v>
      </c>
      <c r="J6">
        <v>2009</v>
      </c>
    </row>
    <row r="7" spans="1:10">
      <c r="A7">
        <v>2003</v>
      </c>
      <c r="B7">
        <v>4</v>
      </c>
      <c r="C7" s="15">
        <v>0.55857624486052104</v>
      </c>
      <c r="D7">
        <f t="shared" si="0"/>
        <v>0.67550903798361162</v>
      </c>
      <c r="E7" s="15">
        <f t="shared" si="1"/>
        <v>-0.11693279312309057</v>
      </c>
      <c r="F7" s="15">
        <f t="shared" si="2"/>
        <v>1.3673278107567497E-2</v>
      </c>
    </row>
    <row r="8" spans="1:10">
      <c r="A8">
        <v>2004</v>
      </c>
      <c r="B8">
        <v>5</v>
      </c>
      <c r="C8" s="15">
        <v>1.2861376413452701</v>
      </c>
      <c r="D8">
        <f t="shared" si="0"/>
        <v>1.3609482515502207</v>
      </c>
      <c r="E8" s="15">
        <f t="shared" si="1"/>
        <v>-7.4810610204950612E-2</v>
      </c>
      <c r="F8" s="15">
        <f t="shared" si="2"/>
        <v>5.5966273992370608E-3</v>
      </c>
      <c r="H8" s="11" t="s">
        <v>36</v>
      </c>
    </row>
    <row r="9" spans="1:10">
      <c r="A9">
        <v>2005</v>
      </c>
      <c r="B9">
        <v>6</v>
      </c>
      <c r="C9" s="15">
        <v>3.5491557179649198</v>
      </c>
      <c r="D9">
        <f t="shared" si="0"/>
        <v>2.6825417238863745</v>
      </c>
      <c r="E9" s="15">
        <f t="shared" si="1"/>
        <v>0.86661399407854534</v>
      </c>
      <c r="F9" s="15">
        <f t="shared" si="2"/>
        <v>0.75101981473276902</v>
      </c>
    </row>
    <row r="10" spans="1:10">
      <c r="A10">
        <v>2006</v>
      </c>
      <c r="B10">
        <v>7</v>
      </c>
      <c r="C10" s="15">
        <v>5.5450360830053604</v>
      </c>
      <c r="D10">
        <f t="shared" si="0"/>
        <v>5.0756417417885595</v>
      </c>
      <c r="E10" s="15">
        <f t="shared" si="1"/>
        <v>0.4693943412168009</v>
      </c>
      <c r="F10" s="15">
        <f t="shared" si="2"/>
        <v>0.22033104756635452</v>
      </c>
    </row>
    <row r="11" spans="1:10">
      <c r="A11">
        <v>2007</v>
      </c>
      <c r="B11">
        <v>8</v>
      </c>
      <c r="C11" s="15">
        <v>6.77</v>
      </c>
      <c r="D11">
        <f t="shared" si="0"/>
        <v>8.9539550576618616</v>
      </c>
      <c r="E11" s="15">
        <f t="shared" si="1"/>
        <v>-2.183955057661862</v>
      </c>
      <c r="F11" s="15">
        <f t="shared" si="2"/>
        <v>4.769659693886827</v>
      </c>
    </row>
    <row r="12" spans="1:10">
      <c r="A12">
        <v>2008</v>
      </c>
      <c r="B12">
        <v>9</v>
      </c>
      <c r="C12" s="15">
        <v>15.86</v>
      </c>
      <c r="D12">
        <f t="shared" si="0"/>
        <v>14.235061009670325</v>
      </c>
      <c r="E12" s="15">
        <f t="shared" si="1"/>
        <v>1.6249389903296745</v>
      </c>
      <c r="F12" s="15">
        <f t="shared" si="2"/>
        <v>2.640426722293622</v>
      </c>
    </row>
    <row r="13" spans="1:10">
      <c r="A13">
        <v>2009</v>
      </c>
      <c r="B13">
        <v>10</v>
      </c>
      <c r="C13" s="15">
        <v>20</v>
      </c>
      <c r="D13">
        <f t="shared" si="0"/>
        <v>19.947324646058043</v>
      </c>
      <c r="E13" s="15">
        <f t="shared" si="1"/>
        <v>5.2675353941957326E-2</v>
      </c>
      <c r="F13" s="15">
        <f t="shared" si="2"/>
        <v>2.774692912910479E-3</v>
      </c>
    </row>
    <row r="14" spans="1:10">
      <c r="A14">
        <v>2010</v>
      </c>
      <c r="B14">
        <v>11</v>
      </c>
      <c r="C14" s="15">
        <v>24</v>
      </c>
      <c r="D14">
        <f t="shared" si="0"/>
        <v>24.774145921557242</v>
      </c>
      <c r="E14" s="15">
        <f t="shared" si="1"/>
        <v>-0.77414592155724193</v>
      </c>
      <c r="F14" s="15">
        <f t="shared" si="2"/>
        <v>0.5993019078637114</v>
      </c>
    </row>
    <row r="15" spans="1:10">
      <c r="A15">
        <v>2011</v>
      </c>
      <c r="B15">
        <v>13</v>
      </c>
      <c r="C15" s="15">
        <v>28.43</v>
      </c>
      <c r="D15">
        <f t="shared" si="0"/>
        <v>30.012180397148299</v>
      </c>
      <c r="E15" s="15">
        <f t="shared" si="1"/>
        <v>-1.5821803971482993</v>
      </c>
      <c r="F15" s="15">
        <f t="shared" si="2"/>
        <v>2.5032948091203502</v>
      </c>
    </row>
    <row r="16" spans="1:10">
      <c r="A16" s="6">
        <v>2012</v>
      </c>
      <c r="B16" s="6">
        <v>14</v>
      </c>
      <c r="D16" s="6">
        <f t="shared" ref="D16:D19" si="3">$I$2/(1+$I$3*EXP(-$I$4*B16))</f>
        <v>31.054102501811041</v>
      </c>
    </row>
    <row r="17" spans="1:9">
      <c r="A17" s="6">
        <v>2013</v>
      </c>
      <c r="B17" s="6">
        <v>15</v>
      </c>
      <c r="D17" s="6">
        <f t="shared" si="3"/>
        <v>31.586520973536786</v>
      </c>
    </row>
    <row r="18" spans="1:9">
      <c r="A18" s="6">
        <v>2014</v>
      </c>
      <c r="B18" s="6">
        <v>16</v>
      </c>
      <c r="D18" s="6">
        <f t="shared" si="3"/>
        <v>31.851663794139078</v>
      </c>
    </row>
    <row r="19" spans="1:9">
      <c r="A19" s="6">
        <v>2015</v>
      </c>
      <c r="B19" s="6">
        <v>17</v>
      </c>
      <c r="D19" s="6">
        <f t="shared" si="3"/>
        <v>31.982009715272945</v>
      </c>
    </row>
    <row r="24" spans="1:9" ht="21">
      <c r="A24" s="17" t="s">
        <v>38</v>
      </c>
      <c r="E24" t="s">
        <v>9</v>
      </c>
      <c r="F24" s="18">
        <f>SUM(F27:F38)</f>
        <v>35.884680240123025</v>
      </c>
    </row>
    <row r="26" spans="1:9">
      <c r="A26" t="s">
        <v>0</v>
      </c>
      <c r="B26" t="s">
        <v>2</v>
      </c>
      <c r="C26" t="s">
        <v>34</v>
      </c>
      <c r="D26" t="s">
        <v>6</v>
      </c>
      <c r="E26" t="s">
        <v>7</v>
      </c>
      <c r="F26" t="s">
        <v>8</v>
      </c>
      <c r="H26" s="3" t="s">
        <v>3</v>
      </c>
      <c r="I26" s="6">
        <v>75.958540649008427</v>
      </c>
    </row>
    <row r="27" spans="1:9">
      <c r="A27">
        <v>2000</v>
      </c>
      <c r="B27">
        <v>1</v>
      </c>
      <c r="C27" s="15">
        <v>43.079162637520099</v>
      </c>
      <c r="D27">
        <f>$I$26/(1+$I$27*EXP(-$I$28*B27))</f>
        <v>43.369637594695256</v>
      </c>
      <c r="E27" s="15">
        <f>C27-D27</f>
        <v>-0.29047495717515659</v>
      </c>
      <c r="F27" s="15">
        <f>E27^2</f>
        <v>8.4375700745909055E-2</v>
      </c>
      <c r="H27" s="3" t="s">
        <v>4</v>
      </c>
      <c r="I27" s="6">
        <v>1.1049498337465737</v>
      </c>
    </row>
    <row r="28" spans="1:9">
      <c r="A28">
        <v>2001</v>
      </c>
      <c r="B28">
        <v>2</v>
      </c>
      <c r="C28" s="15">
        <v>49.080831589695102</v>
      </c>
      <c r="D28">
        <f t="shared" ref="D28:D42" si="4">$I$26/(1+$I$27*EXP(-$I$28*B28))</f>
        <v>50.270203958657511</v>
      </c>
      <c r="E28" s="15">
        <f t="shared" ref="E28:E38" si="5">C28-D28</f>
        <v>-1.1893723689624096</v>
      </c>
      <c r="F28" s="15">
        <f t="shared" ref="F28:F38" si="6">E28^2</f>
        <v>1.4146066320512543</v>
      </c>
      <c r="H28" s="3" t="s">
        <v>5</v>
      </c>
      <c r="I28" s="6">
        <v>0.38558770298090239</v>
      </c>
    </row>
    <row r="29" spans="1:9">
      <c r="A29">
        <v>2002</v>
      </c>
      <c r="B29">
        <v>3</v>
      </c>
      <c r="C29" s="15">
        <v>58.785403883695203</v>
      </c>
      <c r="D29">
        <f t="shared" si="4"/>
        <v>56.369575615622487</v>
      </c>
      <c r="E29" s="15">
        <f t="shared" si="5"/>
        <v>2.4158282680727154</v>
      </c>
      <c r="F29" s="15">
        <f t="shared" si="6"/>
        <v>5.8362262208192162</v>
      </c>
    </row>
    <row r="30" spans="1:9">
      <c r="A30">
        <v>2003</v>
      </c>
      <c r="B30">
        <v>4</v>
      </c>
      <c r="C30" s="15">
        <v>61.6971171244207</v>
      </c>
      <c r="D30">
        <f t="shared" si="4"/>
        <v>61.43901688564479</v>
      </c>
      <c r="E30" s="15">
        <f t="shared" si="5"/>
        <v>0.25810023877590993</v>
      </c>
      <c r="F30" s="15">
        <f t="shared" si="6"/>
        <v>6.6615733256181725E-2</v>
      </c>
    </row>
    <row r="31" spans="1:9">
      <c r="A31">
        <v>2004</v>
      </c>
      <c r="B31">
        <v>5</v>
      </c>
      <c r="C31" s="15">
        <v>64.758256475989597</v>
      </c>
      <c r="D31">
        <f t="shared" si="4"/>
        <v>65.441308153550281</v>
      </c>
      <c r="E31" s="15">
        <f t="shared" si="5"/>
        <v>-0.68305167756068386</v>
      </c>
      <c r="F31" s="15">
        <f t="shared" si="6"/>
        <v>0.46655959421846444</v>
      </c>
    </row>
    <row r="32" spans="1:9">
      <c r="A32">
        <v>2005</v>
      </c>
      <c r="B32">
        <v>6</v>
      </c>
      <c r="C32" s="15">
        <v>67.968052915002005</v>
      </c>
      <c r="D32">
        <f t="shared" si="4"/>
        <v>68.474754412008053</v>
      </c>
      <c r="E32" s="15">
        <f t="shared" si="5"/>
        <v>-0.50670149700604838</v>
      </c>
      <c r="F32" s="15">
        <f t="shared" si="6"/>
        <v>0.25674640706817048</v>
      </c>
    </row>
    <row r="33" spans="1:6">
      <c r="A33">
        <v>2006</v>
      </c>
      <c r="B33">
        <v>7</v>
      </c>
      <c r="C33" s="15">
        <v>68.931193269972098</v>
      </c>
      <c r="D33">
        <f t="shared" si="4"/>
        <v>70.703532524461238</v>
      </c>
      <c r="E33" s="15">
        <f t="shared" si="5"/>
        <v>-1.7723392544891396</v>
      </c>
      <c r="F33" s="15">
        <f t="shared" si="6"/>
        <v>3.1411864330031194</v>
      </c>
    </row>
    <row r="34" spans="1:6">
      <c r="A34">
        <v>2007</v>
      </c>
      <c r="B34">
        <v>8</v>
      </c>
      <c r="C34" s="15">
        <v>75</v>
      </c>
      <c r="D34">
        <f t="shared" si="4"/>
        <v>72.303974412042763</v>
      </c>
      <c r="E34" s="15">
        <f t="shared" si="5"/>
        <v>2.6960255879572372</v>
      </c>
      <c r="F34" s="15">
        <f t="shared" si="6"/>
        <v>7.2685539709201663</v>
      </c>
    </row>
    <row r="35" spans="1:6">
      <c r="A35">
        <v>2008</v>
      </c>
      <c r="B35">
        <v>9</v>
      </c>
      <c r="C35" s="15">
        <v>74</v>
      </c>
      <c r="D35">
        <f t="shared" si="4"/>
        <v>73.434394068460151</v>
      </c>
      <c r="E35" s="15">
        <f t="shared" si="5"/>
        <v>0.56560593153984939</v>
      </c>
      <c r="F35" s="15">
        <f t="shared" si="6"/>
        <v>0.3199100697930608</v>
      </c>
    </row>
    <row r="36" spans="1:6">
      <c r="A36">
        <v>2009</v>
      </c>
      <c r="B36">
        <v>10</v>
      </c>
      <c r="C36" s="15">
        <v>71</v>
      </c>
      <c r="D36">
        <f t="shared" si="4"/>
        <v>74.223545988255538</v>
      </c>
      <c r="E36" s="15">
        <f t="shared" si="5"/>
        <v>-3.2235459882555375</v>
      </c>
      <c r="F36" s="15">
        <f t="shared" si="6"/>
        <v>10.391248738398369</v>
      </c>
    </row>
    <row r="37" spans="1:6">
      <c r="A37">
        <v>2010</v>
      </c>
      <c r="B37">
        <v>11</v>
      </c>
      <c r="C37" s="15">
        <v>74</v>
      </c>
      <c r="D37">
        <f t="shared" si="4"/>
        <v>74.769969899720621</v>
      </c>
      <c r="E37" s="15">
        <f t="shared" si="5"/>
        <v>-0.76996989972062124</v>
      </c>
      <c r="F37" s="15">
        <f t="shared" si="6"/>
        <v>0.59285364647578354</v>
      </c>
    </row>
    <row r="38" spans="1:6">
      <c r="A38">
        <v>2011</v>
      </c>
      <c r="B38">
        <v>13</v>
      </c>
      <c r="C38" s="15">
        <v>77.863021000000003</v>
      </c>
      <c r="D38">
        <f t="shared" si="4"/>
        <v>75.404200735447645</v>
      </c>
      <c r="E38" s="15">
        <f t="shared" si="5"/>
        <v>2.458820264552358</v>
      </c>
      <c r="F38" s="15">
        <f t="shared" si="6"/>
        <v>6.045797093373328</v>
      </c>
    </row>
    <row r="39" spans="1:6">
      <c r="A39" s="6">
        <v>2012</v>
      </c>
      <c r="B39" s="6">
        <v>14</v>
      </c>
      <c r="D39">
        <f t="shared" si="4"/>
        <v>75.580679025230154</v>
      </c>
      <c r="E39" s="15"/>
      <c r="F39" s="16"/>
    </row>
    <row r="40" spans="1:6">
      <c r="A40" s="6">
        <v>2013</v>
      </c>
      <c r="B40" s="6">
        <v>15</v>
      </c>
      <c r="D40">
        <f t="shared" si="4"/>
        <v>75.701165889574739</v>
      </c>
      <c r="E40" s="15"/>
      <c r="F40" s="16"/>
    </row>
    <row r="41" spans="1:6">
      <c r="A41" s="6">
        <v>2014</v>
      </c>
      <c r="B41" s="6">
        <v>16</v>
      </c>
      <c r="D41">
        <f t="shared" si="4"/>
        <v>75.783322770754097</v>
      </c>
      <c r="E41" s="15"/>
      <c r="F41" s="16"/>
    </row>
    <row r="42" spans="1:6">
      <c r="A42" s="6">
        <v>2015</v>
      </c>
      <c r="B42" s="6">
        <v>17</v>
      </c>
      <c r="D42">
        <f t="shared" si="4"/>
        <v>75.839295573605696</v>
      </c>
      <c r="E42" s="15"/>
      <c r="F42" s="16"/>
    </row>
    <row r="47" spans="1:6" ht="24">
      <c r="A47" s="8" t="s">
        <v>39</v>
      </c>
    </row>
    <row r="48" spans="1:6">
      <c r="E48" t="s">
        <v>9</v>
      </c>
      <c r="F48" s="18">
        <f>SUM(F51:F62)</f>
        <v>91.940256110322238</v>
      </c>
    </row>
    <row r="50" spans="1:10">
      <c r="A50" t="s">
        <v>0</v>
      </c>
      <c r="B50" t="s">
        <v>2</v>
      </c>
      <c r="C50" t="s">
        <v>34</v>
      </c>
      <c r="D50" t="s">
        <v>6</v>
      </c>
      <c r="E50" t="s">
        <v>7</v>
      </c>
      <c r="F50" t="s">
        <v>8</v>
      </c>
      <c r="H50" s="3" t="s">
        <v>3</v>
      </c>
      <c r="I50" s="6">
        <v>89.631770042992997</v>
      </c>
    </row>
    <row r="51" spans="1:10">
      <c r="A51">
        <v>2000</v>
      </c>
      <c r="B51">
        <v>1</v>
      </c>
      <c r="C51" s="15">
        <v>45.687652212228201</v>
      </c>
      <c r="D51">
        <f>$I$50/(1+$I$51*EXP(-$I$52*B51))</f>
        <v>43.167853495379212</v>
      </c>
      <c r="E51" s="15">
        <f>C51-D51</f>
        <v>2.5197987168489888</v>
      </c>
      <c r="F51" s="15">
        <f>E51^2</f>
        <v>6.3493855734338105</v>
      </c>
      <c r="H51" s="3" t="s">
        <v>4</v>
      </c>
      <c r="I51" s="6">
        <v>2.0226765673562697</v>
      </c>
    </row>
    <row r="52" spans="1:10">
      <c r="A52">
        <v>2001</v>
      </c>
      <c r="B52">
        <v>2</v>
      </c>
      <c r="C52" s="15">
        <v>51.765664937280803</v>
      </c>
      <c r="D52">
        <f t="shared" ref="D52:D66" si="7">$I$50/(1+$I$51*EXP(-$I$52*B52))</f>
        <v>56.989558714986401</v>
      </c>
      <c r="E52" s="15">
        <f t="shared" ref="E52:E62" si="8">C52-D52</f>
        <v>-5.223893777705598</v>
      </c>
      <c r="F52" s="15">
        <f t="shared" ref="F52:F62" si="9">E52^2</f>
        <v>27.289066200751265</v>
      </c>
      <c r="H52" s="3" t="s">
        <v>5</v>
      </c>
      <c r="I52" s="6">
        <v>0.63084173073554173</v>
      </c>
    </row>
    <row r="53" spans="1:10">
      <c r="A53">
        <v>2002</v>
      </c>
      <c r="B53">
        <v>3</v>
      </c>
      <c r="C53" s="15">
        <v>70.569999999999993</v>
      </c>
      <c r="D53">
        <f t="shared" si="7"/>
        <v>68.693941789355961</v>
      </c>
      <c r="E53" s="15">
        <f t="shared" si="8"/>
        <v>1.8760582106440324</v>
      </c>
      <c r="F53" s="15">
        <f t="shared" si="9"/>
        <v>3.5195944097248888</v>
      </c>
    </row>
    <row r="54" spans="1:10">
      <c r="A54">
        <v>2003</v>
      </c>
      <c r="B54">
        <v>4</v>
      </c>
      <c r="C54" s="15">
        <v>79.13</v>
      </c>
      <c r="D54">
        <f t="shared" si="7"/>
        <v>77.122717004149308</v>
      </c>
      <c r="E54" s="15">
        <f t="shared" si="8"/>
        <v>2.0072829958506873</v>
      </c>
      <c r="F54" s="15">
        <f t="shared" si="9"/>
        <v>4.0291850254313104</v>
      </c>
    </row>
    <row r="55" spans="1:10">
      <c r="A55">
        <v>2004</v>
      </c>
      <c r="B55">
        <v>5</v>
      </c>
      <c r="C55" s="15">
        <v>83.89</v>
      </c>
      <c r="D55">
        <f t="shared" si="7"/>
        <v>82.51015592377199</v>
      </c>
      <c r="E55" s="15">
        <f t="shared" si="8"/>
        <v>1.3798440762280109</v>
      </c>
      <c r="F55" s="15">
        <f t="shared" si="9"/>
        <v>1.9039696747015327</v>
      </c>
      <c r="H55" s="3" t="s">
        <v>40</v>
      </c>
      <c r="I55">
        <f>LN(I51)/I52</f>
        <v>1.1166377133207013</v>
      </c>
    </row>
    <row r="56" spans="1:10">
      <c r="A56">
        <v>2005</v>
      </c>
      <c r="B56">
        <v>6</v>
      </c>
      <c r="C56" s="15">
        <v>84.83</v>
      </c>
      <c r="D56">
        <f t="shared" si="7"/>
        <v>85.695733274011204</v>
      </c>
      <c r="E56" s="15">
        <f t="shared" si="8"/>
        <v>-0.86573327401120537</v>
      </c>
      <c r="F56" s="15">
        <f t="shared" si="9"/>
        <v>0.74949410173016084</v>
      </c>
      <c r="I56" s="15"/>
    </row>
    <row r="57" spans="1:10">
      <c r="A57">
        <v>2006</v>
      </c>
      <c r="B57">
        <v>7</v>
      </c>
      <c r="C57" s="15">
        <v>87.76</v>
      </c>
      <c r="D57">
        <f t="shared" si="7"/>
        <v>87.493297638333516</v>
      </c>
      <c r="E57" s="15">
        <f t="shared" si="8"/>
        <v>0.2667023616664892</v>
      </c>
      <c r="F57" s="15">
        <f t="shared" si="9"/>
        <v>7.1130149718482805E-2</v>
      </c>
      <c r="H57" s="6" t="s">
        <v>41</v>
      </c>
      <c r="I57" s="18"/>
      <c r="J57" s="6"/>
    </row>
    <row r="58" spans="1:10">
      <c r="A58">
        <v>2007</v>
      </c>
      <c r="B58">
        <v>8</v>
      </c>
      <c r="C58" s="15">
        <v>82.01</v>
      </c>
      <c r="D58">
        <f t="shared" si="7"/>
        <v>88.480949628195077</v>
      </c>
      <c r="E58" s="15">
        <f t="shared" si="8"/>
        <v>-6.470949628195072</v>
      </c>
      <c r="F58" s="15">
        <f t="shared" si="9"/>
        <v>41.873189090637943</v>
      </c>
      <c r="I58" s="15"/>
    </row>
    <row r="59" spans="1:10">
      <c r="A59">
        <v>2008</v>
      </c>
      <c r="B59">
        <v>9</v>
      </c>
      <c r="C59" s="15">
        <v>90</v>
      </c>
      <c r="D59">
        <f t="shared" si="7"/>
        <v>89.015667287054356</v>
      </c>
      <c r="E59" s="15">
        <f t="shared" si="8"/>
        <v>0.98433271294564406</v>
      </c>
      <c r="F59" s="15">
        <f t="shared" si="9"/>
        <v>0.96891088977493167</v>
      </c>
      <c r="I59" s="15"/>
    </row>
    <row r="60" spans="1:10">
      <c r="A60">
        <v>2009</v>
      </c>
      <c r="B60">
        <v>10</v>
      </c>
      <c r="C60" s="15">
        <v>91</v>
      </c>
      <c r="D60">
        <f t="shared" si="7"/>
        <v>89.302857094662357</v>
      </c>
      <c r="E60" s="15">
        <f t="shared" si="8"/>
        <v>1.6971429053376426</v>
      </c>
      <c r="F60" s="15">
        <f t="shared" si="9"/>
        <v>2.8802940411378946</v>
      </c>
      <c r="I60" s="15"/>
    </row>
    <row r="61" spans="1:10">
      <c r="A61">
        <v>2010</v>
      </c>
      <c r="B61">
        <v>11</v>
      </c>
      <c r="C61" s="15">
        <v>90</v>
      </c>
      <c r="D61">
        <f t="shared" si="7"/>
        <v>89.456440078085436</v>
      </c>
      <c r="E61" s="15">
        <f t="shared" si="8"/>
        <v>0.54355992191456437</v>
      </c>
      <c r="F61" s="15">
        <f t="shared" si="9"/>
        <v>0.2954573887117673</v>
      </c>
      <c r="I61" s="15"/>
    </row>
    <row r="62" spans="1:10">
      <c r="A62">
        <v>2011</v>
      </c>
      <c r="B62">
        <v>13</v>
      </c>
      <c r="C62" s="15">
        <v>91</v>
      </c>
      <c r="D62">
        <f t="shared" si="7"/>
        <v>89.582050930192395</v>
      </c>
      <c r="E62" s="15">
        <f t="shared" si="8"/>
        <v>1.4179490698076052</v>
      </c>
      <c r="F62" s="15">
        <f t="shared" si="9"/>
        <v>2.0105795645682529</v>
      </c>
      <c r="I62" s="15"/>
    </row>
    <row r="63" spans="1:10">
      <c r="A63" s="6">
        <v>2012</v>
      </c>
      <c r="B63" s="6">
        <v>14</v>
      </c>
      <c r="D63">
        <f t="shared" si="7"/>
        <v>89.605305462670813</v>
      </c>
      <c r="E63" s="15"/>
      <c r="F63" s="16"/>
      <c r="I63" s="15"/>
    </row>
    <row r="64" spans="1:10">
      <c r="A64" s="6">
        <v>2013</v>
      </c>
      <c r="B64" s="6">
        <v>15</v>
      </c>
      <c r="D64">
        <f t="shared" si="7"/>
        <v>89.61768513787527</v>
      </c>
      <c r="E64" s="15"/>
      <c r="F64" s="16"/>
      <c r="I64" s="15"/>
    </row>
    <row r="65" spans="1:9">
      <c r="A65" s="6">
        <v>2014</v>
      </c>
      <c r="B65" s="6">
        <v>16</v>
      </c>
      <c r="D65">
        <f t="shared" si="7"/>
        <v>89.624274298514152</v>
      </c>
      <c r="E65" s="15"/>
      <c r="F65" s="16"/>
      <c r="I65" s="15"/>
    </row>
    <row r="66" spans="1:9">
      <c r="A66" s="6">
        <v>2015</v>
      </c>
      <c r="B66" s="6">
        <v>17</v>
      </c>
      <c r="D66">
        <f t="shared" si="7"/>
        <v>89.627781073788839</v>
      </c>
      <c r="E66" s="15"/>
      <c r="F66" s="16"/>
      <c r="I66" s="15"/>
    </row>
    <row r="67" spans="1:9">
      <c r="I67" s="15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17" sqref="K17"/>
    </sheetView>
  </sheetViews>
  <sheetFormatPr baseColWidth="10" defaultRowHeight="16"/>
  <cols>
    <col min="1" max="1" width="13.5" customWidth="1"/>
    <col min="3" max="3" width="13.1640625" customWidth="1"/>
    <col min="4" max="4" width="14.83203125" bestFit="1" customWidth="1"/>
    <col min="5" max="5" width="15" bestFit="1" customWidth="1"/>
    <col min="9" max="9" width="2.33203125" customWidth="1"/>
    <col min="10" max="10" width="14" bestFit="1" customWidth="1"/>
  </cols>
  <sheetData>
    <row r="1" spans="1:11" ht="21">
      <c r="A1" s="17" t="s">
        <v>46</v>
      </c>
    </row>
    <row r="2" spans="1:11">
      <c r="J2" s="3" t="s">
        <v>3</v>
      </c>
      <c r="K2" s="4">
        <v>149.18316250298543</v>
      </c>
    </row>
    <row r="3" spans="1:11">
      <c r="G3" t="s">
        <v>9</v>
      </c>
      <c r="H3">
        <f>SUM(H6:H14)</f>
        <v>41.390297491601451</v>
      </c>
      <c r="J3" s="3" t="s">
        <v>4</v>
      </c>
      <c r="K3" s="4">
        <v>2014.201423442601</v>
      </c>
    </row>
    <row r="4" spans="1:11">
      <c r="J4" s="3" t="s">
        <v>5</v>
      </c>
      <c r="K4" s="4">
        <v>1.141867124696762</v>
      </c>
    </row>
    <row r="5" spans="1:11">
      <c r="A5" s="1" t="s">
        <v>0</v>
      </c>
      <c r="B5" s="1" t="s">
        <v>2</v>
      </c>
      <c r="C5" s="1" t="s">
        <v>42</v>
      </c>
      <c r="D5" s="1" t="s">
        <v>44</v>
      </c>
      <c r="E5" s="1" t="s">
        <v>45</v>
      </c>
      <c r="F5" s="1" t="s">
        <v>6</v>
      </c>
      <c r="G5" s="1" t="s">
        <v>7</v>
      </c>
      <c r="H5" s="1" t="s">
        <v>8</v>
      </c>
    </row>
    <row r="6" spans="1:11">
      <c r="A6" s="1">
        <v>2004</v>
      </c>
      <c r="B6" s="1">
        <v>1</v>
      </c>
      <c r="C6" s="1">
        <v>1</v>
      </c>
      <c r="D6" s="19">
        <v>6400000000</v>
      </c>
      <c r="E6" s="20">
        <f>C6*1000000000/D6</f>
        <v>0.15625</v>
      </c>
      <c r="F6">
        <f t="shared" ref="F6:F14" si="0">$K$2/(1+$K$3*EXP(-$K$4*B6))</f>
        <v>0.23165868405863616</v>
      </c>
      <c r="G6" s="21">
        <f>E6-F6</f>
        <v>-7.5408684058636155E-2</v>
      </c>
      <c r="H6">
        <f>G6^2</f>
        <v>5.6864696314552063E-3</v>
      </c>
    </row>
    <row r="7" spans="1:11">
      <c r="A7" s="1">
        <v>2005</v>
      </c>
      <c r="B7" s="1">
        <v>2</v>
      </c>
      <c r="C7" s="1">
        <v>5.5</v>
      </c>
      <c r="D7" s="19">
        <v>6500000000</v>
      </c>
      <c r="E7" s="20">
        <f t="shared" ref="E7:E14" si="1">C7*1000000000/D7</f>
        <v>0.84615384615384615</v>
      </c>
      <c r="F7">
        <f t="shared" si="0"/>
        <v>0.72330144688400211</v>
      </c>
      <c r="G7" s="21">
        <f t="shared" ref="G7:G14" si="2">E7-F7</f>
        <v>0.12285239926984404</v>
      </c>
      <c r="H7">
        <f t="shared" ref="H7:H14" si="3">G7^2</f>
        <v>1.5092712006357176E-2</v>
      </c>
    </row>
    <row r="8" spans="1:11">
      <c r="A8" s="1">
        <v>2006</v>
      </c>
      <c r="B8" s="1">
        <v>3</v>
      </c>
      <c r="C8" s="1">
        <v>12</v>
      </c>
      <c r="D8" s="19">
        <v>6500000000</v>
      </c>
      <c r="E8" s="20">
        <f t="shared" si="1"/>
        <v>1.8461538461538463</v>
      </c>
      <c r="F8">
        <f t="shared" si="0"/>
        <v>2.2426343604546783</v>
      </c>
      <c r="G8" s="21">
        <f t="shared" si="2"/>
        <v>-0.39648051430083209</v>
      </c>
      <c r="H8">
        <f t="shared" si="3"/>
        <v>0.15719679822025232</v>
      </c>
    </row>
    <row r="9" spans="1:11">
      <c r="A9" s="1">
        <v>2007</v>
      </c>
      <c r="B9" s="1">
        <v>4</v>
      </c>
      <c r="C9" s="1">
        <v>50</v>
      </c>
      <c r="D9" s="19">
        <v>6600000000</v>
      </c>
      <c r="E9" s="20">
        <f t="shared" si="1"/>
        <v>7.5757575757575761</v>
      </c>
      <c r="F9">
        <f t="shared" si="0"/>
        <v>6.8070747819336974</v>
      </c>
      <c r="G9" s="21">
        <f t="shared" si="2"/>
        <v>0.76868279382387872</v>
      </c>
      <c r="H9">
        <f t="shared" si="3"/>
        <v>0.59087323752088361</v>
      </c>
    </row>
    <row r="10" spans="1:11">
      <c r="A10" s="1">
        <v>2008</v>
      </c>
      <c r="B10" s="1">
        <v>5</v>
      </c>
      <c r="C10" s="1">
        <v>100</v>
      </c>
      <c r="D10" s="19">
        <v>6700000000</v>
      </c>
      <c r="E10" s="20">
        <f t="shared" si="1"/>
        <v>14.925373134328359</v>
      </c>
      <c r="F10">
        <f t="shared" si="0"/>
        <v>19.432926751272429</v>
      </c>
      <c r="G10" s="21">
        <f t="shared" si="2"/>
        <v>-4.5075536169440706</v>
      </c>
      <c r="H10">
        <f t="shared" si="3"/>
        <v>20.318039609625572</v>
      </c>
    </row>
    <row r="11" spans="1:11">
      <c r="A11" s="1">
        <v>2009</v>
      </c>
      <c r="B11" s="1">
        <v>6</v>
      </c>
      <c r="C11" s="1">
        <v>350</v>
      </c>
      <c r="D11" s="19">
        <v>6800000000</v>
      </c>
      <c r="E11" s="20">
        <f t="shared" si="1"/>
        <v>51.470588235294116</v>
      </c>
      <c r="F11">
        <f t="shared" si="0"/>
        <v>47.641163418867684</v>
      </c>
      <c r="G11" s="21">
        <f t="shared" si="2"/>
        <v>3.8294248164264317</v>
      </c>
      <c r="H11">
        <f t="shared" si="3"/>
        <v>14.66449442466261</v>
      </c>
    </row>
    <row r="12" spans="1:11">
      <c r="A12" s="1">
        <v>2010</v>
      </c>
      <c r="B12" s="1">
        <v>7</v>
      </c>
      <c r="C12" s="1">
        <v>608</v>
      </c>
      <c r="D12" s="19">
        <v>6900000000</v>
      </c>
      <c r="E12" s="20">
        <f t="shared" si="1"/>
        <v>88.115942028985501</v>
      </c>
      <c r="F12">
        <f t="shared" si="0"/>
        <v>88.77898833872338</v>
      </c>
      <c r="G12" s="21">
        <f t="shared" si="2"/>
        <v>-0.66304630973787937</v>
      </c>
      <c r="H12">
        <f t="shared" si="3"/>
        <v>0.43963040885701987</v>
      </c>
    </row>
    <row r="13" spans="1:11">
      <c r="A13" s="1">
        <v>2011</v>
      </c>
      <c r="B13" s="1">
        <v>8</v>
      </c>
      <c r="C13" s="1">
        <v>845</v>
      </c>
      <c r="D13" s="19">
        <v>7000000000</v>
      </c>
      <c r="E13" s="20">
        <f t="shared" si="1"/>
        <v>120.71428571428571</v>
      </c>
      <c r="F13">
        <f t="shared" si="0"/>
        <v>122.56305799174287</v>
      </c>
      <c r="G13" s="21">
        <f t="shared" si="2"/>
        <v>-1.848772277457158</v>
      </c>
      <c r="H13">
        <f t="shared" si="3"/>
        <v>3.417958933894127</v>
      </c>
    </row>
    <row r="14" spans="1:11">
      <c r="A14" s="1">
        <v>2012</v>
      </c>
      <c r="B14" s="1">
        <v>9</v>
      </c>
      <c r="C14" s="1">
        <v>1000</v>
      </c>
      <c r="D14" s="19">
        <v>7100000000</v>
      </c>
      <c r="E14" s="20">
        <f t="shared" si="1"/>
        <v>140.8450704225352</v>
      </c>
      <c r="F14">
        <f t="shared" si="0"/>
        <v>139.5104075822706</v>
      </c>
      <c r="G14" s="21">
        <f t="shared" si="2"/>
        <v>1.334662840264599</v>
      </c>
      <c r="H14">
        <f t="shared" si="3"/>
        <v>1.7813248971831666</v>
      </c>
    </row>
    <row r="15" spans="1:11">
      <c r="A15" s="1">
        <v>2013</v>
      </c>
      <c r="B15" s="1">
        <v>10</v>
      </c>
      <c r="C15" s="22">
        <f>D15/1000000000*F15</f>
        <v>1050.8602566230161</v>
      </c>
      <c r="D15" s="19">
        <v>7200000000</v>
      </c>
      <c r="E15" s="20"/>
      <c r="F15">
        <f t="shared" ref="F15:F18" si="4">$K$2/(1+$K$3*EXP(-$K$4*B15))</f>
        <v>145.95281341986333</v>
      </c>
      <c r="J15" t="s">
        <v>43</v>
      </c>
      <c r="K15" s="6">
        <f>LN(K3)/K4</f>
        <v>6.6627525351847732</v>
      </c>
    </row>
    <row r="16" spans="1:11">
      <c r="A16" s="1">
        <v>2014</v>
      </c>
      <c r="B16" s="1">
        <v>11</v>
      </c>
      <c r="C16" s="22">
        <f t="shared" ref="C16:C18" si="5">D16/1000000000*F16</f>
        <v>1081.3966979321387</v>
      </c>
      <c r="D16" s="19">
        <v>7300000000</v>
      </c>
      <c r="E16" s="20"/>
      <c r="F16">
        <f t="shared" si="4"/>
        <v>148.13653396330668</v>
      </c>
      <c r="J16" t="s">
        <v>0</v>
      </c>
      <c r="K16" s="6">
        <f>INT(A6+K15)</f>
        <v>2010</v>
      </c>
    </row>
    <row r="17" spans="1:6">
      <c r="A17" s="1">
        <v>2015</v>
      </c>
      <c r="B17" s="1">
        <v>12</v>
      </c>
      <c r="C17" s="22">
        <f t="shared" si="5"/>
        <v>1101.4711432096037</v>
      </c>
      <c r="D17" s="19">
        <v>7400000000</v>
      </c>
      <c r="E17" s="20"/>
      <c r="F17">
        <f t="shared" si="4"/>
        <v>148.84745178508157</v>
      </c>
    </row>
    <row r="18" spans="1:6">
      <c r="A18" s="1">
        <v>2016</v>
      </c>
      <c r="B18" s="1">
        <v>13</v>
      </c>
      <c r="C18" s="22">
        <f t="shared" si="5"/>
        <v>1118.0687376132696</v>
      </c>
      <c r="D18" s="19">
        <v>7500000000</v>
      </c>
      <c r="E18" s="20"/>
      <c r="F18">
        <f t="shared" si="4"/>
        <v>149.07583168176927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Q23" sqref="Q23"/>
    </sheetView>
  </sheetViews>
  <sheetFormatPr baseColWidth="10" defaultRowHeight="16"/>
  <cols>
    <col min="3" max="3" width="15.6640625" bestFit="1" customWidth="1"/>
  </cols>
  <sheetData>
    <row r="1" spans="1:9">
      <c r="A1" t="s">
        <v>48</v>
      </c>
    </row>
    <row r="2" spans="1:9">
      <c r="H2" s="3" t="s">
        <v>3</v>
      </c>
      <c r="I2" s="4">
        <v>4.0287531062772466</v>
      </c>
    </row>
    <row r="3" spans="1:9">
      <c r="E3" t="s">
        <v>9</v>
      </c>
      <c r="F3" s="6">
        <f>SUM(F6:F15)</f>
        <v>4.6681951735760216E-2</v>
      </c>
      <c r="H3" s="3" t="s">
        <v>4</v>
      </c>
      <c r="I3" s="4">
        <v>48.02436178996544</v>
      </c>
    </row>
    <row r="4" spans="1:9">
      <c r="H4" s="3" t="s">
        <v>5</v>
      </c>
      <c r="I4" s="4">
        <v>0.66277765704062608</v>
      </c>
    </row>
    <row r="5" spans="1:9">
      <c r="A5" t="s">
        <v>0</v>
      </c>
      <c r="B5" t="s">
        <v>2</v>
      </c>
      <c r="C5" t="s">
        <v>47</v>
      </c>
      <c r="D5" t="s">
        <v>6</v>
      </c>
      <c r="E5" t="s">
        <v>7</v>
      </c>
      <c r="F5" t="s">
        <v>8</v>
      </c>
    </row>
    <row r="6" spans="1:9">
      <c r="A6">
        <v>2003</v>
      </c>
      <c r="B6">
        <v>1</v>
      </c>
      <c r="C6">
        <v>0.1</v>
      </c>
      <c r="D6">
        <f>$I$2/(1+$I$3*EXP(-$I$4*B6))</f>
        <v>0.15644060102016535</v>
      </c>
      <c r="E6">
        <f>C6-D6</f>
        <v>-5.6440601020165349E-2</v>
      </c>
      <c r="F6">
        <f>E6^2</f>
        <v>3.1855414435174897E-3</v>
      </c>
    </row>
    <row r="7" spans="1:9">
      <c r="A7">
        <v>2004</v>
      </c>
      <c r="B7">
        <v>2</v>
      </c>
      <c r="C7">
        <v>0.2</v>
      </c>
      <c r="D7">
        <f t="shared" ref="D7:D18" si="0">$I$2/(1+$I$3*EXP(-$I$4*B7))</f>
        <v>0.29283132408275347</v>
      </c>
      <c r="E7">
        <f t="shared" ref="E7:E15" si="1">C7-D7</f>
        <v>-9.2831324082753464E-2</v>
      </c>
      <c r="F7">
        <f t="shared" ref="F7:F15" si="2">E7^2</f>
        <v>8.6176547309572034E-3</v>
      </c>
    </row>
    <row r="8" spans="1:9">
      <c r="A8">
        <v>2005</v>
      </c>
      <c r="B8">
        <v>3</v>
      </c>
      <c r="C8">
        <v>0.5</v>
      </c>
      <c r="D8">
        <f t="shared" si="0"/>
        <v>0.5318020311160585</v>
      </c>
      <c r="E8">
        <f t="shared" si="1"/>
        <v>-3.1802031116058505E-2</v>
      </c>
      <c r="F8">
        <f t="shared" si="2"/>
        <v>1.0113691831067533E-3</v>
      </c>
    </row>
    <row r="9" spans="1:9">
      <c r="A9">
        <v>2006</v>
      </c>
      <c r="B9">
        <v>4</v>
      </c>
      <c r="C9">
        <v>0.95</v>
      </c>
      <c r="D9">
        <f t="shared" si="0"/>
        <v>0.9178759267330201</v>
      </c>
      <c r="E9">
        <f t="shared" si="1"/>
        <v>3.2124073266979858E-2</v>
      </c>
      <c r="F9">
        <f t="shared" si="2"/>
        <v>1.03195608326229E-3</v>
      </c>
    </row>
    <row r="10" spans="1:9">
      <c r="A10">
        <v>2007</v>
      </c>
      <c r="B10">
        <v>5</v>
      </c>
      <c r="C10">
        <v>1.5</v>
      </c>
      <c r="D10">
        <f t="shared" si="0"/>
        <v>1.4666755793708803</v>
      </c>
      <c r="E10">
        <f t="shared" si="1"/>
        <v>3.3324420629119667E-2</v>
      </c>
      <c r="F10">
        <f t="shared" si="2"/>
        <v>1.1105170102664963E-3</v>
      </c>
    </row>
    <row r="11" spans="1:9">
      <c r="A11">
        <v>2008</v>
      </c>
      <c r="B11">
        <v>6</v>
      </c>
      <c r="C11">
        <v>2.2000000000000002</v>
      </c>
      <c r="D11">
        <f t="shared" si="0"/>
        <v>2.1199916021023379</v>
      </c>
      <c r="E11">
        <f t="shared" si="1"/>
        <v>8.0008397897662231E-2</v>
      </c>
      <c r="F11">
        <f t="shared" si="2"/>
        <v>6.4013437341506425E-3</v>
      </c>
    </row>
    <row r="12" spans="1:9">
      <c r="A12">
        <v>2009</v>
      </c>
      <c r="B12">
        <v>7</v>
      </c>
      <c r="C12">
        <v>2.7</v>
      </c>
      <c r="D12">
        <f t="shared" si="0"/>
        <v>2.7517623127341948</v>
      </c>
      <c r="E12">
        <f t="shared" si="1"/>
        <v>-5.1762312734194627E-2</v>
      </c>
      <c r="F12">
        <f t="shared" si="2"/>
        <v>2.6793370195925671E-3</v>
      </c>
    </row>
    <row r="13" spans="1:9">
      <c r="A13">
        <v>2010</v>
      </c>
      <c r="B13">
        <v>8</v>
      </c>
      <c r="C13">
        <v>3.2</v>
      </c>
      <c r="D13">
        <f t="shared" si="0"/>
        <v>3.2511280529347264</v>
      </c>
      <c r="E13">
        <f t="shared" si="1"/>
        <v>-5.112805293472622E-2</v>
      </c>
      <c r="F13">
        <f t="shared" si="2"/>
        <v>2.6140777968961665E-3</v>
      </c>
    </row>
    <row r="14" spans="1:9">
      <c r="A14">
        <v>2011</v>
      </c>
      <c r="B14">
        <v>9</v>
      </c>
      <c r="C14">
        <v>3.5</v>
      </c>
      <c r="D14">
        <f t="shared" si="0"/>
        <v>3.5865947855145537</v>
      </c>
      <c r="E14">
        <f t="shared" si="1"/>
        <v>-8.6594785514553685E-2</v>
      </c>
      <c r="F14">
        <f t="shared" si="2"/>
        <v>7.4986568783115565E-3</v>
      </c>
    </row>
    <row r="15" spans="1:9">
      <c r="A15">
        <v>2012</v>
      </c>
      <c r="B15">
        <v>10</v>
      </c>
      <c r="C15">
        <v>3.9</v>
      </c>
      <c r="D15">
        <f t="shared" si="0"/>
        <v>3.788055827057863</v>
      </c>
      <c r="E15">
        <f t="shared" si="1"/>
        <v>0.11194417294213688</v>
      </c>
      <c r="F15">
        <f t="shared" si="2"/>
        <v>1.2531497855699051E-2</v>
      </c>
    </row>
    <row r="16" spans="1:9">
      <c r="A16">
        <v>2013</v>
      </c>
      <c r="B16">
        <f>B15+1</f>
        <v>11</v>
      </c>
      <c r="D16">
        <f t="shared" si="0"/>
        <v>3.9009946983426151</v>
      </c>
    </row>
    <row r="17" spans="1:9">
      <c r="A17">
        <v>2014</v>
      </c>
      <c r="B17">
        <f t="shared" ref="B17:B18" si="3">B16+1</f>
        <v>12</v>
      </c>
      <c r="D17">
        <f t="shared" si="0"/>
        <v>3.9618764758914509</v>
      </c>
    </row>
    <row r="18" spans="1:9">
      <c r="A18">
        <v>2015</v>
      </c>
      <c r="B18">
        <f t="shared" si="3"/>
        <v>13</v>
      </c>
      <c r="D18">
        <f t="shared" si="0"/>
        <v>3.9940041880809098</v>
      </c>
    </row>
    <row r="21" spans="1:9">
      <c r="E21" t="s">
        <v>9</v>
      </c>
      <c r="F21" s="6">
        <f>SUM(F24:F33)</f>
        <v>1.3721038417479984E-2</v>
      </c>
      <c r="H21" s="3" t="s">
        <v>4</v>
      </c>
      <c r="I21" s="4">
        <v>4.6887853589907582</v>
      </c>
    </row>
    <row r="22" spans="1:9">
      <c r="H22" s="3" t="s">
        <v>5</v>
      </c>
      <c r="I22" s="4">
        <v>0.35067788384956888</v>
      </c>
    </row>
    <row r="23" spans="1:9">
      <c r="A23" t="s">
        <v>0</v>
      </c>
      <c r="B23" t="s">
        <v>2</v>
      </c>
      <c r="C23" t="s">
        <v>47</v>
      </c>
      <c r="D23" t="s">
        <v>6</v>
      </c>
      <c r="E23" t="s">
        <v>7</v>
      </c>
      <c r="F23" t="s">
        <v>8</v>
      </c>
      <c r="H23" s="3" t="s">
        <v>32</v>
      </c>
      <c r="I23" s="4">
        <v>6.4248613126749108</v>
      </c>
    </row>
    <row r="24" spans="1:9">
      <c r="A24">
        <v>2003</v>
      </c>
      <c r="B24">
        <v>1</v>
      </c>
      <c r="C24">
        <v>0.1</v>
      </c>
      <c r="D24">
        <f>$I$21*EXP(-$I$23*EXP(-$I$22*B24))</f>
        <v>5.0829337225629011E-2</v>
      </c>
      <c r="E24">
        <f>C24-D24</f>
        <v>4.9170662774370995E-2</v>
      </c>
      <c r="F24">
        <f>E24^2</f>
        <v>2.4177540776709134E-3</v>
      </c>
    </row>
    <row r="25" spans="1:9">
      <c r="A25">
        <v>2004</v>
      </c>
      <c r="B25">
        <v>2</v>
      </c>
      <c r="C25">
        <v>0.2</v>
      </c>
      <c r="D25">
        <f t="shared" ref="D25:D36" si="4">$I$21*EXP(-$I$23*EXP(-$I$22*B25))</f>
        <v>0.19378702960801034</v>
      </c>
      <c r="E25">
        <f t="shared" ref="E25:E33" si="5">C25-D25</f>
        <v>6.212970391989675E-3</v>
      </c>
      <c r="F25">
        <f t="shared" ref="F25:F33" si="6">E25^2</f>
        <v>3.8601001091740337E-5</v>
      </c>
    </row>
    <row r="26" spans="1:9">
      <c r="A26">
        <v>2005</v>
      </c>
      <c r="B26">
        <v>3</v>
      </c>
      <c r="C26">
        <v>0.5</v>
      </c>
      <c r="D26">
        <f t="shared" si="4"/>
        <v>0.49730073927415575</v>
      </c>
      <c r="E26">
        <f t="shared" si="5"/>
        <v>2.6992607258442547E-3</v>
      </c>
      <c r="F26">
        <f t="shared" si="6"/>
        <v>7.2860084660852524E-6</v>
      </c>
    </row>
    <row r="27" spans="1:9">
      <c r="A27">
        <v>2006</v>
      </c>
      <c r="B27">
        <v>4</v>
      </c>
      <c r="C27">
        <v>0.95</v>
      </c>
      <c r="D27">
        <f t="shared" si="4"/>
        <v>0.96571402945208784</v>
      </c>
      <c r="E27">
        <f t="shared" si="5"/>
        <v>-1.5714029452087885E-2</v>
      </c>
      <c r="F27">
        <f t="shared" si="6"/>
        <v>2.469307216210855E-4</v>
      </c>
    </row>
    <row r="28" spans="1:9">
      <c r="A28">
        <v>2007</v>
      </c>
      <c r="B28">
        <v>5</v>
      </c>
      <c r="C28">
        <v>1.5</v>
      </c>
      <c r="D28">
        <f t="shared" si="4"/>
        <v>1.5410713680001837</v>
      </c>
      <c r="E28">
        <f t="shared" si="5"/>
        <v>-4.1071368000183739E-2</v>
      </c>
      <c r="F28">
        <f t="shared" si="6"/>
        <v>1.6868572694065168E-3</v>
      </c>
    </row>
    <row r="29" spans="1:9">
      <c r="A29">
        <v>2008</v>
      </c>
      <c r="B29">
        <v>6</v>
      </c>
      <c r="C29">
        <v>2.2000000000000002</v>
      </c>
      <c r="D29">
        <f t="shared" si="4"/>
        <v>2.1417034357055384</v>
      </c>
      <c r="E29">
        <f t="shared" si="5"/>
        <v>5.8296564294461728E-2</v>
      </c>
      <c r="F29">
        <f t="shared" si="6"/>
        <v>3.3984894085383101E-3</v>
      </c>
    </row>
    <row r="30" spans="1:9">
      <c r="A30">
        <v>2009</v>
      </c>
      <c r="B30">
        <v>7</v>
      </c>
      <c r="C30">
        <v>2.7</v>
      </c>
      <c r="D30">
        <f t="shared" si="4"/>
        <v>2.7003296366247604</v>
      </c>
      <c r="E30">
        <f t="shared" si="5"/>
        <v>-3.2963662476026556E-4</v>
      </c>
      <c r="F30">
        <f t="shared" si="6"/>
        <v>1.0866030438334013E-7</v>
      </c>
    </row>
    <row r="31" spans="1:9">
      <c r="A31">
        <v>2010</v>
      </c>
      <c r="B31">
        <v>8</v>
      </c>
      <c r="C31">
        <v>3.2</v>
      </c>
      <c r="D31">
        <f t="shared" si="4"/>
        <v>3.1790753476822733</v>
      </c>
      <c r="E31">
        <f t="shared" si="5"/>
        <v>2.0924652317726888E-2</v>
      </c>
      <c r="F31">
        <f t="shared" si="6"/>
        <v>4.3784107461775323E-4</v>
      </c>
    </row>
    <row r="32" spans="1:9">
      <c r="A32">
        <v>2011</v>
      </c>
      <c r="B32">
        <v>9</v>
      </c>
      <c r="C32">
        <v>3.5</v>
      </c>
      <c r="D32">
        <f t="shared" si="4"/>
        <v>3.5663019358900918</v>
      </c>
      <c r="E32">
        <f t="shared" si="5"/>
        <v>-6.6301935890091812E-2</v>
      </c>
      <c r="F32">
        <f t="shared" si="6"/>
        <v>4.3959467027738447E-3</v>
      </c>
    </row>
    <row r="33" spans="1:6">
      <c r="A33">
        <v>2012</v>
      </c>
      <c r="B33">
        <v>10</v>
      </c>
      <c r="C33">
        <v>3.9</v>
      </c>
      <c r="D33">
        <f t="shared" si="4"/>
        <v>3.8669663278912356</v>
      </c>
      <c r="E33">
        <f t="shared" si="5"/>
        <v>3.3033672108764289E-2</v>
      </c>
      <c r="F33">
        <f t="shared" si="6"/>
        <v>1.0912234929893517E-3</v>
      </c>
    </row>
    <row r="34" spans="1:6">
      <c r="A34">
        <v>2013</v>
      </c>
      <c r="B34">
        <f>B33+1</f>
        <v>11</v>
      </c>
      <c r="D34">
        <f t="shared" si="4"/>
        <v>4.093784692863867</v>
      </c>
    </row>
    <row r="35" spans="1:6">
      <c r="A35">
        <v>2014</v>
      </c>
      <c r="B35">
        <f t="shared" ref="B35:B36" si="7">B34+1</f>
        <v>12</v>
      </c>
      <c r="D35">
        <f t="shared" si="4"/>
        <v>4.2614505533724918</v>
      </c>
    </row>
    <row r="36" spans="1:6">
      <c r="A36">
        <v>2015</v>
      </c>
      <c r="B36">
        <f t="shared" si="7"/>
        <v>13</v>
      </c>
      <c r="D36">
        <f t="shared" si="4"/>
        <v>4.3836267955502155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S-Curve Forecast</vt:lpstr>
      <vt:lpstr>Incorporating Seasonality</vt:lpstr>
      <vt:lpstr>Gompertz Curve</vt:lpstr>
      <vt:lpstr>Problems 26.1 - 26.4</vt:lpstr>
      <vt:lpstr>Problems 26.5 - 26.9</vt:lpstr>
      <vt:lpstr>Problem 26.12</vt:lpstr>
      <vt:lpstr>Problem 26.13</vt:lpstr>
      <vt:lpstr>_c2</vt:lpstr>
      <vt:lpstr>a</vt:lpstr>
      <vt:lpstr>a1_</vt:lpstr>
      <vt:lpstr>a2_</vt:lpstr>
      <vt:lpstr>b</vt:lpstr>
      <vt:lpstr>b1_</vt:lpstr>
      <vt:lpstr>b2_</vt:lpstr>
      <vt:lpstr>L</vt:lpstr>
      <vt:lpstr>L1_</vt:lpstr>
      <vt:lpstr>Seasonality_Factors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2018-03-01T15:32:16Z</dcterms:created>
  <dcterms:modified xsi:type="dcterms:W3CDTF">2018-03-02T17:19:17Z</dcterms:modified>
</cp:coreProperties>
</file>