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xr:revisionPtr revIDLastSave="0" documentId="10_ncr:8100000_{BF6B089E-59C2-EA4D-BCA3-C98F033E4DA1}" xr6:coauthVersionLast="32" xr6:coauthVersionMax="32" xr10:uidLastSave="{00000000-0000-0000-0000-000000000000}"/>
  <bookViews>
    <workbookView xWindow="0" yWindow="0" windowWidth="25600" windowHeight="14780" firstSheet="4" activeTab="7" xr2:uid="{00000000-000D-0000-FFFF-FFFF00000000}"/>
  </bookViews>
  <sheets>
    <sheet name="Multiplicative Method" sheetId="1" r:id="rId1"/>
    <sheet name="Winter's Method" sheetId="3" r:id="rId2"/>
    <sheet name="Problem 14.1 Initialization" sheetId="4" r:id="rId3"/>
    <sheet name="Problem 14.1 Winter's Method" sheetId="5" r:id="rId4"/>
    <sheet name="Problem 14.2 Initialization" sheetId="6" r:id="rId5"/>
    <sheet name="Problem 14.2 Winter's Method" sheetId="7" r:id="rId6"/>
    <sheet name="Problem 14.5 Initialization" sheetId="8" r:id="rId7"/>
    <sheet name="Problem 14.5 Winter's Method" sheetId="9" r:id="rId8"/>
    <sheet name="Problem 14.5 Mult Regression" sheetId="10" r:id="rId9"/>
  </sheets>
  <definedNames>
    <definedName name="alpha">'Winter''s Method'!$G$8</definedName>
    <definedName name="alpha1">'Problem 14.1 Winter''s Method'!$O$22</definedName>
    <definedName name="alpha2">'Problem 14.2 Winter''s Method'!$C$18</definedName>
    <definedName name="alpha5">'Problem 14.5 Winter''s Method'!$D$19</definedName>
    <definedName name="Base" localSheetId="1">'Winter''s Method'!$G$2</definedName>
    <definedName name="Base">'Multiplicative Method'!$J$2</definedName>
    <definedName name="Base1">'Problem 14.1 Initialization'!$K$4</definedName>
    <definedName name="Base2">'Problem 14.2 Initialization'!$L$3</definedName>
    <definedName name="Base5">'Problem 14.5 Initialization'!$K$7</definedName>
    <definedName name="beta">'Winter''s Method'!$G$9</definedName>
    <definedName name="beta1">'Problem 14.1 Winter''s Method'!$O$23</definedName>
    <definedName name="beta2">'Problem 14.2 Winter''s Method'!$C$19</definedName>
    <definedName name="beta5">'Problem 14.5 Winter''s Method'!$D$20</definedName>
    <definedName name="gamma">'Winter''s Method'!$G$10</definedName>
    <definedName name="gamma1">'Problem 14.1 Winter''s Method'!$O$24</definedName>
    <definedName name="gamma2">'Problem 14.2 Winter''s Method'!$C$20</definedName>
    <definedName name="gamma5">'Problem 14.5 Winter''s Method'!$D$21</definedName>
    <definedName name="Intercept">'Problem 14.5 Mult Regression'!$K$18</definedName>
    <definedName name="Period">'Problem 14.5 Mult Regression'!$K$19</definedName>
    <definedName name="Quarter2">'Problem 14.5 Mult Regression'!$K$20</definedName>
    <definedName name="Quarter3">'Problem 14.5 Mult Regression'!$K$21</definedName>
    <definedName name="Quarter4">'Problem 14.5 Mult Regression'!$K$22</definedName>
    <definedName name="Seasonality_Factors" localSheetId="1">'Winter''s Method'!$H$6:$I$17</definedName>
    <definedName name="Seasonality_Factors">'Multiplicative Method'!$I$6:$J$17</definedName>
    <definedName name="Seasonality_Factors1">'Problem 14.1 Initialization'!$J$8:$K$11</definedName>
    <definedName name="Seasonality_Factors2">'Problem 14.2 Initialization'!$K$7:$L$10</definedName>
    <definedName name="Seasonality_Factors5">'Problem 14.5 Initialization'!$J$11:$K$14</definedName>
    <definedName name="solver_adj" localSheetId="0" hidden="1">'Multiplicative Method'!$J$2:$J$3,'Multiplicative Method'!$J$6:$J$17</definedName>
    <definedName name="solver_adj" localSheetId="2" hidden="1">'Problem 14.1 Initialization'!$K$4:$K$5,'Problem 14.1 Initialization'!$K$8:$K$11</definedName>
    <definedName name="solver_adj" localSheetId="3" hidden="1">'Problem 14.1 Winter''s Method'!$O$22:$O$24</definedName>
    <definedName name="solver_adj" localSheetId="4" hidden="1">'Problem 14.2 Initialization'!$L$3:$L$4,'Problem 14.2 Initialization'!$L$7:$L$10</definedName>
    <definedName name="solver_adj" localSheetId="5" hidden="1">'Problem 14.2 Winter''s Method'!$C$18:$C$21</definedName>
    <definedName name="solver_adj" localSheetId="6" hidden="1">'Problem 14.5 Initialization'!$K$7:$K$8,'Problem 14.5 Initialization'!$K$11:$K$14,'Problem 14.5 Initialization'!$K$14,'Problem 14.5 Initialization'!$K$11:$K$14</definedName>
    <definedName name="solver_adj" localSheetId="7" hidden="1">'Problem 14.5 Winter''s Method'!$D$19:$D$21</definedName>
    <definedName name="solver_adj" localSheetId="1" hidden="1">'Winter''s Method'!$G$8:$G$10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1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1" hidden="1">2147483647</definedName>
    <definedName name="solver_lhs1" localSheetId="0" hidden="1">'Multiplicative Method'!$J$19</definedName>
    <definedName name="solver_lhs1" localSheetId="2" hidden="1">'Problem 14.1 Initialization'!$K$13</definedName>
    <definedName name="solver_lhs1" localSheetId="3" hidden="1">'Problem 14.1 Winter''s Method'!$O$22:$O$24</definedName>
    <definedName name="solver_lhs1" localSheetId="4" hidden="1">'Problem 14.2 Initialization'!$L$12</definedName>
    <definedName name="solver_lhs1" localSheetId="5" hidden="1">'Problem 14.2 Winter''s Method'!$C$18:$C$20</definedName>
    <definedName name="solver_lhs1" localSheetId="6" hidden="1">'Problem 14.5 Initialization'!$K$16</definedName>
    <definedName name="solver_lhs1" localSheetId="7" hidden="1">'Problem 14.5 Winter''s Method'!$D$19:$D$21</definedName>
    <definedName name="solver_lhs1" localSheetId="1" hidden="1">'Winter''s Method'!$G$8:$G$10</definedName>
    <definedName name="solver_lhs2" localSheetId="0" hidden="1">'Multiplicative Method'!$J$6:$J$17</definedName>
    <definedName name="solver_lhs2" localSheetId="3" hidden="1">'Problem 14.1 Winter''s Method'!$O$22:$O$24</definedName>
    <definedName name="solver_lhs2" localSheetId="5" hidden="1">'Problem 14.2 Winter''s Method'!$C$18:$C$20</definedName>
    <definedName name="solver_lhs2" localSheetId="7" hidden="1">'Problem 14.5 Winter''s Method'!$D$19:$D$21</definedName>
    <definedName name="solver_lhs2" localSheetId="1" hidden="1">'Winter''s Method'!$G$8:$G$10</definedName>
    <definedName name="solver_lhs3" localSheetId="0" hidden="1">'Multiplicative Method'!$J$3</definedName>
    <definedName name="solver_lhs3" localSheetId="1" hidden="1">'Winter''s Method'!$G$3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1" hidden="1">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1" hidden="1">2</definedName>
    <definedName name="solver_neg" localSheetId="0" hidden="1">2</definedName>
    <definedName name="solver_neg" localSheetId="2" hidden="1">2</definedName>
    <definedName name="solver_neg" localSheetId="3" hidden="1">1</definedName>
    <definedName name="solver_neg" localSheetId="4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1" hidden="1">2147483647</definedName>
    <definedName name="solver_num" localSheetId="0" hidden="1">3</definedName>
    <definedName name="solver_num" localSheetId="2" hidden="1">1</definedName>
    <definedName name="solver_num" localSheetId="3" hidden="1">2</definedName>
    <definedName name="solver_num" localSheetId="4" hidden="1">1</definedName>
    <definedName name="solver_num" localSheetId="5" hidden="1">2</definedName>
    <definedName name="solver_num" localSheetId="6" hidden="1">1</definedName>
    <definedName name="solver_num" localSheetId="7" hidden="1">2</definedName>
    <definedName name="solver_num" localSheetId="1" hidden="1">2</definedName>
    <definedName name="solver_opt" localSheetId="0" hidden="1">'Multiplicative Method'!$J$21</definedName>
    <definedName name="solver_opt" localSheetId="2" hidden="1">'Problem 14.1 Initialization'!$K$15</definedName>
    <definedName name="solver_opt" localSheetId="3" hidden="1">'Problem 14.1 Winter''s Method'!$I$15</definedName>
    <definedName name="solver_opt" localSheetId="4" hidden="1">'Problem 14.2 Initialization'!$H$4</definedName>
    <definedName name="solver_opt" localSheetId="5" hidden="1">'Problem 14.2 Winter''s Method'!$I$22</definedName>
    <definedName name="solver_opt" localSheetId="6" hidden="1">'Problem 14.5 Initialization'!$H$16</definedName>
    <definedName name="solver_opt" localSheetId="7" hidden="1">'Problem 14.5 Winter''s Method'!$I$20</definedName>
    <definedName name="solver_opt" localSheetId="1" hidden="1">'Winter''s Method'!$G$5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1" hidden="1">1</definedName>
    <definedName name="solver_rel1" localSheetId="0" hidden="1">2</definedName>
    <definedName name="solver_rel1" localSheetId="2" hidden="1">2</definedName>
    <definedName name="solver_rel1" localSheetId="3" hidden="1">1</definedName>
    <definedName name="solver_rel1" localSheetId="4" hidden="1">2</definedName>
    <definedName name="solver_rel1" localSheetId="5" hidden="1">1</definedName>
    <definedName name="solver_rel1" localSheetId="6" hidden="1">2</definedName>
    <definedName name="solver_rel1" localSheetId="7" hidden="1">1</definedName>
    <definedName name="solver_rel1" localSheetId="1" hidden="1">1</definedName>
    <definedName name="solver_rel2" localSheetId="0" hidden="1">1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hs1" localSheetId="0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1" localSheetId="1" hidden="1">1</definedName>
    <definedName name="solver_rhs2" localSheetId="0" hidden="1">2</definedName>
    <definedName name="solver_rhs2" localSheetId="3" hidden="1">0</definedName>
    <definedName name="solver_rhs2" localSheetId="5" hidden="1">0</definedName>
    <definedName name="solver_rhs2" localSheetId="7" hidden="1">0</definedName>
    <definedName name="solver_rhs2" localSheetId="1" hidden="1">0</definedName>
    <definedName name="solver_rhs3" localSheetId="0" hidden="1">3</definedName>
    <definedName name="solver_rhs3" localSheetId="1" hidden="1">3</definedName>
    <definedName name="solver_rlx" localSheetId="0" hidden="1">2</definedName>
    <definedName name="solver_rlx" localSheetId="2" hidden="1">1</definedName>
    <definedName name="solver_rlx" localSheetId="3" hidden="1">1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1" hidden="1">0</definedName>
    <definedName name="solver_scl" localSheetId="0" hidden="1">1</definedName>
    <definedName name="solver_scl" localSheetId="2" hidden="1">2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1" hidden="1">2</definedName>
    <definedName name="Trend" localSheetId="1">'Winter''s Method'!$G$3</definedName>
    <definedName name="Trend">'Multiplicative Method'!$J$3</definedName>
    <definedName name="Trend1">'Problem 14.1 Initialization'!$K$5</definedName>
    <definedName name="Trend2">'Problem 14.2 Initialization'!$L$4</definedName>
    <definedName name="Trend5">'Problem 14.5 Initialization'!$K$8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3" i="10"/>
  <c r="E24" i="10" l="1"/>
  <c r="E28" i="10"/>
  <c r="D15" i="10"/>
  <c r="D35" i="10"/>
  <c r="B40" i="10"/>
  <c r="F40" i="10" s="1"/>
  <c r="B39" i="10"/>
  <c r="B38" i="10"/>
  <c r="B37" i="10"/>
  <c r="F37" i="10" s="1"/>
  <c r="B36" i="10"/>
  <c r="B35" i="10"/>
  <c r="B34" i="10"/>
  <c r="B33" i="10"/>
  <c r="F33" i="10" s="1"/>
  <c r="B32" i="10"/>
  <c r="B31" i="10"/>
  <c r="B30" i="10"/>
  <c r="B29" i="10"/>
  <c r="B28" i="10"/>
  <c r="F28" i="10" s="1"/>
  <c r="B27" i="10"/>
  <c r="B26" i="10"/>
  <c r="B25" i="10"/>
  <c r="F25" i="10" s="1"/>
  <c r="B24" i="10"/>
  <c r="F24" i="10" s="1"/>
  <c r="B23" i="10"/>
  <c r="B22" i="10"/>
  <c r="B21" i="10"/>
  <c r="F21" i="10" s="1"/>
  <c r="B20" i="10"/>
  <c r="F20" i="10" s="1"/>
  <c r="B19" i="10"/>
  <c r="B18" i="10"/>
  <c r="B17" i="10"/>
  <c r="B16" i="10"/>
  <c r="F16" i="10" s="1"/>
  <c r="B15" i="10"/>
  <c r="B14" i="10"/>
  <c r="B13" i="10"/>
  <c r="B12" i="10"/>
  <c r="F12" i="10" s="1"/>
  <c r="B11" i="10"/>
  <c r="B10" i="10"/>
  <c r="B9" i="10"/>
  <c r="F9" i="10" s="1"/>
  <c r="B8" i="10"/>
  <c r="F8" i="10" s="1"/>
  <c r="B7" i="10"/>
  <c r="B6" i="10"/>
  <c r="B5" i="10"/>
  <c r="F5" i="10" s="1"/>
  <c r="B4" i="10"/>
  <c r="F4" i="10" s="1"/>
  <c r="B3" i="10"/>
  <c r="F3" i="10" s="1"/>
  <c r="E17" i="10" l="1"/>
  <c r="F17" i="10"/>
  <c r="E10" i="10"/>
  <c r="F10" i="10"/>
  <c r="E22" i="10"/>
  <c r="F22" i="10"/>
  <c r="E34" i="10"/>
  <c r="F34" i="10"/>
  <c r="E31" i="10"/>
  <c r="F31" i="10"/>
  <c r="E3" i="10"/>
  <c r="E13" i="10"/>
  <c r="F13" i="10"/>
  <c r="E29" i="10"/>
  <c r="F29" i="10"/>
  <c r="E6" i="10"/>
  <c r="F6" i="10"/>
  <c r="E14" i="10"/>
  <c r="F14" i="10"/>
  <c r="E18" i="10"/>
  <c r="F18" i="10"/>
  <c r="E26" i="10"/>
  <c r="F26" i="10"/>
  <c r="E30" i="10"/>
  <c r="F30" i="10"/>
  <c r="E38" i="10"/>
  <c r="F38" i="10"/>
  <c r="E7" i="10"/>
  <c r="F7" i="10"/>
  <c r="E11" i="10"/>
  <c r="F11" i="10"/>
  <c r="E15" i="10"/>
  <c r="F15" i="10"/>
  <c r="E19" i="10"/>
  <c r="F19" i="10"/>
  <c r="E23" i="10"/>
  <c r="F23" i="10"/>
  <c r="E27" i="10"/>
  <c r="F27" i="10"/>
  <c r="E35" i="10"/>
  <c r="F35" i="10"/>
  <c r="E39" i="10"/>
  <c r="F39" i="10"/>
  <c r="E32" i="10"/>
  <c r="F32" i="10"/>
  <c r="E36" i="10"/>
  <c r="F36" i="10"/>
  <c r="E40" i="10"/>
  <c r="D31" i="10"/>
  <c r="D19" i="10"/>
  <c r="D27" i="10"/>
  <c r="D11" i="10"/>
  <c r="D39" i="10"/>
  <c r="D23" i="10"/>
  <c r="D7" i="10"/>
  <c r="E25" i="10"/>
  <c r="E5" i="10"/>
  <c r="E33" i="10"/>
  <c r="D38" i="10"/>
  <c r="D34" i="10"/>
  <c r="D26" i="10"/>
  <c r="D22" i="10"/>
  <c r="D18" i="10"/>
  <c r="D14" i="10"/>
  <c r="D10" i="10"/>
  <c r="D6" i="10"/>
  <c r="E20" i="10"/>
  <c r="E16" i="10"/>
  <c r="E12" i="10"/>
  <c r="E8" i="10"/>
  <c r="E4" i="10"/>
  <c r="E37" i="10"/>
  <c r="E21" i="10"/>
  <c r="E9" i="10"/>
  <c r="D3" i="10"/>
  <c r="D37" i="10"/>
  <c r="D33" i="10"/>
  <c r="D29" i="10"/>
  <c r="D25" i="10"/>
  <c r="D21" i="10"/>
  <c r="D17" i="10"/>
  <c r="D13" i="10"/>
  <c r="D9" i="10"/>
  <c r="D5" i="10"/>
  <c r="D30" i="10"/>
  <c r="D40" i="10"/>
  <c r="D36" i="10"/>
  <c r="D32" i="10"/>
  <c r="D28" i="10"/>
  <c r="D24" i="10"/>
  <c r="D20" i="10"/>
  <c r="D16" i="10"/>
  <c r="D12" i="10"/>
  <c r="D8" i="10"/>
  <c r="D4" i="10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25" i="9"/>
  <c r="E25" i="9"/>
  <c r="F24" i="9"/>
  <c r="E24" i="9"/>
  <c r="G22" i="9"/>
  <c r="G23" i="9"/>
  <c r="G24" i="9"/>
  <c r="G21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K13" i="9"/>
  <c r="C12" i="9"/>
  <c r="C11" i="9"/>
  <c r="E11" i="9" s="1"/>
  <c r="C10" i="9"/>
  <c r="E10" i="9" s="1"/>
  <c r="E9" i="9"/>
  <c r="H9" i="9" s="1"/>
  <c r="C9" i="9"/>
  <c r="C8" i="9"/>
  <c r="E8" i="9" s="1"/>
  <c r="C7" i="9"/>
  <c r="E7" i="9" s="1"/>
  <c r="C6" i="9"/>
  <c r="E6" i="9" s="1"/>
  <c r="E5" i="9"/>
  <c r="H5" i="9" s="1"/>
  <c r="C5" i="9"/>
  <c r="C4" i="9"/>
  <c r="E4" i="9" s="1"/>
  <c r="F25" i="9" l="1"/>
  <c r="H25" i="9" s="1"/>
  <c r="I25" i="9" s="1"/>
  <c r="G25" i="9"/>
  <c r="F11" i="9"/>
  <c r="G11" i="9" s="1"/>
  <c r="H11" i="9"/>
  <c r="H8" i="9"/>
  <c r="F8" i="9"/>
  <c r="G8" i="9" s="1"/>
  <c r="F6" i="9"/>
  <c r="G6" i="9" s="1"/>
  <c r="H6" i="9"/>
  <c r="H4" i="9"/>
  <c r="F4" i="9"/>
  <c r="F7" i="9"/>
  <c r="G7" i="9" s="1"/>
  <c r="H7" i="9"/>
  <c r="F10" i="9"/>
  <c r="G10" i="9" s="1"/>
  <c r="H10" i="9"/>
  <c r="F5" i="9"/>
  <c r="G5" i="9" s="1"/>
  <c r="F9" i="9"/>
  <c r="G9" i="9" s="1"/>
  <c r="E26" i="9" l="1"/>
  <c r="G26" i="9" s="1"/>
  <c r="G4" i="9"/>
  <c r="K15" i="9" s="1"/>
  <c r="H13" i="9"/>
  <c r="F26" i="9" l="1"/>
  <c r="E27" i="9" s="1"/>
  <c r="G27" i="9" s="1"/>
  <c r="H26" i="9" l="1"/>
  <c r="I26" i="9" s="1"/>
  <c r="F27" i="9"/>
  <c r="E28" i="9" s="1"/>
  <c r="G28" i="9" s="1"/>
  <c r="F28" i="9" l="1"/>
  <c r="E29" i="9" s="1"/>
  <c r="H27" i="9"/>
  <c r="I27" i="9" s="1"/>
  <c r="K16" i="9"/>
  <c r="G29" i="9"/>
  <c r="F29" i="9"/>
  <c r="E30" i="9" s="1"/>
  <c r="H28" i="9" l="1"/>
  <c r="I28" i="9" s="1"/>
  <c r="G30" i="9"/>
  <c r="F30" i="9"/>
  <c r="E31" i="9" s="1"/>
  <c r="H29" i="9"/>
  <c r="I29" i="9" s="1"/>
  <c r="G31" i="9" l="1"/>
  <c r="F31" i="9"/>
  <c r="E32" i="9" s="1"/>
  <c r="H30" i="9"/>
  <c r="I30" i="9" s="1"/>
  <c r="G32" i="9" l="1"/>
  <c r="F32" i="9"/>
  <c r="E33" i="9" s="1"/>
  <c r="H31" i="9"/>
  <c r="I31" i="9" s="1"/>
  <c r="G33" i="9" l="1"/>
  <c r="F33" i="9"/>
  <c r="E34" i="9" s="1"/>
  <c r="H32" i="9"/>
  <c r="I32" i="9" s="1"/>
  <c r="G34" i="9" l="1"/>
  <c r="F34" i="9"/>
  <c r="E35" i="9" s="1"/>
  <c r="H33" i="9"/>
  <c r="I33" i="9" s="1"/>
  <c r="G35" i="9" l="1"/>
  <c r="F35" i="9"/>
  <c r="E36" i="9" s="1"/>
  <c r="H34" i="9"/>
  <c r="I34" i="9" s="1"/>
  <c r="G36" i="9" l="1"/>
  <c r="F36" i="9"/>
  <c r="E37" i="9" s="1"/>
  <c r="H35" i="9"/>
  <c r="I35" i="9" s="1"/>
  <c r="G37" i="9" l="1"/>
  <c r="F37" i="9"/>
  <c r="E38" i="9" s="1"/>
  <c r="H36" i="9"/>
  <c r="I36" i="9" s="1"/>
  <c r="G38" i="9" l="1"/>
  <c r="F38" i="9"/>
  <c r="E39" i="9" s="1"/>
  <c r="H37" i="9"/>
  <c r="I37" i="9" s="1"/>
  <c r="G39" i="9" l="1"/>
  <c r="F39" i="9"/>
  <c r="E40" i="9" s="1"/>
  <c r="H38" i="9"/>
  <c r="I38" i="9" s="1"/>
  <c r="G40" i="9" l="1"/>
  <c r="F40" i="9"/>
  <c r="E41" i="9" s="1"/>
  <c r="H39" i="9"/>
  <c r="I39" i="9" s="1"/>
  <c r="G41" i="9" l="1"/>
  <c r="F41" i="9"/>
  <c r="E42" i="9" s="1"/>
  <c r="H40" i="9"/>
  <c r="I40" i="9" s="1"/>
  <c r="G42" i="9" l="1"/>
  <c r="F42" i="9"/>
  <c r="E43" i="9" s="1"/>
  <c r="H41" i="9"/>
  <c r="I41" i="9" s="1"/>
  <c r="G43" i="9" l="1"/>
  <c r="F43" i="9"/>
  <c r="E44" i="9" s="1"/>
  <c r="H42" i="9"/>
  <c r="I42" i="9" s="1"/>
  <c r="G44" i="9" l="1"/>
  <c r="F44" i="9"/>
  <c r="E45" i="9" s="1"/>
  <c r="H43" i="9"/>
  <c r="I43" i="9" s="1"/>
  <c r="G45" i="9" l="1"/>
  <c r="F45" i="9"/>
  <c r="E46" i="9" s="1"/>
  <c r="H44" i="9"/>
  <c r="I44" i="9" s="1"/>
  <c r="G46" i="9" l="1"/>
  <c r="F46" i="9"/>
  <c r="E47" i="9" s="1"/>
  <c r="H45" i="9"/>
  <c r="I45" i="9" s="1"/>
  <c r="G47" i="9" l="1"/>
  <c r="F47" i="9"/>
  <c r="E48" i="9" s="1"/>
  <c r="H46" i="9"/>
  <c r="I46" i="9" s="1"/>
  <c r="G48" i="9" l="1"/>
  <c r="F48" i="9"/>
  <c r="E49" i="9" s="1"/>
  <c r="H47" i="9"/>
  <c r="I47" i="9" s="1"/>
  <c r="G49" i="9" l="1"/>
  <c r="F49" i="9"/>
  <c r="E50" i="9" s="1"/>
  <c r="H48" i="9"/>
  <c r="I48" i="9" s="1"/>
  <c r="G50" i="9" l="1"/>
  <c r="F50" i="9"/>
  <c r="E51" i="9" s="1"/>
  <c r="H49" i="9"/>
  <c r="I49" i="9" s="1"/>
  <c r="G51" i="9" l="1"/>
  <c r="F51" i="9"/>
  <c r="E52" i="9" s="1"/>
  <c r="H50" i="9"/>
  <c r="I50" i="9" s="1"/>
  <c r="G52" i="9" l="1"/>
  <c r="F52" i="9"/>
  <c r="E53" i="9" s="1"/>
  <c r="H51" i="9"/>
  <c r="I51" i="9" s="1"/>
  <c r="G53" i="9" l="1"/>
  <c r="F53" i="9"/>
  <c r="E54" i="9" s="1"/>
  <c r="H52" i="9"/>
  <c r="I52" i="9" s="1"/>
  <c r="F54" i="9" l="1"/>
  <c r="H54" i="9" s="1"/>
  <c r="I54" i="9" s="1"/>
  <c r="G54" i="9"/>
  <c r="H53" i="9"/>
  <c r="I53" i="9" s="1"/>
  <c r="I20" i="9" l="1"/>
  <c r="E8" i="8" l="1"/>
  <c r="H8" i="8" s="1"/>
  <c r="E9" i="8"/>
  <c r="H9" i="8" s="1"/>
  <c r="E10" i="8"/>
  <c r="H10" i="8" s="1"/>
  <c r="E11" i="8"/>
  <c r="H11" i="8" s="1"/>
  <c r="E12" i="8"/>
  <c r="H12" i="8" s="1"/>
  <c r="E13" i="8"/>
  <c r="H13" i="8" s="1"/>
  <c r="E14" i="8"/>
  <c r="H14" i="8" s="1"/>
  <c r="E7" i="8"/>
  <c r="H7" i="8" s="1"/>
  <c r="K16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7" i="8"/>
  <c r="H16" i="8" l="1"/>
  <c r="F7" i="8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E26" i="7"/>
  <c r="B27" i="7"/>
  <c r="B28" i="7"/>
  <c r="B29" i="7"/>
  <c r="B30" i="7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26" i="7"/>
  <c r="F25" i="7"/>
  <c r="E25" i="7"/>
  <c r="K19" i="8" l="1"/>
  <c r="G7" i="8"/>
  <c r="K18" i="8" s="1"/>
  <c r="G26" i="7"/>
  <c r="F26" i="7"/>
  <c r="E27" i="7" s="1"/>
  <c r="G23" i="7"/>
  <c r="G24" i="7"/>
  <c r="G25" i="7"/>
  <c r="G22" i="7"/>
  <c r="E14" i="7"/>
  <c r="H14" i="7" s="1"/>
  <c r="E13" i="7"/>
  <c r="F13" i="7" s="1"/>
  <c r="G13" i="7" s="1"/>
  <c r="L12" i="7"/>
  <c r="E12" i="7"/>
  <c r="F12" i="7" s="1"/>
  <c r="G12" i="7" s="1"/>
  <c r="E11" i="7"/>
  <c r="F11" i="7" s="1"/>
  <c r="G11" i="7" s="1"/>
  <c r="E10" i="7"/>
  <c r="F10" i="7" s="1"/>
  <c r="G10" i="7" s="1"/>
  <c r="E9" i="7"/>
  <c r="F9" i="7" s="1"/>
  <c r="G9" i="7" s="1"/>
  <c r="E8" i="7"/>
  <c r="F8" i="7" s="1"/>
  <c r="G8" i="7" s="1"/>
  <c r="E7" i="7"/>
  <c r="F7" i="7" s="1"/>
  <c r="L14" i="6"/>
  <c r="L26" i="7" l="1"/>
  <c r="H26" i="7"/>
  <c r="I26" i="7" s="1"/>
  <c r="G27" i="7"/>
  <c r="J27" i="7"/>
  <c r="F27" i="7"/>
  <c r="H27" i="7" s="1"/>
  <c r="I27" i="7" s="1"/>
  <c r="E28" i="7"/>
  <c r="K26" i="7"/>
  <c r="J26" i="7"/>
  <c r="H10" i="7"/>
  <c r="H8" i="7"/>
  <c r="H13" i="7"/>
  <c r="H12" i="7"/>
  <c r="H7" i="7"/>
  <c r="H9" i="7"/>
  <c r="H11" i="7"/>
  <c r="F14" i="7"/>
  <c r="G14" i="7" s="1"/>
  <c r="G7" i="7"/>
  <c r="G28" i="7" l="1"/>
  <c r="F28" i="7"/>
  <c r="J28" i="7" s="1"/>
  <c r="L27" i="7"/>
  <c r="K27" i="7"/>
  <c r="L14" i="7"/>
  <c r="H4" i="7"/>
  <c r="E29" i="7" l="1"/>
  <c r="L28" i="7"/>
  <c r="F29" i="7"/>
  <c r="H29" i="7" s="1"/>
  <c r="I29" i="7" s="1"/>
  <c r="L29" i="7"/>
  <c r="G29" i="7"/>
  <c r="H28" i="7"/>
  <c r="I28" i="7" s="1"/>
  <c r="K28" i="7"/>
  <c r="E8" i="6"/>
  <c r="E9" i="6"/>
  <c r="E10" i="6"/>
  <c r="E11" i="6"/>
  <c r="E12" i="6"/>
  <c r="E13" i="6"/>
  <c r="E14" i="6"/>
  <c r="E7" i="6"/>
  <c r="L12" i="6"/>
  <c r="K29" i="7" l="1"/>
  <c r="E30" i="7"/>
  <c r="F30" i="7" s="1"/>
  <c r="E31" i="7" s="1"/>
  <c r="J29" i="7"/>
  <c r="G30" i="7"/>
  <c r="F10" i="6"/>
  <c r="G10" i="6" s="1"/>
  <c r="H10" i="6"/>
  <c r="F13" i="6"/>
  <c r="G13" i="6" s="1"/>
  <c r="H13" i="6"/>
  <c r="F8" i="6"/>
  <c r="G8" i="6" s="1"/>
  <c r="H8" i="6"/>
  <c r="F14" i="6"/>
  <c r="G14" i="6" s="1"/>
  <c r="H14" i="6"/>
  <c r="F9" i="6"/>
  <c r="G9" i="6" s="1"/>
  <c r="H9" i="6"/>
  <c r="F12" i="6"/>
  <c r="G12" i="6" s="1"/>
  <c r="H12" i="6"/>
  <c r="F7" i="6"/>
  <c r="G7" i="6" s="1"/>
  <c r="H7" i="6"/>
  <c r="F11" i="6"/>
  <c r="G11" i="6" s="1"/>
  <c r="H11" i="6"/>
  <c r="H30" i="7" l="1"/>
  <c r="I30" i="7" s="1"/>
  <c r="G31" i="7"/>
  <c r="F31" i="7"/>
  <c r="E32" i="7" s="1"/>
  <c r="J30" i="7"/>
  <c r="L30" i="7"/>
  <c r="K30" i="7"/>
  <c r="G4" i="6"/>
  <c r="H4" i="6"/>
  <c r="H31" i="7" l="1"/>
  <c r="I31" i="7" s="1"/>
  <c r="J31" i="7"/>
  <c r="G32" i="7"/>
  <c r="F32" i="7"/>
  <c r="E33" i="7" s="1"/>
  <c r="L31" i="7"/>
  <c r="K31" i="7"/>
  <c r="B20" i="5"/>
  <c r="B21" i="5"/>
  <c r="B22" i="5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19" i="5"/>
  <c r="F18" i="5"/>
  <c r="J32" i="7" l="1"/>
  <c r="L32" i="7"/>
  <c r="G33" i="7"/>
  <c r="J33" i="7"/>
  <c r="F33" i="7"/>
  <c r="E34" i="7" s="1"/>
  <c r="K32" i="7"/>
  <c r="H32" i="7"/>
  <c r="I32" i="7" s="1"/>
  <c r="B5" i="5"/>
  <c r="B6" i="5" s="1"/>
  <c r="E4" i="5"/>
  <c r="F4" i="5" s="1"/>
  <c r="G4" i="5" s="1"/>
  <c r="H13" i="4"/>
  <c r="H33" i="7" l="1"/>
  <c r="I33" i="7" s="1"/>
  <c r="G34" i="7"/>
  <c r="J34" i="7"/>
  <c r="H34" i="7"/>
  <c r="I34" i="7" s="1"/>
  <c r="F34" i="7"/>
  <c r="E35" i="7" s="1"/>
  <c r="K33" i="7"/>
  <c r="L33" i="7"/>
  <c r="B7" i="5"/>
  <c r="E6" i="5"/>
  <c r="H4" i="5"/>
  <c r="E5" i="5"/>
  <c r="E5" i="4"/>
  <c r="E6" i="4"/>
  <c r="E7" i="4"/>
  <c r="E8" i="4"/>
  <c r="E9" i="4"/>
  <c r="E10" i="4"/>
  <c r="E11" i="4"/>
  <c r="E4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K13" i="4"/>
  <c r="G35" i="7" l="1"/>
  <c r="F35" i="7"/>
  <c r="E36" i="7" s="1"/>
  <c r="L34" i="7"/>
  <c r="K34" i="7"/>
  <c r="G15" i="5"/>
  <c r="F5" i="5"/>
  <c r="G5" i="5" s="1"/>
  <c r="H5" i="5"/>
  <c r="H6" i="5"/>
  <c r="F6" i="5"/>
  <c r="G6" i="5" s="1"/>
  <c r="B8" i="5"/>
  <c r="E7" i="5"/>
  <c r="F4" i="4"/>
  <c r="G4" i="4" s="1"/>
  <c r="H4" i="4"/>
  <c r="F11" i="4"/>
  <c r="G11" i="4" s="1"/>
  <c r="H11" i="4"/>
  <c r="F10" i="4"/>
  <c r="G10" i="4" s="1"/>
  <c r="H10" i="4"/>
  <c r="F6" i="4"/>
  <c r="G6" i="4" s="1"/>
  <c r="H6" i="4"/>
  <c r="F8" i="4"/>
  <c r="G8" i="4" s="1"/>
  <c r="H8" i="4"/>
  <c r="F7" i="4"/>
  <c r="G7" i="4" s="1"/>
  <c r="K15" i="4" s="1"/>
  <c r="H7" i="4"/>
  <c r="F9" i="4"/>
  <c r="G9" i="4" s="1"/>
  <c r="H9" i="4"/>
  <c r="F5" i="4"/>
  <c r="G5" i="4" s="1"/>
  <c r="H5" i="4"/>
  <c r="K22" i="3"/>
  <c r="H35" i="7" l="1"/>
  <c r="I35" i="7" s="1"/>
  <c r="J35" i="7"/>
  <c r="G36" i="7"/>
  <c r="L36" i="7"/>
  <c r="F36" i="7"/>
  <c r="E37" i="7" s="1"/>
  <c r="L35" i="7"/>
  <c r="K35" i="7"/>
  <c r="G16" i="5"/>
  <c r="H7" i="5"/>
  <c r="F7" i="5"/>
  <c r="G7" i="5" s="1"/>
  <c r="B9" i="5"/>
  <c r="E8" i="5"/>
  <c r="K16" i="4"/>
  <c r="F25" i="3"/>
  <c r="E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36" i="7" l="1"/>
  <c r="G37" i="7"/>
  <c r="F37" i="7"/>
  <c r="E38" i="7" s="1"/>
  <c r="K36" i="7"/>
  <c r="H36" i="7"/>
  <c r="I36" i="7" s="1"/>
  <c r="G17" i="5"/>
  <c r="F8" i="5"/>
  <c r="G8" i="5" s="1"/>
  <c r="H8" i="5"/>
  <c r="B10" i="5"/>
  <c r="E9" i="5"/>
  <c r="H26" i="3"/>
  <c r="K26" i="3" s="1"/>
  <c r="E26" i="3"/>
  <c r="G26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L37" i="7" l="1"/>
  <c r="H37" i="7"/>
  <c r="I37" i="7" s="1"/>
  <c r="G38" i="7"/>
  <c r="F38" i="7"/>
  <c r="E39" i="7" s="1"/>
  <c r="K37" i="7"/>
  <c r="J37" i="7"/>
  <c r="G18" i="5"/>
  <c r="E18" i="5" s="1"/>
  <c r="E19" i="5" s="1"/>
  <c r="F9" i="5"/>
  <c r="G9" i="5" s="1"/>
  <c r="H9" i="5"/>
  <c r="B11" i="5"/>
  <c r="E10" i="5"/>
  <c r="F26" i="3"/>
  <c r="H27" i="3" s="1"/>
  <c r="I26" i="3"/>
  <c r="J26" i="3"/>
  <c r="J19" i="1"/>
  <c r="C3" i="1"/>
  <c r="F3" i="1" s="1"/>
  <c r="G3" i="1" s="1"/>
  <c r="C4" i="1"/>
  <c r="F4" i="1" s="1"/>
  <c r="G4" i="1" s="1"/>
  <c r="C5" i="1"/>
  <c r="F5" i="1" s="1"/>
  <c r="G5" i="1" s="1"/>
  <c r="C6" i="1"/>
  <c r="F6" i="1" s="1"/>
  <c r="G6" i="1" s="1"/>
  <c r="C7" i="1"/>
  <c r="F7" i="1" s="1"/>
  <c r="G7" i="1" s="1"/>
  <c r="C8" i="1"/>
  <c r="F8" i="1" s="1"/>
  <c r="G8" i="1" s="1"/>
  <c r="C9" i="1"/>
  <c r="F9" i="1" s="1"/>
  <c r="G9" i="1" s="1"/>
  <c r="C10" i="1"/>
  <c r="F10" i="1" s="1"/>
  <c r="G10" i="1" s="1"/>
  <c r="C11" i="1"/>
  <c r="F11" i="1" s="1"/>
  <c r="G11" i="1" s="1"/>
  <c r="C12" i="1"/>
  <c r="F12" i="1" s="1"/>
  <c r="G12" i="1" s="1"/>
  <c r="C13" i="1"/>
  <c r="F13" i="1" s="1"/>
  <c r="G13" i="1" s="1"/>
  <c r="C14" i="1"/>
  <c r="F14" i="1" s="1"/>
  <c r="G14" i="1" s="1"/>
  <c r="C15" i="1"/>
  <c r="F15" i="1" s="1"/>
  <c r="G15" i="1" s="1"/>
  <c r="C16" i="1"/>
  <c r="F16" i="1" s="1"/>
  <c r="G16" i="1" s="1"/>
  <c r="C17" i="1"/>
  <c r="F17" i="1" s="1"/>
  <c r="G17" i="1" s="1"/>
  <c r="C18" i="1"/>
  <c r="F18" i="1" s="1"/>
  <c r="G18" i="1" s="1"/>
  <c r="C19" i="1"/>
  <c r="F19" i="1" s="1"/>
  <c r="G19" i="1" s="1"/>
  <c r="C20" i="1"/>
  <c r="F20" i="1" s="1"/>
  <c r="G20" i="1" s="1"/>
  <c r="C21" i="1"/>
  <c r="F21" i="1" s="1"/>
  <c r="G21" i="1" s="1"/>
  <c r="C22" i="1"/>
  <c r="F22" i="1" s="1"/>
  <c r="G22" i="1" s="1"/>
  <c r="C23" i="1"/>
  <c r="F23" i="1" s="1"/>
  <c r="G23" i="1" s="1"/>
  <c r="C24" i="1"/>
  <c r="F24" i="1" s="1"/>
  <c r="G24" i="1" s="1"/>
  <c r="C25" i="1"/>
  <c r="F25" i="1" s="1"/>
  <c r="G25" i="1" s="1"/>
  <c r="C2" i="1"/>
  <c r="F2" i="1" s="1"/>
  <c r="H38" i="7" l="1"/>
  <c r="I38" i="7" s="1"/>
  <c r="J38" i="7"/>
  <c r="G39" i="7"/>
  <c r="J39" i="7"/>
  <c r="F39" i="7"/>
  <c r="E40" i="7" s="1"/>
  <c r="L38" i="7"/>
  <c r="K38" i="7"/>
  <c r="G19" i="5"/>
  <c r="F19" i="5"/>
  <c r="K19" i="5" s="1"/>
  <c r="E11" i="5"/>
  <c r="F11" i="5" s="1"/>
  <c r="G11" i="5" s="1"/>
  <c r="H10" i="5"/>
  <c r="F10" i="5"/>
  <c r="G10" i="5" s="1"/>
  <c r="I27" i="3"/>
  <c r="K27" i="3"/>
  <c r="E27" i="3"/>
  <c r="G27" i="3" s="1"/>
  <c r="F27" i="3"/>
  <c r="H28" i="3" s="1"/>
  <c r="G2" i="1"/>
  <c r="J22" i="1"/>
  <c r="J21" i="1"/>
  <c r="H39" i="7" l="1"/>
  <c r="I39" i="7" s="1"/>
  <c r="G40" i="7"/>
  <c r="J40" i="7"/>
  <c r="L40" i="7"/>
  <c r="F40" i="7"/>
  <c r="E41" i="7" s="1"/>
  <c r="L39" i="7"/>
  <c r="K39" i="7"/>
  <c r="E20" i="5"/>
  <c r="F20" i="5" s="1"/>
  <c r="E21" i="5" s="1"/>
  <c r="L19" i="5"/>
  <c r="H19" i="5"/>
  <c r="I19" i="5" s="1"/>
  <c r="J19" i="5"/>
  <c r="H11" i="5"/>
  <c r="I28" i="3"/>
  <c r="K28" i="3"/>
  <c r="J27" i="3"/>
  <c r="E28" i="3"/>
  <c r="G20" i="5" l="1"/>
  <c r="G41" i="7"/>
  <c r="F41" i="7"/>
  <c r="E42" i="7" s="1"/>
  <c r="K40" i="7"/>
  <c r="H40" i="7"/>
  <c r="I40" i="7" s="1"/>
  <c r="L20" i="5"/>
  <c r="K20" i="5"/>
  <c r="H20" i="5"/>
  <c r="I20" i="5" s="1"/>
  <c r="G21" i="5"/>
  <c r="J20" i="5"/>
  <c r="F21" i="5"/>
  <c r="E22" i="5" s="1"/>
  <c r="G28" i="3"/>
  <c r="F28" i="3"/>
  <c r="E29" i="3" s="1"/>
  <c r="H41" i="7" l="1"/>
  <c r="I41" i="7" s="1"/>
  <c r="J41" i="7"/>
  <c r="G42" i="7"/>
  <c r="J42" i="7"/>
  <c r="F42" i="7"/>
  <c r="E43" i="7" s="1"/>
  <c r="K41" i="7"/>
  <c r="L41" i="7"/>
  <c r="H21" i="5"/>
  <c r="I21" i="5" s="1"/>
  <c r="L21" i="5"/>
  <c r="G22" i="5"/>
  <c r="K21" i="5"/>
  <c r="J21" i="5"/>
  <c r="F22" i="5"/>
  <c r="E23" i="5" s="1"/>
  <c r="G23" i="5" s="1"/>
  <c r="G29" i="3"/>
  <c r="H29" i="3"/>
  <c r="F29" i="3"/>
  <c r="E30" i="3" s="1"/>
  <c r="J28" i="3"/>
  <c r="H42" i="7" l="1"/>
  <c r="I42" i="7" s="1"/>
  <c r="G43" i="7"/>
  <c r="J43" i="7"/>
  <c r="H43" i="7"/>
  <c r="I43" i="7" s="1"/>
  <c r="F43" i="7"/>
  <c r="E44" i="7" s="1"/>
  <c r="L42" i="7"/>
  <c r="K42" i="7"/>
  <c r="K22" i="5"/>
  <c r="J22" i="5"/>
  <c r="L22" i="5"/>
  <c r="H22" i="5"/>
  <c r="I22" i="5" s="1"/>
  <c r="F23" i="5"/>
  <c r="E24" i="5" s="1"/>
  <c r="G24" i="5" s="1"/>
  <c r="I29" i="3"/>
  <c r="K29" i="3"/>
  <c r="G30" i="3"/>
  <c r="H30" i="3"/>
  <c r="J29" i="3"/>
  <c r="F30" i="3"/>
  <c r="G44" i="7" l="1"/>
  <c r="F44" i="7"/>
  <c r="E45" i="7" s="1"/>
  <c r="L43" i="7"/>
  <c r="K43" i="7"/>
  <c r="J23" i="5"/>
  <c r="H23" i="5"/>
  <c r="I23" i="5" s="1"/>
  <c r="K23" i="5"/>
  <c r="L23" i="5"/>
  <c r="F24" i="5"/>
  <c r="E25" i="5" s="1"/>
  <c r="G25" i="5" s="1"/>
  <c r="I30" i="3"/>
  <c r="K30" i="3"/>
  <c r="J30" i="3"/>
  <c r="H31" i="3"/>
  <c r="E31" i="3"/>
  <c r="J44" i="7" l="1"/>
  <c r="L44" i="7"/>
  <c r="K44" i="7"/>
  <c r="G45" i="7"/>
  <c r="F45" i="7"/>
  <c r="E46" i="7" s="1"/>
  <c r="H44" i="7"/>
  <c r="I44" i="7" s="1"/>
  <c r="H24" i="5"/>
  <c r="I24" i="5" s="1"/>
  <c r="J24" i="5"/>
  <c r="K24" i="5"/>
  <c r="L24" i="5"/>
  <c r="F25" i="5"/>
  <c r="E26" i="5" s="1"/>
  <c r="G26" i="5" s="1"/>
  <c r="I31" i="3"/>
  <c r="K31" i="3"/>
  <c r="G31" i="3"/>
  <c r="F31" i="3"/>
  <c r="E32" i="3" s="1"/>
  <c r="J31" i="3"/>
  <c r="L45" i="7" l="1"/>
  <c r="G46" i="7"/>
  <c r="J46" i="7"/>
  <c r="H46" i="7"/>
  <c r="I46" i="7" s="1"/>
  <c r="F46" i="7"/>
  <c r="E47" i="7" s="1"/>
  <c r="K45" i="7"/>
  <c r="J45" i="7"/>
  <c r="H45" i="7"/>
  <c r="I45" i="7" s="1"/>
  <c r="L25" i="5"/>
  <c r="J25" i="5"/>
  <c r="H25" i="5"/>
  <c r="I25" i="5" s="1"/>
  <c r="K25" i="5"/>
  <c r="F26" i="5"/>
  <c r="E27" i="5" s="1"/>
  <c r="G27" i="5" s="1"/>
  <c r="G32" i="3"/>
  <c r="H32" i="3"/>
  <c r="F32" i="3"/>
  <c r="E33" i="3" s="1"/>
  <c r="G47" i="7" l="1"/>
  <c r="F47" i="7"/>
  <c r="E48" i="7" s="1"/>
  <c r="L46" i="7"/>
  <c r="K46" i="7"/>
  <c r="J26" i="5"/>
  <c r="H26" i="5"/>
  <c r="I26" i="5" s="1"/>
  <c r="K26" i="5"/>
  <c r="L26" i="5"/>
  <c r="F27" i="5"/>
  <c r="E28" i="5" s="1"/>
  <c r="G28" i="5" s="1"/>
  <c r="I32" i="3"/>
  <c r="K32" i="3"/>
  <c r="G33" i="3"/>
  <c r="H34" i="3"/>
  <c r="H33" i="3"/>
  <c r="J32" i="3"/>
  <c r="F33" i="3"/>
  <c r="H47" i="7" l="1"/>
  <c r="I47" i="7" s="1"/>
  <c r="J47" i="7"/>
  <c r="G48" i="7"/>
  <c r="F48" i="7"/>
  <c r="E49" i="7" s="1"/>
  <c r="L47" i="7"/>
  <c r="K47" i="7"/>
  <c r="H27" i="5"/>
  <c r="I27" i="5" s="1"/>
  <c r="J27" i="5"/>
  <c r="K27" i="5"/>
  <c r="L27" i="5"/>
  <c r="F28" i="5"/>
  <c r="E29" i="5" s="1"/>
  <c r="G29" i="5" s="1"/>
  <c r="I34" i="3"/>
  <c r="K34" i="3"/>
  <c r="I33" i="3"/>
  <c r="J33" i="3" s="1"/>
  <c r="K33" i="3"/>
  <c r="E34" i="3"/>
  <c r="J48" i="7" l="1"/>
  <c r="L48" i="7"/>
  <c r="G49" i="7"/>
  <c r="L49" i="7"/>
  <c r="F49" i="7"/>
  <c r="E50" i="7" s="1"/>
  <c r="K48" i="7"/>
  <c r="H48" i="7"/>
  <c r="I48" i="7" s="1"/>
  <c r="J28" i="5"/>
  <c r="K28" i="5"/>
  <c r="H28" i="5"/>
  <c r="I28" i="5" s="1"/>
  <c r="L28" i="5"/>
  <c r="F29" i="5"/>
  <c r="E30" i="5" s="1"/>
  <c r="G30" i="5" s="1"/>
  <c r="G34" i="3"/>
  <c r="F34" i="3"/>
  <c r="E35" i="3" s="1"/>
  <c r="J34" i="3"/>
  <c r="J49" i="7" l="1"/>
  <c r="G50" i="7"/>
  <c r="F50" i="7"/>
  <c r="E51" i="7" s="1"/>
  <c r="K49" i="7"/>
  <c r="H49" i="7"/>
  <c r="I49" i="7" s="1"/>
  <c r="J29" i="5"/>
  <c r="H29" i="5"/>
  <c r="I29" i="5" s="1"/>
  <c r="K29" i="5"/>
  <c r="L29" i="5"/>
  <c r="F30" i="5"/>
  <c r="E31" i="5" s="1"/>
  <c r="G31" i="5" s="1"/>
  <c r="G35" i="3"/>
  <c r="H35" i="3"/>
  <c r="K35" i="3" s="1"/>
  <c r="F35" i="3"/>
  <c r="E36" i="3" s="1"/>
  <c r="H50" i="7" l="1"/>
  <c r="I50" i="7" s="1"/>
  <c r="J50" i="7"/>
  <c r="G51" i="7"/>
  <c r="J51" i="7"/>
  <c r="F51" i="7"/>
  <c r="E52" i="7" s="1"/>
  <c r="L50" i="7"/>
  <c r="K50" i="7"/>
  <c r="H30" i="5"/>
  <c r="I30" i="5" s="1"/>
  <c r="J30" i="5"/>
  <c r="K30" i="5"/>
  <c r="L30" i="5"/>
  <c r="F31" i="5"/>
  <c r="E32" i="5" s="1"/>
  <c r="G32" i="5" s="1"/>
  <c r="I35" i="3"/>
  <c r="J35" i="3" s="1"/>
  <c r="G36" i="3"/>
  <c r="H36" i="3"/>
  <c r="F36" i="3"/>
  <c r="E37" i="3" s="1"/>
  <c r="H51" i="7" l="1"/>
  <c r="I51" i="7" s="1"/>
  <c r="G52" i="7"/>
  <c r="L52" i="7"/>
  <c r="J52" i="7"/>
  <c r="F52" i="7"/>
  <c r="E53" i="7" s="1"/>
  <c r="L51" i="7"/>
  <c r="K51" i="7"/>
  <c r="J31" i="5"/>
  <c r="K31" i="5"/>
  <c r="H31" i="5"/>
  <c r="I31" i="5" s="1"/>
  <c r="L31" i="5"/>
  <c r="F32" i="5"/>
  <c r="E33" i="5" s="1"/>
  <c r="G33" i="5" s="1"/>
  <c r="I36" i="3"/>
  <c r="K36" i="3"/>
  <c r="G37" i="3"/>
  <c r="H38" i="3"/>
  <c r="H37" i="3"/>
  <c r="J36" i="3"/>
  <c r="F37" i="3"/>
  <c r="E38" i="3" s="1"/>
  <c r="G53" i="7" l="1"/>
  <c r="F53" i="7"/>
  <c r="E54" i="7" s="1"/>
  <c r="K52" i="7"/>
  <c r="H52" i="7"/>
  <c r="I52" i="7" s="1"/>
  <c r="J32" i="5"/>
  <c r="H32" i="5"/>
  <c r="I32" i="5" s="1"/>
  <c r="K32" i="5"/>
  <c r="L32" i="5"/>
  <c r="F33" i="5"/>
  <c r="E34" i="5" s="1"/>
  <c r="G34" i="5" s="1"/>
  <c r="I38" i="3"/>
  <c r="K38" i="3"/>
  <c r="I37" i="3"/>
  <c r="J37" i="3" s="1"/>
  <c r="K37" i="3"/>
  <c r="G38" i="3"/>
  <c r="F38" i="3"/>
  <c r="E39" i="3" s="1"/>
  <c r="L53" i="7" l="1"/>
  <c r="H53" i="7"/>
  <c r="I53" i="7" s="1"/>
  <c r="G54" i="7"/>
  <c r="J54" i="7"/>
  <c r="F54" i="7"/>
  <c r="E55" i="7" s="1"/>
  <c r="K53" i="7"/>
  <c r="J53" i="7"/>
  <c r="H33" i="5"/>
  <c r="I33" i="5" s="1"/>
  <c r="J33" i="5"/>
  <c r="L33" i="5"/>
  <c r="K33" i="5"/>
  <c r="F34" i="5"/>
  <c r="E35" i="5" s="1"/>
  <c r="G35" i="5" s="1"/>
  <c r="G39" i="3"/>
  <c r="H40" i="3"/>
  <c r="H39" i="3"/>
  <c r="J38" i="3"/>
  <c r="F39" i="3"/>
  <c r="E40" i="3" s="1"/>
  <c r="H54" i="7" l="1"/>
  <c r="I54" i="7" s="1"/>
  <c r="G55" i="7"/>
  <c r="F55" i="7"/>
  <c r="E56" i="7" s="1"/>
  <c r="L54" i="7"/>
  <c r="K54" i="7"/>
  <c r="J34" i="5"/>
  <c r="K34" i="5"/>
  <c r="H34" i="5"/>
  <c r="I34" i="5" s="1"/>
  <c r="L34" i="5"/>
  <c r="F35" i="5"/>
  <c r="E36" i="5" s="1"/>
  <c r="G36" i="5" s="1"/>
  <c r="I39" i="3"/>
  <c r="K39" i="3"/>
  <c r="I40" i="3"/>
  <c r="K40" i="3"/>
  <c r="G40" i="3"/>
  <c r="J39" i="3"/>
  <c r="F40" i="3"/>
  <c r="E41" i="3" s="1"/>
  <c r="J40" i="3"/>
  <c r="H55" i="7" l="1"/>
  <c r="I55" i="7" s="1"/>
  <c r="J55" i="7"/>
  <c r="G56" i="7"/>
  <c r="F56" i="7"/>
  <c r="E57" i="7" s="1"/>
  <c r="L55" i="7"/>
  <c r="K55" i="7"/>
  <c r="J35" i="5"/>
  <c r="H35" i="5"/>
  <c r="I35" i="5" s="1"/>
  <c r="K35" i="5"/>
  <c r="L35" i="5"/>
  <c r="F36" i="5"/>
  <c r="E37" i="5" s="1"/>
  <c r="G37" i="5" s="1"/>
  <c r="G41" i="3"/>
  <c r="H41" i="3"/>
  <c r="F41" i="3"/>
  <c r="E42" i="3" s="1"/>
  <c r="L56" i="7" l="1"/>
  <c r="J56" i="7"/>
  <c r="G57" i="7"/>
  <c r="J57" i="7"/>
  <c r="F57" i="7"/>
  <c r="E58" i="7" s="1"/>
  <c r="K56" i="7"/>
  <c r="H56" i="7"/>
  <c r="I56" i="7" s="1"/>
  <c r="H36" i="5"/>
  <c r="I36" i="5" s="1"/>
  <c r="J36" i="5"/>
  <c r="K36" i="5"/>
  <c r="L36" i="5"/>
  <c r="F37" i="5"/>
  <c r="E38" i="5" s="1"/>
  <c r="G38" i="5" s="1"/>
  <c r="I41" i="3"/>
  <c r="K41" i="3"/>
  <c r="G42" i="3"/>
  <c r="H43" i="3"/>
  <c r="H42" i="3"/>
  <c r="K42" i="3" s="1"/>
  <c r="J41" i="3"/>
  <c r="F42" i="3"/>
  <c r="E43" i="3" s="1"/>
  <c r="H57" i="7" l="1"/>
  <c r="I57" i="7" s="1"/>
  <c r="G58" i="7"/>
  <c r="J58" i="7"/>
  <c r="H58" i="7"/>
  <c r="I58" i="7" s="1"/>
  <c r="F58" i="7"/>
  <c r="E59" i="7" s="1"/>
  <c r="K57" i="7"/>
  <c r="L57" i="7"/>
  <c r="J37" i="5"/>
  <c r="K37" i="5"/>
  <c r="H37" i="5"/>
  <c r="I37" i="5" s="1"/>
  <c r="L37" i="5"/>
  <c r="F38" i="5"/>
  <c r="E39" i="5" s="1"/>
  <c r="G39" i="5" s="1"/>
  <c r="I43" i="3"/>
  <c r="K43" i="3"/>
  <c r="I42" i="3"/>
  <c r="J42" i="3" s="1"/>
  <c r="G43" i="3"/>
  <c r="F43" i="3"/>
  <c r="E44" i="3" s="1"/>
  <c r="G59" i="7" l="1"/>
  <c r="F59" i="7"/>
  <c r="E60" i="7" s="1"/>
  <c r="L58" i="7"/>
  <c r="K58" i="7"/>
  <c r="J38" i="5"/>
  <c r="H38" i="5"/>
  <c r="I38" i="5" s="1"/>
  <c r="K38" i="5"/>
  <c r="L38" i="5"/>
  <c r="F39" i="5"/>
  <c r="E40" i="5" s="1"/>
  <c r="G40" i="5" s="1"/>
  <c r="G44" i="3"/>
  <c r="H45" i="3"/>
  <c r="H44" i="3"/>
  <c r="J43" i="3"/>
  <c r="F44" i="3"/>
  <c r="E45" i="3" s="1"/>
  <c r="H59" i="7" l="1"/>
  <c r="I59" i="7" s="1"/>
  <c r="J59" i="7"/>
  <c r="G60" i="7"/>
  <c r="F60" i="7"/>
  <c r="E61" i="7" s="1"/>
  <c r="L59" i="7"/>
  <c r="K59" i="7"/>
  <c r="H39" i="5"/>
  <c r="I39" i="5" s="1"/>
  <c r="J39" i="5"/>
  <c r="K39" i="5"/>
  <c r="L39" i="5"/>
  <c r="F40" i="5"/>
  <c r="E41" i="5" s="1"/>
  <c r="G41" i="5" s="1"/>
  <c r="I44" i="3"/>
  <c r="K44" i="3"/>
  <c r="I45" i="3"/>
  <c r="K45" i="3"/>
  <c r="G45" i="3"/>
  <c r="J44" i="3"/>
  <c r="F45" i="3"/>
  <c r="E46" i="3" s="1"/>
  <c r="L60" i="7" l="1"/>
  <c r="J60" i="7"/>
  <c r="G61" i="7"/>
  <c r="L61" i="7"/>
  <c r="F61" i="7"/>
  <c r="E62" i="7" s="1"/>
  <c r="K60" i="7"/>
  <c r="H60" i="7"/>
  <c r="I60" i="7" s="1"/>
  <c r="K40" i="5"/>
  <c r="J40" i="5"/>
  <c r="H40" i="5"/>
  <c r="I40" i="5" s="1"/>
  <c r="L40" i="5"/>
  <c r="F41" i="5"/>
  <c r="E42" i="5" s="1"/>
  <c r="G42" i="5" s="1"/>
  <c r="G46" i="3"/>
  <c r="H47" i="3"/>
  <c r="H46" i="3"/>
  <c r="K46" i="3" s="1"/>
  <c r="J45" i="3"/>
  <c r="F46" i="3"/>
  <c r="E47" i="3" s="1"/>
  <c r="H61" i="7" l="1"/>
  <c r="I61" i="7" s="1"/>
  <c r="G62" i="7"/>
  <c r="F62" i="7"/>
  <c r="E63" i="7" s="1"/>
  <c r="K61" i="7"/>
  <c r="J61" i="7"/>
  <c r="L41" i="5"/>
  <c r="H41" i="5"/>
  <c r="I41" i="5" s="1"/>
  <c r="J41" i="5"/>
  <c r="K41" i="5"/>
  <c r="F42" i="5"/>
  <c r="E43" i="5" s="1"/>
  <c r="G43" i="5" s="1"/>
  <c r="I47" i="3"/>
  <c r="K47" i="3"/>
  <c r="I46" i="3"/>
  <c r="J46" i="3" s="1"/>
  <c r="G47" i="3"/>
  <c r="F47" i="3"/>
  <c r="E48" i="3" s="1"/>
  <c r="J47" i="3"/>
  <c r="H62" i="7" l="1"/>
  <c r="I62" i="7" s="1"/>
  <c r="J62" i="7"/>
  <c r="G63" i="7"/>
  <c r="J63" i="7"/>
  <c r="F63" i="7"/>
  <c r="E64" i="7" s="1"/>
  <c r="L62" i="7"/>
  <c r="K62" i="7"/>
  <c r="H42" i="5"/>
  <c r="I42" i="5" s="1"/>
  <c r="J42" i="5"/>
  <c r="K42" i="5"/>
  <c r="L42" i="5"/>
  <c r="F43" i="5"/>
  <c r="E44" i="5" s="1"/>
  <c r="G44" i="5" s="1"/>
  <c r="G48" i="3"/>
  <c r="H48" i="3"/>
  <c r="F48" i="3"/>
  <c r="E49" i="3" s="1"/>
  <c r="H63" i="7" l="1"/>
  <c r="I63" i="7" s="1"/>
  <c r="G64" i="7"/>
  <c r="J64" i="7"/>
  <c r="L64" i="7"/>
  <c r="F64" i="7"/>
  <c r="E65" i="7" s="1"/>
  <c r="L63" i="7"/>
  <c r="K63" i="7"/>
  <c r="J43" i="5"/>
  <c r="K43" i="5"/>
  <c r="H43" i="5"/>
  <c r="I43" i="5" s="1"/>
  <c r="L43" i="5"/>
  <c r="F44" i="5"/>
  <c r="E45" i="5" s="1"/>
  <c r="G45" i="5" s="1"/>
  <c r="I48" i="3"/>
  <c r="K48" i="3"/>
  <c r="G49" i="3"/>
  <c r="H49" i="3"/>
  <c r="J48" i="3"/>
  <c r="F49" i="3"/>
  <c r="E50" i="3" s="1"/>
  <c r="G65" i="7" l="1"/>
  <c r="F65" i="7"/>
  <c r="E66" i="7" s="1"/>
  <c r="K64" i="7"/>
  <c r="H64" i="7"/>
  <c r="I64" i="7" s="1"/>
  <c r="J44" i="5"/>
  <c r="H44" i="5"/>
  <c r="I44" i="5" s="1"/>
  <c r="K44" i="5"/>
  <c r="L44" i="5"/>
  <c r="F45" i="5"/>
  <c r="E46" i="5" s="1"/>
  <c r="G46" i="5" s="1"/>
  <c r="I49" i="3"/>
  <c r="K49" i="3"/>
  <c r="H50" i="3"/>
  <c r="G50" i="3"/>
  <c r="J49" i="3"/>
  <c r="F50" i="3"/>
  <c r="E51" i="3" s="1"/>
  <c r="L65" i="7" l="1"/>
  <c r="J65" i="7"/>
  <c r="G66" i="7"/>
  <c r="J66" i="7"/>
  <c r="F66" i="7"/>
  <c r="E67" i="7" s="1"/>
  <c r="K65" i="7"/>
  <c r="H65" i="7"/>
  <c r="I65" i="7" s="1"/>
  <c r="H45" i="5"/>
  <c r="I45" i="5" s="1"/>
  <c r="J45" i="5"/>
  <c r="K45" i="5"/>
  <c r="L45" i="5"/>
  <c r="F46" i="5"/>
  <c r="E47" i="5" s="1"/>
  <c r="G47" i="5" s="1"/>
  <c r="I50" i="3"/>
  <c r="K50" i="3"/>
  <c r="G51" i="3"/>
  <c r="H51" i="3"/>
  <c r="K51" i="3" s="1"/>
  <c r="J50" i="3"/>
  <c r="F51" i="3"/>
  <c r="E52" i="3" s="1"/>
  <c r="H66" i="7" l="1"/>
  <c r="I66" i="7" s="1"/>
  <c r="G67" i="7"/>
  <c r="J67" i="7"/>
  <c r="H67" i="7"/>
  <c r="I67" i="7" s="1"/>
  <c r="F67" i="7"/>
  <c r="E68" i="7" s="1"/>
  <c r="L66" i="7"/>
  <c r="K66" i="7"/>
  <c r="J46" i="5"/>
  <c r="K46" i="5"/>
  <c r="H46" i="5"/>
  <c r="I46" i="5" s="1"/>
  <c r="L46" i="5"/>
  <c r="F47" i="5"/>
  <c r="E48" i="5" s="1"/>
  <c r="G48" i="5" s="1"/>
  <c r="H52" i="3"/>
  <c r="I51" i="3"/>
  <c r="J51" i="3" s="1"/>
  <c r="G52" i="3"/>
  <c r="F52" i="3"/>
  <c r="E53" i="3" s="1"/>
  <c r="G68" i="7" l="1"/>
  <c r="F68" i="7"/>
  <c r="E69" i="7" s="1"/>
  <c r="L67" i="7"/>
  <c r="K67" i="7"/>
  <c r="K47" i="5"/>
  <c r="H47" i="5"/>
  <c r="I47" i="5" s="1"/>
  <c r="L47" i="5"/>
  <c r="J47" i="5"/>
  <c r="F48" i="5"/>
  <c r="E49" i="5" s="1"/>
  <c r="G49" i="5" s="1"/>
  <c r="I52" i="3"/>
  <c r="K52" i="3"/>
  <c r="G53" i="3"/>
  <c r="H54" i="3"/>
  <c r="H53" i="3"/>
  <c r="J52" i="3"/>
  <c r="F53" i="3"/>
  <c r="E54" i="3" s="1"/>
  <c r="J68" i="7" l="1"/>
  <c r="L68" i="7"/>
  <c r="G69" i="7"/>
  <c r="G4" i="7" s="1"/>
  <c r="H69" i="7"/>
  <c r="I69" i="7" s="1"/>
  <c r="F69" i="7"/>
  <c r="E70" i="7" s="1"/>
  <c r="K68" i="7"/>
  <c r="H68" i="7"/>
  <c r="I68" i="7" s="1"/>
  <c r="H48" i="5"/>
  <c r="I48" i="5" s="1"/>
  <c r="J48" i="5"/>
  <c r="K48" i="5"/>
  <c r="L48" i="5"/>
  <c r="F49" i="5"/>
  <c r="E50" i="5" s="1"/>
  <c r="G50" i="5" s="1"/>
  <c r="I54" i="3"/>
  <c r="K54" i="3"/>
  <c r="I53" i="3"/>
  <c r="J53" i="3" s="1"/>
  <c r="K53" i="3"/>
  <c r="G54" i="3"/>
  <c r="F54" i="3"/>
  <c r="E55" i="3" s="1"/>
  <c r="L69" i="7" l="1"/>
  <c r="G70" i="7"/>
  <c r="F70" i="7"/>
  <c r="E71" i="7" s="1"/>
  <c r="K69" i="7"/>
  <c r="J69" i="7"/>
  <c r="L49" i="5"/>
  <c r="J49" i="5"/>
  <c r="H49" i="5"/>
  <c r="I49" i="5" s="1"/>
  <c r="K49" i="5"/>
  <c r="F50" i="5"/>
  <c r="E51" i="5" s="1"/>
  <c r="G51" i="5" s="1"/>
  <c r="G55" i="3"/>
  <c r="H55" i="3"/>
  <c r="J54" i="3"/>
  <c r="F55" i="3"/>
  <c r="E56" i="3" s="1"/>
  <c r="H70" i="7" l="1"/>
  <c r="I70" i="7" s="1"/>
  <c r="J70" i="7"/>
  <c r="G71" i="7"/>
  <c r="F71" i="7"/>
  <c r="E72" i="7" s="1"/>
  <c r="L70" i="7"/>
  <c r="K70" i="7"/>
  <c r="J50" i="5"/>
  <c r="H50" i="5"/>
  <c r="I50" i="5" s="1"/>
  <c r="K50" i="5"/>
  <c r="L50" i="5"/>
  <c r="F51" i="5"/>
  <c r="E52" i="5" s="1"/>
  <c r="G52" i="5" s="1"/>
  <c r="I55" i="3"/>
  <c r="K55" i="3"/>
  <c r="H56" i="3"/>
  <c r="G56" i="3"/>
  <c r="J55" i="3"/>
  <c r="F56" i="3"/>
  <c r="H57" i="3" s="1"/>
  <c r="H71" i="7" l="1"/>
  <c r="I71" i="7" s="1"/>
  <c r="J71" i="7"/>
  <c r="G72" i="7"/>
  <c r="J72" i="7"/>
  <c r="F72" i="7"/>
  <c r="E73" i="7" s="1"/>
  <c r="L71" i="7"/>
  <c r="K71" i="7"/>
  <c r="H51" i="5"/>
  <c r="I51" i="5" s="1"/>
  <c r="J51" i="5"/>
  <c r="K51" i="5"/>
  <c r="L51" i="5"/>
  <c r="F52" i="5"/>
  <c r="E53" i="5" s="1"/>
  <c r="G53" i="5" s="1"/>
  <c r="I56" i="3"/>
  <c r="J56" i="3" s="1"/>
  <c r="K56" i="3"/>
  <c r="I57" i="3"/>
  <c r="K57" i="3"/>
  <c r="E57" i="3"/>
  <c r="L72" i="7" l="1"/>
  <c r="G73" i="7"/>
  <c r="J73" i="7"/>
  <c r="H73" i="7"/>
  <c r="I73" i="7" s="1"/>
  <c r="F73" i="7"/>
  <c r="E74" i="7" s="1"/>
  <c r="K72" i="7"/>
  <c r="H72" i="7"/>
  <c r="I72" i="7" s="1"/>
  <c r="J52" i="5"/>
  <c r="K52" i="5"/>
  <c r="H52" i="5"/>
  <c r="I52" i="5" s="1"/>
  <c r="L52" i="5"/>
  <c r="F53" i="5"/>
  <c r="E54" i="5" s="1"/>
  <c r="G54" i="5" s="1"/>
  <c r="G57" i="3"/>
  <c r="F57" i="3"/>
  <c r="E58" i="3" s="1"/>
  <c r="G74" i="7" l="1"/>
  <c r="F74" i="7"/>
  <c r="E75" i="7" s="1"/>
  <c r="K73" i="7"/>
  <c r="L73" i="7"/>
  <c r="J53" i="5"/>
  <c r="H53" i="5"/>
  <c r="I53" i="5" s="1"/>
  <c r="K53" i="5"/>
  <c r="L53" i="5"/>
  <c r="F54" i="5"/>
  <c r="E55" i="5" s="1"/>
  <c r="G55" i="5" s="1"/>
  <c r="G58" i="3"/>
  <c r="H58" i="3"/>
  <c r="K58" i="3" s="1"/>
  <c r="F58" i="3"/>
  <c r="E59" i="3" s="1"/>
  <c r="J57" i="3"/>
  <c r="H74" i="7" l="1"/>
  <c r="I74" i="7" s="1"/>
  <c r="J74" i="7"/>
  <c r="G75" i="7"/>
  <c r="J75" i="7"/>
  <c r="F75" i="7"/>
  <c r="E76" i="7" s="1"/>
  <c r="L74" i="7"/>
  <c r="K74" i="7"/>
  <c r="J54" i="5"/>
  <c r="H54" i="5"/>
  <c r="I54" i="5" s="1"/>
  <c r="K54" i="5"/>
  <c r="L54" i="5"/>
  <c r="F55" i="5"/>
  <c r="E56" i="5" s="1"/>
  <c r="G56" i="5" s="1"/>
  <c r="I58" i="3"/>
  <c r="J58" i="3" s="1"/>
  <c r="G59" i="3"/>
  <c r="H59" i="3"/>
  <c r="K59" i="3" s="1"/>
  <c r="F59" i="3"/>
  <c r="E60" i="3" s="1"/>
  <c r="H75" i="7" l="1"/>
  <c r="I75" i="7" s="1"/>
  <c r="F76" i="7"/>
  <c r="K76" i="7" s="1"/>
  <c r="G76" i="7"/>
  <c r="L75" i="7"/>
  <c r="K75" i="7"/>
  <c r="K55" i="5"/>
  <c r="H55" i="5"/>
  <c r="I55" i="5" s="1"/>
  <c r="L55" i="5"/>
  <c r="J55" i="5"/>
  <c r="F56" i="5"/>
  <c r="E57" i="5" s="1"/>
  <c r="G57" i="5" s="1"/>
  <c r="I59" i="3"/>
  <c r="J59" i="3" s="1"/>
  <c r="G60" i="3"/>
  <c r="H60" i="3"/>
  <c r="F60" i="3"/>
  <c r="E61" i="3" s="1"/>
  <c r="H76" i="7" l="1"/>
  <c r="I76" i="7" s="1"/>
  <c r="I22" i="7" s="1"/>
  <c r="J76" i="7"/>
  <c r="L76" i="7"/>
  <c r="J56" i="5"/>
  <c r="H56" i="5"/>
  <c r="I56" i="5" s="1"/>
  <c r="K56" i="5"/>
  <c r="L56" i="5"/>
  <c r="F57" i="5"/>
  <c r="E58" i="5" s="1"/>
  <c r="G58" i="5" s="1"/>
  <c r="I60" i="3"/>
  <c r="K60" i="3"/>
  <c r="G61" i="3"/>
  <c r="H61" i="3"/>
  <c r="K61" i="3" s="1"/>
  <c r="F61" i="3"/>
  <c r="E62" i="3" s="1"/>
  <c r="J60" i="3"/>
  <c r="K57" i="5" l="1"/>
  <c r="H57" i="5"/>
  <c r="I57" i="5" s="1"/>
  <c r="L57" i="5"/>
  <c r="J57" i="5"/>
  <c r="F58" i="5"/>
  <c r="E59" i="5" s="1"/>
  <c r="G59" i="5" s="1"/>
  <c r="I61" i="3"/>
  <c r="J61" i="3" s="1"/>
  <c r="G62" i="3"/>
  <c r="H62" i="3"/>
  <c r="F62" i="3"/>
  <c r="E63" i="3" s="1"/>
  <c r="J58" i="5" l="1"/>
  <c r="H58" i="5"/>
  <c r="I58" i="5" s="1"/>
  <c r="K58" i="5"/>
  <c r="L58" i="5"/>
  <c r="F59" i="5"/>
  <c r="E60" i="5" s="1"/>
  <c r="G60" i="5" s="1"/>
  <c r="I62" i="3"/>
  <c r="K62" i="3"/>
  <c r="G63" i="3"/>
  <c r="H63" i="3"/>
  <c r="F63" i="3"/>
  <c r="J62" i="3"/>
  <c r="J59" i="5" l="1"/>
  <c r="H59" i="5"/>
  <c r="I59" i="5" s="1"/>
  <c r="K59" i="5"/>
  <c r="L59" i="5"/>
  <c r="F60" i="5"/>
  <c r="E61" i="5" s="1"/>
  <c r="G61" i="5" s="1"/>
  <c r="I63" i="3"/>
  <c r="K63" i="3"/>
  <c r="J63" i="3"/>
  <c r="H64" i="3"/>
  <c r="E64" i="3"/>
  <c r="J60" i="5" l="1"/>
  <c r="H60" i="5"/>
  <c r="I60" i="5" s="1"/>
  <c r="K60" i="5"/>
  <c r="L60" i="5"/>
  <c r="F61" i="5"/>
  <c r="E62" i="5" s="1"/>
  <c r="G62" i="5" s="1"/>
  <c r="I64" i="3"/>
  <c r="K64" i="3"/>
  <c r="G64" i="3"/>
  <c r="F64" i="3"/>
  <c r="E65" i="3" s="1"/>
  <c r="J64" i="3"/>
  <c r="H61" i="5" l="1"/>
  <c r="I61" i="5" s="1"/>
  <c r="J61" i="5"/>
  <c r="K61" i="5"/>
  <c r="L61" i="5"/>
  <c r="F62" i="5"/>
  <c r="E63" i="5" s="1"/>
  <c r="G63" i="5" s="1"/>
  <c r="G65" i="3"/>
  <c r="H65" i="3"/>
  <c r="K65" i="3" s="1"/>
  <c r="F65" i="3"/>
  <c r="E66" i="3" s="1"/>
  <c r="J62" i="5" l="1"/>
  <c r="H62" i="5"/>
  <c r="I62" i="5" s="1"/>
  <c r="K62" i="5"/>
  <c r="L62" i="5"/>
  <c r="F63" i="5"/>
  <c r="J63" i="5" s="1"/>
  <c r="I65" i="3"/>
  <c r="J65" i="3" s="1"/>
  <c r="G66" i="3"/>
  <c r="H66" i="3"/>
  <c r="F66" i="3"/>
  <c r="E67" i="3" s="1"/>
  <c r="K63" i="5" l="1"/>
  <c r="H63" i="5"/>
  <c r="I63" i="5" s="1"/>
  <c r="I15" i="5" s="1"/>
  <c r="L63" i="5"/>
  <c r="I66" i="3"/>
  <c r="K66" i="3"/>
  <c r="G67" i="3"/>
  <c r="H67" i="3"/>
  <c r="F67" i="3"/>
  <c r="E68" i="3" s="1"/>
  <c r="J66" i="3"/>
  <c r="I67" i="3" l="1"/>
  <c r="K67" i="3"/>
  <c r="G68" i="3"/>
  <c r="H69" i="3"/>
  <c r="H68" i="3"/>
  <c r="J67" i="3"/>
  <c r="F68" i="3"/>
  <c r="E69" i="3" s="1"/>
  <c r="I69" i="3" l="1"/>
  <c r="K69" i="3"/>
  <c r="I68" i="3"/>
  <c r="J68" i="3" s="1"/>
  <c r="K68" i="3"/>
  <c r="G69" i="3"/>
  <c r="F69" i="3"/>
  <c r="E70" i="3" s="1"/>
  <c r="H70" i="3" l="1"/>
  <c r="G70" i="3"/>
  <c r="H71" i="3"/>
  <c r="J69" i="3"/>
  <c r="F70" i="3"/>
  <c r="E71" i="3" s="1"/>
  <c r="I71" i="3" l="1"/>
  <c r="K71" i="3"/>
  <c r="I70" i="3"/>
  <c r="K70" i="3"/>
  <c r="G71" i="3"/>
  <c r="F71" i="3"/>
  <c r="E72" i="3" s="1"/>
  <c r="J70" i="3"/>
  <c r="G72" i="3" l="1"/>
  <c r="H72" i="3"/>
  <c r="K72" i="3" s="1"/>
  <c r="J71" i="3"/>
  <c r="F72" i="3"/>
  <c r="E73" i="3" s="1"/>
  <c r="I72" i="3" l="1"/>
  <c r="J72" i="3" s="1"/>
  <c r="H73" i="3"/>
  <c r="G73" i="3"/>
  <c r="F73" i="3"/>
  <c r="E74" i="3" s="1"/>
  <c r="I73" i="3" l="1"/>
  <c r="J73" i="3" s="1"/>
  <c r="K73" i="3"/>
  <c r="G74" i="3"/>
  <c r="H74" i="3"/>
  <c r="F74" i="3"/>
  <c r="E75" i="3" s="1"/>
  <c r="I74" i="3" l="1"/>
  <c r="K74" i="3"/>
  <c r="G75" i="3"/>
  <c r="H75" i="3"/>
  <c r="F75" i="3"/>
  <c r="J74" i="3"/>
  <c r="I75" i="3" l="1"/>
  <c r="K75" i="3"/>
  <c r="J75" i="3"/>
  <c r="H76" i="3"/>
  <c r="E76" i="3"/>
  <c r="I76" i="3" l="1"/>
  <c r="K76" i="3"/>
  <c r="G76" i="3"/>
  <c r="F76" i="3"/>
  <c r="J76" i="3" s="1"/>
  <c r="H77" i="3" l="1"/>
  <c r="E77" i="3"/>
  <c r="I77" i="3" l="1"/>
  <c r="K77" i="3"/>
  <c r="G77" i="3"/>
  <c r="F77" i="3"/>
  <c r="E78" i="3" s="1"/>
  <c r="G78" i="3" l="1"/>
  <c r="H78" i="3"/>
  <c r="J77" i="3"/>
  <c r="F78" i="3"/>
  <c r="E79" i="3" s="1"/>
  <c r="I78" i="3" l="1"/>
  <c r="K78" i="3"/>
  <c r="H79" i="3"/>
  <c r="G79" i="3"/>
  <c r="F79" i="3"/>
  <c r="E80" i="3" s="1"/>
  <c r="J78" i="3"/>
  <c r="I79" i="3" l="1"/>
  <c r="J79" i="3" s="1"/>
  <c r="K79" i="3"/>
  <c r="G80" i="3"/>
  <c r="H80" i="3"/>
  <c r="F80" i="3"/>
  <c r="E81" i="3" s="1"/>
  <c r="I80" i="3" l="1"/>
  <c r="K80" i="3"/>
  <c r="G81" i="3"/>
  <c r="H81" i="3"/>
  <c r="J80" i="3"/>
  <c r="F81" i="3"/>
  <c r="H82" i="3" s="1"/>
  <c r="I81" i="3" l="1"/>
  <c r="K81" i="3"/>
  <c r="I82" i="3"/>
  <c r="K82" i="3"/>
  <c r="J81" i="3"/>
  <c r="E82" i="3"/>
  <c r="G82" i="3" l="1"/>
  <c r="F82" i="3"/>
  <c r="E83" i="3" s="1"/>
  <c r="J82" i="3"/>
  <c r="G83" i="3" l="1"/>
  <c r="H83" i="3"/>
  <c r="F83" i="3"/>
  <c r="E84" i="3" s="1"/>
  <c r="I83" i="3" l="1"/>
  <c r="K83" i="3"/>
  <c r="G84" i="3"/>
  <c r="H84" i="3"/>
  <c r="K84" i="3" s="1"/>
  <c r="F84" i="3"/>
  <c r="E85" i="3" s="1"/>
  <c r="J83" i="3"/>
  <c r="I84" i="3" l="1"/>
  <c r="J84" i="3" s="1"/>
  <c r="G85" i="3"/>
  <c r="H85" i="3"/>
  <c r="K85" i="3" s="1"/>
  <c r="F85" i="3"/>
  <c r="E86" i="3" s="1"/>
  <c r="I85" i="3" l="1"/>
  <c r="J85" i="3" s="1"/>
  <c r="G86" i="3"/>
  <c r="H86" i="3"/>
  <c r="F86" i="3"/>
  <c r="E87" i="3" s="1"/>
  <c r="I86" i="3" l="1"/>
  <c r="K86" i="3"/>
  <c r="G87" i="3"/>
  <c r="H87" i="3"/>
  <c r="K87" i="3" s="1"/>
  <c r="F87" i="3"/>
  <c r="E88" i="3" s="1"/>
  <c r="J86" i="3"/>
  <c r="I87" i="3" l="1"/>
  <c r="J87" i="3" s="1"/>
  <c r="G88" i="3"/>
  <c r="H88" i="3"/>
  <c r="K88" i="3" s="1"/>
  <c r="F88" i="3"/>
  <c r="E89" i="3" s="1"/>
  <c r="I88" i="3" l="1"/>
  <c r="J88" i="3" s="1"/>
  <c r="G89" i="3"/>
  <c r="H89" i="3"/>
  <c r="K89" i="3" s="1"/>
  <c r="F89" i="3"/>
  <c r="E90" i="3" s="1"/>
  <c r="I89" i="3" l="1"/>
  <c r="J89" i="3" s="1"/>
  <c r="G90" i="3"/>
  <c r="H90" i="3"/>
  <c r="F90" i="3"/>
  <c r="E91" i="3" s="1"/>
  <c r="I90" i="3" l="1"/>
  <c r="K90" i="3"/>
  <c r="G91" i="3"/>
  <c r="H91" i="3"/>
  <c r="F91" i="3"/>
  <c r="E92" i="3" s="1"/>
  <c r="J90" i="3"/>
  <c r="I91" i="3" l="1"/>
  <c r="K91" i="3"/>
  <c r="G92" i="3"/>
  <c r="H93" i="3"/>
  <c r="H92" i="3"/>
  <c r="J91" i="3"/>
  <c r="F92" i="3"/>
  <c r="E93" i="3" s="1"/>
  <c r="I93" i="3" l="1"/>
  <c r="K93" i="3"/>
  <c r="I92" i="3"/>
  <c r="K92" i="3"/>
  <c r="G93" i="3"/>
  <c r="F93" i="3"/>
  <c r="E94" i="3" s="1"/>
  <c r="J92" i="3"/>
  <c r="G94" i="3" l="1"/>
  <c r="H95" i="3"/>
  <c r="H94" i="3"/>
  <c r="J93" i="3"/>
  <c r="F94" i="3"/>
  <c r="E95" i="3" s="1"/>
  <c r="I94" i="3" l="1"/>
  <c r="K94" i="3"/>
  <c r="I95" i="3"/>
  <c r="K95" i="3"/>
  <c r="G95" i="3"/>
  <c r="J94" i="3"/>
  <c r="F95" i="3"/>
  <c r="E96" i="3" s="1"/>
  <c r="G96" i="3" l="1"/>
  <c r="H96" i="3"/>
  <c r="J95" i="3"/>
  <c r="F96" i="3"/>
  <c r="E97" i="3" s="1"/>
  <c r="I96" i="3" l="1"/>
  <c r="K96" i="3"/>
  <c r="H97" i="3"/>
  <c r="G97" i="3"/>
  <c r="J96" i="3"/>
  <c r="F97" i="3"/>
  <c r="E98" i="3" s="1"/>
  <c r="I97" i="3" l="1"/>
  <c r="J97" i="3" s="1"/>
  <c r="K97" i="3"/>
  <c r="G98" i="3"/>
  <c r="H98" i="3"/>
  <c r="K98" i="3" s="1"/>
  <c r="F98" i="3"/>
  <c r="E99" i="3" s="1"/>
  <c r="I98" i="3" l="1"/>
  <c r="J98" i="3" s="1"/>
  <c r="G99" i="3"/>
  <c r="H99" i="3"/>
  <c r="F99" i="3"/>
  <c r="I99" i="3" l="1"/>
  <c r="K99" i="3"/>
  <c r="J99" i="3"/>
  <c r="H100" i="3"/>
  <c r="E100" i="3"/>
  <c r="I100" i="3" l="1"/>
  <c r="K100" i="3"/>
  <c r="G100" i="3"/>
  <c r="F100" i="3"/>
  <c r="J100" i="3" s="1"/>
  <c r="H101" i="3" l="1"/>
  <c r="E101" i="3"/>
  <c r="I101" i="3" l="1"/>
  <c r="K101" i="3"/>
  <c r="G101" i="3"/>
  <c r="F101" i="3"/>
  <c r="E102" i="3" s="1"/>
  <c r="J101" i="3"/>
  <c r="G102" i="3" l="1"/>
  <c r="H102" i="3"/>
  <c r="F102" i="3"/>
  <c r="E103" i="3" s="1"/>
  <c r="I102" i="3" l="1"/>
  <c r="K102" i="3"/>
  <c r="G103" i="3"/>
  <c r="H103" i="3"/>
  <c r="F103" i="3"/>
  <c r="J102" i="3"/>
  <c r="I103" i="3" l="1"/>
  <c r="K103" i="3"/>
  <c r="J103" i="3"/>
  <c r="H104" i="3"/>
  <c r="E104" i="3"/>
  <c r="I104" i="3" l="1"/>
  <c r="K104" i="3"/>
  <c r="G104" i="3"/>
  <c r="F104" i="3"/>
  <c r="J104" i="3" s="1"/>
  <c r="H105" i="3" l="1"/>
  <c r="E105" i="3"/>
  <c r="I105" i="3" l="1"/>
  <c r="K105" i="3"/>
  <c r="G105" i="3"/>
  <c r="F105" i="3"/>
  <c r="E106" i="3" s="1"/>
  <c r="G106" i="3" l="1"/>
  <c r="H106" i="3"/>
  <c r="K106" i="3" s="1"/>
  <c r="J105" i="3"/>
  <c r="F106" i="3"/>
  <c r="E107" i="3" s="1"/>
  <c r="I106" i="3" l="1"/>
  <c r="J106" i="3" s="1"/>
  <c r="H107" i="3"/>
  <c r="G107" i="3"/>
  <c r="F107" i="3"/>
  <c r="E108" i="3" s="1"/>
  <c r="I107" i="3" l="1"/>
  <c r="K107" i="3"/>
  <c r="G108" i="3"/>
  <c r="H108" i="3"/>
  <c r="K108" i="3" s="1"/>
  <c r="J107" i="3"/>
  <c r="F108" i="3"/>
  <c r="E109" i="3" s="1"/>
  <c r="H109" i="3" l="1"/>
  <c r="I108" i="3"/>
  <c r="J108" i="3" s="1"/>
  <c r="G109" i="3"/>
  <c r="F109" i="3"/>
  <c r="E110" i="3" s="1"/>
  <c r="I109" i="3" l="1"/>
  <c r="J109" i="3" s="1"/>
  <c r="K109" i="3"/>
  <c r="G110" i="3"/>
  <c r="H110" i="3"/>
  <c r="K110" i="3" s="1"/>
  <c r="F110" i="3"/>
  <c r="E111" i="3" s="1"/>
  <c r="I110" i="3" l="1"/>
  <c r="J110" i="3" s="1"/>
  <c r="G111" i="3"/>
  <c r="H111" i="3"/>
  <c r="F111" i="3"/>
  <c r="I111" i="3" l="1"/>
  <c r="K111" i="3"/>
  <c r="J111" i="3"/>
  <c r="H112" i="3"/>
  <c r="E112" i="3"/>
  <c r="I112" i="3" l="1"/>
  <c r="K112" i="3"/>
  <c r="G112" i="3"/>
  <c r="F112" i="3"/>
  <c r="E113" i="3" s="1"/>
  <c r="G113" i="3" l="1"/>
  <c r="H113" i="3"/>
  <c r="F113" i="3"/>
  <c r="N15" i="3" s="1"/>
  <c r="J112" i="3"/>
  <c r="I113" i="3" l="1"/>
  <c r="K113" i="3"/>
  <c r="N16" i="3"/>
  <c r="J113" i="3"/>
  <c r="N19" i="3"/>
  <c r="N18" i="3"/>
  <c r="N17" i="3"/>
  <c r="N14" i="3"/>
  <c r="N13" i="3"/>
  <c r="N12" i="3"/>
  <c r="G6" i="3"/>
  <c r="G5" i="3"/>
</calcChain>
</file>

<file path=xl/sharedStrings.xml><?xml version="1.0" encoding="utf-8"?>
<sst xmlns="http://schemas.openxmlformats.org/spreadsheetml/2006/main" count="240" uniqueCount="92">
  <si>
    <t>DATE</t>
  </si>
  <si>
    <t>Error</t>
  </si>
  <si>
    <t>Error^2</t>
  </si>
  <si>
    <t>Base</t>
  </si>
  <si>
    <t>Trend</t>
  </si>
  <si>
    <t>Seasonality Factors</t>
  </si>
  <si>
    <t>Average</t>
  </si>
  <si>
    <t>SSE</t>
  </si>
  <si>
    <t>Period (For Trend)</t>
  </si>
  <si>
    <t>Standard Error</t>
  </si>
  <si>
    <t>Month (For Seasonality)</t>
  </si>
  <si>
    <t>Sales (Actual)</t>
  </si>
  <si>
    <t>Sales (Forecast)</t>
  </si>
  <si>
    <t>alpha</t>
  </si>
  <si>
    <t>beta</t>
  </si>
  <si>
    <t>gamma</t>
  </si>
  <si>
    <t>L(t) = alpha * x(t)/s(t-c) + (1 - alpha) * (L(t-1) * T(t-1))</t>
  </si>
  <si>
    <t>T(t) = beta * (L(t)/L(t-1)) + (1 - beta) * T(t-1)</t>
  </si>
  <si>
    <t>S(t) = gamma* x(t)/L(t) + (1 - gamma) * s(t-c)</t>
  </si>
  <si>
    <t>Base (L)</t>
  </si>
  <si>
    <t>Trend (T)</t>
  </si>
  <si>
    <t>Seasonality (S)</t>
  </si>
  <si>
    <t>Forecast (F)</t>
  </si>
  <si>
    <t>F(t,k) = L(t) * (T(t))^k * S(t+k-c)</t>
  </si>
  <si>
    <t>c = seasonal cycle (i.e., 12 months)</t>
  </si>
  <si>
    <t>k = forecast period</t>
  </si>
  <si>
    <t>We want a forecast for:</t>
  </si>
  <si>
    <t>Forecast</t>
  </si>
  <si>
    <t>k</t>
  </si>
  <si>
    <t>Date</t>
  </si>
  <si>
    <t>AbsolutePercentageError</t>
  </si>
  <si>
    <t>Mean APE</t>
  </si>
  <si>
    <t>Forecasts are off by 2.13 percent on average</t>
  </si>
  <si>
    <t>Year</t>
  </si>
  <si>
    <t>Quarter</t>
  </si>
  <si>
    <t>revenue</t>
  </si>
  <si>
    <t>Walmart Revenue</t>
  </si>
  <si>
    <t>Analyze first two years of revenue data to determine baseline estimates for Level, Trend, and Seasonality.</t>
  </si>
  <si>
    <t>Base1</t>
  </si>
  <si>
    <t>Trend1</t>
  </si>
  <si>
    <t>Period</t>
  </si>
  <si>
    <t>APE</t>
  </si>
  <si>
    <t>MAPE</t>
  </si>
  <si>
    <t>Seasonality</t>
  </si>
  <si>
    <t>alpha1</t>
  </si>
  <si>
    <t>beta1</t>
  </si>
  <si>
    <t>gamma1</t>
  </si>
  <si>
    <t>F(t,k=2)</t>
  </si>
  <si>
    <t>F(t,k=1)</t>
  </si>
  <si>
    <t>F(t,k=3)</t>
  </si>
  <si>
    <t>F(t,k=4)</t>
  </si>
  <si>
    <t>Revenue ($K)</t>
  </si>
  <si>
    <t>Revenue</t>
  </si>
  <si>
    <t>Base2</t>
  </si>
  <si>
    <t>Trend2</t>
  </si>
  <si>
    <t>alpha2</t>
  </si>
  <si>
    <t>beta2</t>
  </si>
  <si>
    <t>gamma2</t>
  </si>
  <si>
    <t>Sales (in million $)</t>
  </si>
  <si>
    <t>Base5</t>
  </si>
  <si>
    <t>Trend5</t>
  </si>
  <si>
    <t xml:space="preserve">Sales </t>
  </si>
  <si>
    <t>Sales</t>
  </si>
  <si>
    <t>alpha5</t>
  </si>
  <si>
    <t>beta5</t>
  </si>
  <si>
    <t>gamma5</t>
  </si>
  <si>
    <t>Quarter2</t>
  </si>
  <si>
    <t>Quarter3</t>
  </si>
  <si>
    <t>Quarter4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</si>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</sst>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mmmyyyy"/>
    <numFmt numFmtId="165" formatCode="_(* #,##0_);_(* \(#,##0\);_(* &quot;-&quot;??_);_(@_)"/>
    <numFmt numFmtId="166" formatCode="0.000"/>
    <numFmt numFmtId="167" formatCode="#,##0.0000000"/>
    <numFmt numFmtId="168" formatCode="#,##0.0000"/>
    <numFmt numFmtId="169" formatCode="[$-409]d\-mmm\-yyyy;@"/>
    <numFmt numFmtId="170" formatCode="0.0"/>
    <numFmt numFmtId="171" formatCode="_(* #,##0.0_);_(* \(#,##0.0\);_(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>
      <alignment readingOrder="1"/>
      <protection locked="0"/>
    </xf>
    <xf numFmtId="9" fontId="1" fillId="0" borderId="0" applyFont="0" applyFill="0" applyBorder="0" applyAlignment="0" applyProtection="0"/>
  </cellStyleXfs>
  <cellXfs count="75">
    <xf numFmtId="0" fontId="0" fillId="0" borderId="0" xfId="0"/>
    <xf numFmtId="164" fontId="2" fillId="0" borderId="0" xfId="2" applyNumberFormat="1" applyFont="1">
      <alignment readingOrder="1"/>
      <protection locked="0"/>
    </xf>
    <xf numFmtId="2" fontId="4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2" borderId="0" xfId="0" applyFill="1"/>
    <xf numFmtId="164" fontId="2" fillId="0" borderId="0" xfId="2" applyNumberFormat="1" applyFont="1" applyAlignment="1">
      <alignment wrapText="1" readingOrder="1"/>
      <protection locked="0"/>
    </xf>
    <xf numFmtId="0" fontId="0" fillId="0" borderId="0" xfId="0" applyAlignment="1">
      <alignment wrapText="1"/>
    </xf>
    <xf numFmtId="165" fontId="2" fillId="0" borderId="0" xfId="1" applyNumberFormat="1" applyFont="1" applyAlignment="1" applyProtection="1">
      <alignment horizontal="center" wrapText="1" readingOrder="1"/>
      <protection locked="0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quotePrefix="1" applyFont="1" applyFill="1"/>
    <xf numFmtId="0" fontId="0" fillId="3" borderId="0" xfId="0" applyFont="1" applyFill="1"/>
    <xf numFmtId="165" fontId="2" fillId="0" borderId="0" xfId="1" applyNumberFormat="1" applyFont="1" applyAlignment="1" applyProtection="1">
      <alignment wrapText="1" readingOrder="1"/>
      <protection locked="0"/>
    </xf>
    <xf numFmtId="0" fontId="3" fillId="0" borderId="0" xfId="0" applyFont="1" applyFill="1"/>
    <xf numFmtId="2" fontId="0" fillId="2" borderId="0" xfId="0" applyNumberForma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/>
    <xf numFmtId="166" fontId="0" fillId="0" borderId="0" xfId="0" applyNumberFormat="1"/>
    <xf numFmtId="10" fontId="0" fillId="0" borderId="0" xfId="3" applyNumberFormat="1" applyFont="1"/>
    <xf numFmtId="3" fontId="0" fillId="0" borderId="0" xfId="0" applyNumberFormat="1"/>
    <xf numFmtId="0" fontId="6" fillId="0" borderId="0" xfId="0" applyFont="1"/>
    <xf numFmtId="167" fontId="0" fillId="0" borderId="0" xfId="0" applyNumberFormat="1"/>
    <xf numFmtId="9" fontId="0" fillId="0" borderId="0" xfId="3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Border="1"/>
    <xf numFmtId="0" fontId="7" fillId="3" borderId="0" xfId="0" quotePrefix="1" applyFont="1" applyFill="1"/>
    <xf numFmtId="0" fontId="7" fillId="3" borderId="0" xfId="0" applyFont="1" applyFill="1"/>
    <xf numFmtId="0" fontId="0" fillId="2" borderId="0" xfId="0" applyFont="1" applyFill="1"/>
    <xf numFmtId="168" fontId="0" fillId="0" borderId="0" xfId="0" applyNumberFormat="1"/>
    <xf numFmtId="1" fontId="0" fillId="0" borderId="0" xfId="0" applyNumberFormat="1"/>
    <xf numFmtId="168" fontId="0" fillId="2" borderId="0" xfId="0" applyNumberFormat="1" applyFill="1"/>
    <xf numFmtId="2" fontId="0" fillId="0" borderId="0" xfId="0" applyNumberFormat="1" applyBorder="1"/>
    <xf numFmtId="0" fontId="4" fillId="0" borderId="0" xfId="0" applyFont="1"/>
    <xf numFmtId="0" fontId="3" fillId="0" borderId="0" xfId="0" applyFont="1" applyAlignment="1">
      <alignment horizontal="center"/>
    </xf>
    <xf numFmtId="169" fontId="4" fillId="0" borderId="0" xfId="0" applyNumberFormat="1" applyFont="1"/>
    <xf numFmtId="170" fontId="4" fillId="0" borderId="0" xfId="0" applyNumberFormat="1" applyFont="1"/>
    <xf numFmtId="165" fontId="4" fillId="0" borderId="0" xfId="1" applyNumberFormat="1" applyFont="1"/>
    <xf numFmtId="171" fontId="0" fillId="0" borderId="0" xfId="0" applyNumberFormat="1"/>
    <xf numFmtId="0" fontId="4" fillId="0" borderId="4" xfId="0" applyFont="1" applyBorder="1"/>
    <xf numFmtId="0" fontId="3" fillId="0" borderId="0" xfId="0" applyFont="1" applyBorder="1" applyAlignment="1">
      <alignment horizontal="center"/>
    </xf>
    <xf numFmtId="169" fontId="4" fillId="0" borderId="0" xfId="0" applyNumberFormat="1" applyFont="1" applyBorder="1"/>
    <xf numFmtId="165" fontId="4" fillId="0" borderId="0" xfId="1" applyNumberFormat="1" applyFont="1" applyBorder="1"/>
    <xf numFmtId="170" fontId="4" fillId="0" borderId="0" xfId="0" applyNumberFormat="1" applyFont="1" applyBorder="1"/>
    <xf numFmtId="171" fontId="0" fillId="0" borderId="0" xfId="0" applyNumberFormat="1" applyBorder="1"/>
    <xf numFmtId="167" fontId="0" fillId="0" borderId="0" xfId="0" applyNumberFormat="1" applyBorder="1"/>
    <xf numFmtId="169" fontId="4" fillId="0" borderId="7" xfId="0" applyNumberFormat="1" applyFont="1" applyBorder="1"/>
    <xf numFmtId="165" fontId="4" fillId="0" borderId="7" xfId="1" applyNumberFormat="1" applyFont="1" applyBorder="1"/>
    <xf numFmtId="170" fontId="4" fillId="0" borderId="7" xfId="0" applyNumberFormat="1" applyFont="1" applyBorder="1"/>
    <xf numFmtId="171" fontId="0" fillId="0" borderId="7" xfId="0" applyNumberFormat="1" applyBorder="1"/>
    <xf numFmtId="3" fontId="0" fillId="0" borderId="7" xfId="0" applyNumberFormat="1" applyBorder="1"/>
    <xf numFmtId="2" fontId="0" fillId="2" borderId="0" xfId="0" applyNumberFormat="1" applyFill="1" applyBorder="1"/>
    <xf numFmtId="0" fontId="0" fillId="0" borderId="0" xfId="0" applyFill="1" applyBorder="1"/>
    <xf numFmtId="4" fontId="0" fillId="0" borderId="0" xfId="0" applyNumberFormat="1" applyBorder="1"/>
    <xf numFmtId="10" fontId="0" fillId="2" borderId="0" xfId="3" applyNumberFormat="1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8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Continuous"/>
    </xf>
    <xf numFmtId="43" fontId="0" fillId="0" borderId="0" xfId="0" applyNumberFormat="1"/>
  </cellXfs>
  <cellStyles count="4">
    <cellStyle name="_DateRange" xfId="2" xr:uid="{00000000-0005-0000-0000-000000000000}"/>
    <cellStyle name="Comma" xfId="1" builtinId="3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Forecasted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'Multiplicative Method'!$D$1</c:f>
              <c:strCache>
                <c:ptCount val="1"/>
                <c:pt idx="0">
                  <c:v>Sales (Actual)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'Multiplicative Method'!$D$2:$D$25</c:f>
              <c:numCache>
                <c:formatCode>0.00</c:formatCode>
                <c:ptCount val="24"/>
                <c:pt idx="0">
                  <c:v>32.854790000000001</c:v>
                </c:pt>
                <c:pt idx="1">
                  <c:v>30.814268999999999</c:v>
                </c:pt>
                <c:pt idx="2">
                  <c:v>37.586654000000003</c:v>
                </c:pt>
                <c:pt idx="3">
                  <c:v>35.226398000000003</c:v>
                </c:pt>
                <c:pt idx="4">
                  <c:v>36.569670000000002</c:v>
                </c:pt>
                <c:pt idx="5">
                  <c:v>39.750216000000002</c:v>
                </c:pt>
                <c:pt idx="6">
                  <c:v>43.367508000000001</c:v>
                </c:pt>
                <c:pt idx="7">
                  <c:v>42.092669000000001</c:v>
                </c:pt>
                <c:pt idx="8">
                  <c:v>32.549731999999999</c:v>
                </c:pt>
                <c:pt idx="9">
                  <c:v>36.442428</c:v>
                </c:pt>
                <c:pt idx="10">
                  <c:v>34.350366000000001</c:v>
                </c:pt>
                <c:pt idx="11">
                  <c:v>37.389381999999998</c:v>
                </c:pt>
                <c:pt idx="12">
                  <c:v>33.537391999999997</c:v>
                </c:pt>
                <c:pt idx="13">
                  <c:v>33.909139000000003</c:v>
                </c:pt>
                <c:pt idx="14">
                  <c:v>40.805211</c:v>
                </c:pt>
                <c:pt idx="15">
                  <c:v>40.172829</c:v>
                </c:pt>
                <c:pt idx="16">
                  <c:v>39.671007000000003</c:v>
                </c:pt>
                <c:pt idx="17">
                  <c:v>43.652276999999998</c:v>
                </c:pt>
                <c:pt idx="18">
                  <c:v>46.262248999999997</c:v>
                </c:pt>
                <c:pt idx="19">
                  <c:v>44.701690999999997</c:v>
                </c:pt>
                <c:pt idx="20">
                  <c:v>35.470844</c:v>
                </c:pt>
                <c:pt idx="21">
                  <c:v>39.627851</c:v>
                </c:pt>
                <c:pt idx="22">
                  <c:v>37.567115999999999</c:v>
                </c:pt>
                <c:pt idx="23">
                  <c:v>39.117677999999998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3-FC4E-A326-537ABB9F2818}"/>
            </c:ext>
          </c:extLst>
        </c:ser>
        <c:ser>
          <c:idx val="2"/>
          <c:order val="1"/>
          <c:tx>
            <c:strRef>
              <c:f>'Multiplicative Method'!$E$1</c:f>
              <c:strCache>
                <c:ptCount val="1"/>
                <c:pt idx="0">
                  <c:v>Sales (Forecast)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'Multiplicative Method'!$E$2:$E$25</c:f>
              <c:numCache>
                <c:formatCode>0.00</c:formatCode>
                <c:ptCount val="24"/>
                <c:pt idx="0">
                  <c:v>32.080708971640426</c:v>
                </c:pt>
                <c:pt idx="1">
                  <c:v>30.820786289317905</c:v>
                </c:pt>
                <c:pt idx="2">
                  <c:v>37.365866019783802</c:v>
                </c:pt>
                <c:pt idx="3">
                  <c:v>35.681755432771936</c:v>
                </c:pt>
                <c:pt idx="4">
                  <c:v>36.927339868147932</c:v>
                </c:pt>
                <c:pt idx="5">
                  <c:v>39.016774218123366</c:v>
                </c:pt>
                <c:pt idx="6">
                  <c:v>43.46179531728707</c:v>
                </c:pt>
                <c:pt idx="7">
                  <c:v>41.878035754106747</c:v>
                </c:pt>
                <c:pt idx="8">
                  <c:v>32.293991841601773</c:v>
                </c:pt>
                <c:pt idx="9">
                  <c:v>36.848284771149054</c:v>
                </c:pt>
                <c:pt idx="10">
                  <c:v>35.577794243951701</c:v>
                </c:pt>
                <c:pt idx="11">
                  <c:v>35.85960469851284</c:v>
                </c:pt>
                <c:pt idx="12">
                  <c:v>34.59573796047011</c:v>
                </c:pt>
                <c:pt idx="13">
                  <c:v>33.237041212009387</c:v>
                </c:pt>
                <c:pt idx="14">
                  <c:v>40.295235078165845</c:v>
                </c:pt>
                <c:pt idx="15">
                  <c:v>38.479095396956765</c:v>
                </c:pt>
                <c:pt idx="16">
                  <c:v>39.822329823976496</c:v>
                </c:pt>
                <c:pt idx="17">
                  <c:v>42.075569405472535</c:v>
                </c:pt>
                <c:pt idx="18">
                  <c:v>46.869066497802066</c:v>
                </c:pt>
                <c:pt idx="19">
                  <c:v>45.161145052281313</c:v>
                </c:pt>
                <c:pt idx="20">
                  <c:v>34.82574155194817</c:v>
                </c:pt>
                <c:pt idx="21">
                  <c:v>39.737077050335174</c:v>
                </c:pt>
                <c:pt idx="22">
                  <c:v>38.36698397043989</c:v>
                </c:pt>
                <c:pt idx="23">
                  <c:v>38.670887498542591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3-FC4E-A326-537ABB9F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62202688"/>
        <c:axId val="1763542400"/>
      </c:lineChart>
      <c:catAx>
        <c:axId val="176220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42400"/>
        <c:crosses val="autoZero"/>
        <c:auto val="1"/>
        <c:lblAlgn val="ctr"/>
        <c:lblOffset val="100"/>
        <c:noMultiLvlLbl val="0"/>
      </c:catAx>
      <c:valAx>
        <c:axId val="176354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0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'Problem 14.1 Initialization'!$D$3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14.1 Initialization'!$D$4:$D$56</c:f>
              <c:numCache>
                <c:formatCode>#,##0</c:formatCode>
                <c:ptCount val="53"/>
                <c:pt idx="0">
                  <c:v>9281</c:v>
                </c:pt>
                <c:pt idx="1">
                  <c:v>10340</c:v>
                </c:pt>
                <c:pt idx="2">
                  <c:v>10628</c:v>
                </c:pt>
                <c:pt idx="3">
                  <c:v>13639</c:v>
                </c:pt>
                <c:pt idx="4">
                  <c:v>11649</c:v>
                </c:pt>
                <c:pt idx="5">
                  <c:v>13028</c:v>
                </c:pt>
                <c:pt idx="6">
                  <c:v>13684</c:v>
                </c:pt>
                <c:pt idx="7">
                  <c:v>17122</c:v>
                </c:pt>
                <c:pt idx="8">
                  <c:v>13920</c:v>
                </c:pt>
                <c:pt idx="9">
                  <c:v>16237</c:v>
                </c:pt>
                <c:pt idx="10">
                  <c:v>16827</c:v>
                </c:pt>
                <c:pt idx="11">
                  <c:v>20361</c:v>
                </c:pt>
                <c:pt idx="12">
                  <c:v>17686</c:v>
                </c:pt>
                <c:pt idx="13">
                  <c:v>19942</c:v>
                </c:pt>
                <c:pt idx="14">
                  <c:v>20418</c:v>
                </c:pt>
                <c:pt idx="15">
                  <c:v>24448</c:v>
                </c:pt>
                <c:pt idx="16">
                  <c:v>20440</c:v>
                </c:pt>
                <c:pt idx="17">
                  <c:v>22723</c:v>
                </c:pt>
                <c:pt idx="18">
                  <c:v>22914</c:v>
                </c:pt>
                <c:pt idx="19">
                  <c:v>27550</c:v>
                </c:pt>
                <c:pt idx="20">
                  <c:v>22772</c:v>
                </c:pt>
                <c:pt idx="21">
                  <c:v>25587</c:v>
                </c:pt>
                <c:pt idx="22">
                  <c:v>25644</c:v>
                </c:pt>
                <c:pt idx="23">
                  <c:v>30856</c:v>
                </c:pt>
                <c:pt idx="24">
                  <c:v>25409</c:v>
                </c:pt>
                <c:pt idx="25">
                  <c:v>28386</c:v>
                </c:pt>
                <c:pt idx="26">
                  <c:v>28777</c:v>
                </c:pt>
                <c:pt idx="27">
                  <c:v>35386</c:v>
                </c:pt>
                <c:pt idx="28">
                  <c:v>29819</c:v>
                </c:pt>
                <c:pt idx="29">
                  <c:v>33521</c:v>
                </c:pt>
                <c:pt idx="30">
                  <c:v>33509</c:v>
                </c:pt>
                <c:pt idx="31">
                  <c:v>40785</c:v>
                </c:pt>
                <c:pt idx="32">
                  <c:v>35129</c:v>
                </c:pt>
                <c:pt idx="33">
                  <c:v>38913</c:v>
                </c:pt>
                <c:pt idx="34">
                  <c:v>40899</c:v>
                </c:pt>
                <c:pt idx="35">
                  <c:v>51868</c:v>
                </c:pt>
                <c:pt idx="36">
                  <c:v>43447</c:v>
                </c:pt>
                <c:pt idx="37">
                  <c:v>46588</c:v>
                </c:pt>
                <c:pt idx="38">
                  <c:v>46181</c:v>
                </c:pt>
                <c:pt idx="39">
                  <c:v>57079</c:v>
                </c:pt>
                <c:pt idx="40">
                  <c:v>48565</c:v>
                </c:pt>
                <c:pt idx="41">
                  <c:v>53187</c:v>
                </c:pt>
                <c:pt idx="42">
                  <c:v>53185</c:v>
                </c:pt>
                <c:pt idx="43">
                  <c:v>64735</c:v>
                </c:pt>
                <c:pt idx="44">
                  <c:v>52126</c:v>
                </c:pt>
                <c:pt idx="45">
                  <c:v>56781</c:v>
                </c:pt>
                <c:pt idx="46">
                  <c:v>55765</c:v>
                </c:pt>
                <c:pt idx="47">
                  <c:v>66905</c:v>
                </c:pt>
                <c:pt idx="48">
                  <c:v>57224</c:v>
                </c:pt>
                <c:pt idx="49">
                  <c:v>63231</c:v>
                </c:pt>
                <c:pt idx="50">
                  <c:v>63036</c:v>
                </c:pt>
                <c:pt idx="51">
                  <c:v>75190</c:v>
                </c:pt>
                <c:pt idx="52">
                  <c:v>65443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0-5B4F-8376-C9ED9EC2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381184"/>
        <c:axId val="1300482592"/>
      </c:lineChart>
      <c:catAx>
        <c:axId val="13003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82592"/>
        <c:crosses val="autoZero"/>
        <c:auto val="1"/>
        <c:lblAlgn val="ctr"/>
        <c:lblOffset val="100"/>
        <c:noMultiLvlLbl val="0"/>
      </c:catAx>
      <c:valAx>
        <c:axId val="13004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vs. Forecast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Revenue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14.1 Winter''s Method'!$D$19:$D$63</c:f>
              <c:numCache>
                <c:formatCode>#,##0</c:formatCode>
                <c:ptCount val="45"/>
                <c:pt idx="0">
                  <c:v>13920</c:v>
                </c:pt>
                <c:pt idx="1">
                  <c:v>16237</c:v>
                </c:pt>
                <c:pt idx="2">
                  <c:v>16827</c:v>
                </c:pt>
                <c:pt idx="3">
                  <c:v>20361</c:v>
                </c:pt>
                <c:pt idx="4">
                  <c:v>17686</c:v>
                </c:pt>
                <c:pt idx="5">
                  <c:v>19942</c:v>
                </c:pt>
                <c:pt idx="6">
                  <c:v>20418</c:v>
                </c:pt>
                <c:pt idx="7">
                  <c:v>24448</c:v>
                </c:pt>
                <c:pt idx="8">
                  <c:v>20440</c:v>
                </c:pt>
                <c:pt idx="9">
                  <c:v>22723</c:v>
                </c:pt>
                <c:pt idx="10">
                  <c:v>22914</c:v>
                </c:pt>
                <c:pt idx="11">
                  <c:v>27550</c:v>
                </c:pt>
                <c:pt idx="12">
                  <c:v>22772</c:v>
                </c:pt>
                <c:pt idx="13">
                  <c:v>25587</c:v>
                </c:pt>
                <c:pt idx="14">
                  <c:v>25644</c:v>
                </c:pt>
                <c:pt idx="15">
                  <c:v>30856</c:v>
                </c:pt>
                <c:pt idx="16">
                  <c:v>25409</c:v>
                </c:pt>
                <c:pt idx="17">
                  <c:v>28386</c:v>
                </c:pt>
                <c:pt idx="18">
                  <c:v>28777</c:v>
                </c:pt>
                <c:pt idx="19">
                  <c:v>35386</c:v>
                </c:pt>
                <c:pt idx="20">
                  <c:v>29819</c:v>
                </c:pt>
                <c:pt idx="21">
                  <c:v>33521</c:v>
                </c:pt>
                <c:pt idx="22">
                  <c:v>33509</c:v>
                </c:pt>
                <c:pt idx="23">
                  <c:v>40785</c:v>
                </c:pt>
                <c:pt idx="24">
                  <c:v>35129</c:v>
                </c:pt>
                <c:pt idx="25">
                  <c:v>38913</c:v>
                </c:pt>
                <c:pt idx="26">
                  <c:v>40899</c:v>
                </c:pt>
                <c:pt idx="27">
                  <c:v>51868</c:v>
                </c:pt>
                <c:pt idx="28">
                  <c:v>43447</c:v>
                </c:pt>
                <c:pt idx="29">
                  <c:v>46588</c:v>
                </c:pt>
                <c:pt idx="30">
                  <c:v>46181</c:v>
                </c:pt>
                <c:pt idx="31">
                  <c:v>57079</c:v>
                </c:pt>
                <c:pt idx="32">
                  <c:v>48565</c:v>
                </c:pt>
                <c:pt idx="33">
                  <c:v>53187</c:v>
                </c:pt>
                <c:pt idx="34">
                  <c:v>53185</c:v>
                </c:pt>
                <c:pt idx="35">
                  <c:v>64735</c:v>
                </c:pt>
                <c:pt idx="36">
                  <c:v>52126</c:v>
                </c:pt>
                <c:pt idx="37">
                  <c:v>56781</c:v>
                </c:pt>
                <c:pt idx="38">
                  <c:v>55765</c:v>
                </c:pt>
                <c:pt idx="39">
                  <c:v>66905</c:v>
                </c:pt>
                <c:pt idx="40">
                  <c:v>57224</c:v>
                </c:pt>
                <c:pt idx="41">
                  <c:v>63231</c:v>
                </c:pt>
                <c:pt idx="42">
                  <c:v>63036</c:v>
                </c:pt>
                <c:pt idx="43">
                  <c:v>75190</c:v>
                </c:pt>
                <c:pt idx="44">
                  <c:v>65443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B-7547-A36C-458D028D7365}"/>
            </c:ext>
          </c:extLst>
        </c:ser>
        <c:ser>
          <c:idx val="2"/>
          <c:order val="1"/>
          <c:tx>
            <c:v>Revenue (Forecast)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'Problem 14.1 Winter''s Method'!$H$19:$H$63</c:f>
              <c:numCache>
                <c:formatCode>0</c:formatCode>
                <c:ptCount val="45"/>
                <c:pt idx="0">
                  <c:v>14392.287543683016</c:v>
                </c:pt>
                <c:pt idx="1">
                  <c:v>17077.112111909541</c:v>
                </c:pt>
                <c:pt idx="2">
                  <c:v>18045.16087871675</c:v>
                </c:pt>
                <c:pt idx="3">
                  <c:v>21323.243964474041</c:v>
                </c:pt>
                <c:pt idx="4">
                  <c:v>18488.106087322041</c:v>
                </c:pt>
                <c:pt idx="5">
                  <c:v>21111.67300901312</c:v>
                </c:pt>
                <c:pt idx="6">
                  <c:v>21589.646816157059</c:v>
                </c:pt>
                <c:pt idx="7">
                  <c:v>25270.17792725793</c:v>
                </c:pt>
                <c:pt idx="8">
                  <c:v>20816.900745400257</c:v>
                </c:pt>
                <c:pt idx="9">
                  <c:v>23374.572646644596</c:v>
                </c:pt>
                <c:pt idx="10">
                  <c:v>23798.581588536756</c:v>
                </c:pt>
                <c:pt idx="11">
                  <c:v>28414.9382548553</c:v>
                </c:pt>
                <c:pt idx="12">
                  <c:v>23165.683713961571</c:v>
                </c:pt>
                <c:pt idx="13">
                  <c:v>26302.835412945278</c:v>
                </c:pt>
                <c:pt idx="14">
                  <c:v>26632.834757296645</c:v>
                </c:pt>
                <c:pt idx="15">
                  <c:v>31842.59245104776</c:v>
                </c:pt>
                <c:pt idx="16">
                  <c:v>25836.52100938472</c:v>
                </c:pt>
                <c:pt idx="17">
                  <c:v>28985.912560209537</c:v>
                </c:pt>
                <c:pt idx="18">
                  <c:v>29898.120485784286</c:v>
                </c:pt>
                <c:pt idx="19">
                  <c:v>37133.482055749526</c:v>
                </c:pt>
                <c:pt idx="20">
                  <c:v>31127.041518297221</c:v>
                </c:pt>
                <c:pt idx="21">
                  <c:v>34806.114180125085</c:v>
                </c:pt>
                <c:pt idx="22">
                  <c:v>34666.993584286538</c:v>
                </c:pt>
                <c:pt idx="23">
                  <c:v>42182.125912864067</c:v>
                </c:pt>
                <c:pt idx="24">
                  <c:v>36752.505235741068</c:v>
                </c:pt>
                <c:pt idx="25">
                  <c:v>40579.8684811618</c:v>
                </c:pt>
                <c:pt idx="26">
                  <c:v>43205.903756915432</c:v>
                </c:pt>
                <c:pt idx="27">
                  <c:v>55954.686382624408</c:v>
                </c:pt>
                <c:pt idx="28">
                  <c:v>46120.120282668475</c:v>
                </c:pt>
                <c:pt idx="29">
                  <c:v>47432.779432428797</c:v>
                </c:pt>
                <c:pt idx="30">
                  <c:v>46181.000703102945</c:v>
                </c:pt>
                <c:pt idx="31">
                  <c:v>58510.839282089866</c:v>
                </c:pt>
                <c:pt idx="32">
                  <c:v>51080.953191405351</c:v>
                </c:pt>
                <c:pt idx="33">
                  <c:v>55523.990079908159</c:v>
                </c:pt>
                <c:pt idx="34">
                  <c:v>54451.472237302653</c:v>
                </c:pt>
                <c:pt idx="35">
                  <c:v>66116.137638864704</c:v>
                </c:pt>
                <c:pt idx="36">
                  <c:v>52795.624589669183</c:v>
                </c:pt>
                <c:pt idx="37">
                  <c:v>57325.077568046312</c:v>
                </c:pt>
                <c:pt idx="38">
                  <c:v>56164.22125033108</c:v>
                </c:pt>
                <c:pt idx="39">
                  <c:v>67446.831971724183</c:v>
                </c:pt>
                <c:pt idx="40">
                  <c:v>59267.498675388895</c:v>
                </c:pt>
                <c:pt idx="41">
                  <c:v>66287.164415067993</c:v>
                </c:pt>
                <c:pt idx="42">
                  <c:v>65103.520513476942</c:v>
                </c:pt>
                <c:pt idx="43">
                  <c:v>76137.608863917747</c:v>
                </c:pt>
                <c:pt idx="44">
                  <c:v>67753.042567719982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B-7547-A36C-458D028D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85343"/>
        <c:axId val="350362015"/>
      </c:lineChart>
      <c:catAx>
        <c:axId val="34478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2015"/>
        <c:crosses val="autoZero"/>
        <c:auto val="1"/>
        <c:lblAlgn val="ctr"/>
        <c:lblOffset val="100"/>
        <c:noMultiLvlLbl val="0"/>
      </c:catAx>
      <c:valAx>
        <c:axId val="3503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Coca-Cola Revenue (Actual)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'Problem 14.2 Initialization'!$D$7:$D$65</c:f>
              <c:numCache>
                <c:formatCode>General</c:formatCode>
                <c:ptCount val="59"/>
                <c:pt idx="0">
                  <c:v>4194</c:v>
                </c:pt>
                <c:pt idx="1">
                  <c:v>5253</c:v>
                </c:pt>
                <c:pt idx="2">
                  <c:v>4656</c:v>
                </c:pt>
                <c:pt idx="3">
                  <c:v>4443</c:v>
                </c:pt>
                <c:pt idx="4">
                  <c:v>4138</c:v>
                </c:pt>
                <c:pt idx="5">
                  <c:v>5075</c:v>
                </c:pt>
                <c:pt idx="6">
                  <c:v>4954</c:v>
                </c:pt>
                <c:pt idx="7">
                  <c:v>4701</c:v>
                </c:pt>
                <c:pt idx="8">
                  <c:v>4457</c:v>
                </c:pt>
                <c:pt idx="9">
                  <c:v>5151</c:v>
                </c:pt>
                <c:pt idx="10">
                  <c:v>4747</c:v>
                </c:pt>
                <c:pt idx="11">
                  <c:v>4458</c:v>
                </c:pt>
                <c:pt idx="12">
                  <c:v>4428</c:v>
                </c:pt>
                <c:pt idx="13">
                  <c:v>5379</c:v>
                </c:pt>
                <c:pt idx="14">
                  <c:v>5195</c:v>
                </c:pt>
                <c:pt idx="15">
                  <c:v>4931</c:v>
                </c:pt>
                <c:pt idx="16">
                  <c:v>4391</c:v>
                </c:pt>
                <c:pt idx="17">
                  <c:v>5621</c:v>
                </c:pt>
                <c:pt idx="18">
                  <c:v>5543</c:v>
                </c:pt>
                <c:pt idx="19">
                  <c:v>4903</c:v>
                </c:pt>
                <c:pt idx="20">
                  <c:v>4479</c:v>
                </c:pt>
                <c:pt idx="21">
                  <c:v>5293</c:v>
                </c:pt>
                <c:pt idx="22">
                  <c:v>5397</c:v>
                </c:pt>
                <c:pt idx="23">
                  <c:v>4923</c:v>
                </c:pt>
                <c:pt idx="24">
                  <c:v>4079</c:v>
                </c:pt>
                <c:pt idx="25">
                  <c:v>5368</c:v>
                </c:pt>
                <c:pt idx="26">
                  <c:v>5322</c:v>
                </c:pt>
                <c:pt idx="27">
                  <c:v>4795</c:v>
                </c:pt>
                <c:pt idx="28">
                  <c:v>4502</c:v>
                </c:pt>
                <c:pt idx="29">
                  <c:v>5695</c:v>
                </c:pt>
                <c:pt idx="30">
                  <c:v>5671</c:v>
                </c:pt>
                <c:pt idx="31">
                  <c:v>5176</c:v>
                </c:pt>
                <c:pt idx="32">
                  <c:v>5078</c:v>
                </c:pt>
                <c:pt idx="33">
                  <c:v>5965</c:v>
                </c:pt>
                <c:pt idx="34">
                  <c:v>5862</c:v>
                </c:pt>
                <c:pt idx="35">
                  <c:v>5257</c:v>
                </c:pt>
                <c:pt idx="36">
                  <c:v>5206</c:v>
                </c:pt>
                <c:pt idx="37">
                  <c:v>6310</c:v>
                </c:pt>
                <c:pt idx="38">
                  <c:v>6037</c:v>
                </c:pt>
                <c:pt idx="39">
                  <c:v>5551</c:v>
                </c:pt>
                <c:pt idx="40">
                  <c:v>5226</c:v>
                </c:pt>
                <c:pt idx="41">
                  <c:v>6476</c:v>
                </c:pt>
                <c:pt idx="42">
                  <c:v>6454</c:v>
                </c:pt>
                <c:pt idx="43">
                  <c:v>5932</c:v>
                </c:pt>
                <c:pt idx="44">
                  <c:v>6103</c:v>
                </c:pt>
                <c:pt idx="45">
                  <c:v>7733</c:v>
                </c:pt>
                <c:pt idx="46">
                  <c:v>7690</c:v>
                </c:pt>
                <c:pt idx="47">
                  <c:v>7331</c:v>
                </c:pt>
                <c:pt idx="48">
                  <c:v>7379</c:v>
                </c:pt>
                <c:pt idx="49">
                  <c:v>9046</c:v>
                </c:pt>
                <c:pt idx="50">
                  <c:v>8393</c:v>
                </c:pt>
                <c:pt idx="51">
                  <c:v>7126</c:v>
                </c:pt>
                <c:pt idx="52">
                  <c:v>7169</c:v>
                </c:pt>
                <c:pt idx="53">
                  <c:v>8267</c:v>
                </c:pt>
                <c:pt idx="54">
                  <c:v>8044</c:v>
                </c:pt>
                <c:pt idx="55">
                  <c:v>7510</c:v>
                </c:pt>
                <c:pt idx="56">
                  <c:v>7525</c:v>
                </c:pt>
                <c:pt idx="57">
                  <c:v>8674</c:v>
                </c:pt>
                <c:pt idx="58">
                  <c:v>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A-EF41-ADBF-9D25ABE1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42479"/>
        <c:axId val="272997375"/>
      </c:lineChart>
      <c:catAx>
        <c:axId val="2730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97375"/>
        <c:crosses val="autoZero"/>
        <c:auto val="1"/>
        <c:lblAlgn val="ctr"/>
        <c:lblOffset val="100"/>
        <c:noMultiLvlLbl val="0"/>
      </c:catAx>
      <c:valAx>
        <c:axId val="2729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Forecast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Revenue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14.2 Winter''s Method'!$D$26:$D$76</c:f>
              <c:numCache>
                <c:formatCode>General</c:formatCode>
                <c:ptCount val="51"/>
                <c:pt idx="0">
                  <c:v>4457</c:v>
                </c:pt>
                <c:pt idx="1">
                  <c:v>5151</c:v>
                </c:pt>
                <c:pt idx="2">
                  <c:v>4747</c:v>
                </c:pt>
                <c:pt idx="3">
                  <c:v>4458</c:v>
                </c:pt>
                <c:pt idx="4">
                  <c:v>4428</c:v>
                </c:pt>
                <c:pt idx="5">
                  <c:v>5379</c:v>
                </c:pt>
                <c:pt idx="6">
                  <c:v>5195</c:v>
                </c:pt>
                <c:pt idx="7">
                  <c:v>4931</c:v>
                </c:pt>
                <c:pt idx="8">
                  <c:v>4391</c:v>
                </c:pt>
                <c:pt idx="9">
                  <c:v>5621</c:v>
                </c:pt>
                <c:pt idx="10">
                  <c:v>5543</c:v>
                </c:pt>
                <c:pt idx="11">
                  <c:v>4903</c:v>
                </c:pt>
                <c:pt idx="12">
                  <c:v>4479</c:v>
                </c:pt>
                <c:pt idx="13">
                  <c:v>5293</c:v>
                </c:pt>
                <c:pt idx="14">
                  <c:v>5397</c:v>
                </c:pt>
                <c:pt idx="15">
                  <c:v>4923</c:v>
                </c:pt>
                <c:pt idx="16">
                  <c:v>4079</c:v>
                </c:pt>
                <c:pt idx="17">
                  <c:v>5368</c:v>
                </c:pt>
                <c:pt idx="18">
                  <c:v>5322</c:v>
                </c:pt>
                <c:pt idx="19">
                  <c:v>4795</c:v>
                </c:pt>
                <c:pt idx="20">
                  <c:v>4502</c:v>
                </c:pt>
                <c:pt idx="21">
                  <c:v>5695</c:v>
                </c:pt>
                <c:pt idx="22">
                  <c:v>5671</c:v>
                </c:pt>
                <c:pt idx="23">
                  <c:v>5176</c:v>
                </c:pt>
                <c:pt idx="24">
                  <c:v>5078</c:v>
                </c:pt>
                <c:pt idx="25">
                  <c:v>5965</c:v>
                </c:pt>
                <c:pt idx="26">
                  <c:v>5862</c:v>
                </c:pt>
                <c:pt idx="27">
                  <c:v>5257</c:v>
                </c:pt>
                <c:pt idx="28">
                  <c:v>5206</c:v>
                </c:pt>
                <c:pt idx="29">
                  <c:v>6310</c:v>
                </c:pt>
                <c:pt idx="30">
                  <c:v>6037</c:v>
                </c:pt>
                <c:pt idx="31">
                  <c:v>5551</c:v>
                </c:pt>
                <c:pt idx="32">
                  <c:v>5226</c:v>
                </c:pt>
                <c:pt idx="33">
                  <c:v>6476</c:v>
                </c:pt>
                <c:pt idx="34">
                  <c:v>6454</c:v>
                </c:pt>
                <c:pt idx="35">
                  <c:v>5932</c:v>
                </c:pt>
                <c:pt idx="36">
                  <c:v>6103</c:v>
                </c:pt>
                <c:pt idx="37">
                  <c:v>7733</c:v>
                </c:pt>
                <c:pt idx="38">
                  <c:v>7690</c:v>
                </c:pt>
                <c:pt idx="39">
                  <c:v>7331</c:v>
                </c:pt>
                <c:pt idx="40">
                  <c:v>7379</c:v>
                </c:pt>
                <c:pt idx="41">
                  <c:v>9046</c:v>
                </c:pt>
                <c:pt idx="42">
                  <c:v>8393</c:v>
                </c:pt>
                <c:pt idx="43">
                  <c:v>7126</c:v>
                </c:pt>
                <c:pt idx="44">
                  <c:v>7169</c:v>
                </c:pt>
                <c:pt idx="45">
                  <c:v>8267</c:v>
                </c:pt>
                <c:pt idx="46">
                  <c:v>8044</c:v>
                </c:pt>
                <c:pt idx="47">
                  <c:v>7510</c:v>
                </c:pt>
                <c:pt idx="48">
                  <c:v>7525</c:v>
                </c:pt>
                <c:pt idx="49">
                  <c:v>8674</c:v>
                </c:pt>
                <c:pt idx="50">
                  <c:v>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4-874B-9467-0F3DB66B0CED}"/>
            </c:ext>
          </c:extLst>
        </c:ser>
        <c:ser>
          <c:idx val="2"/>
          <c:order val="1"/>
          <c:tx>
            <c:v>Revenue (Forecast)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'Problem 14.2 Winter''s Method'!$H$26:$H$76</c:f>
              <c:numCache>
                <c:formatCode>General</c:formatCode>
                <c:ptCount val="51"/>
                <c:pt idx="0">
                  <c:v>4460.849854087538</c:v>
                </c:pt>
                <c:pt idx="1">
                  <c:v>5163.3430117703074</c:v>
                </c:pt>
                <c:pt idx="2">
                  <c:v>4753.7241182673743</c:v>
                </c:pt>
                <c:pt idx="3">
                  <c:v>4464.4680752913264</c:v>
                </c:pt>
                <c:pt idx="4">
                  <c:v>4428.6763467721839</c:v>
                </c:pt>
                <c:pt idx="5">
                  <c:v>5387.2447049737548</c:v>
                </c:pt>
                <c:pt idx="6">
                  <c:v>5198.4463185997511</c:v>
                </c:pt>
                <c:pt idx="7">
                  <c:v>4937.2390092636751</c:v>
                </c:pt>
                <c:pt idx="8">
                  <c:v>4399.3238051624367</c:v>
                </c:pt>
                <c:pt idx="9">
                  <c:v>5625.001126619557</c:v>
                </c:pt>
                <c:pt idx="10">
                  <c:v>5544.8640747897516</c:v>
                </c:pt>
                <c:pt idx="11">
                  <c:v>4914.9407443693926</c:v>
                </c:pt>
                <c:pt idx="12">
                  <c:v>4485.6597315550616</c:v>
                </c:pt>
                <c:pt idx="13">
                  <c:v>5303.6536571121605</c:v>
                </c:pt>
                <c:pt idx="14">
                  <c:v>5396.2302420151036</c:v>
                </c:pt>
                <c:pt idx="15">
                  <c:v>4932.2872552532872</c:v>
                </c:pt>
                <c:pt idx="16">
                  <c:v>4091.9057819837913</c:v>
                </c:pt>
                <c:pt idx="17">
                  <c:v>5369.6647075421624</c:v>
                </c:pt>
                <c:pt idx="18">
                  <c:v>5323.4164719004302</c:v>
                </c:pt>
                <c:pt idx="19">
                  <c:v>4805.0034837065414</c:v>
                </c:pt>
                <c:pt idx="20">
                  <c:v>4506.6660122708499</c:v>
                </c:pt>
                <c:pt idx="21">
                  <c:v>5700.1824624366545</c:v>
                </c:pt>
                <c:pt idx="22">
                  <c:v>5672.1865157628254</c:v>
                </c:pt>
                <c:pt idx="23">
                  <c:v>5185.5918168054395</c:v>
                </c:pt>
                <c:pt idx="24">
                  <c:v>5079.8057684935729</c:v>
                </c:pt>
                <c:pt idx="25">
                  <c:v>5977.6108185881121</c:v>
                </c:pt>
                <c:pt idx="26">
                  <c:v>5864.5385655779446</c:v>
                </c:pt>
                <c:pt idx="27">
                  <c:v>5268.2574837752727</c:v>
                </c:pt>
                <c:pt idx="28">
                  <c:v>5207.1876309431</c:v>
                </c:pt>
                <c:pt idx="29">
                  <c:v>6319.9343923940378</c:v>
                </c:pt>
                <c:pt idx="30">
                  <c:v>6042.1492053525808</c:v>
                </c:pt>
                <c:pt idx="31">
                  <c:v>5560.5199752673907</c:v>
                </c:pt>
                <c:pt idx="32">
                  <c:v>5231.3280229729498</c:v>
                </c:pt>
                <c:pt idx="33">
                  <c:v>6483.880566711704</c:v>
                </c:pt>
                <c:pt idx="34">
                  <c:v>6455.4378577157686</c:v>
                </c:pt>
                <c:pt idx="35">
                  <c:v>5942.1131111019149</c:v>
                </c:pt>
                <c:pt idx="36">
                  <c:v>6101.0040096489302</c:v>
                </c:pt>
                <c:pt idx="37">
                  <c:v>7739.4937533561215</c:v>
                </c:pt>
                <c:pt idx="38">
                  <c:v>7691.9748398399761</c:v>
                </c:pt>
                <c:pt idx="39">
                  <c:v>7339.0595655649049</c:v>
                </c:pt>
                <c:pt idx="40">
                  <c:v>7379.0001815515088</c:v>
                </c:pt>
                <c:pt idx="41">
                  <c:v>9058.3445467985275</c:v>
                </c:pt>
                <c:pt idx="42">
                  <c:v>8404.3911701222351</c:v>
                </c:pt>
                <c:pt idx="43">
                  <c:v>7147.9182739149346</c:v>
                </c:pt>
                <c:pt idx="44">
                  <c:v>7169.3190291103274</c:v>
                </c:pt>
                <c:pt idx="45">
                  <c:v>8286.6762156421337</c:v>
                </c:pt>
                <c:pt idx="46">
                  <c:v>8048.9721080420604</c:v>
                </c:pt>
                <c:pt idx="47">
                  <c:v>7520.6916846165896</c:v>
                </c:pt>
                <c:pt idx="48">
                  <c:v>7525.7570557445897</c:v>
                </c:pt>
                <c:pt idx="49">
                  <c:v>8694.5551163341388</c:v>
                </c:pt>
                <c:pt idx="50">
                  <c:v>8431.5291557663695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4-874B-9467-0F3DB66B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374975"/>
        <c:axId val="1131375807"/>
      </c:lineChart>
      <c:catAx>
        <c:axId val="113137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75807"/>
        <c:crosses val="autoZero"/>
        <c:auto val="1"/>
        <c:lblAlgn val="ctr"/>
        <c:lblOffset val="100"/>
        <c:noMultiLvlLbl val="0"/>
      </c:catAx>
      <c:valAx>
        <c:axId val="1131375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7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Revenue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14.5 Initialization'!$D$7:$D$44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4-B446-834A-D766919F0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867360"/>
        <c:axId val="1811869056"/>
      </c:lineChart>
      <c:catAx>
        <c:axId val="181186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69056"/>
        <c:crosses val="autoZero"/>
        <c:auto val="1"/>
        <c:lblAlgn val="ctr"/>
        <c:lblOffset val="100"/>
        <c:noMultiLvlLbl val="0"/>
      </c:catAx>
      <c:valAx>
        <c:axId val="18118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vs. Forecasted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Revenue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14.5 Winter''s Method'!$D$25:$D$54</c:f>
              <c:numCache>
                <c:formatCode>0.0</c:formatCode>
                <c:ptCount val="30"/>
                <c:pt idx="0">
                  <c:v>87.394999999999996</c:v>
                </c:pt>
                <c:pt idx="1">
                  <c:v>116.01</c:v>
                </c:pt>
                <c:pt idx="2">
                  <c:v>153.69999999999999</c:v>
                </c:pt>
                <c:pt idx="3">
                  <c:v>252.9</c:v>
                </c:pt>
                <c:pt idx="4">
                  <c:v>293.60000000000002</c:v>
                </c:pt>
                <c:pt idx="5">
                  <c:v>314.39999999999998</c:v>
                </c:pt>
                <c:pt idx="6">
                  <c:v>355.8</c:v>
                </c:pt>
                <c:pt idx="7">
                  <c:v>676</c:v>
                </c:pt>
                <c:pt idx="8">
                  <c:v>573.9</c:v>
                </c:pt>
                <c:pt idx="9">
                  <c:v>577.9</c:v>
                </c:pt>
                <c:pt idx="10">
                  <c:v>637.9</c:v>
                </c:pt>
                <c:pt idx="11">
                  <c:v>972.36</c:v>
                </c:pt>
                <c:pt idx="12">
                  <c:v>701</c:v>
                </c:pt>
                <c:pt idx="13">
                  <c:v>668</c:v>
                </c:pt>
                <c:pt idx="14">
                  <c:v>639</c:v>
                </c:pt>
                <c:pt idx="15">
                  <c:v>1115</c:v>
                </c:pt>
                <c:pt idx="16">
                  <c:v>847</c:v>
                </c:pt>
                <c:pt idx="17">
                  <c:v>806</c:v>
                </c:pt>
                <c:pt idx="18">
                  <c:v>851</c:v>
                </c:pt>
                <c:pt idx="19">
                  <c:v>1429</c:v>
                </c:pt>
                <c:pt idx="20">
                  <c:v>1084</c:v>
                </c:pt>
                <c:pt idx="21">
                  <c:v>1100</c:v>
                </c:pt>
                <c:pt idx="22">
                  <c:v>1134</c:v>
                </c:pt>
                <c:pt idx="23">
                  <c:v>1946</c:v>
                </c:pt>
                <c:pt idx="24">
                  <c:v>1530</c:v>
                </c:pt>
                <c:pt idx="25">
                  <c:v>1387</c:v>
                </c:pt>
                <c:pt idx="26">
                  <c:v>1463</c:v>
                </c:pt>
                <c:pt idx="27">
                  <c:v>2541</c:v>
                </c:pt>
                <c:pt idx="28">
                  <c:v>1902</c:v>
                </c:pt>
                <c:pt idx="29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F-1D4B-A643-BD02A089DBBF}"/>
            </c:ext>
          </c:extLst>
        </c:ser>
        <c:ser>
          <c:idx val="2"/>
          <c:order val="1"/>
          <c:tx>
            <c:v>Revenue (Forecast)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'Problem 14.5 Winter''s Method'!$H$25:$H$54</c:f>
              <c:numCache>
                <c:formatCode>General</c:formatCode>
                <c:ptCount val="30"/>
                <c:pt idx="0">
                  <c:v>164.82220154197108</c:v>
                </c:pt>
                <c:pt idx="1">
                  <c:v>182.79807014778396</c:v>
                </c:pt>
                <c:pt idx="2">
                  <c:v>174.23346947701091</c:v>
                </c:pt>
                <c:pt idx="3">
                  <c:v>335.054610720406</c:v>
                </c:pt>
                <c:pt idx="4">
                  <c:v>462.49860238099063</c:v>
                </c:pt>
                <c:pt idx="5">
                  <c:v>499.02110041115247</c:v>
                </c:pt>
                <c:pt idx="6">
                  <c:v>411.46612135811267</c:v>
                </c:pt>
                <c:pt idx="7">
                  <c:v>732.13534685410332</c:v>
                </c:pt>
                <c:pt idx="8">
                  <c:v>749.91367205318511</c:v>
                </c:pt>
                <c:pt idx="9">
                  <c:v>749.44937431433766</c:v>
                </c:pt>
                <c:pt idx="10">
                  <c:v>729.71282200460178</c:v>
                </c:pt>
                <c:pt idx="11">
                  <c:v>972.35974050342577</c:v>
                </c:pt>
                <c:pt idx="12">
                  <c:v>701.00000000101761</c:v>
                </c:pt>
                <c:pt idx="13">
                  <c:v>694.84528602438843</c:v>
                </c:pt>
                <c:pt idx="14">
                  <c:v>676.91830475278562</c:v>
                </c:pt>
                <c:pt idx="15">
                  <c:v>1095.2988209016635</c:v>
                </c:pt>
                <c:pt idx="16">
                  <c:v>879.43077713510365</c:v>
                </c:pt>
                <c:pt idx="17">
                  <c:v>880.63971610414717</c:v>
                </c:pt>
                <c:pt idx="18">
                  <c:v>937.91385836280551</c:v>
                </c:pt>
                <c:pt idx="19">
                  <c:v>1534.4677933501248</c:v>
                </c:pt>
                <c:pt idx="20">
                  <c:v>1120.1394927771141</c:v>
                </c:pt>
                <c:pt idx="21">
                  <c:v>1162.9057555350132</c:v>
                </c:pt>
                <c:pt idx="22">
                  <c:v>1265.2374639538898</c:v>
                </c:pt>
                <c:pt idx="23">
                  <c:v>2152.5986162830486</c:v>
                </c:pt>
                <c:pt idx="24">
                  <c:v>1643.5145473755642</c:v>
                </c:pt>
                <c:pt idx="25">
                  <c:v>1470.6086775145407</c:v>
                </c:pt>
                <c:pt idx="26">
                  <c:v>1515.9960446070447</c:v>
                </c:pt>
                <c:pt idx="27">
                  <c:v>2716.6174506616694</c:v>
                </c:pt>
                <c:pt idx="28">
                  <c:v>2065.6708298826211</c:v>
                </c:pt>
                <c:pt idx="29">
                  <c:v>1855.6768548850771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F-1D4B-A643-BD02A089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742192"/>
        <c:axId val="1968518112"/>
      </c:lineChart>
      <c:catAx>
        <c:axId val="196874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18112"/>
        <c:crosses val="autoZero"/>
        <c:auto val="1"/>
        <c:lblAlgn val="ctr"/>
        <c:lblOffset val="100"/>
        <c:noMultiLvlLbl val="0"/>
      </c:catAx>
      <c:valAx>
        <c:axId val="19685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Forecasted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Revenue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14.5 Mult Regression'!$G$3:$G$40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C-A04F-AD04-92BBA5613299}"/>
            </c:ext>
          </c:extLst>
        </c:ser>
        <c:ser>
          <c:idx val="2"/>
          <c:order val="1"/>
          <c:tx>
            <c:v>Revenue (Forecast)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'Problem 14.5 Mult Regression'!$H$3:$H$40</c:f>
              <c:numCache>
                <c:formatCode>_(* #,##0.00_);_(* \(#,##0.00\);_(* "-"??_);_(@_)</c:formatCode>
                <c:ptCount val="38"/>
                <c:pt idx="0">
                  <c:v>-282.94068421052594</c:v>
                </c:pt>
                <c:pt idx="1">
                  <c:v>-311.27868421052591</c:v>
                </c:pt>
                <c:pt idx="2">
                  <c:v>-173.32755263157858</c:v>
                </c:pt>
                <c:pt idx="3">
                  <c:v>-118.52098684210492</c:v>
                </c:pt>
                <c:pt idx="4">
                  <c:v>-63.714421052631224</c:v>
                </c:pt>
                <c:pt idx="5">
                  <c:v>-92.052421052631203</c:v>
                </c:pt>
                <c:pt idx="6">
                  <c:v>45.898710526316108</c:v>
                </c:pt>
                <c:pt idx="7">
                  <c:v>100.70527631578977</c:v>
                </c:pt>
                <c:pt idx="8">
                  <c:v>155.51184210526344</c:v>
                </c:pt>
                <c:pt idx="9">
                  <c:v>127.17384210526352</c:v>
                </c:pt>
                <c:pt idx="10">
                  <c:v>265.12497368421083</c:v>
                </c:pt>
                <c:pt idx="11">
                  <c:v>319.9315394736845</c:v>
                </c:pt>
                <c:pt idx="12">
                  <c:v>374.73810526315816</c:v>
                </c:pt>
                <c:pt idx="13">
                  <c:v>346.4001052631582</c:v>
                </c:pt>
                <c:pt idx="14">
                  <c:v>484.35123684210549</c:v>
                </c:pt>
                <c:pt idx="15">
                  <c:v>539.15780263157922</c:v>
                </c:pt>
                <c:pt idx="16">
                  <c:v>593.96436842105277</c:v>
                </c:pt>
                <c:pt idx="17">
                  <c:v>565.62636842105292</c:v>
                </c:pt>
                <c:pt idx="18">
                  <c:v>703.5775000000001</c:v>
                </c:pt>
                <c:pt idx="19">
                  <c:v>758.38406578947388</c:v>
                </c:pt>
                <c:pt idx="20">
                  <c:v>813.19063157894743</c:v>
                </c:pt>
                <c:pt idx="21">
                  <c:v>784.85263157894758</c:v>
                </c:pt>
                <c:pt idx="22">
                  <c:v>922.80376315789476</c:v>
                </c:pt>
                <c:pt idx="23">
                  <c:v>977.61032894736854</c:v>
                </c:pt>
                <c:pt idx="24">
                  <c:v>1032.4168947368421</c:v>
                </c:pt>
                <c:pt idx="25">
                  <c:v>1004.0788947368422</c:v>
                </c:pt>
                <c:pt idx="26">
                  <c:v>1142.0300263157894</c:v>
                </c:pt>
                <c:pt idx="27">
                  <c:v>1196.8365921052632</c:v>
                </c:pt>
                <c:pt idx="28">
                  <c:v>1251.6431578947368</c:v>
                </c:pt>
                <c:pt idx="29">
                  <c:v>1223.3051578947368</c:v>
                </c:pt>
                <c:pt idx="30">
                  <c:v>1361.2562894736841</c:v>
                </c:pt>
                <c:pt idx="31">
                  <c:v>1416.0628552631579</c:v>
                </c:pt>
                <c:pt idx="32">
                  <c:v>1470.8694210526317</c:v>
                </c:pt>
                <c:pt idx="33">
                  <c:v>1442.5314210526315</c:v>
                </c:pt>
                <c:pt idx="34">
                  <c:v>1580.482552631579</c:v>
                </c:pt>
                <c:pt idx="35">
                  <c:v>1635.2891184210525</c:v>
                </c:pt>
                <c:pt idx="36">
                  <c:v>1690.0956842105263</c:v>
                </c:pt>
                <c:pt idx="37">
                  <c:v>1661.7576842105261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C-A04F-AD04-92BBA561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67983"/>
        <c:axId val="1451670127"/>
      </c:lineChart>
      <c:catAx>
        <c:axId val="131696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70127"/>
        <c:crosses val="autoZero"/>
        <c:auto val="1"/>
        <c:lblAlgn val="ctr"/>
        <c:lblOffset val="100"/>
        <c:noMultiLvlLbl val="0"/>
      </c:catAx>
      <c:valAx>
        <c:axId val="14516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6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</xdr:row>
      <xdr:rowOff>19050</xdr:rowOff>
    </xdr:from>
    <xdr:to>
      <xdr:col>17</xdr:col>
      <xdr:colOff>647700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3F597-259D-4641-AFBA-6F932E7CF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17</xdr:row>
      <xdr:rowOff>139700</xdr:rowOff>
    </xdr:from>
    <xdr:to>
      <xdr:col>9</xdr:col>
      <xdr:colOff>831850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2C324-60B2-BA46-B8E0-68CF21C94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374650</xdr:colOff>
      <xdr:row>26</xdr:row>
      <xdr:rowOff>120650</xdr:rowOff>
    </xdr:from>
    <xdr:to>
      <xdr:col>17</xdr:col>
      <xdr:colOff>679450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81BCF-BD08-F84F-8088-28808C99B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</xdr:row>
      <xdr:rowOff>158750</xdr:rowOff>
    </xdr:from>
    <xdr:to>
      <xdr:col>18</xdr:col>
      <xdr:colOff>95250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417FA-FB2E-164D-ADFF-023856EDA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19</xdr:row>
      <xdr:rowOff>69850</xdr:rowOff>
    </xdr:from>
    <xdr:to>
      <xdr:col>18</xdr:col>
      <xdr:colOff>654050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A87AD-55A6-9B43-A2DD-22F75CC22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2</xdr:row>
      <xdr:rowOff>44450</xdr:rowOff>
    </xdr:from>
    <xdr:to>
      <xdr:col>17</xdr:col>
      <xdr:colOff>184150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1AA26-BFAF-3D4B-A763-C2C4EA1F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10</xdr:row>
      <xdr:rowOff>44450</xdr:rowOff>
    </xdr:from>
    <xdr:to>
      <xdr:col>18</xdr:col>
      <xdr:colOff>247650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39C43-F85D-984E-B7DA-83FDB42A9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24</xdr:row>
      <xdr:rowOff>69850</xdr:rowOff>
    </xdr:from>
    <xdr:to>
      <xdr:col>14</xdr:col>
      <xdr:colOff>234950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08BEB-241B-B44F-A3F4-02005CBC9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workbookViewId="0">
      <selection activeCell="E2" sqref="E2"/>
    </sheetView>
  </sheetViews>
  <sheetFormatPr baseColWidth="10" defaultRowHeight="16"/>
  <cols>
    <col min="1" max="1" width="8.5" customWidth="1"/>
    <col min="2" max="2" width="10.5" style="7" customWidth="1"/>
    <col min="3" max="3" width="11.33203125" style="7" customWidth="1"/>
    <col min="4" max="4" width="18.5" bestFit="1" customWidth="1"/>
    <col min="5" max="5" width="13.83203125" customWidth="1"/>
    <col min="7" max="7" width="12.6640625" bestFit="1" customWidth="1"/>
    <col min="8" max="8" width="3" customWidth="1"/>
    <col min="9" max="9" width="16.5" customWidth="1"/>
  </cols>
  <sheetData>
    <row r="1" spans="1:10" ht="27">
      <c r="A1" s="3" t="s">
        <v>0</v>
      </c>
      <c r="B1" s="9" t="s">
        <v>8</v>
      </c>
      <c r="C1" s="9" t="s">
        <v>10</v>
      </c>
      <c r="D1" s="10" t="s">
        <v>11</v>
      </c>
      <c r="E1" s="10" t="s">
        <v>12</v>
      </c>
      <c r="F1" s="10" t="s">
        <v>1</v>
      </c>
      <c r="G1" s="10" t="s">
        <v>2</v>
      </c>
    </row>
    <row r="2" spans="1:10">
      <c r="A2" s="1">
        <v>37622</v>
      </c>
      <c r="B2" s="8">
        <v>1</v>
      </c>
      <c r="C2" s="8">
        <f>MONTH(A2)</f>
        <v>1</v>
      </c>
      <c r="D2" s="2">
        <v>32.854790000000001</v>
      </c>
      <c r="E2" s="4">
        <f t="shared" ref="E2:E25" si="0">Base*(Trend^B2)*VLOOKUP(C2,Seasonality_Factors,2)</f>
        <v>32.080708971640426</v>
      </c>
      <c r="F2" s="4">
        <f t="shared" ref="F2:F24" si="1">D2-E2</f>
        <v>0.77408102835957493</v>
      </c>
      <c r="G2" s="4">
        <f>F2^2</f>
        <v>0.5992014384662171</v>
      </c>
      <c r="I2" t="s">
        <v>3</v>
      </c>
      <c r="J2" s="5">
        <v>35.009786637466178</v>
      </c>
    </row>
    <row r="3" spans="1:10">
      <c r="A3" s="1">
        <v>37653</v>
      </c>
      <c r="B3" s="8">
        <v>2</v>
      </c>
      <c r="C3" s="8">
        <f t="shared" ref="C3:C25" si="2">MONTH(A3)</f>
        <v>2</v>
      </c>
      <c r="D3" s="2">
        <v>30.814268999999999</v>
      </c>
      <c r="E3" s="4">
        <f t="shared" si="0"/>
        <v>30.820786289317905</v>
      </c>
      <c r="F3" s="4">
        <f t="shared" si="1"/>
        <v>-6.5172893179052949E-3</v>
      </c>
      <c r="G3" s="4">
        <f t="shared" ref="G3:G25" si="3">F3^2</f>
        <v>4.2475060053282465E-5</v>
      </c>
      <c r="I3" t="s">
        <v>4</v>
      </c>
      <c r="J3" s="5">
        <v>1.006309455557024</v>
      </c>
    </row>
    <row r="4" spans="1:10">
      <c r="A4" s="1">
        <v>37681</v>
      </c>
      <c r="B4" s="8">
        <v>3</v>
      </c>
      <c r="C4" s="8">
        <f t="shared" si="2"/>
        <v>3</v>
      </c>
      <c r="D4" s="2">
        <v>37.586654000000003</v>
      </c>
      <c r="E4" s="4">
        <f t="shared" si="0"/>
        <v>37.365866019783802</v>
      </c>
      <c r="F4" s="4">
        <f t="shared" si="1"/>
        <v>0.22078798021620116</v>
      </c>
      <c r="G4" s="4">
        <f t="shared" si="3"/>
        <v>4.8747332207949634E-2</v>
      </c>
    </row>
    <row r="5" spans="1:10">
      <c r="A5" s="1">
        <v>37712</v>
      </c>
      <c r="B5" s="8">
        <v>4</v>
      </c>
      <c r="C5" s="8">
        <f t="shared" si="2"/>
        <v>4</v>
      </c>
      <c r="D5" s="2">
        <v>35.226398000000003</v>
      </c>
      <c r="E5" s="4">
        <f t="shared" si="0"/>
        <v>35.681755432771936</v>
      </c>
      <c r="F5" s="4">
        <f t="shared" si="1"/>
        <v>-0.45535743277193319</v>
      </c>
      <c r="G5" s="4">
        <f t="shared" si="3"/>
        <v>0.20735039158064567</v>
      </c>
      <c r="I5" t="s">
        <v>5</v>
      </c>
    </row>
    <row r="6" spans="1:10">
      <c r="A6" s="1">
        <v>37742</v>
      </c>
      <c r="B6" s="8">
        <v>5</v>
      </c>
      <c r="C6" s="8">
        <f t="shared" si="2"/>
        <v>5</v>
      </c>
      <c r="D6" s="2">
        <v>36.569670000000002</v>
      </c>
      <c r="E6" s="4">
        <f t="shared" si="0"/>
        <v>36.927339868147932</v>
      </c>
      <c r="F6" s="4">
        <f t="shared" si="1"/>
        <v>-0.35766986814793</v>
      </c>
      <c r="G6" s="4">
        <f t="shared" si="3"/>
        <v>0.12792773458095763</v>
      </c>
      <c r="I6">
        <v>1</v>
      </c>
      <c r="J6" s="5">
        <v>0.91059013284580137</v>
      </c>
    </row>
    <row r="7" spans="1:10">
      <c r="A7" s="1">
        <v>37773</v>
      </c>
      <c r="B7" s="8">
        <v>6</v>
      </c>
      <c r="C7" s="8">
        <f t="shared" si="2"/>
        <v>6</v>
      </c>
      <c r="D7" s="2">
        <v>39.750216000000002</v>
      </c>
      <c r="E7" s="4">
        <f t="shared" si="0"/>
        <v>39.016774218123366</v>
      </c>
      <c r="F7" s="4">
        <f t="shared" si="1"/>
        <v>0.73344178187663545</v>
      </c>
      <c r="G7" s="4">
        <f t="shared" si="3"/>
        <v>0.53793684740237413</v>
      </c>
      <c r="I7">
        <v>2</v>
      </c>
      <c r="J7" s="5">
        <v>0.86934296326583926</v>
      </c>
    </row>
    <row r="8" spans="1:10">
      <c r="A8" s="1">
        <v>37803</v>
      </c>
      <c r="B8" s="8">
        <v>7</v>
      </c>
      <c r="C8" s="8">
        <f t="shared" si="2"/>
        <v>7</v>
      </c>
      <c r="D8" s="2">
        <v>43.367508000000001</v>
      </c>
      <c r="E8" s="4">
        <f t="shared" si="0"/>
        <v>43.46179531728707</v>
      </c>
      <c r="F8" s="4">
        <f t="shared" si="1"/>
        <v>-9.4287317287069072E-2</v>
      </c>
      <c r="G8" s="4">
        <f t="shared" si="3"/>
        <v>8.890098201192435E-3</v>
      </c>
      <c r="I8">
        <v>3</v>
      </c>
      <c r="J8" s="5">
        <v>1.0473478073828983</v>
      </c>
    </row>
    <row r="9" spans="1:10">
      <c r="A9" s="1">
        <v>37834</v>
      </c>
      <c r="B9" s="8">
        <v>8</v>
      </c>
      <c r="C9" s="8">
        <f t="shared" si="2"/>
        <v>8</v>
      </c>
      <c r="D9" s="2">
        <v>42.092669000000001</v>
      </c>
      <c r="E9" s="4">
        <f t="shared" si="0"/>
        <v>41.878035754106747</v>
      </c>
      <c r="F9" s="4">
        <f t="shared" si="1"/>
        <v>0.21463324589325339</v>
      </c>
      <c r="G9" s="4">
        <f t="shared" si="3"/>
        <v>4.6067430242673769E-2</v>
      </c>
      <c r="I9">
        <v>4</v>
      </c>
      <c r="J9" s="5">
        <v>0.99387218028357072</v>
      </c>
    </row>
    <row r="10" spans="1:10">
      <c r="A10" s="1">
        <v>37865</v>
      </c>
      <c r="B10" s="8">
        <v>9</v>
      </c>
      <c r="C10" s="8">
        <f t="shared" si="2"/>
        <v>9</v>
      </c>
      <c r="D10" s="2">
        <v>32.549731999999999</v>
      </c>
      <c r="E10" s="4">
        <f t="shared" si="0"/>
        <v>32.293991841601773</v>
      </c>
      <c r="F10" s="4">
        <f t="shared" si="1"/>
        <v>0.2557401583982255</v>
      </c>
      <c r="G10" s="4">
        <f t="shared" si="3"/>
        <v>6.5403028617549472E-2</v>
      </c>
      <c r="I10">
        <v>5</v>
      </c>
      <c r="J10" s="5">
        <v>1.0221174251176428</v>
      </c>
    </row>
    <row r="11" spans="1:10">
      <c r="A11" s="1">
        <v>37895</v>
      </c>
      <c r="B11" s="8">
        <v>10</v>
      </c>
      <c r="C11" s="8">
        <f t="shared" si="2"/>
        <v>10</v>
      </c>
      <c r="D11" s="2">
        <v>36.442428</v>
      </c>
      <c r="E11" s="4">
        <f t="shared" si="0"/>
        <v>36.848284771149054</v>
      </c>
      <c r="F11" s="4">
        <f t="shared" si="1"/>
        <v>-0.40585677114905394</v>
      </c>
      <c r="G11" s="4">
        <f t="shared" si="3"/>
        <v>0.16471971868753554</v>
      </c>
      <c r="I11">
        <v>6</v>
      </c>
      <c r="J11" s="5">
        <v>1.0731800129014972</v>
      </c>
    </row>
    <row r="12" spans="1:10">
      <c r="A12" s="1">
        <v>37926</v>
      </c>
      <c r="B12" s="8">
        <v>11</v>
      </c>
      <c r="C12" s="8">
        <f t="shared" si="2"/>
        <v>11</v>
      </c>
      <c r="D12" s="2">
        <v>34.350366000000001</v>
      </c>
      <c r="E12" s="4">
        <f t="shared" si="0"/>
        <v>35.577794243951701</v>
      </c>
      <c r="F12" s="4">
        <f t="shared" si="1"/>
        <v>-1.2274282439516995</v>
      </c>
      <c r="G12" s="4">
        <f t="shared" si="3"/>
        <v>1.5065800940503526</v>
      </c>
      <c r="I12">
        <v>7</v>
      </c>
      <c r="J12" s="5">
        <v>1.1879477079506717</v>
      </c>
    </row>
    <row r="13" spans="1:10">
      <c r="A13" s="1">
        <v>37956</v>
      </c>
      <c r="B13" s="8">
        <v>12</v>
      </c>
      <c r="C13" s="8">
        <f t="shared" si="2"/>
        <v>12</v>
      </c>
      <c r="D13" s="2">
        <v>37.389381999999998</v>
      </c>
      <c r="E13" s="4">
        <f t="shared" si="0"/>
        <v>35.85960469851284</v>
      </c>
      <c r="F13" s="4">
        <f t="shared" si="1"/>
        <v>1.5297773014871581</v>
      </c>
      <c r="G13" s="4">
        <f t="shared" si="3"/>
        <v>2.3402185921453311</v>
      </c>
      <c r="I13">
        <v>8</v>
      </c>
      <c r="J13" s="5">
        <v>1.1374816824099885</v>
      </c>
    </row>
    <row r="14" spans="1:10">
      <c r="A14" s="1">
        <v>37987</v>
      </c>
      <c r="B14" s="8">
        <v>13</v>
      </c>
      <c r="C14" s="8">
        <f t="shared" si="2"/>
        <v>1</v>
      </c>
      <c r="D14" s="2">
        <v>33.537391999999997</v>
      </c>
      <c r="E14" s="4">
        <f t="shared" si="0"/>
        <v>34.59573796047011</v>
      </c>
      <c r="F14" s="4">
        <f t="shared" si="1"/>
        <v>-1.0583459604701133</v>
      </c>
      <c r="G14" s="4">
        <f t="shared" si="3"/>
        <v>1.1200961720434066</v>
      </c>
      <c r="I14">
        <v>9</v>
      </c>
      <c r="J14" s="5">
        <v>0.87166234661735897</v>
      </c>
    </row>
    <row r="15" spans="1:10">
      <c r="A15" s="1">
        <v>38018</v>
      </c>
      <c r="B15" s="8">
        <v>14</v>
      </c>
      <c r="C15" s="8">
        <f t="shared" si="2"/>
        <v>2</v>
      </c>
      <c r="D15" s="2">
        <v>33.909139000000003</v>
      </c>
      <c r="E15" s="4">
        <f t="shared" si="0"/>
        <v>33.237041212009387</v>
      </c>
      <c r="F15" s="4">
        <f t="shared" si="1"/>
        <v>0.67209778799061581</v>
      </c>
      <c r="G15" s="4">
        <f t="shared" si="3"/>
        <v>0.45171543662187874</v>
      </c>
      <c r="I15">
        <v>10</v>
      </c>
      <c r="J15" s="5">
        <v>0.98835344037554385</v>
      </c>
    </row>
    <row r="16" spans="1:10">
      <c r="A16" s="1">
        <v>38047</v>
      </c>
      <c r="B16" s="8">
        <v>15</v>
      </c>
      <c r="C16" s="8">
        <f t="shared" si="2"/>
        <v>3</v>
      </c>
      <c r="D16" s="2">
        <v>40.805211</v>
      </c>
      <c r="E16" s="4">
        <f t="shared" si="0"/>
        <v>40.295235078165845</v>
      </c>
      <c r="F16" s="4">
        <f t="shared" si="1"/>
        <v>0.50997592183415463</v>
      </c>
      <c r="G16" s="4">
        <f t="shared" si="3"/>
        <v>0.26007544085059581</v>
      </c>
      <c r="I16">
        <v>11</v>
      </c>
      <c r="J16" s="5">
        <v>0.94829283042505774</v>
      </c>
    </row>
    <row r="17" spans="1:10">
      <c r="A17" s="1">
        <v>38078</v>
      </c>
      <c r="B17" s="8">
        <v>16</v>
      </c>
      <c r="C17" s="8">
        <f t="shared" si="2"/>
        <v>4</v>
      </c>
      <c r="D17" s="2">
        <v>40.172829</v>
      </c>
      <c r="E17" s="4">
        <f t="shared" si="0"/>
        <v>38.479095396956765</v>
      </c>
      <c r="F17" s="4">
        <f t="shared" si="1"/>
        <v>1.6937336030432348</v>
      </c>
      <c r="G17" s="4">
        <f t="shared" si="3"/>
        <v>2.8687335180778182</v>
      </c>
      <c r="I17">
        <v>12</v>
      </c>
      <c r="J17" s="5">
        <v>0.94981143150547687</v>
      </c>
    </row>
    <row r="18" spans="1:10">
      <c r="A18" s="1">
        <v>38108</v>
      </c>
      <c r="B18" s="8">
        <v>17</v>
      </c>
      <c r="C18" s="8">
        <f t="shared" si="2"/>
        <v>5</v>
      </c>
      <c r="D18" s="2">
        <v>39.671007000000003</v>
      </c>
      <c r="E18" s="4">
        <f t="shared" si="0"/>
        <v>39.822329823976496</v>
      </c>
      <c r="F18" s="4">
        <f t="shared" si="1"/>
        <v>-0.15132282397649277</v>
      </c>
      <c r="G18" s="4">
        <f t="shared" si="3"/>
        <v>2.2898597056220615E-2</v>
      </c>
    </row>
    <row r="19" spans="1:10">
      <c r="A19" s="1">
        <v>38139</v>
      </c>
      <c r="B19" s="8">
        <v>18</v>
      </c>
      <c r="C19" s="8">
        <f t="shared" si="2"/>
        <v>6</v>
      </c>
      <c r="D19" s="2">
        <v>43.652276999999998</v>
      </c>
      <c r="E19" s="4">
        <f t="shared" si="0"/>
        <v>42.075569405472535</v>
      </c>
      <c r="F19" s="4">
        <f t="shared" si="1"/>
        <v>1.5767075945274627</v>
      </c>
      <c r="G19" s="4">
        <f t="shared" si="3"/>
        <v>2.4860068386405776</v>
      </c>
      <c r="I19" t="s">
        <v>6</v>
      </c>
      <c r="J19" s="5">
        <f>AVERAGE(J6:J17)</f>
        <v>0.99999999675677909</v>
      </c>
    </row>
    <row r="20" spans="1:10">
      <c r="A20" s="1">
        <v>38169</v>
      </c>
      <c r="B20" s="8">
        <v>19</v>
      </c>
      <c r="C20" s="8">
        <f t="shared" si="2"/>
        <v>7</v>
      </c>
      <c r="D20" s="2">
        <v>46.262248999999997</v>
      </c>
      <c r="E20" s="4">
        <f t="shared" si="0"/>
        <v>46.869066497802066</v>
      </c>
      <c r="F20" s="4">
        <f t="shared" si="1"/>
        <v>-0.60681749780206928</v>
      </c>
      <c r="G20" s="4">
        <f t="shared" si="3"/>
        <v>0.36822747563876435</v>
      </c>
    </row>
    <row r="21" spans="1:10">
      <c r="A21" s="1">
        <v>38200</v>
      </c>
      <c r="B21" s="8">
        <v>20</v>
      </c>
      <c r="C21" s="8">
        <f t="shared" si="2"/>
        <v>8</v>
      </c>
      <c r="D21" s="2">
        <v>44.701690999999997</v>
      </c>
      <c r="E21" s="4">
        <f t="shared" si="0"/>
        <v>45.161145052281313</v>
      </c>
      <c r="F21" s="4">
        <f t="shared" si="1"/>
        <v>-0.45945405228131619</v>
      </c>
      <c r="G21" s="4">
        <f t="shared" si="3"/>
        <v>0.21109802615772244</v>
      </c>
      <c r="I21" t="s">
        <v>7</v>
      </c>
      <c r="J21" s="4">
        <f>SUM(G2:G25)</f>
        <v>14.709434707212294</v>
      </c>
    </row>
    <row r="22" spans="1:10">
      <c r="A22" s="1">
        <v>38231</v>
      </c>
      <c r="B22" s="8">
        <v>21</v>
      </c>
      <c r="C22" s="8">
        <f t="shared" si="2"/>
        <v>9</v>
      </c>
      <c r="D22" s="2">
        <v>35.470844</v>
      </c>
      <c r="E22" s="4">
        <f t="shared" si="0"/>
        <v>34.82574155194817</v>
      </c>
      <c r="F22" s="4">
        <f t="shared" si="1"/>
        <v>0.64510244805182992</v>
      </c>
      <c r="G22" s="4">
        <f t="shared" si="3"/>
        <v>0.41615716848246392</v>
      </c>
      <c r="I22" t="s">
        <v>9</v>
      </c>
      <c r="J22">
        <f>STDEV(F2:F25)</f>
        <v>0.78538478117533661</v>
      </c>
    </row>
    <row r="23" spans="1:10">
      <c r="A23" s="1">
        <v>38261</v>
      </c>
      <c r="B23" s="8">
        <v>22</v>
      </c>
      <c r="C23" s="8">
        <f t="shared" si="2"/>
        <v>10</v>
      </c>
      <c r="D23" s="2">
        <v>39.627851</v>
      </c>
      <c r="E23" s="4">
        <f t="shared" si="0"/>
        <v>39.737077050335174</v>
      </c>
      <c r="F23" s="4">
        <f t="shared" si="1"/>
        <v>-0.10922605033517385</v>
      </c>
      <c r="G23" s="4">
        <f t="shared" si="3"/>
        <v>1.1930330071821931E-2</v>
      </c>
    </row>
    <row r="24" spans="1:10">
      <c r="A24" s="1">
        <v>38292</v>
      </c>
      <c r="B24" s="8">
        <v>23</v>
      </c>
      <c r="C24" s="8">
        <f t="shared" si="2"/>
        <v>11</v>
      </c>
      <c r="D24" s="2">
        <v>37.567115999999999</v>
      </c>
      <c r="E24" s="4">
        <f t="shared" si="0"/>
        <v>38.36698397043989</v>
      </c>
      <c r="F24" s="4">
        <f t="shared" si="1"/>
        <v>-0.799867970439891</v>
      </c>
      <c r="G24" s="4">
        <f t="shared" si="3"/>
        <v>0.63978877013563029</v>
      </c>
    </row>
    <row r="25" spans="1:10">
      <c r="A25" s="1">
        <v>38322</v>
      </c>
      <c r="B25" s="8">
        <v>24</v>
      </c>
      <c r="C25" s="8">
        <f t="shared" si="2"/>
        <v>12</v>
      </c>
      <c r="D25" s="2">
        <v>39.117677999999998</v>
      </c>
      <c r="E25" s="4">
        <f t="shared" si="0"/>
        <v>38.670887498542591</v>
      </c>
      <c r="F25" s="4">
        <f t="shared" ref="F25" si="4">D25-E25</f>
        <v>0.44679050145740717</v>
      </c>
      <c r="G25" s="4">
        <f t="shared" si="3"/>
        <v>0.19962175219256137</v>
      </c>
    </row>
    <row r="26" spans="1:10">
      <c r="A26" s="1"/>
      <c r="B26" s="6"/>
      <c r="C26" s="6"/>
      <c r="D26" s="2"/>
    </row>
    <row r="27" spans="1:10">
      <c r="A27" s="1"/>
      <c r="B27" s="6"/>
      <c r="C27" s="6"/>
      <c r="D27" s="2"/>
    </row>
    <row r="28" spans="1:10">
      <c r="A28" s="1"/>
      <c r="B28" s="6"/>
      <c r="C28" s="6"/>
      <c r="D28" s="2"/>
    </row>
    <row r="29" spans="1:10">
      <c r="A29" s="1"/>
      <c r="B29" s="6"/>
      <c r="C29" s="6"/>
      <c r="D29" s="2"/>
    </row>
    <row r="30" spans="1:10">
      <c r="A30" s="1"/>
      <c r="B30" s="6"/>
      <c r="C30" s="6"/>
      <c r="D30" s="2"/>
    </row>
    <row r="31" spans="1:10">
      <c r="A31" s="1"/>
      <c r="B31" s="6"/>
      <c r="C31" s="6"/>
      <c r="D31" s="2"/>
    </row>
    <row r="32" spans="1:10">
      <c r="A32" s="1"/>
      <c r="B32" s="6"/>
      <c r="C32" s="6"/>
      <c r="D32" s="2"/>
    </row>
    <row r="33" spans="1:4">
      <c r="A33" s="1"/>
      <c r="B33" s="6"/>
      <c r="C33" s="6"/>
      <c r="D33" s="2"/>
    </row>
    <row r="34" spans="1:4">
      <c r="A34" s="1"/>
      <c r="B34" s="6"/>
      <c r="C34" s="6"/>
      <c r="D34" s="2"/>
    </row>
    <row r="35" spans="1:4">
      <c r="A35" s="1"/>
      <c r="B35" s="6"/>
      <c r="C35" s="6"/>
      <c r="D35" s="2"/>
    </row>
    <row r="36" spans="1:4">
      <c r="A36" s="1"/>
      <c r="B36" s="6"/>
      <c r="C36" s="6"/>
      <c r="D36" s="2"/>
    </row>
    <row r="37" spans="1:4">
      <c r="A37" s="1"/>
      <c r="B37" s="6"/>
      <c r="C37" s="6"/>
      <c r="D37" s="2"/>
    </row>
    <row r="38" spans="1:4">
      <c r="A38" s="1"/>
      <c r="B38" s="6"/>
      <c r="C38" s="6"/>
      <c r="D38" s="2"/>
    </row>
    <row r="39" spans="1:4">
      <c r="A39" s="1"/>
      <c r="B39" s="6"/>
      <c r="C39" s="6"/>
      <c r="D39" s="2"/>
    </row>
    <row r="40" spans="1:4">
      <c r="A40" s="1"/>
      <c r="B40" s="6"/>
      <c r="C40" s="6"/>
      <c r="D40" s="2"/>
    </row>
    <row r="41" spans="1:4">
      <c r="A41" s="1"/>
      <c r="B41" s="6"/>
      <c r="C41" s="6"/>
      <c r="D41" s="2"/>
    </row>
    <row r="42" spans="1:4">
      <c r="A42" s="1"/>
      <c r="B42" s="6"/>
      <c r="C42" s="6"/>
      <c r="D42" s="2"/>
    </row>
    <row r="43" spans="1:4">
      <c r="A43" s="1"/>
      <c r="B43" s="6"/>
      <c r="C43" s="6"/>
      <c r="D43" s="2"/>
    </row>
    <row r="44" spans="1:4">
      <c r="A44" s="1"/>
      <c r="B44" s="6"/>
      <c r="C44" s="6"/>
      <c r="D44" s="2"/>
    </row>
    <row r="45" spans="1:4">
      <c r="A45" s="1"/>
      <c r="B45" s="6"/>
      <c r="C45" s="6"/>
      <c r="D45" s="2"/>
    </row>
    <row r="46" spans="1:4">
      <c r="A46" s="1"/>
      <c r="B46" s="6"/>
      <c r="C46" s="6"/>
      <c r="D46" s="2"/>
    </row>
    <row r="47" spans="1:4">
      <c r="A47" s="1"/>
      <c r="B47" s="6"/>
      <c r="C47" s="6"/>
      <c r="D47" s="2"/>
    </row>
    <row r="48" spans="1:4">
      <c r="A48" s="1"/>
      <c r="B48" s="6"/>
      <c r="C48" s="6"/>
      <c r="D48" s="2"/>
    </row>
    <row r="49" spans="1:4">
      <c r="A49" s="1"/>
      <c r="B49" s="6"/>
      <c r="C49" s="6"/>
      <c r="D49" s="2"/>
    </row>
    <row r="50" spans="1:4">
      <c r="A50" s="1"/>
      <c r="B50" s="6"/>
      <c r="C50" s="6"/>
      <c r="D50" s="2"/>
    </row>
    <row r="51" spans="1:4">
      <c r="A51" s="1"/>
      <c r="B51" s="6"/>
      <c r="C51" s="6"/>
      <c r="D51" s="2"/>
    </row>
    <row r="52" spans="1:4">
      <c r="A52" s="1"/>
      <c r="B52" s="6"/>
      <c r="C52" s="6"/>
      <c r="D52" s="2"/>
    </row>
    <row r="53" spans="1:4">
      <c r="A53" s="1"/>
      <c r="B53" s="6"/>
      <c r="C53" s="6"/>
      <c r="D53" s="2"/>
    </row>
    <row r="54" spans="1:4">
      <c r="A54" s="1"/>
      <c r="B54" s="6"/>
      <c r="C54" s="6"/>
      <c r="D54" s="2"/>
    </row>
    <row r="55" spans="1:4">
      <c r="A55" s="1"/>
      <c r="B55" s="6"/>
      <c r="C55" s="6"/>
      <c r="D55" s="2"/>
    </row>
    <row r="56" spans="1:4">
      <c r="A56" s="1"/>
      <c r="B56" s="6"/>
      <c r="C56" s="6"/>
      <c r="D56" s="2"/>
    </row>
    <row r="57" spans="1:4">
      <c r="A57" s="1"/>
      <c r="B57" s="6"/>
      <c r="C57" s="6"/>
      <c r="D57" s="2"/>
    </row>
    <row r="58" spans="1:4">
      <c r="A58" s="1"/>
      <c r="B58" s="6"/>
      <c r="C58" s="6"/>
      <c r="D58" s="2"/>
    </row>
    <row r="59" spans="1:4">
      <c r="A59" s="1"/>
      <c r="B59" s="6"/>
      <c r="C59" s="6"/>
      <c r="D59" s="2"/>
    </row>
    <row r="60" spans="1:4">
      <c r="A60" s="1"/>
      <c r="B60" s="6"/>
      <c r="C60" s="6"/>
      <c r="D60" s="2"/>
    </row>
    <row r="61" spans="1:4">
      <c r="A61" s="1"/>
      <c r="B61" s="6"/>
      <c r="C61" s="6"/>
      <c r="D61" s="2"/>
    </row>
    <row r="62" spans="1:4">
      <c r="A62" s="1"/>
      <c r="B62" s="6"/>
      <c r="C62" s="6"/>
      <c r="D62" s="2"/>
    </row>
    <row r="63" spans="1:4">
      <c r="A63" s="1"/>
      <c r="B63" s="6"/>
      <c r="C63" s="6"/>
      <c r="D63" s="2"/>
    </row>
    <row r="64" spans="1:4">
      <c r="A64" s="1"/>
      <c r="B64" s="6"/>
      <c r="C64" s="6"/>
      <c r="D64" s="2"/>
    </row>
    <row r="65" spans="1:4">
      <c r="A65" s="1"/>
      <c r="B65" s="6"/>
      <c r="C65" s="6"/>
      <c r="D65" s="2"/>
    </row>
    <row r="66" spans="1:4">
      <c r="A66" s="1"/>
      <c r="B66" s="6"/>
      <c r="C66" s="6"/>
      <c r="D66" s="2"/>
    </row>
    <row r="67" spans="1:4">
      <c r="A67" s="1"/>
      <c r="B67" s="6"/>
      <c r="C67" s="6"/>
      <c r="D67" s="2"/>
    </row>
    <row r="68" spans="1:4">
      <c r="A68" s="1"/>
      <c r="B68" s="6"/>
      <c r="C68" s="6"/>
      <c r="D68" s="2"/>
    </row>
    <row r="69" spans="1:4">
      <c r="A69" s="1"/>
      <c r="B69" s="6"/>
      <c r="C69" s="6"/>
      <c r="D69" s="2"/>
    </row>
    <row r="70" spans="1:4">
      <c r="A70" s="1"/>
      <c r="B70" s="6"/>
      <c r="C70" s="6"/>
      <c r="D70" s="2"/>
    </row>
    <row r="71" spans="1:4">
      <c r="A71" s="1"/>
      <c r="B71" s="6"/>
      <c r="C71" s="6"/>
      <c r="D71" s="2"/>
    </row>
    <row r="72" spans="1:4">
      <c r="A72" s="1"/>
      <c r="B72" s="6"/>
      <c r="C72" s="6"/>
      <c r="D72" s="2"/>
    </row>
    <row r="73" spans="1:4">
      <c r="A73" s="1"/>
      <c r="B73" s="6"/>
      <c r="C73" s="6"/>
      <c r="D73" s="2"/>
    </row>
    <row r="74" spans="1:4">
      <c r="A74" s="1"/>
      <c r="B74" s="6"/>
      <c r="C74" s="6"/>
      <c r="D74" s="2"/>
    </row>
    <row r="75" spans="1:4">
      <c r="A75" s="1"/>
      <c r="B75" s="6"/>
      <c r="C75" s="6"/>
      <c r="D75" s="2"/>
    </row>
    <row r="76" spans="1:4">
      <c r="A76" s="1"/>
      <c r="B76" s="6"/>
      <c r="C76" s="6"/>
      <c r="D76" s="2"/>
    </row>
    <row r="77" spans="1:4">
      <c r="A77" s="1"/>
      <c r="B77" s="6"/>
      <c r="C77" s="6"/>
      <c r="D77" s="2"/>
    </row>
    <row r="78" spans="1:4">
      <c r="A78" s="1"/>
      <c r="B78" s="6"/>
      <c r="C78" s="6"/>
      <c r="D78" s="2"/>
    </row>
    <row r="79" spans="1:4">
      <c r="A79" s="1"/>
      <c r="B79" s="6"/>
      <c r="C79" s="6"/>
      <c r="D79" s="2"/>
    </row>
    <row r="80" spans="1:4">
      <c r="A80" s="1"/>
      <c r="B80" s="6"/>
      <c r="C80" s="6"/>
      <c r="D80" s="2"/>
    </row>
    <row r="81" spans="1:4">
      <c r="A81" s="1"/>
      <c r="B81" s="6"/>
      <c r="C81" s="6"/>
      <c r="D81" s="2"/>
    </row>
    <row r="82" spans="1:4">
      <c r="A82" s="1"/>
      <c r="B82" s="6"/>
      <c r="C82" s="6"/>
      <c r="D82" s="2"/>
    </row>
    <row r="83" spans="1:4">
      <c r="A83" s="1"/>
      <c r="B83" s="6"/>
      <c r="C83" s="6"/>
      <c r="D83" s="2"/>
    </row>
    <row r="84" spans="1:4">
      <c r="A84" s="1"/>
      <c r="B84" s="6"/>
      <c r="C84" s="6"/>
      <c r="D84" s="2"/>
    </row>
    <row r="85" spans="1:4">
      <c r="A85" s="1"/>
      <c r="B85" s="6"/>
      <c r="C85" s="6"/>
      <c r="D85" s="2"/>
    </row>
    <row r="86" spans="1:4">
      <c r="A86" s="1"/>
      <c r="B86" s="6"/>
      <c r="C86" s="6"/>
      <c r="D86" s="2"/>
    </row>
    <row r="87" spans="1:4">
      <c r="A87" s="1"/>
      <c r="B87" s="6"/>
      <c r="C87" s="6"/>
      <c r="D87" s="2"/>
    </row>
    <row r="88" spans="1:4">
      <c r="A88" s="1"/>
      <c r="B88" s="6"/>
      <c r="C88" s="6"/>
      <c r="D88" s="2"/>
    </row>
    <row r="89" spans="1:4">
      <c r="A89" s="1"/>
      <c r="B89" s="6"/>
      <c r="C89" s="6"/>
      <c r="D89" s="2"/>
    </row>
    <row r="90" spans="1:4">
      <c r="A90" s="1"/>
      <c r="B90" s="6"/>
      <c r="C90" s="6"/>
      <c r="D90" s="2"/>
    </row>
    <row r="91" spans="1:4">
      <c r="A91" s="1"/>
      <c r="B91" s="6"/>
      <c r="C91" s="6"/>
      <c r="D91" s="2"/>
    </row>
    <row r="92" spans="1:4">
      <c r="A92" s="1"/>
      <c r="B92" s="6"/>
      <c r="C92" s="6"/>
      <c r="D92" s="2"/>
    </row>
    <row r="93" spans="1:4">
      <c r="A93" s="1"/>
      <c r="B93" s="6"/>
      <c r="C93" s="6"/>
      <c r="D93" s="2"/>
    </row>
    <row r="94" spans="1:4">
      <c r="A94" s="1"/>
      <c r="B94" s="6"/>
      <c r="C94" s="6"/>
      <c r="D94" s="2"/>
    </row>
    <row r="95" spans="1:4">
      <c r="A95" s="1"/>
      <c r="B95" s="6"/>
      <c r="C95" s="6"/>
      <c r="D95" s="2"/>
    </row>
    <row r="96" spans="1:4">
      <c r="A96" s="1"/>
      <c r="B96" s="6"/>
      <c r="C96" s="6"/>
      <c r="D96" s="2"/>
    </row>
    <row r="97" spans="1:4">
      <c r="A97" s="1"/>
      <c r="B97" s="6"/>
      <c r="C97" s="6"/>
      <c r="D97" s="2"/>
    </row>
    <row r="98" spans="1:4">
      <c r="A98" s="1"/>
      <c r="B98" s="6"/>
      <c r="C98" s="6"/>
      <c r="D98" s="2"/>
    </row>
    <row r="99" spans="1:4">
      <c r="A99" s="1"/>
      <c r="B99" s="6"/>
      <c r="C99" s="6"/>
      <c r="D99" s="2"/>
    </row>
    <row r="100" spans="1:4">
      <c r="A100" s="1"/>
      <c r="B100" s="6"/>
      <c r="C100" s="6"/>
      <c r="D100" s="2"/>
    </row>
    <row r="101" spans="1:4">
      <c r="A101" s="1"/>
      <c r="B101" s="6"/>
      <c r="C101" s="6"/>
      <c r="D101" s="2"/>
    </row>
    <row r="102" spans="1:4">
      <c r="A102" s="1"/>
      <c r="B102" s="6"/>
      <c r="C102" s="6"/>
      <c r="D102" s="2"/>
    </row>
    <row r="103" spans="1:4">
      <c r="A103" s="1"/>
      <c r="B103" s="6"/>
      <c r="C103" s="6"/>
      <c r="D103" s="2"/>
    </row>
    <row r="104" spans="1:4">
      <c r="A104" s="1"/>
      <c r="B104" s="6"/>
      <c r="C104" s="6"/>
      <c r="D104" s="2"/>
    </row>
    <row r="105" spans="1:4">
      <c r="A105" s="1"/>
      <c r="B105" s="6"/>
      <c r="C105" s="6"/>
      <c r="D105" s="2"/>
    </row>
    <row r="106" spans="1:4">
      <c r="A106" s="1"/>
      <c r="B106" s="6"/>
      <c r="C106" s="6"/>
      <c r="D106" s="2"/>
    </row>
    <row r="107" spans="1:4">
      <c r="A107" s="1"/>
      <c r="B107" s="6"/>
      <c r="C107" s="6"/>
      <c r="D107" s="2"/>
    </row>
    <row r="108" spans="1:4">
      <c r="A108" s="1"/>
      <c r="B108" s="6"/>
      <c r="C108" s="6"/>
      <c r="D108" s="2"/>
    </row>
    <row r="109" spans="1:4">
      <c r="A109" s="1"/>
      <c r="B109" s="6"/>
      <c r="C109" s="6"/>
      <c r="D109" s="2"/>
    </row>
    <row r="110" spans="1:4">
      <c r="A110" s="1"/>
      <c r="B110" s="6"/>
      <c r="C110" s="6"/>
      <c r="D110" s="2"/>
    </row>
    <row r="111" spans="1:4">
      <c r="A111" s="1"/>
      <c r="B111" s="6"/>
      <c r="C111" s="6"/>
      <c r="D111" s="2"/>
    </row>
    <row r="112" spans="1:4">
      <c r="A112" s="1"/>
      <c r="B112" s="6"/>
      <c r="C112" s="6"/>
      <c r="D112" s="2"/>
    </row>
    <row r="113" spans="1:4">
      <c r="A113" s="1"/>
      <c r="B113" s="6"/>
      <c r="C113" s="6"/>
      <c r="D113" s="2"/>
    </row>
  </sheetData>
  <pageMargins left="0.7" right="0.7" top="0.75" bottom="0.75" header="0.3" footer="0.3"/>
  <pageSetup orientation="portrait" horizontalDpi="0" verticalDpi="0"/>
  <ignoredErrors>
    <ignoredError sqref="C2:C25" unlocked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3"/>
  <sheetViews>
    <sheetView zoomScale="101" workbookViewId="0">
      <selection activeCell="F25" sqref="F25"/>
    </sheetView>
  </sheetViews>
  <sheetFormatPr baseColWidth="10" defaultRowHeight="16"/>
  <cols>
    <col min="1" max="1" width="9.6640625" bestFit="1" customWidth="1"/>
    <col min="2" max="2" width="11.6640625" style="7" customWidth="1"/>
    <col min="3" max="3" width="11.1640625" style="7" customWidth="1"/>
    <col min="4" max="4" width="8.6640625" customWidth="1"/>
    <col min="5" max="5" width="13.83203125" customWidth="1"/>
    <col min="6" max="6" width="12.6640625" customWidth="1"/>
    <col min="7" max="7" width="13.33203125" bestFit="1" customWidth="1"/>
    <col min="8" max="8" width="12.1640625" bestFit="1" customWidth="1"/>
    <col min="9" max="9" width="5.6640625" bestFit="1" customWidth="1"/>
    <col min="10" max="10" width="9.6640625" customWidth="1"/>
    <col min="11" max="11" width="21" customWidth="1"/>
  </cols>
  <sheetData>
    <row r="1" spans="1:16" ht="40">
      <c r="A1" s="3" t="s">
        <v>0</v>
      </c>
      <c r="B1" s="9" t="s">
        <v>8</v>
      </c>
      <c r="C1" s="9" t="s">
        <v>10</v>
      </c>
      <c r="D1" s="9" t="s">
        <v>11</v>
      </c>
      <c r="E1" s="17"/>
      <c r="F1" s="17"/>
      <c r="G1" s="17"/>
    </row>
    <row r="2" spans="1:16" ht="24">
      <c r="A2" s="1">
        <v>37622</v>
      </c>
      <c r="B2" s="16">
        <v>1</v>
      </c>
      <c r="C2" s="16">
        <f>MONTH(A2)</f>
        <v>1</v>
      </c>
      <c r="D2" s="2">
        <v>32.854790000000001</v>
      </c>
      <c r="E2" s="4"/>
      <c r="F2" t="s">
        <v>3</v>
      </c>
      <c r="G2" s="5">
        <v>35.009786637466178</v>
      </c>
      <c r="K2" s="14" t="s">
        <v>16</v>
      </c>
      <c r="L2" s="12"/>
      <c r="M2" s="12"/>
      <c r="N2" s="12"/>
      <c r="O2" s="22"/>
      <c r="P2" s="11"/>
    </row>
    <row r="3" spans="1:16" ht="24">
      <c r="A3" s="1">
        <v>37653</v>
      </c>
      <c r="B3" s="16">
        <v>2</v>
      </c>
      <c r="C3" s="16">
        <f t="shared" ref="C3:C66" si="0">MONTH(A3)</f>
        <v>2</v>
      </c>
      <c r="D3" s="2">
        <v>30.814268999999999</v>
      </c>
      <c r="E3" s="4"/>
      <c r="F3" t="s">
        <v>4</v>
      </c>
      <c r="G3" s="5">
        <v>1.006309455557024</v>
      </c>
      <c r="K3" s="14" t="s">
        <v>17</v>
      </c>
      <c r="L3" s="12"/>
      <c r="M3" s="12"/>
      <c r="N3" s="12"/>
      <c r="O3" s="22"/>
      <c r="P3" s="11"/>
    </row>
    <row r="4" spans="1:16" ht="24">
      <c r="A4" s="1">
        <v>37681</v>
      </c>
      <c r="B4" s="16">
        <v>3</v>
      </c>
      <c r="C4" s="16">
        <f t="shared" si="0"/>
        <v>3</v>
      </c>
      <c r="D4" s="2">
        <v>37.586654000000003</v>
      </c>
      <c r="E4" s="4"/>
      <c r="F4" s="4"/>
      <c r="G4" s="4"/>
      <c r="K4" s="14" t="s">
        <v>18</v>
      </c>
      <c r="L4" s="12"/>
      <c r="M4" s="12"/>
      <c r="N4" s="12"/>
      <c r="O4" s="22"/>
      <c r="P4" s="11"/>
    </row>
    <row r="5" spans="1:16">
      <c r="A5" s="1">
        <v>37712</v>
      </c>
      <c r="B5" s="16">
        <v>4</v>
      </c>
      <c r="C5" s="16">
        <f t="shared" si="0"/>
        <v>4</v>
      </c>
      <c r="D5" s="2">
        <v>35.226398000000003</v>
      </c>
      <c r="E5" s="4"/>
      <c r="F5" t="s">
        <v>7</v>
      </c>
      <c r="G5" s="18">
        <f>SUM(J26:J113)</f>
        <v>91.260540018051799</v>
      </c>
      <c r="K5" s="14" t="s">
        <v>23</v>
      </c>
      <c r="L5" s="13"/>
      <c r="M5" s="13"/>
      <c r="N5" s="13"/>
      <c r="O5" s="11"/>
      <c r="P5" s="11"/>
    </row>
    <row r="6" spans="1:16">
      <c r="A6" s="1">
        <v>37742</v>
      </c>
      <c r="B6" s="16">
        <v>5</v>
      </c>
      <c r="C6" s="16">
        <f t="shared" si="0"/>
        <v>5</v>
      </c>
      <c r="D6" s="2">
        <v>36.569670000000002</v>
      </c>
      <c r="E6" s="4"/>
      <c r="F6" t="s">
        <v>9</v>
      </c>
      <c r="G6" s="4">
        <f>STDEV(I26:I113)</f>
        <v>1.0138484114983117</v>
      </c>
      <c r="K6" s="15"/>
      <c r="L6" s="13"/>
      <c r="M6" s="13"/>
      <c r="N6" s="13"/>
      <c r="O6" s="11"/>
      <c r="P6" s="11"/>
    </row>
    <row r="7" spans="1:16">
      <c r="A7" s="1">
        <v>37773</v>
      </c>
      <c r="B7" s="16">
        <v>6</v>
      </c>
      <c r="C7" s="16">
        <f t="shared" si="0"/>
        <v>6</v>
      </c>
      <c r="D7" s="2">
        <v>39.750216000000002</v>
      </c>
      <c r="E7" s="4"/>
      <c r="K7" s="15" t="s">
        <v>24</v>
      </c>
      <c r="L7" s="13"/>
      <c r="M7" s="13"/>
      <c r="N7" s="13"/>
      <c r="O7" s="11"/>
      <c r="P7" s="11"/>
    </row>
    <row r="8" spans="1:16">
      <c r="A8" s="1">
        <v>37803</v>
      </c>
      <c r="B8" s="16">
        <v>7</v>
      </c>
      <c r="C8" s="16">
        <f t="shared" si="0"/>
        <v>7</v>
      </c>
      <c r="D8" s="2">
        <v>43.367508000000001</v>
      </c>
      <c r="E8" s="4"/>
      <c r="F8" s="4" t="s">
        <v>13</v>
      </c>
      <c r="G8" s="18">
        <v>0.53960845265931179</v>
      </c>
      <c r="K8" s="15" t="s">
        <v>25</v>
      </c>
      <c r="L8" s="13"/>
      <c r="M8" s="13"/>
      <c r="N8" s="13"/>
      <c r="O8" s="11"/>
      <c r="P8" s="11"/>
    </row>
    <row r="9" spans="1:16">
      <c r="A9" s="1">
        <v>37834</v>
      </c>
      <c r="B9" s="16">
        <v>8</v>
      </c>
      <c r="C9" s="16">
        <f t="shared" si="0"/>
        <v>8</v>
      </c>
      <c r="D9" s="2">
        <v>42.092669000000001</v>
      </c>
      <c r="E9" s="4"/>
      <c r="F9" t="s">
        <v>14</v>
      </c>
      <c r="G9" s="18">
        <v>4.4104061240318029E-2</v>
      </c>
    </row>
    <row r="10" spans="1:16">
      <c r="A10" s="1">
        <v>37865</v>
      </c>
      <c r="B10" s="16">
        <v>9</v>
      </c>
      <c r="C10" s="16">
        <f t="shared" si="0"/>
        <v>9</v>
      </c>
      <c r="D10" s="2">
        <v>32.549731999999999</v>
      </c>
      <c r="E10" s="4"/>
      <c r="F10" t="s">
        <v>15</v>
      </c>
      <c r="G10" s="18">
        <v>0.66884964583232864</v>
      </c>
      <c r="K10" t="s">
        <v>26</v>
      </c>
    </row>
    <row r="11" spans="1:16">
      <c r="A11" s="1">
        <v>37895</v>
      </c>
      <c r="B11" s="16">
        <v>10</v>
      </c>
      <c r="C11" s="16">
        <f t="shared" si="0"/>
        <v>10</v>
      </c>
      <c r="D11" s="2">
        <v>36.442428</v>
      </c>
      <c r="E11" s="4"/>
      <c r="F11" s="4"/>
      <c r="G11" s="4"/>
      <c r="K11" s="19"/>
      <c r="L11" s="21" t="s">
        <v>28</v>
      </c>
      <c r="M11" t="s">
        <v>29</v>
      </c>
      <c r="N11" t="s">
        <v>27</v>
      </c>
    </row>
    <row r="12" spans="1:16">
      <c r="A12" s="1">
        <v>37926</v>
      </c>
      <c r="B12" s="16">
        <v>11</v>
      </c>
      <c r="C12" s="16">
        <f t="shared" si="0"/>
        <v>11</v>
      </c>
      <c r="D12" s="2">
        <v>34.350366000000001</v>
      </c>
      <c r="E12" s="4"/>
      <c r="L12" s="20">
        <v>1</v>
      </c>
      <c r="M12" s="1">
        <v>41030</v>
      </c>
      <c r="N12" s="4">
        <f>$E$113*$F$113^L12*G102</f>
        <v>40.121163356326782</v>
      </c>
    </row>
    <row r="13" spans="1:16">
      <c r="A13" s="1">
        <v>37956</v>
      </c>
      <c r="B13" s="16">
        <v>12</v>
      </c>
      <c r="C13" s="16">
        <f t="shared" si="0"/>
        <v>12</v>
      </c>
      <c r="D13" s="2">
        <v>37.389381999999998</v>
      </c>
      <c r="E13" s="4"/>
      <c r="G13" t="s">
        <v>21</v>
      </c>
      <c r="L13" s="20">
        <v>2</v>
      </c>
      <c r="M13" s="1">
        <v>41061</v>
      </c>
      <c r="N13" s="4">
        <f t="shared" ref="N13:N19" si="1">$E$113*$F$113^L13*G103</f>
        <v>42.215026471478801</v>
      </c>
    </row>
    <row r="14" spans="1:16">
      <c r="A14" s="1">
        <v>37987</v>
      </c>
      <c r="B14" s="16">
        <v>13</v>
      </c>
      <c r="C14" s="16">
        <f t="shared" si="0"/>
        <v>1</v>
      </c>
      <c r="D14" s="2">
        <v>33.537391999999997</v>
      </c>
      <c r="E14" s="4"/>
      <c r="G14" s="18">
        <v>0.91059013284580137</v>
      </c>
      <c r="L14" s="20">
        <v>3</v>
      </c>
      <c r="M14" s="1">
        <v>41091</v>
      </c>
      <c r="N14" s="4">
        <f t="shared" si="1"/>
        <v>44.439576482568832</v>
      </c>
    </row>
    <row r="15" spans="1:16">
      <c r="A15" s="1">
        <v>38018</v>
      </c>
      <c r="B15" s="16">
        <v>14</v>
      </c>
      <c r="C15" s="16">
        <f t="shared" si="0"/>
        <v>2</v>
      </c>
      <c r="D15" s="2">
        <v>33.909139000000003</v>
      </c>
      <c r="E15" s="4"/>
      <c r="F15" s="4"/>
      <c r="G15" s="18">
        <v>0.86934296326583926</v>
      </c>
      <c r="L15" s="20">
        <v>4</v>
      </c>
      <c r="M15" s="1">
        <v>41122</v>
      </c>
      <c r="N15" s="4">
        <f t="shared" si="1"/>
        <v>42.700620638900951</v>
      </c>
    </row>
    <row r="16" spans="1:16">
      <c r="A16" s="1">
        <v>38047</v>
      </c>
      <c r="B16" s="16">
        <v>15</v>
      </c>
      <c r="C16" s="16">
        <f t="shared" si="0"/>
        <v>3</v>
      </c>
      <c r="D16" s="2">
        <v>40.805211</v>
      </c>
      <c r="E16" s="4"/>
      <c r="F16" s="4"/>
      <c r="G16" s="18">
        <v>1.0473478073828983</v>
      </c>
      <c r="L16" s="20">
        <v>5</v>
      </c>
      <c r="M16" s="1">
        <v>41153</v>
      </c>
      <c r="N16" s="4">
        <f t="shared" si="1"/>
        <v>35.461509685521705</v>
      </c>
    </row>
    <row r="17" spans="1:14">
      <c r="A17" s="1">
        <v>38078</v>
      </c>
      <c r="B17" s="16">
        <v>16</v>
      </c>
      <c r="C17" s="16">
        <f t="shared" si="0"/>
        <v>4</v>
      </c>
      <c r="D17" s="2">
        <v>40.172829</v>
      </c>
      <c r="E17" s="4"/>
      <c r="F17" s="4"/>
      <c r="G17" s="18">
        <v>0.99387218028357072</v>
      </c>
      <c r="L17" s="20">
        <v>6</v>
      </c>
      <c r="M17" s="1">
        <v>41183</v>
      </c>
      <c r="N17" s="4">
        <f t="shared" si="1"/>
        <v>37.60371027648339</v>
      </c>
    </row>
    <row r="18" spans="1:14">
      <c r="A18" s="1">
        <v>38108</v>
      </c>
      <c r="B18" s="16">
        <v>17</v>
      </c>
      <c r="C18" s="16">
        <f t="shared" si="0"/>
        <v>5</v>
      </c>
      <c r="D18" s="2">
        <v>39.671007000000003</v>
      </c>
      <c r="E18" s="4"/>
      <c r="F18" s="4"/>
      <c r="G18" s="18">
        <v>1.0221174251176428</v>
      </c>
      <c r="L18" s="20">
        <v>7</v>
      </c>
      <c r="M18" s="1">
        <v>41214</v>
      </c>
      <c r="N18" s="4">
        <f t="shared" si="1"/>
        <v>35.373662324445441</v>
      </c>
    </row>
    <row r="19" spans="1:14">
      <c r="A19" s="1">
        <v>38139</v>
      </c>
      <c r="B19" s="16">
        <v>18</v>
      </c>
      <c r="C19" s="16">
        <f t="shared" si="0"/>
        <v>6</v>
      </c>
      <c r="D19" s="2">
        <v>43.652276999999998</v>
      </c>
      <c r="E19" s="4"/>
      <c r="F19" s="4"/>
      <c r="G19" s="18">
        <v>1.0731800129014972</v>
      </c>
      <c r="I19" s="11"/>
      <c r="L19" s="20">
        <v>8</v>
      </c>
      <c r="M19" s="1">
        <v>41245</v>
      </c>
      <c r="N19" s="4">
        <f t="shared" si="1"/>
        <v>36.50619719785864</v>
      </c>
    </row>
    <row r="20" spans="1:14">
      <c r="A20" s="1">
        <v>38169</v>
      </c>
      <c r="B20" s="16">
        <v>19</v>
      </c>
      <c r="C20" s="16">
        <f t="shared" si="0"/>
        <v>7</v>
      </c>
      <c r="D20" s="2">
        <v>46.262248999999997</v>
      </c>
      <c r="E20" s="4"/>
      <c r="F20" s="4"/>
      <c r="G20" s="18">
        <v>1.1879477079506717</v>
      </c>
    </row>
    <row r="21" spans="1:14">
      <c r="A21" s="1">
        <v>38200</v>
      </c>
      <c r="B21" s="16">
        <v>20</v>
      </c>
      <c r="C21" s="16">
        <f t="shared" si="0"/>
        <v>8</v>
      </c>
      <c r="D21" s="2">
        <v>44.701690999999997</v>
      </c>
      <c r="E21" s="4"/>
      <c r="F21" s="4"/>
      <c r="G21" s="18">
        <v>1.1374816824099885</v>
      </c>
    </row>
    <row r="22" spans="1:14">
      <c r="A22" s="1">
        <v>38231</v>
      </c>
      <c r="B22" s="16">
        <v>21</v>
      </c>
      <c r="C22" s="16">
        <f t="shared" si="0"/>
        <v>9</v>
      </c>
      <c r="D22" s="2">
        <v>35.470844</v>
      </c>
      <c r="E22" s="4"/>
      <c r="F22" s="4"/>
      <c r="G22" s="18">
        <v>0.87166234661735897</v>
      </c>
      <c r="J22" s="5" t="s">
        <v>31</v>
      </c>
      <c r="K22" s="24">
        <f>AVERAGE(K26:K113)</f>
        <v>2.1260510377701807E-2</v>
      </c>
      <c r="L22" t="s">
        <v>32</v>
      </c>
    </row>
    <row r="23" spans="1:14">
      <c r="A23" s="1">
        <v>38261</v>
      </c>
      <c r="B23" s="16">
        <v>22</v>
      </c>
      <c r="C23" s="16">
        <f t="shared" si="0"/>
        <v>10</v>
      </c>
      <c r="D23" s="2">
        <v>39.627851</v>
      </c>
      <c r="E23" s="4"/>
      <c r="F23" s="4"/>
      <c r="G23" s="18">
        <v>0.98835344037554385</v>
      </c>
    </row>
    <row r="24" spans="1:14">
      <c r="A24" s="1">
        <v>38292</v>
      </c>
      <c r="B24" s="16">
        <v>23</v>
      </c>
      <c r="C24" s="16">
        <f t="shared" si="0"/>
        <v>11</v>
      </c>
      <c r="D24" s="2">
        <v>37.567115999999999</v>
      </c>
      <c r="E24" s="4" t="s">
        <v>19</v>
      </c>
      <c r="F24" s="4" t="s">
        <v>20</v>
      </c>
      <c r="G24" s="18">
        <v>0.94829283042505774</v>
      </c>
      <c r="H24" t="s">
        <v>22</v>
      </c>
      <c r="I24" t="s">
        <v>1</v>
      </c>
      <c r="J24" t="s">
        <v>2</v>
      </c>
      <c r="K24" t="s">
        <v>30</v>
      </c>
    </row>
    <row r="25" spans="1:14">
      <c r="A25" s="1">
        <v>38322</v>
      </c>
      <c r="B25" s="16">
        <v>24</v>
      </c>
      <c r="C25" s="16">
        <f t="shared" si="0"/>
        <v>12</v>
      </c>
      <c r="D25" s="2">
        <v>39.117677999999998</v>
      </c>
      <c r="E25" s="4">
        <f>D25/G25</f>
        <v>41.184678034457235</v>
      </c>
      <c r="F25" s="18">
        <f>Trend</f>
        <v>1.006309455557024</v>
      </c>
      <c r="G25" s="18">
        <v>0.94981143150547687</v>
      </c>
    </row>
    <row r="26" spans="1:14">
      <c r="A26" s="1">
        <v>38353</v>
      </c>
      <c r="C26" s="8">
        <f t="shared" si="0"/>
        <v>1</v>
      </c>
      <c r="D26" s="2">
        <v>36.117688000000001</v>
      </c>
      <c r="E26" s="4">
        <f t="shared" ref="E26:E57" si="2">alpha*D26/G14+(1-alpha)*E25*F25</f>
        <v>40.48376566898974</v>
      </c>
      <c r="F26" s="4">
        <f t="shared" ref="F26:F57" si="3">beta*E26/E25+(1-beta)*F25</f>
        <v>1.0052805862799556</v>
      </c>
      <c r="G26" s="4">
        <f t="shared" ref="G26:G57" si="4">gamma*D26/E26+(1-gamma)*G14</f>
        <v>0.89825805015353744</v>
      </c>
      <c r="H26" s="4">
        <f>E25*F25*G14</f>
        <v>37.738980925413557</v>
      </c>
      <c r="I26" s="4">
        <f>H26-D26</f>
        <v>1.621292925413556</v>
      </c>
      <c r="J26" s="4">
        <f>I26^2</f>
        <v>2.6285907499960461</v>
      </c>
      <c r="K26" s="23">
        <f>ABS(D26-H26)/D26</f>
        <v>4.4889166920472762E-2</v>
      </c>
    </row>
    <row r="27" spans="1:14">
      <c r="A27" s="1">
        <v>38384</v>
      </c>
      <c r="C27" s="8">
        <f t="shared" si="0"/>
        <v>2</v>
      </c>
      <c r="D27" s="2">
        <v>34.560837999999997</v>
      </c>
      <c r="E27" s="4">
        <f t="shared" si="2"/>
        <v>40.189006490265427</v>
      </c>
      <c r="F27" s="4">
        <f t="shared" si="3"/>
        <v>1.0047265727074297</v>
      </c>
      <c r="G27" s="4">
        <f t="shared" si="4"/>
        <v>0.86306550699277984</v>
      </c>
      <c r="H27" s="4">
        <f t="shared" ref="H27:H90" si="5">E26*F26*G15</f>
        <v>35.38012322609967</v>
      </c>
      <c r="I27" s="4">
        <f t="shared" ref="I27:I90" si="6">H27-D27</f>
        <v>0.81928522609967303</v>
      </c>
      <c r="J27" s="4">
        <f t="shared" ref="J27:J90" si="7">I27^2</f>
        <v>0.67122828170519233</v>
      </c>
      <c r="K27" s="23">
        <f t="shared" ref="K27:K90" si="8">ABS(D27-H27)/D27</f>
        <v>2.3705594930877344E-2</v>
      </c>
    </row>
    <row r="28" spans="1:14">
      <c r="A28" s="1">
        <v>38412</v>
      </c>
      <c r="C28" s="8">
        <f t="shared" si="0"/>
        <v>3</v>
      </c>
      <c r="D28" s="2">
        <v>43.642223000000001</v>
      </c>
      <c r="E28" s="4">
        <f t="shared" si="2"/>
        <v>41.075225731839183</v>
      </c>
      <c r="F28" s="4">
        <f t="shared" si="3"/>
        <v>1.0054906628854867</v>
      </c>
      <c r="G28" s="4">
        <f t="shared" si="4"/>
        <v>1.0574790186707439</v>
      </c>
      <c r="H28" s="4">
        <f t="shared" si="5"/>
        <v>42.290818102159385</v>
      </c>
      <c r="I28" s="4">
        <f t="shared" si="6"/>
        <v>-1.3514048978406166</v>
      </c>
      <c r="J28" s="4">
        <f t="shared" si="7"/>
        <v>1.8262951979076074</v>
      </c>
      <c r="K28" s="23">
        <f t="shared" si="8"/>
        <v>3.0965537613439547E-2</v>
      </c>
    </row>
    <row r="29" spans="1:14">
      <c r="A29" s="1">
        <v>38443</v>
      </c>
      <c r="C29" s="8">
        <f t="shared" si="0"/>
        <v>4</v>
      </c>
      <c r="D29" s="2">
        <v>40.244599999999998</v>
      </c>
      <c r="E29" s="4">
        <f t="shared" si="2"/>
        <v>40.864739483992274</v>
      </c>
      <c r="F29" s="4">
        <f t="shared" si="3"/>
        <v>1.0050224951141811</v>
      </c>
      <c r="G29" s="4">
        <f t="shared" si="4"/>
        <v>0.98782069768921721</v>
      </c>
      <c r="H29" s="4">
        <f t="shared" si="5"/>
        <v>41.047672362668557</v>
      </c>
      <c r="I29" s="4">
        <f t="shared" si="6"/>
        <v>0.80307236266855853</v>
      </c>
      <c r="J29" s="4">
        <f t="shared" si="7"/>
        <v>0.64492521968206085</v>
      </c>
      <c r="K29" s="23">
        <f t="shared" si="8"/>
        <v>1.995478555305702E-2</v>
      </c>
    </row>
    <row r="30" spans="1:14">
      <c r="A30" s="1">
        <v>38473</v>
      </c>
      <c r="C30" s="8">
        <f t="shared" si="0"/>
        <v>5</v>
      </c>
      <c r="D30" s="2">
        <v>41.801557000000003</v>
      </c>
      <c r="E30" s="4">
        <f t="shared" si="2"/>
        <v>40.97665056216924</v>
      </c>
      <c r="F30" s="4">
        <f t="shared" si="3"/>
        <v>1.0049217648798368</v>
      </c>
      <c r="G30" s="4">
        <f t="shared" si="4"/>
        <v>1.0207888949171913</v>
      </c>
      <c r="H30" s="4">
        <f t="shared" si="5"/>
        <v>41.978344699556963</v>
      </c>
      <c r="I30" s="4">
        <f t="shared" si="6"/>
        <v>0.17678769955696083</v>
      </c>
      <c r="J30" s="4">
        <f t="shared" si="7"/>
        <v>3.1253890714642248E-2</v>
      </c>
      <c r="K30" s="23">
        <f t="shared" si="8"/>
        <v>4.2292132696626784E-3</v>
      </c>
    </row>
    <row r="31" spans="1:14">
      <c r="A31" s="1">
        <v>38504</v>
      </c>
      <c r="C31" s="8">
        <f t="shared" si="0"/>
        <v>6</v>
      </c>
      <c r="D31" s="2">
        <v>44.676734000000003</v>
      </c>
      <c r="E31" s="4">
        <f t="shared" si="2"/>
        <v>41.422179764644959</v>
      </c>
      <c r="F31" s="4">
        <f t="shared" si="3"/>
        <v>1.005184227841903</v>
      </c>
      <c r="G31" s="4">
        <f t="shared" si="4"/>
        <v>1.0767853230001656</v>
      </c>
      <c r="H31" s="4">
        <f t="shared" si="5"/>
        <v>44.191758576233241</v>
      </c>
      <c r="I31" s="4">
        <f t="shared" si="6"/>
        <v>-0.4849754237667625</v>
      </c>
      <c r="J31" s="4">
        <f t="shared" si="7"/>
        <v>0.23520116165775087</v>
      </c>
      <c r="K31" s="23">
        <f t="shared" si="8"/>
        <v>1.0855212105852734E-2</v>
      </c>
    </row>
    <row r="32" spans="1:14">
      <c r="A32" s="1">
        <v>38534</v>
      </c>
      <c r="C32" s="8">
        <f t="shared" si="0"/>
        <v>7</v>
      </c>
      <c r="D32" s="2">
        <v>47.563113000000001</v>
      </c>
      <c r="E32" s="4">
        <f t="shared" si="2"/>
        <v>40.774158539947827</v>
      </c>
      <c r="F32" s="4">
        <f t="shared" si="3"/>
        <v>1.0042656049425112</v>
      </c>
      <c r="G32" s="4">
        <f t="shared" si="4"/>
        <v>1.1736033521343703</v>
      </c>
      <c r="H32" s="4">
        <f t="shared" si="5"/>
        <v>49.462485797349018</v>
      </c>
      <c r="I32" s="4">
        <f t="shared" si="6"/>
        <v>1.8993727973490167</v>
      </c>
      <c r="J32" s="4">
        <f t="shared" si="7"/>
        <v>3.6076170233094285</v>
      </c>
      <c r="K32" s="23">
        <f t="shared" si="8"/>
        <v>3.9933735988832701E-2</v>
      </c>
    </row>
    <row r="33" spans="1:11">
      <c r="A33" s="1">
        <v>38565</v>
      </c>
      <c r="C33" s="8">
        <f t="shared" si="0"/>
        <v>8</v>
      </c>
      <c r="D33" s="2">
        <v>45.135361000000003</v>
      </c>
      <c r="E33" s="4">
        <f t="shared" si="2"/>
        <v>40.263857282930459</v>
      </c>
      <c r="F33" s="4">
        <f t="shared" si="3"/>
        <v>1.0035254984174471</v>
      </c>
      <c r="G33" s="4">
        <f t="shared" si="4"/>
        <v>1.1264508879984083</v>
      </c>
      <c r="H33" s="4">
        <f t="shared" si="5"/>
        <v>46.577696608329518</v>
      </c>
      <c r="I33" s="4">
        <f t="shared" si="6"/>
        <v>1.4423356083295147</v>
      </c>
      <c r="J33" s="4">
        <f t="shared" si="7"/>
        <v>2.0803320070552713</v>
      </c>
      <c r="K33" s="23">
        <f t="shared" si="8"/>
        <v>3.195577871481995E-2</v>
      </c>
    </row>
    <row r="34" spans="1:11">
      <c r="A34" s="1">
        <v>38596</v>
      </c>
      <c r="C34" s="8">
        <f t="shared" si="0"/>
        <v>9</v>
      </c>
      <c r="D34" s="2">
        <v>37.044905999999997</v>
      </c>
      <c r="E34" s="4">
        <f t="shared" si="2"/>
        <v>41.535391038746624</v>
      </c>
      <c r="F34" s="4">
        <f t="shared" si="3"/>
        <v>1.0047628171251295</v>
      </c>
      <c r="G34" s="4">
        <f t="shared" si="4"/>
        <v>0.88519009311664165</v>
      </c>
      <c r="H34" s="4">
        <f t="shared" si="5"/>
        <v>35.220220937146664</v>
      </c>
      <c r="I34" s="4">
        <f t="shared" si="6"/>
        <v>-1.8246850628533338</v>
      </c>
      <c r="J34" s="4">
        <f t="shared" si="7"/>
        <v>3.3294755786000745</v>
      </c>
      <c r="K34" s="23">
        <f t="shared" si="8"/>
        <v>4.9256031662041032E-2</v>
      </c>
    </row>
    <row r="35" spans="1:11">
      <c r="A35" s="1">
        <v>38626</v>
      </c>
      <c r="C35" s="8">
        <f t="shared" si="0"/>
        <v>10</v>
      </c>
      <c r="D35" s="2">
        <v>38.849763000000003</v>
      </c>
      <c r="E35" s="4">
        <f t="shared" si="2"/>
        <v>40.424312213464091</v>
      </c>
      <c r="F35" s="4">
        <f t="shared" si="3"/>
        <v>1.0033729663537796</v>
      </c>
      <c r="G35" s="4">
        <f t="shared" si="4"/>
        <v>0.97009117576242976</v>
      </c>
      <c r="H35" s="4">
        <f t="shared" si="5"/>
        <v>41.247168116075215</v>
      </c>
      <c r="I35" s="4">
        <f t="shared" si="6"/>
        <v>2.3974051160752126</v>
      </c>
      <c r="J35" s="4">
        <f t="shared" si="7"/>
        <v>5.747551290583603</v>
      </c>
      <c r="K35" s="23">
        <f t="shared" si="8"/>
        <v>6.1709645849711163E-2</v>
      </c>
    </row>
    <row r="36" spans="1:11">
      <c r="A36" s="1">
        <v>38657</v>
      </c>
      <c r="C36" s="8">
        <f t="shared" si="0"/>
        <v>11</v>
      </c>
      <c r="D36" s="2">
        <v>38.158242000000001</v>
      </c>
      <c r="E36" s="4">
        <f t="shared" si="2"/>
        <v>40.387026076465688</v>
      </c>
      <c r="F36" s="4">
        <f t="shared" si="3"/>
        <v>1.0031835246153067</v>
      </c>
      <c r="G36" s="4">
        <f t="shared" si="4"/>
        <v>0.94596625348814256</v>
      </c>
      <c r="H36" s="4">
        <f t="shared" si="5"/>
        <v>38.463385027307375</v>
      </c>
      <c r="I36" s="4">
        <f t="shared" si="6"/>
        <v>0.30514302730737342</v>
      </c>
      <c r="J36" s="4">
        <f t="shared" si="7"/>
        <v>9.3112267114308436E-2</v>
      </c>
      <c r="K36" s="23">
        <f t="shared" si="8"/>
        <v>7.9967789739205861E-3</v>
      </c>
    </row>
    <row r="37" spans="1:11">
      <c r="A37" s="1">
        <v>38687</v>
      </c>
      <c r="C37" s="8">
        <f t="shared" si="0"/>
        <v>12</v>
      </c>
      <c r="D37" s="2">
        <v>39.176167</v>
      </c>
      <c r="E37" s="4">
        <f t="shared" si="2"/>
        <v>40.909868648001655</v>
      </c>
      <c r="F37" s="4">
        <f t="shared" si="3"/>
        <v>1.0036140808353413</v>
      </c>
      <c r="G37" s="4">
        <f t="shared" si="4"/>
        <v>0.9550351476089165</v>
      </c>
      <c r="H37" s="4">
        <f t="shared" si="5"/>
        <v>38.482179244173359</v>
      </c>
      <c r="I37" s="4">
        <f t="shared" si="6"/>
        <v>-0.6939877558266403</v>
      </c>
      <c r="J37" s="4">
        <f t="shared" si="7"/>
        <v>0.4816190052372965</v>
      </c>
      <c r="K37" s="23">
        <f t="shared" si="8"/>
        <v>1.7714539450136617E-2</v>
      </c>
    </row>
    <row r="38" spans="1:11">
      <c r="A38" s="1">
        <v>38718</v>
      </c>
      <c r="C38" s="8">
        <f t="shared" si="0"/>
        <v>1</v>
      </c>
      <c r="D38" s="2">
        <v>36.677179000000002</v>
      </c>
      <c r="E38" s="4">
        <f t="shared" si="2"/>
        <v>40.935623099903033</v>
      </c>
      <c r="F38" s="4">
        <f t="shared" si="3"/>
        <v>1.003482450520911</v>
      </c>
      <c r="G38" s="4">
        <f t="shared" si="4"/>
        <v>0.89672913905642671</v>
      </c>
      <c r="H38" s="4">
        <f t="shared" si="5"/>
        <v>36.880427708799076</v>
      </c>
      <c r="I38" s="4">
        <f t="shared" si="6"/>
        <v>0.20324870879907309</v>
      </c>
      <c r="J38" s="4">
        <f t="shared" si="7"/>
        <v>4.1310037628490406E-2</v>
      </c>
      <c r="K38" s="23">
        <f t="shared" si="8"/>
        <v>5.5415578389786486E-3</v>
      </c>
    </row>
    <row r="39" spans="1:11">
      <c r="A39" s="1">
        <v>38749</v>
      </c>
      <c r="C39" s="8">
        <f t="shared" si="0"/>
        <v>2</v>
      </c>
      <c r="D39" s="2">
        <v>34.745538000000003</v>
      </c>
      <c r="E39" s="4">
        <f t="shared" si="2"/>
        <v>40.635757971957929</v>
      </c>
      <c r="F39" s="4">
        <f t="shared" si="3"/>
        <v>1.0030057854678323</v>
      </c>
      <c r="G39" s="4">
        <f t="shared" si="4"/>
        <v>0.85770323758848965</v>
      </c>
      <c r="H39" s="4">
        <f t="shared" si="5"/>
        <v>35.453159714572202</v>
      </c>
      <c r="I39" s="4">
        <f t="shared" si="6"/>
        <v>0.70762171457219836</v>
      </c>
      <c r="J39" s="4">
        <f t="shared" si="7"/>
        <v>0.50072849093409777</v>
      </c>
      <c r="K39" s="23">
        <f t="shared" si="8"/>
        <v>2.0365829838991076E-2</v>
      </c>
    </row>
    <row r="40" spans="1:11">
      <c r="A40" s="1">
        <v>38777</v>
      </c>
      <c r="C40" s="8">
        <f t="shared" si="0"/>
        <v>3</v>
      </c>
      <c r="D40" s="2">
        <v>42.892738999999999</v>
      </c>
      <c r="E40" s="4">
        <f t="shared" si="2"/>
        <v>40.65182093304923</v>
      </c>
      <c r="F40" s="4">
        <f t="shared" si="3"/>
        <v>1.0028906520726397</v>
      </c>
      <c r="G40" s="4">
        <f t="shared" si="4"/>
        <v>1.0559043109794717</v>
      </c>
      <c r="H40" s="4">
        <f t="shared" si="5"/>
        <v>43.100624457525313</v>
      </c>
      <c r="I40" s="4">
        <f t="shared" si="6"/>
        <v>0.20788545752531462</v>
      </c>
      <c r="J40" s="4">
        <f t="shared" si="7"/>
        <v>4.3216363450509387E-2</v>
      </c>
      <c r="K40" s="23">
        <f t="shared" si="8"/>
        <v>4.8466351735037168E-3</v>
      </c>
    </row>
    <row r="41" spans="1:11">
      <c r="A41" s="1">
        <v>38808</v>
      </c>
      <c r="C41" s="8">
        <f t="shared" si="0"/>
        <v>4</v>
      </c>
      <c r="D41" s="2">
        <v>41.296408999999997</v>
      </c>
      <c r="E41" s="4">
        <f t="shared" si="2"/>
        <v>41.328495332212896</v>
      </c>
      <c r="F41" s="4">
        <f t="shared" si="3"/>
        <v>1.0034973016251254</v>
      </c>
      <c r="G41" s="4">
        <f t="shared" si="4"/>
        <v>0.99544754285049253</v>
      </c>
      <c r="H41" s="4">
        <f t="shared" si="5"/>
        <v>40.272789193750242</v>
      </c>
      <c r="I41" s="4">
        <f t="shared" si="6"/>
        <v>-1.023619806249755</v>
      </c>
      <c r="J41" s="4">
        <f t="shared" si="7"/>
        <v>1.047797507746786</v>
      </c>
      <c r="K41" s="23">
        <f t="shared" si="8"/>
        <v>2.4787138422853065E-2</v>
      </c>
    </row>
    <row r="42" spans="1:11">
      <c r="A42" s="1">
        <v>38838</v>
      </c>
      <c r="C42" s="8">
        <f t="shared" si="0"/>
        <v>5</v>
      </c>
      <c r="D42" s="2">
        <v>41.489103</v>
      </c>
      <c r="E42" s="4">
        <f t="shared" si="2"/>
        <v>41.025764169444173</v>
      </c>
      <c r="F42" s="4">
        <f t="shared" si="3"/>
        <v>1.0030199942414311</v>
      </c>
      <c r="G42" s="4">
        <f t="shared" si="4"/>
        <v>1.0144381375505973</v>
      </c>
      <c r="H42" s="4">
        <f t="shared" si="5"/>
        <v>42.335212082389297</v>
      </c>
      <c r="I42" s="4">
        <f t="shared" si="6"/>
        <v>0.84610908238929738</v>
      </c>
      <c r="J42" s="4">
        <f t="shared" si="7"/>
        <v>0.71590057930165885</v>
      </c>
      <c r="K42" s="23">
        <f t="shared" si="8"/>
        <v>2.0393525557525247E-2</v>
      </c>
    </row>
    <row r="43" spans="1:11">
      <c r="A43" s="1">
        <v>38869</v>
      </c>
      <c r="C43" s="8">
        <f t="shared" si="0"/>
        <v>6</v>
      </c>
      <c r="D43" s="2">
        <v>44.025655999999998</v>
      </c>
      <c r="E43" s="4">
        <f t="shared" si="2"/>
        <v>41.007493517373945</v>
      </c>
      <c r="F43" s="4">
        <f t="shared" si="3"/>
        <v>1.0028671586716968</v>
      </c>
      <c r="G43" s="4">
        <f t="shared" si="4"/>
        <v>1.0746549995977797</v>
      </c>
      <c r="H43" s="4">
        <f t="shared" si="5"/>
        <v>44.309351809115384</v>
      </c>
      <c r="I43" s="4">
        <f t="shared" si="6"/>
        <v>0.28369580911538606</v>
      </c>
      <c r="J43" s="4">
        <f t="shared" si="7"/>
        <v>8.0483312109633567E-2</v>
      </c>
      <c r="K43" s="23">
        <f t="shared" si="8"/>
        <v>6.443874660615757E-3</v>
      </c>
    </row>
    <row r="44" spans="1:11">
      <c r="A44" s="1">
        <v>38899</v>
      </c>
      <c r="C44" s="8">
        <f t="shared" si="0"/>
        <v>7</v>
      </c>
      <c r="D44" s="2">
        <v>46.157221</v>
      </c>
      <c r="E44" s="4">
        <f t="shared" si="2"/>
        <v>40.156159028943406</v>
      </c>
      <c r="F44" s="4">
        <f t="shared" si="3"/>
        <v>1.0018250846667769</v>
      </c>
      <c r="G44" s="4">
        <f t="shared" si="4"/>
        <v>1.157443794067744</v>
      </c>
      <c r="H44" s="4">
        <f t="shared" si="5"/>
        <v>48.264518257764188</v>
      </c>
      <c r="I44" s="4">
        <f t="shared" si="6"/>
        <v>2.1072972577641877</v>
      </c>
      <c r="J44" s="4">
        <f t="shared" si="7"/>
        <v>4.4407017325804654</v>
      </c>
      <c r="K44" s="23">
        <f t="shared" si="8"/>
        <v>4.5654768898764242E-2</v>
      </c>
    </row>
    <row r="45" spans="1:11">
      <c r="A45" s="1">
        <v>38930</v>
      </c>
      <c r="C45" s="8">
        <f t="shared" si="0"/>
        <v>8</v>
      </c>
      <c r="D45" s="2">
        <v>44.152535</v>
      </c>
      <c r="E45" s="4">
        <f t="shared" si="2"/>
        <v>39.671869973160931</v>
      </c>
      <c r="F45" s="4">
        <f t="shared" si="3"/>
        <v>1.0012126896963665</v>
      </c>
      <c r="G45" s="4">
        <f t="shared" si="4"/>
        <v>1.1174162264699654</v>
      </c>
      <c r="H45" s="4">
        <f t="shared" si="5"/>
        <v>45.316496768889678</v>
      </c>
      <c r="I45" s="4">
        <f t="shared" si="6"/>
        <v>1.1639617688896777</v>
      </c>
      <c r="J45" s="4">
        <f t="shared" si="7"/>
        <v>1.3548069994367875</v>
      </c>
      <c r="K45" s="23">
        <f t="shared" si="8"/>
        <v>2.6362286307902313E-2</v>
      </c>
    </row>
    <row r="46" spans="1:11">
      <c r="A46" s="1">
        <v>38961</v>
      </c>
      <c r="C46" s="8">
        <f t="shared" si="0"/>
        <v>9</v>
      </c>
      <c r="D46" s="2">
        <v>36.489369000000003</v>
      </c>
      <c r="E46" s="4">
        <f t="shared" si="2"/>
        <v>40.530520916141199</v>
      </c>
      <c r="F46" s="4">
        <f t="shared" si="3"/>
        <v>1.0021137856632527</v>
      </c>
      <c r="G46" s="4">
        <f t="shared" si="4"/>
        <v>0.89529207518716158</v>
      </c>
      <c r="H46" s="4">
        <f t="shared" si="5"/>
        <v>35.159732477107902</v>
      </c>
      <c r="I46" s="4">
        <f t="shared" si="6"/>
        <v>-1.3296365228921019</v>
      </c>
      <c r="J46" s="4">
        <f t="shared" si="7"/>
        <v>1.767933283008599</v>
      </c>
      <c r="K46" s="23">
        <f t="shared" si="8"/>
        <v>3.6439011123818053E-2</v>
      </c>
    </row>
    <row r="47" spans="1:11">
      <c r="A47" s="1">
        <v>38991</v>
      </c>
      <c r="C47" s="8">
        <f t="shared" si="0"/>
        <v>10</v>
      </c>
      <c r="D47" s="2">
        <v>39.684941999999999</v>
      </c>
      <c r="E47" s="4">
        <f t="shared" si="2"/>
        <v>40.773906393087913</v>
      </c>
      <c r="F47" s="4">
        <f t="shared" si="3"/>
        <v>1.0022854036909525</v>
      </c>
      <c r="G47" s="4">
        <f t="shared" si="4"/>
        <v>0.97223245763838329</v>
      </c>
      <c r="H47" s="4">
        <f t="shared" si="5"/>
        <v>39.401411150104728</v>
      </c>
      <c r="I47" s="4">
        <f t="shared" si="6"/>
        <v>-0.28353084989527133</v>
      </c>
      <c r="J47" s="4">
        <f t="shared" si="7"/>
        <v>8.0389742842334883E-2</v>
      </c>
      <c r="K47" s="23">
        <f t="shared" si="8"/>
        <v>7.1445448980439821E-3</v>
      </c>
    </row>
    <row r="48" spans="1:11">
      <c r="A48" s="1">
        <v>39022</v>
      </c>
      <c r="C48" s="8">
        <f t="shared" si="0"/>
        <v>11</v>
      </c>
      <c r="D48" s="2">
        <v>38.673709000000002</v>
      </c>
      <c r="E48" s="4">
        <f t="shared" si="2"/>
        <v>40.875544913006365</v>
      </c>
      <c r="F48" s="4">
        <f t="shared" si="3"/>
        <v>1.0022945478181391</v>
      </c>
      <c r="G48" s="4">
        <f t="shared" si="4"/>
        <v>0.94607789743577009</v>
      </c>
      <c r="H48" s="4">
        <f t="shared" si="5"/>
        <v>38.658889181094807</v>
      </c>
      <c r="I48" s="4">
        <f t="shared" si="6"/>
        <v>-1.4819818905195348E-2</v>
      </c>
      <c r="J48" s="4">
        <f t="shared" si="7"/>
        <v>2.1962703238278543E-4</v>
      </c>
      <c r="K48" s="23">
        <f t="shared" si="8"/>
        <v>3.8320138637841402E-4</v>
      </c>
    </row>
    <row r="49" spans="1:11">
      <c r="A49" s="1">
        <v>39052</v>
      </c>
      <c r="C49" s="8">
        <f t="shared" si="0"/>
        <v>12</v>
      </c>
      <c r="D49" s="2">
        <v>39.616706999999998</v>
      </c>
      <c r="E49" s="4">
        <f t="shared" si="2"/>
        <v>41.245939276205661</v>
      </c>
      <c r="F49" s="4">
        <f t="shared" si="3"/>
        <v>1.0025929985529631</v>
      </c>
      <c r="G49" s="4">
        <f t="shared" si="4"/>
        <v>0.95869002557837968</v>
      </c>
      <c r="H49" s="4">
        <f t="shared" si="5"/>
        <v>39.127155668351129</v>
      </c>
      <c r="I49" s="4">
        <f t="shared" si="6"/>
        <v>-0.48955133164886888</v>
      </c>
      <c r="J49" s="4">
        <f t="shared" si="7"/>
        <v>0.23966050631918082</v>
      </c>
      <c r="K49" s="23">
        <f t="shared" si="8"/>
        <v>1.2357193939639377E-2</v>
      </c>
    </row>
    <row r="50" spans="1:11">
      <c r="A50" s="1">
        <v>39083</v>
      </c>
      <c r="C50" s="8">
        <f t="shared" si="0"/>
        <v>1</v>
      </c>
      <c r="D50" s="2">
        <v>36.918239999999997</v>
      </c>
      <c r="E50" s="4">
        <f t="shared" si="2"/>
        <v>41.254141615313841</v>
      </c>
      <c r="F50" s="4">
        <f t="shared" si="3"/>
        <v>1.0024874075031216</v>
      </c>
      <c r="G50" s="4">
        <f t="shared" si="4"/>
        <v>0.89550423929633571</v>
      </c>
      <c r="H50" s="4">
        <f t="shared" si="5"/>
        <v>37.082341390758991</v>
      </c>
      <c r="I50" s="4">
        <f t="shared" si="6"/>
        <v>0.16410139075899366</v>
      </c>
      <c r="J50" s="4">
        <f t="shared" si="7"/>
        <v>2.692926644903593E-2</v>
      </c>
      <c r="K50" s="23">
        <f t="shared" si="8"/>
        <v>4.4449949607292677E-3</v>
      </c>
    </row>
    <row r="51" spans="1:11">
      <c r="A51" s="1">
        <v>39114</v>
      </c>
      <c r="C51" s="8">
        <f t="shared" si="0"/>
        <v>2</v>
      </c>
      <c r="D51" s="2">
        <v>34.504282000000003</v>
      </c>
      <c r="E51" s="4">
        <f t="shared" si="2"/>
        <v>40.748045463459007</v>
      </c>
      <c r="F51" s="4">
        <f t="shared" si="3"/>
        <v>1.0018366444316182</v>
      </c>
      <c r="G51" s="4">
        <f t="shared" si="4"/>
        <v>0.85039152285330644</v>
      </c>
      <c r="H51" s="4">
        <f t="shared" si="5"/>
        <v>35.471824783929804</v>
      </c>
      <c r="I51" s="4">
        <f t="shared" si="6"/>
        <v>0.96754278392980098</v>
      </c>
      <c r="J51" s="4">
        <f t="shared" si="7"/>
        <v>0.93613903873462956</v>
      </c>
      <c r="K51" s="23">
        <f t="shared" si="8"/>
        <v>2.8041238010105555E-2</v>
      </c>
    </row>
    <row r="52" spans="1:11">
      <c r="A52" s="1">
        <v>39142</v>
      </c>
      <c r="C52" s="8">
        <f t="shared" si="0"/>
        <v>3</v>
      </c>
      <c r="D52" s="2">
        <v>42.899597</v>
      </c>
      <c r="E52" s="4">
        <f t="shared" si="2"/>
        <v>40.717885290867216</v>
      </c>
      <c r="F52" s="4">
        <f t="shared" si="3"/>
        <v>1.0017229967837249</v>
      </c>
      <c r="G52" s="4">
        <f t="shared" si="4"/>
        <v>1.0543504752674806</v>
      </c>
      <c r="H52" s="4">
        <f t="shared" si="5"/>
        <v>43.105060399883655</v>
      </c>
      <c r="I52" s="4">
        <f t="shared" si="6"/>
        <v>0.20546339988365503</v>
      </c>
      <c r="J52" s="4">
        <f t="shared" si="7"/>
        <v>4.221520869175073E-2</v>
      </c>
      <c r="K52" s="23">
        <f t="shared" si="8"/>
        <v>4.7894016319933036E-3</v>
      </c>
    </row>
    <row r="53" spans="1:11">
      <c r="A53" s="1">
        <v>39173</v>
      </c>
      <c r="C53" s="8">
        <f t="shared" si="0"/>
        <v>4</v>
      </c>
      <c r="D53" s="2">
        <v>41.367935000000003</v>
      </c>
      <c r="E53" s="4">
        <f t="shared" si="2"/>
        <v>41.203044113185314</v>
      </c>
      <c r="F53" s="4">
        <f t="shared" si="3"/>
        <v>1.0021725111708426</v>
      </c>
      <c r="G53" s="4">
        <f t="shared" si="4"/>
        <v>1.0011691284924471</v>
      </c>
      <c r="H53" s="4">
        <f t="shared" si="5"/>
        <v>40.602356262498958</v>
      </c>
      <c r="I53" s="4">
        <f t="shared" si="6"/>
        <v>-0.76557873750104477</v>
      </c>
      <c r="J53" s="4">
        <f t="shared" si="7"/>
        <v>0.58611080331369358</v>
      </c>
      <c r="K53" s="23">
        <f t="shared" si="8"/>
        <v>1.8506573690493487E-2</v>
      </c>
    </row>
    <row r="54" spans="1:11">
      <c r="A54" s="1">
        <v>39203</v>
      </c>
      <c r="C54" s="8">
        <f t="shared" si="0"/>
        <v>5</v>
      </c>
      <c r="D54" s="2">
        <v>42.213470999999998</v>
      </c>
      <c r="E54" s="4">
        <f t="shared" si="2"/>
        <v>41.465288730441657</v>
      </c>
      <c r="F54" s="4">
        <f t="shared" si="3"/>
        <v>1.0023574032980889</v>
      </c>
      <c r="G54" s="4">
        <f t="shared" si="4"/>
        <v>1.0168496366999613</v>
      </c>
      <c r="H54" s="4">
        <f t="shared" si="5"/>
        <v>41.888745821710906</v>
      </c>
      <c r="I54" s="4">
        <f t="shared" si="6"/>
        <v>-0.32472517828909275</v>
      </c>
      <c r="J54" s="4">
        <f t="shared" si="7"/>
        <v>0.10544644141488307</v>
      </c>
      <c r="K54" s="23">
        <f t="shared" si="8"/>
        <v>7.6924538683183089E-3</v>
      </c>
    </row>
    <row r="55" spans="1:11">
      <c r="A55" s="1">
        <v>39234</v>
      </c>
      <c r="C55" s="8">
        <f t="shared" si="0"/>
        <v>6</v>
      </c>
      <c r="D55" s="2">
        <v>44.496558999999998</v>
      </c>
      <c r="E55" s="4">
        <f t="shared" si="2"/>
        <v>41.477995249406092</v>
      </c>
      <c r="F55" s="4">
        <f t="shared" si="3"/>
        <v>1.0022669473764485</v>
      </c>
      <c r="G55" s="4">
        <f t="shared" si="4"/>
        <v>1.0733976052056065</v>
      </c>
      <c r="H55" s="4">
        <f t="shared" si="5"/>
        <v>44.665927809044426</v>
      </c>
      <c r="I55" s="4">
        <f t="shared" si="6"/>
        <v>0.1693688090444283</v>
      </c>
      <c r="J55" s="4">
        <f t="shared" si="7"/>
        <v>2.8685793477128019E-2</v>
      </c>
      <c r="K55" s="23">
        <f t="shared" si="8"/>
        <v>3.8063349807437538E-3</v>
      </c>
    </row>
    <row r="56" spans="1:11">
      <c r="A56" s="1">
        <v>39264</v>
      </c>
      <c r="C56" s="8">
        <f t="shared" si="0"/>
        <v>7</v>
      </c>
      <c r="D56" s="2">
        <v>46.468077000000001</v>
      </c>
      <c r="E56" s="4">
        <f t="shared" si="2"/>
        <v>40.803153241186266</v>
      </c>
      <c r="F56" s="4">
        <f t="shared" si="3"/>
        <v>1.001449398003583</v>
      </c>
      <c r="G56" s="4">
        <f t="shared" si="4"/>
        <v>1.1449976034528659</v>
      </c>
      <c r="H56" s="4">
        <f t="shared" si="5"/>
        <v>48.117280817472199</v>
      </c>
      <c r="I56" s="4">
        <f t="shared" si="6"/>
        <v>1.6492038174721984</v>
      </c>
      <c r="J56" s="4">
        <f t="shared" si="7"/>
        <v>2.7198732315648719</v>
      </c>
      <c r="K56" s="23">
        <f t="shared" si="8"/>
        <v>3.549111398503102E-2</v>
      </c>
    </row>
    <row r="57" spans="1:11">
      <c r="A57" s="1">
        <v>39295</v>
      </c>
      <c r="C57" s="8">
        <f t="shared" si="0"/>
        <v>8</v>
      </c>
      <c r="D57" s="2">
        <v>45.760903999999996</v>
      </c>
      <c r="E57" s="4">
        <f t="shared" si="2"/>
        <v>40.910929003581771</v>
      </c>
      <c r="F57" s="4">
        <f t="shared" si="3"/>
        <v>1.0015019683096147</v>
      </c>
      <c r="G57" s="4">
        <f t="shared" si="4"/>
        <v>1.1181742948465803</v>
      </c>
      <c r="H57" s="4">
        <f t="shared" si="5"/>
        <v>45.660189528362061</v>
      </c>
      <c r="I57" s="4">
        <f t="shared" si="6"/>
        <v>-0.10071447163793579</v>
      </c>
      <c r="J57" s="4">
        <f t="shared" si="7"/>
        <v>1.0143404797308572E-2</v>
      </c>
      <c r="K57" s="23">
        <f t="shared" si="8"/>
        <v>2.2008846599257696E-3</v>
      </c>
    </row>
    <row r="58" spans="1:11">
      <c r="A58" s="1">
        <v>39326</v>
      </c>
      <c r="C58" s="8">
        <f t="shared" si="0"/>
        <v>9</v>
      </c>
      <c r="D58" s="2">
        <v>37.075597999999999</v>
      </c>
      <c r="E58" s="4">
        <f t="shared" ref="E58:E89" si="9">alpha*D58/G46+(1-alpha)*E57*F57</f>
        <v>41.209457694854521</v>
      </c>
      <c r="F58" s="4">
        <f t="shared" ref="F58:F89" si="10">beta*E58/E57+(1-beta)*F57</f>
        <v>1.001757554512696</v>
      </c>
      <c r="G58" s="4">
        <f t="shared" ref="G58:G89" si="11">gamma*D58/E58+(1-gamma)*G46</f>
        <v>0.89823136970843143</v>
      </c>
      <c r="H58" s="4">
        <f t="shared" si="5"/>
        <v>36.682243464969545</v>
      </c>
      <c r="I58" s="4">
        <f t="shared" si="6"/>
        <v>-0.39335453503045414</v>
      </c>
      <c r="J58" s="4">
        <f t="shared" si="7"/>
        <v>0.15472779022902478</v>
      </c>
      <c r="K58" s="23">
        <f t="shared" si="8"/>
        <v>1.0609526379869966E-2</v>
      </c>
    </row>
    <row r="59" spans="1:11">
      <c r="A59" s="1">
        <v>39356</v>
      </c>
      <c r="C59" s="8">
        <f t="shared" si="0"/>
        <v>10</v>
      </c>
      <c r="D59" s="2">
        <v>39.961688000000002</v>
      </c>
      <c r="E59" s="4">
        <f t="shared" si="9"/>
        <v>41.185366999578278</v>
      </c>
      <c r="F59" s="4">
        <f t="shared" si="10"/>
        <v>1.0016542563651696</v>
      </c>
      <c r="G59" s="4">
        <f t="shared" si="11"/>
        <v>0.9709322427805992</v>
      </c>
      <c r="H59" s="4">
        <f t="shared" si="5"/>
        <v>40.13558905704852</v>
      </c>
      <c r="I59" s="4">
        <f t="shared" si="6"/>
        <v>0.17390105704851777</v>
      </c>
      <c r="J59" s="4">
        <f t="shared" si="7"/>
        <v>3.0241577642591833E-2</v>
      </c>
      <c r="K59" s="23">
        <f t="shared" si="8"/>
        <v>4.3516944791851071E-3</v>
      </c>
    </row>
    <row r="60" spans="1:11">
      <c r="A60" s="1">
        <v>39387</v>
      </c>
      <c r="C60" s="8">
        <f t="shared" si="0"/>
        <v>11</v>
      </c>
      <c r="D60" s="2">
        <v>38.386761</v>
      </c>
      <c r="E60" s="4">
        <f t="shared" si="9"/>
        <v>40.887175365901314</v>
      </c>
      <c r="F60" s="4">
        <f t="shared" si="10"/>
        <v>1.0012619732824857</v>
      </c>
      <c r="G60" s="4">
        <f t="shared" si="11"/>
        <v>0.94124084468434155</v>
      </c>
      <c r="H60" s="4">
        <f t="shared" si="5"/>
        <v>39.029022796437189</v>
      </c>
      <c r="I60" s="4">
        <f t="shared" si="6"/>
        <v>0.6422617964371895</v>
      </c>
      <c r="J60" s="4">
        <f t="shared" si="7"/>
        <v>0.41250021516272584</v>
      </c>
      <c r="K60" s="23">
        <f t="shared" si="8"/>
        <v>1.6731336005066683E-2</v>
      </c>
    </row>
    <row r="61" spans="1:11">
      <c r="A61" s="1">
        <v>39417</v>
      </c>
      <c r="C61" s="8">
        <f t="shared" si="0"/>
        <v>12</v>
      </c>
      <c r="D61" s="2">
        <v>38.287010000000002</v>
      </c>
      <c r="E61" s="4">
        <f t="shared" si="9"/>
        <v>40.398099288306469</v>
      </c>
      <c r="F61" s="4">
        <f t="shared" si="10"/>
        <v>1.0006787599526759</v>
      </c>
      <c r="G61" s="4">
        <f t="shared" si="11"/>
        <v>0.95136801514143954</v>
      </c>
      <c r="H61" s="4">
        <f t="shared" si="5"/>
        <v>39.247594186610172</v>
      </c>
      <c r="I61" s="4">
        <f t="shared" si="6"/>
        <v>0.96058418661016987</v>
      </c>
      <c r="J61" s="4">
        <f t="shared" si="7"/>
        <v>0.9227219795655216</v>
      </c>
      <c r="K61" s="23">
        <f t="shared" si="8"/>
        <v>2.5089036375788284E-2</v>
      </c>
    </row>
    <row r="62" spans="1:11">
      <c r="A62" s="1">
        <v>39448</v>
      </c>
      <c r="C62" s="8">
        <f t="shared" si="0"/>
        <v>1</v>
      </c>
      <c r="D62" s="2">
        <v>37.492254000000003</v>
      </c>
      <c r="E62" s="4">
        <f t="shared" si="9"/>
        <v>41.203462012833185</v>
      </c>
      <c r="F62" s="4">
        <f t="shared" si="10"/>
        <v>1.0015280673997702</v>
      </c>
      <c r="G62" s="4">
        <f t="shared" si="11"/>
        <v>0.90515270636615131</v>
      </c>
      <c r="H62" s="4">
        <f t="shared" si="5"/>
        <v>36.201224446448016</v>
      </c>
      <c r="I62" s="4">
        <f t="shared" si="6"/>
        <v>-1.2910295535519865</v>
      </c>
      <c r="J62" s="4">
        <f t="shared" si="7"/>
        <v>1.6667573081446414</v>
      </c>
      <c r="K62" s="23">
        <f t="shared" si="8"/>
        <v>3.4434567565662669E-2</v>
      </c>
    </row>
    <row r="63" spans="1:11">
      <c r="A63" s="1">
        <v>39479</v>
      </c>
      <c r="C63" s="8">
        <f t="shared" si="0"/>
        <v>2</v>
      </c>
      <c r="D63" s="2">
        <v>36.855338000000003</v>
      </c>
      <c r="E63" s="4">
        <f t="shared" si="9"/>
        <v>42.384942847486208</v>
      </c>
      <c r="F63" s="4">
        <f t="shared" si="10"/>
        <v>1.0027253269371035</v>
      </c>
      <c r="G63" s="4">
        <f t="shared" si="11"/>
        <v>0.8631979460747865</v>
      </c>
      <c r="H63" s="4">
        <f t="shared" si="5"/>
        <v>35.092616875853672</v>
      </c>
      <c r="I63" s="4">
        <f t="shared" si="6"/>
        <v>-1.7627211241463314</v>
      </c>
      <c r="J63" s="4">
        <f t="shared" si="7"/>
        <v>3.1071857615117064</v>
      </c>
      <c r="K63" s="23">
        <f t="shared" si="8"/>
        <v>4.7828109028503041E-2</v>
      </c>
    </row>
    <row r="64" spans="1:11">
      <c r="A64" s="1">
        <v>39508</v>
      </c>
      <c r="C64" s="8">
        <f t="shared" si="0"/>
        <v>3</v>
      </c>
      <c r="D64" s="2">
        <v>44.201991</v>
      </c>
      <c r="E64" s="4">
        <f t="shared" si="9"/>
        <v>42.189089101520963</v>
      </c>
      <c r="F64" s="4">
        <f t="shared" si="10"/>
        <v>1.0024013314458677</v>
      </c>
      <c r="G64" s="4">
        <f t="shared" si="11"/>
        <v>1.0499099542058326</v>
      </c>
      <c r="H64" s="4">
        <f t="shared" si="5"/>
        <v>44.810375638920057</v>
      </c>
      <c r="I64" s="4">
        <f t="shared" si="6"/>
        <v>0.60838463892005734</v>
      </c>
      <c r="J64" s="4">
        <f t="shared" si="7"/>
        <v>0.37013186887388855</v>
      </c>
      <c r="K64" s="23">
        <f t="shared" si="8"/>
        <v>1.3763738355588039E-2</v>
      </c>
    </row>
    <row r="65" spans="1:11">
      <c r="A65" s="1">
        <v>39539</v>
      </c>
      <c r="C65" s="8">
        <f t="shared" si="0"/>
        <v>4</v>
      </c>
      <c r="D65" s="2">
        <v>40.888962999999997</v>
      </c>
      <c r="E65" s="4">
        <f t="shared" si="9"/>
        <v>41.508406766043635</v>
      </c>
      <c r="F65" s="4">
        <f t="shared" si="10"/>
        <v>1.0015838443186262</v>
      </c>
      <c r="G65" s="4">
        <f t="shared" si="11"/>
        <v>0.9904056914906455</v>
      </c>
      <c r="H65" s="4">
        <f t="shared" si="5"/>
        <v>42.339841998383527</v>
      </c>
      <c r="I65" s="4">
        <f t="shared" si="6"/>
        <v>1.45087899838353</v>
      </c>
      <c r="J65" s="4">
        <f t="shared" si="7"/>
        <v>2.1050498679503953</v>
      </c>
      <c r="K65" s="23">
        <f t="shared" si="8"/>
        <v>3.5483389451171216E-2</v>
      </c>
    </row>
    <row r="66" spans="1:11">
      <c r="A66" s="1">
        <v>39569</v>
      </c>
      <c r="C66" s="8">
        <f t="shared" si="0"/>
        <v>5</v>
      </c>
      <c r="D66" s="2">
        <v>42.591557999999999</v>
      </c>
      <c r="E66" s="4">
        <f t="shared" si="9"/>
        <v>41.74231746594311</v>
      </c>
      <c r="F66" s="4">
        <f t="shared" si="10"/>
        <v>1.0017625282417599</v>
      </c>
      <c r="G66" s="4">
        <f t="shared" si="11"/>
        <v>1.0191873984075344</v>
      </c>
      <c r="H66" s="4">
        <f t="shared" si="5"/>
        <v>42.274658937486727</v>
      </c>
      <c r="I66" s="4">
        <f t="shared" si="6"/>
        <v>-0.31689906251327216</v>
      </c>
      <c r="J66" s="4">
        <f t="shared" si="7"/>
        <v>0.10042501582179078</v>
      </c>
      <c r="K66" s="23">
        <f t="shared" si="8"/>
        <v>7.4404195900340661E-3</v>
      </c>
    </row>
    <row r="67" spans="1:11">
      <c r="A67" s="1">
        <v>39600</v>
      </c>
      <c r="C67" s="8">
        <f t="shared" ref="C67:C113" si="12">MONTH(A67)</f>
        <v>6</v>
      </c>
      <c r="D67" s="2">
        <v>44.660111000000001</v>
      </c>
      <c r="E67" s="4">
        <f t="shared" si="9"/>
        <v>41.702797356250713</v>
      </c>
      <c r="F67" s="4">
        <f t="shared" si="10"/>
        <v>1.0016430374653509</v>
      </c>
      <c r="G67" s="4">
        <f t="shared" si="11"/>
        <v>1.0717364703525487</v>
      </c>
      <c r="H67" s="4">
        <f t="shared" si="5"/>
        <v>44.885075626680191</v>
      </c>
      <c r="I67" s="4">
        <f t="shared" si="6"/>
        <v>0.22496462668019035</v>
      </c>
      <c r="J67" s="4">
        <f t="shared" si="7"/>
        <v>5.0609083257357412E-2</v>
      </c>
      <c r="K67" s="23">
        <f t="shared" si="8"/>
        <v>5.0372608048419396E-3</v>
      </c>
    </row>
    <row r="68" spans="1:11">
      <c r="A68" s="1">
        <v>39630</v>
      </c>
      <c r="C68" s="8">
        <f t="shared" si="12"/>
        <v>7</v>
      </c>
      <c r="D68" s="2">
        <v>46.490098000000003</v>
      </c>
      <c r="E68" s="4">
        <f t="shared" si="9"/>
        <v>41.140770132777668</v>
      </c>
      <c r="F68" s="4">
        <f t="shared" si="10"/>
        <v>1.0009761838627795</v>
      </c>
      <c r="G68" s="4">
        <f t="shared" si="11"/>
        <v>1.1349831704293958</v>
      </c>
      <c r="H68" s="4">
        <f t="shared" si="5"/>
        <v>47.828057416921808</v>
      </c>
      <c r="I68" s="4">
        <f t="shared" si="6"/>
        <v>1.3379594169218052</v>
      </c>
      <c r="J68" s="4">
        <f t="shared" si="7"/>
        <v>1.790135401329737</v>
      </c>
      <c r="K68" s="23">
        <f t="shared" si="8"/>
        <v>2.8779449269429484E-2</v>
      </c>
    </row>
    <row r="69" spans="1:11">
      <c r="A69" s="1">
        <v>39661</v>
      </c>
      <c r="C69" s="8">
        <f t="shared" si="12"/>
        <v>8</v>
      </c>
      <c r="D69" s="2">
        <v>44.969555</v>
      </c>
      <c r="E69" s="4">
        <f t="shared" si="9"/>
        <v>40.660756473459742</v>
      </c>
      <c r="F69" s="4">
        <f t="shared" si="10"/>
        <v>1.0004185420633807</v>
      </c>
      <c r="G69" s="4">
        <f t="shared" si="11"/>
        <v>1.1100110973535795</v>
      </c>
      <c r="H69" s="4">
        <f t="shared" si="5"/>
        <v>46.047458581214407</v>
      </c>
      <c r="I69" s="4">
        <f t="shared" si="6"/>
        <v>1.0779035812144073</v>
      </c>
      <c r="J69" s="4">
        <f t="shared" si="7"/>
        <v>1.1618761303948444</v>
      </c>
      <c r="K69" s="23">
        <f t="shared" si="8"/>
        <v>2.3969629702015226E-2</v>
      </c>
    </row>
    <row r="70" spans="1:11">
      <c r="A70" s="1">
        <v>39692</v>
      </c>
      <c r="C70" s="8">
        <f t="shared" si="12"/>
        <v>9</v>
      </c>
      <c r="D70" s="2">
        <v>34.883001999999998</v>
      </c>
      <c r="E70" s="4">
        <f t="shared" si="9"/>
        <v>39.68351009396013</v>
      </c>
      <c r="F70" s="4">
        <f t="shared" si="10"/>
        <v>0.99934007940467517</v>
      </c>
      <c r="G70" s="4">
        <f t="shared" si="11"/>
        <v>0.88538864356509639</v>
      </c>
      <c r="H70" s="4">
        <f t="shared" si="5"/>
        <v>36.538053294789115</v>
      </c>
      <c r="I70" s="4">
        <f t="shared" si="6"/>
        <v>1.6550512947891178</v>
      </c>
      <c r="J70" s="4">
        <f t="shared" si="7"/>
        <v>2.7391947883831356</v>
      </c>
      <c r="K70" s="23">
        <f t="shared" si="8"/>
        <v>4.7445781609883171E-2</v>
      </c>
    </row>
    <row r="71" spans="1:11">
      <c r="A71" s="1">
        <v>39722</v>
      </c>
      <c r="C71" s="8">
        <f t="shared" si="12"/>
        <v>10</v>
      </c>
      <c r="D71" s="2">
        <v>38.128010000000003</v>
      </c>
      <c r="E71" s="4">
        <f t="shared" si="9"/>
        <v>39.448042411434201</v>
      </c>
      <c r="F71" s="4">
        <f t="shared" si="10"/>
        <v>0.99910748693920148</v>
      </c>
      <c r="G71" s="4">
        <f t="shared" si="11"/>
        <v>0.96799278176284531</v>
      </c>
      <c r="H71" s="4">
        <f t="shared" si="5"/>
        <v>38.504572716755767</v>
      </c>
      <c r="I71" s="4">
        <f t="shared" si="6"/>
        <v>0.37656271675576392</v>
      </c>
      <c r="J71" s="4">
        <f t="shared" si="7"/>
        <v>0.14179947965048167</v>
      </c>
      <c r="K71" s="23">
        <f t="shared" si="8"/>
        <v>9.8762751257084717E-3</v>
      </c>
    </row>
    <row r="72" spans="1:11">
      <c r="A72" s="1">
        <v>39753</v>
      </c>
      <c r="C72" s="8">
        <f t="shared" si="12"/>
        <v>11</v>
      </c>
      <c r="D72" s="2">
        <v>34.270471000000001</v>
      </c>
      <c r="E72" s="4">
        <f t="shared" si="9"/>
        <v>37.792417625644333</v>
      </c>
      <c r="F72" s="4">
        <f t="shared" si="10"/>
        <v>0.99729581362153075</v>
      </c>
      <c r="G72" s="4">
        <f t="shared" si="11"/>
        <v>0.91821052583516738</v>
      </c>
      <c r="H72" s="4">
        <f t="shared" si="5"/>
        <v>37.096969653464456</v>
      </c>
      <c r="I72" s="4">
        <f t="shared" si="6"/>
        <v>2.8264986534644549</v>
      </c>
      <c r="J72" s="4">
        <f t="shared" si="7"/>
        <v>7.9890946380363772</v>
      </c>
      <c r="K72" s="23">
        <f t="shared" si="8"/>
        <v>8.2476212639868735E-2</v>
      </c>
    </row>
    <row r="73" spans="1:11">
      <c r="A73" s="1">
        <v>39783</v>
      </c>
      <c r="C73" s="8">
        <f t="shared" si="12"/>
        <v>12</v>
      </c>
      <c r="D73" s="2">
        <v>37.156359000000002</v>
      </c>
      <c r="E73" s="4">
        <f t="shared" si="9"/>
        <v>38.427053124432717</v>
      </c>
      <c r="F73" s="4">
        <f t="shared" si="10"/>
        <v>0.99815570405382181</v>
      </c>
      <c r="G73" s="4">
        <f t="shared" si="11"/>
        <v>0.96177818399647919</v>
      </c>
      <c r="H73" s="4">
        <f t="shared" si="5"/>
        <v>35.857269681943507</v>
      </c>
      <c r="I73" s="4">
        <f t="shared" si="6"/>
        <v>-1.2990893180564953</v>
      </c>
      <c r="J73" s="4">
        <f t="shared" si="7"/>
        <v>1.68763305628849</v>
      </c>
      <c r="K73" s="23">
        <f t="shared" si="8"/>
        <v>3.4962772268846233E-2</v>
      </c>
    </row>
    <row r="74" spans="1:11">
      <c r="A74" s="1">
        <v>39814</v>
      </c>
      <c r="C74" s="8">
        <f t="shared" si="12"/>
        <v>1</v>
      </c>
      <c r="D74" s="2">
        <v>33.303545999999997</v>
      </c>
      <c r="E74" s="4">
        <f t="shared" si="9"/>
        <v>37.512832377037881</v>
      </c>
      <c r="F74" s="4">
        <f t="shared" si="10"/>
        <v>0.99718776214489713</v>
      </c>
      <c r="G74" s="4">
        <f t="shared" si="11"/>
        <v>0.89354017529863183</v>
      </c>
      <c r="H74" s="4">
        <f t="shared" si="5"/>
        <v>34.718202184062534</v>
      </c>
      <c r="I74" s="4">
        <f t="shared" si="6"/>
        <v>1.4146561840625367</v>
      </c>
      <c r="J74" s="4">
        <f t="shared" si="7"/>
        <v>2.0012521191063777</v>
      </c>
      <c r="K74" s="23">
        <f t="shared" si="8"/>
        <v>4.2477644394459883E-2</v>
      </c>
    </row>
    <row r="75" spans="1:11">
      <c r="A75" s="1">
        <v>39845</v>
      </c>
      <c r="C75" s="8">
        <f t="shared" si="12"/>
        <v>2</v>
      </c>
      <c r="D75" s="2">
        <v>31.687273999999999</v>
      </c>
      <c r="E75" s="4">
        <f t="shared" si="9"/>
        <v>37.030596513573315</v>
      </c>
      <c r="F75" s="4">
        <f t="shared" si="10"/>
        <v>0.99674482566847622</v>
      </c>
      <c r="G75" s="4">
        <f t="shared" si="11"/>
        <v>0.85818642559281877</v>
      </c>
      <c r="H75" s="4">
        <f t="shared" si="5"/>
        <v>32.289936785716428</v>
      </c>
      <c r="I75" s="4">
        <f t="shared" si="6"/>
        <v>0.60266278571642928</v>
      </c>
      <c r="J75" s="4">
        <f t="shared" si="7"/>
        <v>0.36320243328748675</v>
      </c>
      <c r="K75" s="23">
        <f t="shared" si="8"/>
        <v>1.9019079574861167E-2</v>
      </c>
    </row>
    <row r="76" spans="1:11">
      <c r="A76" s="1">
        <v>39873</v>
      </c>
      <c r="C76" s="8">
        <f t="shared" si="12"/>
        <v>3</v>
      </c>
      <c r="D76" s="2">
        <v>39.056403000000003</v>
      </c>
      <c r="E76" s="4">
        <f t="shared" si="9"/>
        <v>37.066384887779279</v>
      </c>
      <c r="F76" s="4">
        <f t="shared" si="10"/>
        <v>0.99693101663018857</v>
      </c>
      <c r="G76" s="4">
        <f t="shared" si="11"/>
        <v>1.0524368634362991</v>
      </c>
      <c r="H76" s="4">
        <f t="shared" si="5"/>
        <v>38.752234644380152</v>
      </c>
      <c r="I76" s="4">
        <f t="shared" si="6"/>
        <v>-0.30416835561985067</v>
      </c>
      <c r="J76" s="4">
        <f t="shared" si="7"/>
        <v>9.2518388560483944E-2</v>
      </c>
      <c r="K76" s="23">
        <f t="shared" si="8"/>
        <v>7.7879254681966145E-3</v>
      </c>
    </row>
    <row r="77" spans="1:11">
      <c r="A77" s="1">
        <v>39904</v>
      </c>
      <c r="C77" s="8">
        <f t="shared" si="12"/>
        <v>4</v>
      </c>
      <c r="D77" s="2">
        <v>38.136054999999999</v>
      </c>
      <c r="E77" s="4">
        <f t="shared" si="9"/>
        <v>37.790565025231558</v>
      </c>
      <c r="F77" s="4">
        <f t="shared" si="10"/>
        <v>0.99792804917256084</v>
      </c>
      <c r="G77" s="4">
        <f t="shared" si="11"/>
        <v>1.0029376175301801</v>
      </c>
      <c r="H77" s="4">
        <f t="shared" si="5"/>
        <v>36.598093848338415</v>
      </c>
      <c r="I77" s="4">
        <f t="shared" si="6"/>
        <v>-1.5379611516615839</v>
      </c>
      <c r="J77" s="4">
        <f t="shared" si="7"/>
        <v>2.3653245040202253</v>
      </c>
      <c r="K77" s="23">
        <f t="shared" si="8"/>
        <v>4.0328270757465187E-2</v>
      </c>
    </row>
    <row r="78" spans="1:11">
      <c r="A78" s="1">
        <v>39934</v>
      </c>
      <c r="C78" s="8">
        <f t="shared" si="12"/>
        <v>5</v>
      </c>
      <c r="D78" s="2">
        <v>38.408752999999997</v>
      </c>
      <c r="E78" s="4">
        <f t="shared" si="9"/>
        <v>37.697910348828657</v>
      </c>
      <c r="F78" s="4">
        <f t="shared" si="10"/>
        <v>0.99791129655089772</v>
      </c>
      <c r="G78" s="4">
        <f t="shared" si="11"/>
        <v>1.0189659352690321</v>
      </c>
      <c r="H78" s="4">
        <f t="shared" si="5"/>
        <v>38.435865082954713</v>
      </c>
      <c r="I78" s="4">
        <f t="shared" si="6"/>
        <v>2.7112082954715788E-2</v>
      </c>
      <c r="J78" s="4">
        <f t="shared" si="7"/>
        <v>7.3506504214339036E-4</v>
      </c>
      <c r="K78" s="23">
        <f t="shared" si="8"/>
        <v>7.0588292607978676E-4</v>
      </c>
    </row>
    <row r="79" spans="1:11">
      <c r="A79" s="1">
        <v>39965</v>
      </c>
      <c r="C79" s="8">
        <f t="shared" si="12"/>
        <v>6</v>
      </c>
      <c r="D79" s="2">
        <v>41.145909000000003</v>
      </c>
      <c r="E79" s="4">
        <f t="shared" si="9"/>
        <v>38.036096399312541</v>
      </c>
      <c r="F79" s="4">
        <f t="shared" si="10"/>
        <v>0.99839907216243362</v>
      </c>
      <c r="G79" s="4">
        <f t="shared" si="11"/>
        <v>1.0784403768140574</v>
      </c>
      <c r="H79" s="4">
        <f t="shared" si="5"/>
        <v>40.317837109424261</v>
      </c>
      <c r="I79" s="4">
        <f t="shared" si="6"/>
        <v>-0.82807189057574249</v>
      </c>
      <c r="J79" s="4">
        <f t="shared" si="7"/>
        <v>0.68570305596168446</v>
      </c>
      <c r="K79" s="23">
        <f t="shared" si="8"/>
        <v>2.0125254507701907E-2</v>
      </c>
    </row>
    <row r="80" spans="1:11">
      <c r="A80" s="1">
        <v>39995</v>
      </c>
      <c r="C80" s="8">
        <f t="shared" si="12"/>
        <v>7</v>
      </c>
      <c r="D80" s="2">
        <v>44.215515000000003</v>
      </c>
      <c r="E80" s="4">
        <f t="shared" si="9"/>
        <v>38.504977536360244</v>
      </c>
      <c r="F80" s="4">
        <f t="shared" si="10"/>
        <v>0.99901336214497771</v>
      </c>
      <c r="G80" s="4">
        <f t="shared" si="11"/>
        <v>1.143894457543154</v>
      </c>
      <c r="H80" s="4">
        <f t="shared" si="5"/>
        <v>43.101216700145329</v>
      </c>
      <c r="I80" s="4">
        <f t="shared" si="6"/>
        <v>-1.1142982998546742</v>
      </c>
      <c r="J80" s="4">
        <f t="shared" si="7"/>
        <v>1.2416607010590175</v>
      </c>
      <c r="K80" s="23">
        <f t="shared" si="8"/>
        <v>2.5201522584429339E-2</v>
      </c>
    </row>
    <row r="81" spans="1:11">
      <c r="A81" s="1">
        <v>40026</v>
      </c>
      <c r="C81" s="8">
        <f t="shared" si="12"/>
        <v>8</v>
      </c>
      <c r="D81" s="2">
        <v>42.397035000000002</v>
      </c>
      <c r="E81" s="4">
        <f t="shared" si="9"/>
        <v>38.320298880199886</v>
      </c>
      <c r="F81" s="4">
        <f t="shared" si="10"/>
        <v>0.99884534374246958</v>
      </c>
      <c r="G81" s="4">
        <f t="shared" si="11"/>
        <v>1.1075863266570389</v>
      </c>
      <c r="H81" s="4">
        <f t="shared" si="5"/>
        <v>42.698782527143486</v>
      </c>
      <c r="I81" s="4">
        <f t="shared" si="6"/>
        <v>0.3017475271434833</v>
      </c>
      <c r="J81" s="4">
        <f t="shared" si="7"/>
        <v>9.1051570137207188E-2</v>
      </c>
      <c r="K81" s="23">
        <f t="shared" si="8"/>
        <v>7.117184660283043E-3</v>
      </c>
    </row>
    <row r="82" spans="1:11">
      <c r="A82" s="1">
        <v>40057</v>
      </c>
      <c r="C82" s="8">
        <f t="shared" si="12"/>
        <v>9</v>
      </c>
      <c r="D82" s="2">
        <v>34.675395999999999</v>
      </c>
      <c r="E82" s="4">
        <f t="shared" si="9"/>
        <v>38.755217726400964</v>
      </c>
      <c r="F82" s="4">
        <f t="shared" si="10"/>
        <v>0.99939683082441599</v>
      </c>
      <c r="G82" s="4">
        <f t="shared" si="11"/>
        <v>0.89163557176289565</v>
      </c>
      <c r="H82" s="4">
        <f t="shared" si="5"/>
        <v>33.889181856315872</v>
      </c>
      <c r="I82" s="4">
        <f t="shared" si="6"/>
        <v>-0.78621414368412701</v>
      </c>
      <c r="J82" s="4">
        <f t="shared" si="7"/>
        <v>0.61813267972896513</v>
      </c>
      <c r="K82" s="23">
        <f t="shared" si="8"/>
        <v>2.2673544771749023E-2</v>
      </c>
    </row>
    <row r="83" spans="1:11">
      <c r="A83" s="1">
        <v>40087</v>
      </c>
      <c r="C83" s="8">
        <f t="shared" si="12"/>
        <v>10</v>
      </c>
      <c r="D83" s="2">
        <v>37.318050999999997</v>
      </c>
      <c r="E83" s="4">
        <f t="shared" si="9"/>
        <v>38.634793884983353</v>
      </c>
      <c r="F83" s="4">
        <f t="shared" si="10"/>
        <v>0.99928638876584375</v>
      </c>
      <c r="G83" s="4">
        <f t="shared" si="11"/>
        <v>0.96660520598591437</v>
      </c>
      <c r="H83" s="4">
        <f t="shared" si="5"/>
        <v>37.492143261298381</v>
      </c>
      <c r="I83" s="4">
        <f t="shared" si="6"/>
        <v>0.17409226129838373</v>
      </c>
      <c r="J83" s="4">
        <f t="shared" si="7"/>
        <v>3.0308115443984717E-2</v>
      </c>
      <c r="K83" s="23">
        <f t="shared" si="8"/>
        <v>4.6650952188897468E-3</v>
      </c>
    </row>
    <row r="84" spans="1:11">
      <c r="A84" s="1">
        <v>40118</v>
      </c>
      <c r="C84" s="8">
        <f t="shared" si="12"/>
        <v>11</v>
      </c>
      <c r="D84" s="2">
        <v>34.576582000000002</v>
      </c>
      <c r="E84" s="4">
        <f t="shared" si="9"/>
        <v>38.094197694314261</v>
      </c>
      <c r="F84" s="4">
        <f t="shared" si="10"/>
        <v>0.99870073716988306</v>
      </c>
      <c r="G84" s="4">
        <f t="shared" si="11"/>
        <v>0.91115385462625587</v>
      </c>
      <c r="H84" s="4">
        <f t="shared" si="5"/>
        <v>35.449559139755571</v>
      </c>
      <c r="I84" s="4">
        <f t="shared" si="6"/>
        <v>0.87297713975556945</v>
      </c>
      <c r="J84" s="4">
        <f t="shared" si="7"/>
        <v>0.76208908653581509</v>
      </c>
      <c r="K84" s="23">
        <f t="shared" si="8"/>
        <v>2.5247641301143341E-2</v>
      </c>
    </row>
    <row r="85" spans="1:11">
      <c r="A85" s="1">
        <v>40148</v>
      </c>
      <c r="C85" s="8">
        <f t="shared" si="12"/>
        <v>12</v>
      </c>
      <c r="D85" s="2">
        <v>36.459079000000003</v>
      </c>
      <c r="E85" s="4">
        <f t="shared" si="9"/>
        <v>37.970932340407344</v>
      </c>
      <c r="F85" s="4">
        <f t="shared" si="10"/>
        <v>0.99861532784343277</v>
      </c>
      <c r="G85" s="4">
        <f t="shared" si="11"/>
        <v>0.96071186706434553</v>
      </c>
      <c r="H85" s="4">
        <f t="shared" si="5"/>
        <v>36.590565669031648</v>
      </c>
      <c r="I85" s="4">
        <f t="shared" si="6"/>
        <v>0.13148666903164496</v>
      </c>
      <c r="J85" s="4">
        <f t="shared" si="7"/>
        <v>1.7288744133037343E-2</v>
      </c>
      <c r="K85" s="23">
        <f t="shared" si="8"/>
        <v>3.6064177329231204E-3</v>
      </c>
    </row>
    <row r="86" spans="1:11">
      <c r="A86" s="1">
        <v>40179</v>
      </c>
      <c r="C86" s="8">
        <f t="shared" si="12"/>
        <v>1</v>
      </c>
      <c r="D86" s="2">
        <v>33.487141000000001</v>
      </c>
      <c r="E86" s="4">
        <f t="shared" si="9"/>
        <v>37.680157393357248</v>
      </c>
      <c r="F86" s="4">
        <f t="shared" si="10"/>
        <v>0.99833865610312733</v>
      </c>
      <c r="G86" s="4">
        <f t="shared" si="11"/>
        <v>0.89031676228417134</v>
      </c>
      <c r="H86" s="4">
        <f t="shared" si="5"/>
        <v>33.881573616301047</v>
      </c>
      <c r="I86" s="4">
        <f t="shared" si="6"/>
        <v>0.39443261630104587</v>
      </c>
      <c r="J86" s="4">
        <f t="shared" si="7"/>
        <v>0.15557708880208806</v>
      </c>
      <c r="K86" s="23">
        <f t="shared" si="8"/>
        <v>1.1778629184887592E-2</v>
      </c>
    </row>
    <row r="87" spans="1:11">
      <c r="A87" s="1">
        <v>40210</v>
      </c>
      <c r="C87" s="8">
        <f t="shared" si="12"/>
        <v>2</v>
      </c>
      <c r="D87" s="2">
        <v>30.718097</v>
      </c>
      <c r="E87" s="4">
        <f t="shared" si="9"/>
        <v>36.633658749856579</v>
      </c>
      <c r="F87" s="4">
        <f t="shared" si="10"/>
        <v>0.99718701708987523</v>
      </c>
      <c r="G87" s="4">
        <f t="shared" si="11"/>
        <v>0.84503330086081641</v>
      </c>
      <c r="H87" s="4">
        <f t="shared" si="5"/>
        <v>32.282877376806979</v>
      </c>
      <c r="I87" s="4">
        <f t="shared" si="6"/>
        <v>1.5647803768069792</v>
      </c>
      <c r="J87" s="4">
        <f t="shared" si="7"/>
        <v>2.4485376276401918</v>
      </c>
      <c r="K87" s="23">
        <f t="shared" si="8"/>
        <v>5.0940016785772216E-2</v>
      </c>
    </row>
    <row r="88" spans="1:11">
      <c r="A88" s="1">
        <v>40238</v>
      </c>
      <c r="C88" s="8">
        <f t="shared" si="12"/>
        <v>3</v>
      </c>
      <c r="D88" s="2">
        <v>39.369601000000003</v>
      </c>
      <c r="E88" s="4">
        <f t="shared" si="9"/>
        <v>37.004078502006706</v>
      </c>
      <c r="F88" s="4">
        <f t="shared" si="10"/>
        <v>0.99775703748384703</v>
      </c>
      <c r="G88" s="4">
        <f t="shared" si="11"/>
        <v>1.060121364303152</v>
      </c>
      <c r="H88" s="4">
        <f t="shared" si="5"/>
        <v>38.446159443669963</v>
      </c>
      <c r="I88" s="4">
        <f t="shared" si="6"/>
        <v>-0.92344155633004021</v>
      </c>
      <c r="J88" s="4">
        <f t="shared" si="7"/>
        <v>0.85274430795724687</v>
      </c>
      <c r="K88" s="23">
        <f t="shared" si="8"/>
        <v>2.3455700156322135E-2</v>
      </c>
    </row>
    <row r="89" spans="1:11">
      <c r="A89" s="1">
        <v>40269</v>
      </c>
      <c r="C89" s="8">
        <f t="shared" si="12"/>
        <v>4</v>
      </c>
      <c r="D89" s="2">
        <v>37.762307</v>
      </c>
      <c r="E89" s="4">
        <f t="shared" si="9"/>
        <v>37.315328988300877</v>
      </c>
      <c r="F89" s="4">
        <f t="shared" si="10"/>
        <v>0.99822693144288077</v>
      </c>
      <c r="G89" s="4">
        <f t="shared" si="11"/>
        <v>1.0089845430265116</v>
      </c>
      <c r="H89" s="4">
        <f t="shared" si="5"/>
        <v>37.029539752062206</v>
      </c>
      <c r="I89" s="4">
        <f t="shared" si="6"/>
        <v>-0.7327672479377938</v>
      </c>
      <c r="J89" s="4">
        <f t="shared" si="7"/>
        <v>0.53694783965032822</v>
      </c>
      <c r="K89" s="23">
        <f t="shared" si="8"/>
        <v>1.9404726727575036E-2</v>
      </c>
    </row>
    <row r="90" spans="1:11">
      <c r="A90" s="1">
        <v>40299</v>
      </c>
      <c r="C90" s="8">
        <f t="shared" si="12"/>
        <v>5</v>
      </c>
      <c r="D90" s="2">
        <v>38.883682999999998</v>
      </c>
      <c r="E90" s="4">
        <f t="shared" ref="E90:E113" si="13">alpha*D90/G78+(1-alpha)*E89*F89</f>
        <v>37.740629654541458</v>
      </c>
      <c r="F90" s="4">
        <f t="shared" ref="F90:F113" si="14">beta*E90/E89+(1-beta)*F89</f>
        <v>0.99880780606439246</v>
      </c>
      <c r="G90" s="4">
        <f t="shared" ref="G90:G113" si="15">gamma*D90/E90+(1-gamma)*G78</f>
        <v>1.0265380767127328</v>
      </c>
      <c r="H90" s="4">
        <f t="shared" si="5"/>
        <v>37.955631629626303</v>
      </c>
      <c r="I90" s="4">
        <f t="shared" si="6"/>
        <v>-0.92805137037369434</v>
      </c>
      <c r="J90" s="4">
        <f t="shared" si="7"/>
        <v>0.86127934605249201</v>
      </c>
      <c r="K90" s="23">
        <f t="shared" si="8"/>
        <v>2.3867373118274172E-2</v>
      </c>
    </row>
    <row r="91" spans="1:11">
      <c r="A91" s="1">
        <v>40330</v>
      </c>
      <c r="C91" s="8">
        <f t="shared" si="12"/>
        <v>6</v>
      </c>
      <c r="D91" s="2">
        <v>41.901958999999998</v>
      </c>
      <c r="E91" s="4">
        <f t="shared" si="13"/>
        <v>38.320817162458013</v>
      </c>
      <c r="F91" s="4">
        <f t="shared" si="14"/>
        <v>0.99953839933669997</v>
      </c>
      <c r="G91" s="4">
        <f t="shared" si="15"/>
        <v>1.0884806309251482</v>
      </c>
      <c r="H91" s="4">
        <f t="shared" ref="H91:H113" si="16">E90*F90*G79</f>
        <v>40.652495357978573</v>
      </c>
      <c r="I91" s="4">
        <f t="shared" ref="I91:I113" si="17">H91-D91</f>
        <v>-1.2494636420214249</v>
      </c>
      <c r="J91" s="4">
        <f t="shared" ref="J91:J113" si="18">I91^2</f>
        <v>1.5611593927334435</v>
      </c>
      <c r="K91" s="23">
        <f t="shared" ref="K91:K113" si="19">ABS(D91-H91)/D91</f>
        <v>2.9818740503789451E-2</v>
      </c>
    </row>
    <row r="92" spans="1:11">
      <c r="A92" s="1">
        <v>40360</v>
      </c>
      <c r="C92" s="8">
        <f t="shared" si="12"/>
        <v>7</v>
      </c>
      <c r="D92" s="2">
        <v>44.021861000000001</v>
      </c>
      <c r="E92" s="4">
        <f t="shared" si="13"/>
        <v>38.400835113238664</v>
      </c>
      <c r="F92" s="4">
        <f t="shared" si="14"/>
        <v>0.99965085178146329</v>
      </c>
      <c r="G92" s="4">
        <f t="shared" si="15"/>
        <v>1.1455553727679408</v>
      </c>
      <c r="H92" s="4">
        <f t="shared" si="16"/>
        <v>43.814736109266072</v>
      </c>
      <c r="I92" s="4">
        <f t="shared" si="17"/>
        <v>-0.20712489073392959</v>
      </c>
      <c r="J92" s="4">
        <f t="shared" si="18"/>
        <v>4.2900720361542272E-2</v>
      </c>
      <c r="K92" s="23">
        <f t="shared" si="19"/>
        <v>4.705046220874887E-3</v>
      </c>
    </row>
    <row r="93" spans="1:11">
      <c r="A93" s="1">
        <v>40391</v>
      </c>
      <c r="C93" s="8">
        <f t="shared" si="12"/>
        <v>8</v>
      </c>
      <c r="D93" s="2">
        <v>42.813205000000004</v>
      </c>
      <c r="E93" s="4">
        <f t="shared" si="13"/>
        <v>38.531546640865983</v>
      </c>
      <c r="F93" s="4">
        <f t="shared" si="14"/>
        <v>0.99981637521525746</v>
      </c>
      <c r="G93" s="4">
        <f t="shared" si="15"/>
        <v>1.1099503938529658</v>
      </c>
      <c r="H93" s="4">
        <f t="shared" si="16"/>
        <v>42.517389847841919</v>
      </c>
      <c r="I93" s="4">
        <f t="shared" si="17"/>
        <v>-0.29581515215808452</v>
      </c>
      <c r="J93" s="4">
        <f t="shared" si="18"/>
        <v>8.7506604246310696E-2</v>
      </c>
      <c r="K93" s="23">
        <f t="shared" si="19"/>
        <v>6.9094372205511009E-3</v>
      </c>
    </row>
    <row r="94" spans="1:11">
      <c r="A94" s="1">
        <v>40422</v>
      </c>
      <c r="C94" s="8">
        <f t="shared" si="12"/>
        <v>9</v>
      </c>
      <c r="D94" s="2">
        <v>36.131604000000003</v>
      </c>
      <c r="E94" s="4">
        <f t="shared" si="13"/>
        <v>39.602806963161555</v>
      </c>
      <c r="F94" s="4">
        <f t="shared" si="14"/>
        <v>1.0010506620929072</v>
      </c>
      <c r="G94" s="4">
        <f t="shared" si="15"/>
        <v>0.90549012377508376</v>
      </c>
      <c r="H94" s="4">
        <f t="shared" si="16"/>
        <v>34.349788989007145</v>
      </c>
      <c r="I94" s="4">
        <f t="shared" si="17"/>
        <v>-1.7818150109928581</v>
      </c>
      <c r="J94" s="4">
        <f t="shared" si="18"/>
        <v>3.1748647333994788</v>
      </c>
      <c r="K94" s="23">
        <f t="shared" si="19"/>
        <v>4.931458373652213E-2</v>
      </c>
    </row>
    <row r="95" spans="1:11">
      <c r="A95" s="1">
        <v>40452</v>
      </c>
      <c r="C95" s="8">
        <f t="shared" si="12"/>
        <v>10</v>
      </c>
      <c r="D95" s="2">
        <v>39.183461000000001</v>
      </c>
      <c r="E95" s="4">
        <f t="shared" si="13"/>
        <v>40.126165635010139</v>
      </c>
      <c r="F95" s="4">
        <f t="shared" si="14"/>
        <v>1.0015871672360359</v>
      </c>
      <c r="G95" s="4">
        <f t="shared" si="15"/>
        <v>0.97322767360165874</v>
      </c>
      <c r="H95" s="4">
        <f t="shared" si="16"/>
        <v>38.320499020700005</v>
      </c>
      <c r="I95" s="4">
        <f t="shared" si="17"/>
        <v>-0.86296197929999607</v>
      </c>
      <c r="J95" s="4">
        <f t="shared" si="18"/>
        <v>0.74470337771736683</v>
      </c>
      <c r="K95" s="23">
        <f t="shared" si="19"/>
        <v>2.2023628267548803E-2</v>
      </c>
    </row>
    <row r="96" spans="1:11">
      <c r="A96" s="1">
        <v>40483</v>
      </c>
      <c r="C96" s="8">
        <f t="shared" si="12"/>
        <v>11</v>
      </c>
      <c r="D96" s="2">
        <v>36.671543999999997</v>
      </c>
      <c r="E96" s="4">
        <f t="shared" si="13"/>
        <v>40.22088809114323</v>
      </c>
      <c r="F96" s="4">
        <f t="shared" si="14"/>
        <v>1.001621279453967</v>
      </c>
      <c r="G96" s="4">
        <f t="shared" si="15"/>
        <v>0.91155506873492853</v>
      </c>
      <c r="H96" s="4">
        <f t="shared" si="16"/>
        <v>36.619139086393453</v>
      </c>
      <c r="I96" s="4">
        <f t="shared" si="17"/>
        <v>-5.2404913606544312E-2</v>
      </c>
      <c r="J96" s="4">
        <f t="shared" si="18"/>
        <v>2.746274970109373E-3</v>
      </c>
      <c r="K96" s="23">
        <f t="shared" si="19"/>
        <v>1.4290348289274189E-3</v>
      </c>
    </row>
    <row r="97" spans="1:11">
      <c r="A97" s="1">
        <v>40513</v>
      </c>
      <c r="C97" s="8">
        <f t="shared" si="12"/>
        <v>12</v>
      </c>
      <c r="D97" s="2">
        <v>37.426385000000003</v>
      </c>
      <c r="E97" s="4">
        <f t="shared" si="13"/>
        <v>39.568867456698484</v>
      </c>
      <c r="F97" s="4">
        <f t="shared" si="14"/>
        <v>1.0008348037088857</v>
      </c>
      <c r="G97" s="4">
        <f t="shared" si="15"/>
        <v>0.95077441513299876</v>
      </c>
      <c r="H97" s="4">
        <f t="shared" si="16"/>
        <v>38.703331840884083</v>
      </c>
      <c r="I97" s="4">
        <f t="shared" si="17"/>
        <v>1.2769468408840794</v>
      </c>
      <c r="J97" s="4">
        <f t="shared" si="18"/>
        <v>1.6305932344438303</v>
      </c>
      <c r="K97" s="23">
        <f t="shared" si="19"/>
        <v>3.411889341928373E-2</v>
      </c>
    </row>
    <row r="98" spans="1:11">
      <c r="A98" s="1">
        <v>40544</v>
      </c>
      <c r="C98" s="8">
        <f t="shared" si="12"/>
        <v>1</v>
      </c>
      <c r="D98" s="2">
        <v>34.327419999999996</v>
      </c>
      <c r="E98" s="4">
        <f t="shared" si="13"/>
        <v>39.037745759515161</v>
      </c>
      <c r="F98" s="4">
        <f t="shared" si="14"/>
        <v>1.0002059891565598</v>
      </c>
      <c r="G98" s="4">
        <f t="shared" si="15"/>
        <v>0.88297442147991201</v>
      </c>
      <c r="H98" s="4">
        <f t="shared" si="16"/>
        <v>35.258235115871486</v>
      </c>
      <c r="I98" s="4">
        <f t="shared" si="17"/>
        <v>0.93081511587148924</v>
      </c>
      <c r="J98" s="4">
        <f t="shared" si="18"/>
        <v>0.86641677993485389</v>
      </c>
      <c r="K98" s="23">
        <f t="shared" si="19"/>
        <v>2.7115790113894062E-2</v>
      </c>
    </row>
    <row r="99" spans="1:11">
      <c r="A99" s="1">
        <v>40575</v>
      </c>
      <c r="C99" s="8">
        <f t="shared" si="12"/>
        <v>2</v>
      </c>
      <c r="D99" s="2">
        <v>31.825085999999999</v>
      </c>
      <c r="E99" s="4">
        <f t="shared" si="13"/>
        <v>38.298727457457069</v>
      </c>
      <c r="F99" s="4">
        <f t="shared" si="14"/>
        <v>0.9993619761607796</v>
      </c>
      <c r="G99" s="4">
        <f t="shared" si="15"/>
        <v>0.83562693511453112</v>
      </c>
      <c r="H99" s="4">
        <f t="shared" si="16"/>
        <v>32.994990367825324</v>
      </c>
      <c r="I99" s="4">
        <f t="shared" si="17"/>
        <v>1.1699043678253247</v>
      </c>
      <c r="J99" s="4">
        <f t="shared" si="18"/>
        <v>1.3686762298567727</v>
      </c>
      <c r="K99" s="23">
        <f t="shared" si="19"/>
        <v>3.6760446392048236E-2</v>
      </c>
    </row>
    <row r="100" spans="1:11">
      <c r="A100" s="1">
        <v>40603</v>
      </c>
      <c r="C100" s="8">
        <f t="shared" si="12"/>
        <v>3</v>
      </c>
      <c r="D100" s="2">
        <v>40.506780999999997</v>
      </c>
      <c r="E100" s="4">
        <f t="shared" si="13"/>
        <v>38.239367198398554</v>
      </c>
      <c r="F100" s="4">
        <f t="shared" si="14"/>
        <v>0.99932175749648566</v>
      </c>
      <c r="G100" s="4">
        <f t="shared" si="15"/>
        <v>1.0595688349008066</v>
      </c>
      <c r="H100" s="4">
        <f t="shared" si="16"/>
        <v>40.575394606478966</v>
      </c>
      <c r="I100" s="4">
        <f t="shared" si="17"/>
        <v>6.8613606478969302E-2</v>
      </c>
      <c r="J100" s="4">
        <f t="shared" si="18"/>
        <v>4.7078269940508581E-3</v>
      </c>
      <c r="K100" s="23">
        <f t="shared" si="19"/>
        <v>1.6938795131355737E-3</v>
      </c>
    </row>
    <row r="101" spans="1:11">
      <c r="A101" s="1">
        <v>40634</v>
      </c>
      <c r="C101" s="8">
        <f t="shared" si="12"/>
        <v>4</v>
      </c>
      <c r="D101" s="2">
        <v>38.505752000000001</v>
      </c>
      <c r="E101" s="4">
        <f t="shared" si="13"/>
        <v>38.186151385913682</v>
      </c>
      <c r="F101" s="4">
        <f t="shared" si="14"/>
        <v>0.99929029333188923</v>
      </c>
      <c r="G101" s="4">
        <f t="shared" si="15"/>
        <v>1.0085732000922569</v>
      </c>
      <c r="H101" s="4">
        <f t="shared" si="16"/>
        <v>38.55676185496575</v>
      </c>
      <c r="I101" s="4">
        <f t="shared" si="17"/>
        <v>5.1009854965748502E-2</v>
      </c>
      <c r="J101" s="4">
        <f t="shared" si="18"/>
        <v>2.6020053036266973E-3</v>
      </c>
      <c r="K101" s="23">
        <f t="shared" si="19"/>
        <v>1.3247333792039304E-3</v>
      </c>
    </row>
    <row r="102" spans="1:11">
      <c r="A102" s="1">
        <v>40664</v>
      </c>
      <c r="C102" s="8">
        <f t="shared" si="12"/>
        <v>5</v>
      </c>
      <c r="D102" s="2">
        <v>40.429592999999997</v>
      </c>
      <c r="E102" s="4">
        <f t="shared" si="13"/>
        <v>38.82026297017174</v>
      </c>
      <c r="F102" s="4">
        <f t="shared" si="14"/>
        <v>1.0000539774886548</v>
      </c>
      <c r="G102" s="4">
        <f t="shared" si="15"/>
        <v>1.0365158763178617</v>
      </c>
      <c r="H102" s="4">
        <f t="shared" si="16"/>
        <v>39.171718226967201</v>
      </c>
      <c r="I102" s="4">
        <f t="shared" si="17"/>
        <v>-1.2578747730327962</v>
      </c>
      <c r="J102" s="4">
        <f t="shared" si="18"/>
        <v>1.5822489446323085</v>
      </c>
      <c r="K102" s="23">
        <f t="shared" si="19"/>
        <v>3.1112724113566918E-2</v>
      </c>
    </row>
    <row r="103" spans="1:11">
      <c r="A103" s="1">
        <v>40695</v>
      </c>
      <c r="C103" s="8">
        <f t="shared" si="12"/>
        <v>6</v>
      </c>
      <c r="D103" s="2">
        <v>42.570238000000003</v>
      </c>
      <c r="E103" s="4">
        <f t="shared" si="13"/>
        <v>38.97745351562159</v>
      </c>
      <c r="F103" s="4">
        <f t="shared" si="14"/>
        <v>1.000230182500526</v>
      </c>
      <c r="G103" s="4">
        <f t="shared" si="15"/>
        <v>1.0909522554139368</v>
      </c>
      <c r="H103" s="4">
        <f t="shared" si="16"/>
        <v>42.257385154867308</v>
      </c>
      <c r="I103" s="4">
        <f t="shared" si="17"/>
        <v>-0.31285284513269573</v>
      </c>
      <c r="J103" s="4">
        <f t="shared" si="18"/>
        <v>9.7876902707622504E-2</v>
      </c>
      <c r="K103" s="23">
        <f t="shared" si="19"/>
        <v>7.3490978634579334E-3</v>
      </c>
    </row>
    <row r="104" spans="1:11">
      <c r="A104" s="1">
        <v>40725</v>
      </c>
      <c r="C104" s="8">
        <f t="shared" si="12"/>
        <v>7</v>
      </c>
      <c r="D104" s="2">
        <v>45.074086000000001</v>
      </c>
      <c r="E104" s="4">
        <f t="shared" si="13"/>
        <v>39.180956248413182</v>
      </c>
      <c r="F104" s="4">
        <f t="shared" si="14"/>
        <v>1.0004502994595987</v>
      </c>
      <c r="G104" s="4">
        <f t="shared" si="15"/>
        <v>1.1488010590387152</v>
      </c>
      <c r="H104" s="4">
        <f t="shared" si="16"/>
        <v>44.661109131630248</v>
      </c>
      <c r="I104" s="4">
        <f t="shared" si="17"/>
        <v>-0.41297686836975345</v>
      </c>
      <c r="J104" s="4">
        <f t="shared" si="18"/>
        <v>0.17054989380848867</v>
      </c>
      <c r="K104" s="23">
        <f t="shared" si="19"/>
        <v>9.1621795363693772E-3</v>
      </c>
    </row>
    <row r="105" spans="1:11">
      <c r="A105" s="1">
        <v>40756</v>
      </c>
      <c r="C105" s="8">
        <f t="shared" si="12"/>
        <v>8</v>
      </c>
      <c r="D105" s="2">
        <v>42.782321000000003</v>
      </c>
      <c r="E105" s="4">
        <f t="shared" si="13"/>
        <v>38.845563104601339</v>
      </c>
      <c r="F105" s="4">
        <f t="shared" si="14"/>
        <v>1.000052903979618</v>
      </c>
      <c r="G105" s="4">
        <f t="shared" si="15"/>
        <v>1.1041938923957597</v>
      </c>
      <c r="H105" s="4">
        <f t="shared" si="16"/>
        <v>43.508500855654667</v>
      </c>
      <c r="I105" s="4">
        <f t="shared" si="17"/>
        <v>0.7261798556546637</v>
      </c>
      <c r="J105" s="4">
        <f t="shared" si="18"/>
        <v>0.52733718275862818</v>
      </c>
      <c r="K105" s="23">
        <f t="shared" si="19"/>
        <v>1.6973830280378282E-2</v>
      </c>
    </row>
    <row r="106" spans="1:11">
      <c r="A106" s="1">
        <v>40787</v>
      </c>
      <c r="C106" s="8">
        <f t="shared" si="12"/>
        <v>9</v>
      </c>
      <c r="D106" s="2">
        <v>36.698979000000001</v>
      </c>
      <c r="E106" s="4">
        <f t="shared" si="13"/>
        <v>39.755126385604761</v>
      </c>
      <c r="F106" s="4">
        <f t="shared" si="14"/>
        <v>1.0010832609588745</v>
      </c>
      <c r="G106" s="4">
        <f t="shared" si="15"/>
        <v>0.91728567481880108</v>
      </c>
      <c r="H106" s="4">
        <f t="shared" si="16"/>
        <v>35.176134602759504</v>
      </c>
      <c r="I106" s="4">
        <f t="shared" si="17"/>
        <v>-1.5228443972404975</v>
      </c>
      <c r="J106" s="4">
        <f t="shared" si="18"/>
        <v>2.3190550582067742</v>
      </c>
      <c r="K106" s="23">
        <f t="shared" si="19"/>
        <v>4.1495552158017729E-2</v>
      </c>
    </row>
    <row r="107" spans="1:11">
      <c r="A107" s="1">
        <v>40817</v>
      </c>
      <c r="C107" s="8">
        <f t="shared" si="12"/>
        <v>10</v>
      </c>
      <c r="D107" s="2">
        <v>38.703718000000002</v>
      </c>
      <c r="E107" s="4">
        <f t="shared" si="13"/>
        <v>39.782121652252741</v>
      </c>
      <c r="F107" s="4">
        <f t="shared" si="14"/>
        <v>1.0010654331126285</v>
      </c>
      <c r="G107" s="4">
        <f t="shared" si="15"/>
        <v>0.97300332826671565</v>
      </c>
      <c r="H107" s="4">
        <f t="shared" si="16"/>
        <v>38.732701387373616</v>
      </c>
      <c r="I107" s="4">
        <f t="shared" si="17"/>
        <v>2.8983387373614278E-2</v>
      </c>
      <c r="J107" s="4">
        <f t="shared" si="18"/>
        <v>8.4003674364898349E-4</v>
      </c>
      <c r="K107" s="23">
        <f t="shared" si="19"/>
        <v>7.4885279428747069E-4</v>
      </c>
    </row>
    <row r="108" spans="1:11">
      <c r="A108" s="1">
        <v>40848</v>
      </c>
      <c r="C108" s="8">
        <f t="shared" si="12"/>
        <v>11</v>
      </c>
      <c r="D108" s="2">
        <v>36.827824</v>
      </c>
      <c r="E108" s="4">
        <f t="shared" si="13"/>
        <v>40.13563931932277</v>
      </c>
      <c r="F108" s="4">
        <f t="shared" si="14"/>
        <v>1.0014103670997039</v>
      </c>
      <c r="G108" s="4">
        <f t="shared" si="15"/>
        <v>0.91558757611646124</v>
      </c>
      <c r="H108" s="4">
        <f t="shared" si="16"/>
        <v>36.302231071649885</v>
      </c>
      <c r="I108" s="4">
        <f t="shared" si="17"/>
        <v>-0.52559292835011462</v>
      </c>
      <c r="J108" s="4">
        <f t="shared" si="18"/>
        <v>0.27624792633164874</v>
      </c>
      <c r="K108" s="23">
        <f t="shared" si="19"/>
        <v>1.4271625941030744E-2</v>
      </c>
    </row>
    <row r="109" spans="1:11">
      <c r="A109" s="1">
        <v>40878</v>
      </c>
      <c r="C109" s="8">
        <f t="shared" si="12"/>
        <v>12</v>
      </c>
      <c r="D109" s="2">
        <v>37.493287000000002</v>
      </c>
      <c r="E109" s="4">
        <f t="shared" si="13"/>
        <v>39.783344394769117</v>
      </c>
      <c r="F109" s="4">
        <f t="shared" si="14"/>
        <v>1.0009610360046521</v>
      </c>
      <c r="G109" s="4">
        <f t="shared" si="15"/>
        <v>0.94519779101152246</v>
      </c>
      <c r="H109" s="4">
        <f t="shared" si="16"/>
        <v>38.213758522310144</v>
      </c>
      <c r="I109" s="4">
        <f t="shared" si="17"/>
        <v>0.72047152231014167</v>
      </c>
      <c r="J109" s="4">
        <f t="shared" si="18"/>
        <v>0.51907921445989291</v>
      </c>
      <c r="K109" s="23">
        <f t="shared" si="19"/>
        <v>1.9216013850963283E-2</v>
      </c>
    </row>
    <row r="110" spans="1:11">
      <c r="A110" s="1">
        <v>40909</v>
      </c>
      <c r="C110" s="8">
        <f t="shared" si="12"/>
        <v>1</v>
      </c>
      <c r="D110" s="2">
        <v>34.313549999999999</v>
      </c>
      <c r="E110" s="4">
        <f t="shared" si="13"/>
        <v>39.303413547875984</v>
      </c>
      <c r="F110" s="4">
        <f t="shared" si="14"/>
        <v>1.0003865961136258</v>
      </c>
      <c r="G110" s="4">
        <f t="shared" si="15"/>
        <v>0.87633145212789021</v>
      </c>
      <c r="H110" s="4">
        <f t="shared" si="16"/>
        <v>35.161434462424047</v>
      </c>
      <c r="I110" s="4">
        <f t="shared" si="17"/>
        <v>0.84788446242404802</v>
      </c>
      <c r="J110" s="4">
        <f t="shared" si="18"/>
        <v>0.71890806162011689</v>
      </c>
      <c r="K110" s="23">
        <f t="shared" si="19"/>
        <v>2.4709902135571751E-2</v>
      </c>
    </row>
    <row r="111" spans="1:11">
      <c r="A111" s="1">
        <v>40940</v>
      </c>
      <c r="C111" s="8">
        <f t="shared" si="12"/>
        <v>2</v>
      </c>
      <c r="D111" s="2">
        <v>33.264167999999998</v>
      </c>
      <c r="E111" s="4">
        <f t="shared" si="13"/>
        <v>39.582385224102275</v>
      </c>
      <c r="F111" s="4">
        <f t="shared" si="14"/>
        <v>1.0006825918456532</v>
      </c>
      <c r="G111" s="4">
        <f t="shared" si="15"/>
        <v>0.83880472154054442</v>
      </c>
      <c r="H111" s="4">
        <f t="shared" si="16"/>
        <v>32.85568797523198</v>
      </c>
      <c r="I111" s="4">
        <f t="shared" si="17"/>
        <v>-0.40848002476801781</v>
      </c>
      <c r="J111" s="4">
        <f t="shared" si="18"/>
        <v>0.16685593063448045</v>
      </c>
      <c r="K111" s="23">
        <f t="shared" si="19"/>
        <v>1.2279881004930526E-2</v>
      </c>
    </row>
    <row r="112" spans="1:11">
      <c r="A112" s="1">
        <v>40969</v>
      </c>
      <c r="C112" s="8">
        <f t="shared" si="12"/>
        <v>3</v>
      </c>
      <c r="D112" s="2">
        <v>40.781256999999997</v>
      </c>
      <c r="E112" s="4">
        <f t="shared" si="13"/>
        <v>39.004575989587423</v>
      </c>
      <c r="F112" s="4">
        <f t="shared" si="14"/>
        <v>1.0000086717599226</v>
      </c>
      <c r="G112" s="4">
        <f t="shared" si="15"/>
        <v>1.0501927292423854</v>
      </c>
      <c r="H112" s="4">
        <f t="shared" si="16"/>
        <v>41.968889875202436</v>
      </c>
      <c r="I112" s="4">
        <f t="shared" si="17"/>
        <v>1.1876328752024392</v>
      </c>
      <c r="J112" s="4">
        <f t="shared" si="18"/>
        <v>1.4104718462616126</v>
      </c>
      <c r="K112" s="23">
        <f t="shared" si="19"/>
        <v>2.9122027190148635E-2</v>
      </c>
    </row>
    <row r="113" spans="1:11">
      <c r="A113" s="1">
        <v>41000</v>
      </c>
      <c r="C113" s="8">
        <f t="shared" si="12"/>
        <v>4</v>
      </c>
      <c r="D113" s="2">
        <v>38.806524000000003</v>
      </c>
      <c r="E113" s="4">
        <f t="shared" si="13"/>
        <v>38.71986158507832</v>
      </c>
      <c r="F113" s="4">
        <f t="shared" si="14"/>
        <v>0.9996863511373536</v>
      </c>
      <c r="G113" s="4">
        <f t="shared" si="15"/>
        <v>1.0043360309725273</v>
      </c>
      <c r="H113" s="4">
        <f t="shared" si="16"/>
        <v>39.33931116216344</v>
      </c>
      <c r="I113" s="4">
        <f t="shared" si="17"/>
        <v>0.53278716216343724</v>
      </c>
      <c r="J113" s="4">
        <f t="shared" si="18"/>
        <v>0.28386216016616878</v>
      </c>
      <c r="K113" s="23">
        <f t="shared" si="19"/>
        <v>1.3729319383602541E-2</v>
      </c>
    </row>
  </sheetData>
  <conditionalFormatting sqref="I26:I113">
    <cfRule type="expression" dxfId="0" priority="1">
      <formula>ABS(I26)&gt;=2*$G$6</formula>
    </cfRule>
  </conditionalFormatting>
  <pageMargins left="0.7" right="0.7" top="0.75" bottom="0.75" header="0.3" footer="0.3"/>
  <pageSetup orientation="portrait" horizontalDpi="0" verticalDpi="0"/>
  <ignoredErrors>
    <ignoredError sqref="C25:C113 C2:C2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"/>
  <sheetViews>
    <sheetView workbookViewId="0">
      <selection activeCell="E3" sqref="E3:K16"/>
    </sheetView>
  </sheetViews>
  <sheetFormatPr baseColWidth="10" defaultRowHeight="16"/>
  <cols>
    <col min="7" max="7" width="12.5" customWidth="1"/>
    <col min="9" max="9" width="12.5" customWidth="1"/>
    <col min="10" max="10" width="13.33203125" customWidth="1"/>
    <col min="14" max="14" width="11.83203125" customWidth="1"/>
  </cols>
  <sheetData>
    <row r="1" spans="1:11" ht="21">
      <c r="A1" s="26" t="s">
        <v>36</v>
      </c>
      <c r="B1" s="26"/>
      <c r="G1" t="s">
        <v>37</v>
      </c>
    </row>
    <row r="3" spans="1:11">
      <c r="A3" t="s">
        <v>33</v>
      </c>
      <c r="B3" t="s">
        <v>40</v>
      </c>
      <c r="C3" t="s">
        <v>34</v>
      </c>
      <c r="D3" t="s">
        <v>35</v>
      </c>
      <c r="E3" t="s">
        <v>27</v>
      </c>
      <c r="F3" t="s">
        <v>1</v>
      </c>
      <c r="G3" t="s">
        <v>2</v>
      </c>
      <c r="H3" t="s">
        <v>41</v>
      </c>
    </row>
    <row r="4" spans="1:11">
      <c r="A4">
        <v>1991</v>
      </c>
      <c r="B4">
        <v>1</v>
      </c>
      <c r="C4">
        <v>1</v>
      </c>
      <c r="D4" s="25">
        <v>9281</v>
      </c>
      <c r="E4">
        <f t="shared" ref="E4:E11" si="0">Base1*(Trend1^B4)*VLOOKUP(C4,Seasonality_Factors1,2)</f>
        <v>9241.9578192737208</v>
      </c>
      <c r="F4" s="25">
        <f>D4-E4</f>
        <v>39.042180726279184</v>
      </c>
      <c r="G4" s="25">
        <f>F4^2</f>
        <v>1524.2918758634457</v>
      </c>
      <c r="H4">
        <f>ABS(D4-E4)/D4</f>
        <v>4.2066782379354796E-3</v>
      </c>
      <c r="J4" t="s">
        <v>38</v>
      </c>
      <c r="K4" s="5">
        <v>9416.2812443394232</v>
      </c>
    </row>
    <row r="5" spans="1:11">
      <c r="A5">
        <v>1991</v>
      </c>
      <c r="B5">
        <f>B4+1</f>
        <v>2</v>
      </c>
      <c r="C5">
        <v>2</v>
      </c>
      <c r="D5" s="25">
        <v>10340</v>
      </c>
      <c r="E5">
        <f t="shared" si="0"/>
        <v>10320.742665740019</v>
      </c>
      <c r="F5" s="25">
        <f t="shared" ref="F5:F11" si="1">D5-E5</f>
        <v>19.25733425998078</v>
      </c>
      <c r="G5" s="25">
        <f t="shared" ref="G5:G11" si="2">F5^2</f>
        <v>370.84492280062949</v>
      </c>
      <c r="H5">
        <f t="shared" ref="H5:H11" si="3">ABS(D5-E5)/D5</f>
        <v>1.8624114371354719E-3</v>
      </c>
      <c r="J5" t="s">
        <v>39</v>
      </c>
      <c r="K5" s="5">
        <v>1.0602734661565079</v>
      </c>
    </row>
    <row r="6" spans="1:11">
      <c r="A6">
        <v>1991</v>
      </c>
      <c r="B6">
        <f t="shared" ref="B6:B56" si="4">B5+1</f>
        <v>3</v>
      </c>
      <c r="C6">
        <v>3</v>
      </c>
      <c r="D6" s="25">
        <v>10628</v>
      </c>
      <c r="E6">
        <f t="shared" si="0"/>
        <v>10750.992223119621</v>
      </c>
      <c r="F6" s="25">
        <f t="shared" si="1"/>
        <v>-122.99222311962149</v>
      </c>
      <c r="G6" s="25">
        <f t="shared" si="2"/>
        <v>15127.086947906753</v>
      </c>
      <c r="H6">
        <f t="shared" si="3"/>
        <v>1.1572471125293703E-2</v>
      </c>
    </row>
    <row r="7" spans="1:11">
      <c r="A7">
        <v>1991</v>
      </c>
      <c r="B7">
        <f t="shared" si="4"/>
        <v>4</v>
      </c>
      <c r="C7">
        <v>4</v>
      </c>
      <c r="D7" s="25">
        <v>13639</v>
      </c>
      <c r="E7">
        <f t="shared" si="0"/>
        <v>13583.238464873801</v>
      </c>
      <c r="F7" s="25">
        <f t="shared" si="1"/>
        <v>55.761535126199306</v>
      </c>
      <c r="G7" s="25">
        <f t="shared" si="2"/>
        <v>3109.3487996303588</v>
      </c>
      <c r="H7">
        <f t="shared" si="3"/>
        <v>4.0883888207492707E-3</v>
      </c>
      <c r="J7" t="s">
        <v>5</v>
      </c>
    </row>
    <row r="8" spans="1:11">
      <c r="A8">
        <v>1992</v>
      </c>
      <c r="B8">
        <f t="shared" si="4"/>
        <v>5</v>
      </c>
      <c r="C8">
        <v>1</v>
      </c>
      <c r="D8" s="25">
        <v>11649</v>
      </c>
      <c r="E8">
        <f t="shared" si="0"/>
        <v>11679.803989945922</v>
      </c>
      <c r="F8" s="25">
        <f t="shared" si="1"/>
        <v>-30.803989945921785</v>
      </c>
      <c r="G8" s="25">
        <f t="shared" si="2"/>
        <v>948.88579658845038</v>
      </c>
      <c r="H8">
        <f t="shared" si="3"/>
        <v>2.6443462911770782E-3</v>
      </c>
      <c r="J8">
        <v>1</v>
      </c>
      <c r="K8" s="5">
        <v>0.9256923345392869</v>
      </c>
    </row>
    <row r="9" spans="1:11">
      <c r="A9">
        <v>1992</v>
      </c>
      <c r="B9">
        <f t="shared" si="4"/>
        <v>6</v>
      </c>
      <c r="C9">
        <v>2</v>
      </c>
      <c r="D9" s="25">
        <v>13028</v>
      </c>
      <c r="E9">
        <f t="shared" si="0"/>
        <v>13043.15099936134</v>
      </c>
      <c r="F9" s="25">
        <f t="shared" si="1"/>
        <v>-15.150999361339927</v>
      </c>
      <c r="G9" s="25">
        <f t="shared" si="2"/>
        <v>229.55278164732289</v>
      </c>
      <c r="H9">
        <f t="shared" si="3"/>
        <v>1.1629566596054596E-3</v>
      </c>
      <c r="J9">
        <v>2</v>
      </c>
      <c r="K9" s="5">
        <v>0.97498007833913347</v>
      </c>
    </row>
    <row r="10" spans="1:11">
      <c r="A10">
        <v>1992</v>
      </c>
      <c r="B10">
        <f t="shared" si="4"/>
        <v>7</v>
      </c>
      <c r="C10">
        <v>3</v>
      </c>
      <c r="D10" s="25">
        <v>13684</v>
      </c>
      <c r="E10">
        <f t="shared" si="0"/>
        <v>13586.891903098731</v>
      </c>
      <c r="F10" s="25">
        <f t="shared" si="1"/>
        <v>97.108096901269164</v>
      </c>
      <c r="G10" s="25">
        <f t="shared" si="2"/>
        <v>9429.9824837862816</v>
      </c>
      <c r="H10">
        <f t="shared" si="3"/>
        <v>7.0964701038635754E-3</v>
      </c>
      <c r="J10">
        <v>3</v>
      </c>
      <c r="K10" s="5">
        <v>0.95788957530491714</v>
      </c>
    </row>
    <row r="11" spans="1:11">
      <c r="A11">
        <v>1992</v>
      </c>
      <c r="B11">
        <f t="shared" si="4"/>
        <v>8</v>
      </c>
      <c r="C11">
        <v>4</v>
      </c>
      <c r="D11" s="25">
        <v>17122</v>
      </c>
      <c r="E11">
        <f t="shared" si="0"/>
        <v>17166.228836011654</v>
      </c>
      <c r="F11" s="25">
        <f t="shared" si="1"/>
        <v>-44.228836011654494</v>
      </c>
      <c r="G11" s="25">
        <f t="shared" si="2"/>
        <v>1956.1899349458254</v>
      </c>
      <c r="H11">
        <f t="shared" si="3"/>
        <v>2.5831582765830216E-3</v>
      </c>
      <c r="J11">
        <v>4</v>
      </c>
      <c r="K11" s="5">
        <v>1.1414380118166625</v>
      </c>
    </row>
    <row r="12" spans="1:11">
      <c r="A12">
        <v>1993</v>
      </c>
      <c r="B12">
        <f t="shared" si="4"/>
        <v>9</v>
      </c>
      <c r="C12">
        <v>1</v>
      </c>
      <c r="D12" s="25">
        <v>13920</v>
      </c>
      <c r="G12" s="27"/>
    </row>
    <row r="13" spans="1:11">
      <c r="A13">
        <v>1993</v>
      </c>
      <c r="B13">
        <f t="shared" si="4"/>
        <v>10</v>
      </c>
      <c r="C13">
        <v>2</v>
      </c>
      <c r="D13" s="25">
        <v>16237</v>
      </c>
      <c r="G13" s="27" t="s">
        <v>42</v>
      </c>
      <c r="H13" s="24">
        <f>AVERAGE(H4:H11)</f>
        <v>4.4021101190428831E-3</v>
      </c>
      <c r="J13" t="s">
        <v>6</v>
      </c>
      <c r="K13" s="5">
        <f>AVERAGE(K8:K11)</f>
        <v>1</v>
      </c>
    </row>
    <row r="14" spans="1:11">
      <c r="A14">
        <v>1993</v>
      </c>
      <c r="B14">
        <f t="shared" si="4"/>
        <v>11</v>
      </c>
      <c r="C14">
        <v>3</v>
      </c>
      <c r="D14" s="25">
        <v>16827</v>
      </c>
      <c r="G14" s="27"/>
      <c r="H14" s="28"/>
    </row>
    <row r="15" spans="1:11">
      <c r="A15">
        <v>1993</v>
      </c>
      <c r="B15">
        <f t="shared" si="4"/>
        <v>12</v>
      </c>
      <c r="C15">
        <v>4</v>
      </c>
      <c r="D15" s="25">
        <v>20361</v>
      </c>
      <c r="G15" s="27"/>
      <c r="J15" t="s">
        <v>7</v>
      </c>
      <c r="K15" s="4">
        <f>SUM(G4:G27)</f>
        <v>32696.183543169063</v>
      </c>
    </row>
    <row r="16" spans="1:11">
      <c r="A16">
        <v>1994</v>
      </c>
      <c r="B16">
        <f t="shared" si="4"/>
        <v>13</v>
      </c>
      <c r="C16">
        <v>1</v>
      </c>
      <c r="D16" s="25">
        <v>17686</v>
      </c>
      <c r="G16" s="27"/>
      <c r="J16" t="s">
        <v>9</v>
      </c>
      <c r="K16">
        <f>STDEV(F4:F27)</f>
        <v>68.343335014681514</v>
      </c>
    </row>
    <row r="17" spans="1:7">
      <c r="A17">
        <v>1994</v>
      </c>
      <c r="B17">
        <f t="shared" si="4"/>
        <v>14</v>
      </c>
      <c r="C17">
        <v>2</v>
      </c>
      <c r="D17" s="25">
        <v>19942</v>
      </c>
      <c r="G17" s="27"/>
    </row>
    <row r="18" spans="1:7">
      <c r="A18">
        <v>1994</v>
      </c>
      <c r="B18">
        <f t="shared" si="4"/>
        <v>15</v>
      </c>
      <c r="C18">
        <v>3</v>
      </c>
      <c r="D18" s="25">
        <v>20418</v>
      </c>
      <c r="G18" s="27"/>
    </row>
    <row r="19" spans="1:7">
      <c r="A19">
        <v>1994</v>
      </c>
      <c r="B19">
        <f t="shared" si="4"/>
        <v>16</v>
      </c>
      <c r="C19">
        <v>4</v>
      </c>
      <c r="D19" s="25">
        <v>24448</v>
      </c>
      <c r="G19" s="27"/>
    </row>
    <row r="20" spans="1:7">
      <c r="A20">
        <v>1995</v>
      </c>
      <c r="B20">
        <f t="shared" si="4"/>
        <v>17</v>
      </c>
      <c r="C20">
        <v>1</v>
      </c>
      <c r="D20" s="25">
        <v>20440</v>
      </c>
      <c r="G20" s="27"/>
    </row>
    <row r="21" spans="1:7">
      <c r="A21">
        <v>1995</v>
      </c>
      <c r="B21">
        <f t="shared" si="4"/>
        <v>18</v>
      </c>
      <c r="C21">
        <v>2</v>
      </c>
      <c r="D21" s="25">
        <v>22723</v>
      </c>
      <c r="G21" s="27"/>
    </row>
    <row r="22" spans="1:7">
      <c r="A22">
        <v>1995</v>
      </c>
      <c r="B22">
        <f t="shared" si="4"/>
        <v>19</v>
      </c>
      <c r="C22">
        <v>3</v>
      </c>
      <c r="D22" s="25">
        <v>22914</v>
      </c>
      <c r="G22" s="27"/>
    </row>
    <row r="23" spans="1:7">
      <c r="A23">
        <v>1995</v>
      </c>
      <c r="B23">
        <f t="shared" si="4"/>
        <v>20</v>
      </c>
      <c r="C23">
        <v>4</v>
      </c>
      <c r="D23" s="25">
        <v>27550</v>
      </c>
      <c r="G23" s="27"/>
    </row>
    <row r="24" spans="1:7">
      <c r="A24">
        <v>1996</v>
      </c>
      <c r="B24">
        <f t="shared" si="4"/>
        <v>21</v>
      </c>
      <c r="C24">
        <v>1</v>
      </c>
      <c r="D24" s="25">
        <v>22772</v>
      </c>
      <c r="G24" s="27"/>
    </row>
    <row r="25" spans="1:7">
      <c r="A25">
        <v>1996</v>
      </c>
      <c r="B25">
        <f t="shared" si="4"/>
        <v>22</v>
      </c>
      <c r="C25">
        <v>2</v>
      </c>
      <c r="D25" s="25">
        <v>25587</v>
      </c>
      <c r="G25" s="27"/>
    </row>
    <row r="26" spans="1:7">
      <c r="A26">
        <v>1996</v>
      </c>
      <c r="B26">
        <f t="shared" si="4"/>
        <v>23</v>
      </c>
      <c r="C26">
        <v>3</v>
      </c>
      <c r="D26" s="25">
        <v>25644</v>
      </c>
      <c r="G26" s="27"/>
    </row>
    <row r="27" spans="1:7">
      <c r="A27">
        <v>1996</v>
      </c>
      <c r="B27">
        <f t="shared" si="4"/>
        <v>24</v>
      </c>
      <c r="C27">
        <v>4</v>
      </c>
      <c r="D27" s="25">
        <v>30856</v>
      </c>
      <c r="G27" s="27"/>
    </row>
    <row r="28" spans="1:7">
      <c r="A28">
        <v>1997</v>
      </c>
      <c r="B28">
        <f t="shared" si="4"/>
        <v>25</v>
      </c>
      <c r="C28">
        <v>1</v>
      </c>
      <c r="D28" s="25">
        <v>25409</v>
      </c>
      <c r="G28" s="27"/>
    </row>
    <row r="29" spans="1:7">
      <c r="A29">
        <v>1997</v>
      </c>
      <c r="B29">
        <f t="shared" si="4"/>
        <v>26</v>
      </c>
      <c r="C29">
        <v>2</v>
      </c>
      <c r="D29" s="25">
        <v>28386</v>
      </c>
      <c r="G29" s="27"/>
    </row>
    <row r="30" spans="1:7">
      <c r="A30">
        <v>1997</v>
      </c>
      <c r="B30">
        <f t="shared" si="4"/>
        <v>27</v>
      </c>
      <c r="C30">
        <v>3</v>
      </c>
      <c r="D30" s="25">
        <v>28777</v>
      </c>
      <c r="G30" s="27"/>
    </row>
    <row r="31" spans="1:7">
      <c r="A31">
        <v>1997</v>
      </c>
      <c r="B31">
        <f t="shared" si="4"/>
        <v>28</v>
      </c>
      <c r="C31">
        <v>4</v>
      </c>
      <c r="D31" s="25">
        <v>35386</v>
      </c>
      <c r="G31" s="27"/>
    </row>
    <row r="32" spans="1:7">
      <c r="A32">
        <v>1998</v>
      </c>
      <c r="B32">
        <f t="shared" si="4"/>
        <v>29</v>
      </c>
      <c r="C32">
        <v>1</v>
      </c>
      <c r="D32" s="25">
        <v>29819</v>
      </c>
      <c r="G32" s="27"/>
    </row>
    <row r="33" spans="1:7">
      <c r="A33">
        <v>1998</v>
      </c>
      <c r="B33">
        <f t="shared" si="4"/>
        <v>30</v>
      </c>
      <c r="C33">
        <v>2</v>
      </c>
      <c r="D33" s="25">
        <v>33521</v>
      </c>
      <c r="G33" s="27"/>
    </row>
    <row r="34" spans="1:7">
      <c r="A34">
        <v>1998</v>
      </c>
      <c r="B34">
        <f t="shared" si="4"/>
        <v>31</v>
      </c>
      <c r="C34">
        <v>3</v>
      </c>
      <c r="D34" s="25">
        <v>33509</v>
      </c>
      <c r="G34" s="27"/>
    </row>
    <row r="35" spans="1:7">
      <c r="A35">
        <v>1998</v>
      </c>
      <c r="B35">
        <f t="shared" si="4"/>
        <v>32</v>
      </c>
      <c r="C35">
        <v>4</v>
      </c>
      <c r="D35" s="25">
        <v>40785</v>
      </c>
      <c r="G35" s="27"/>
    </row>
    <row r="36" spans="1:7">
      <c r="A36">
        <v>1999</v>
      </c>
      <c r="B36">
        <f t="shared" si="4"/>
        <v>33</v>
      </c>
      <c r="C36">
        <v>1</v>
      </c>
      <c r="D36" s="25">
        <v>35129</v>
      </c>
      <c r="G36" s="27"/>
    </row>
    <row r="37" spans="1:7">
      <c r="A37">
        <v>1999</v>
      </c>
      <c r="B37">
        <f t="shared" si="4"/>
        <v>34</v>
      </c>
      <c r="C37">
        <v>2</v>
      </c>
      <c r="D37" s="25">
        <v>38913</v>
      </c>
      <c r="G37" s="27"/>
    </row>
    <row r="38" spans="1:7">
      <c r="A38">
        <v>1999</v>
      </c>
      <c r="B38">
        <f t="shared" si="4"/>
        <v>35</v>
      </c>
      <c r="C38">
        <v>3</v>
      </c>
      <c r="D38" s="25">
        <v>40899</v>
      </c>
      <c r="G38" s="27"/>
    </row>
    <row r="39" spans="1:7">
      <c r="A39">
        <v>1999</v>
      </c>
      <c r="B39">
        <f t="shared" si="4"/>
        <v>36</v>
      </c>
      <c r="C39">
        <v>4</v>
      </c>
      <c r="D39" s="25">
        <v>51868</v>
      </c>
      <c r="G39" s="27"/>
    </row>
    <row r="40" spans="1:7">
      <c r="A40">
        <v>2000</v>
      </c>
      <c r="B40">
        <f t="shared" si="4"/>
        <v>37</v>
      </c>
      <c r="C40">
        <v>1</v>
      </c>
      <c r="D40" s="25">
        <v>43447</v>
      </c>
      <c r="G40" s="27"/>
    </row>
    <row r="41" spans="1:7">
      <c r="A41">
        <v>2000</v>
      </c>
      <c r="B41">
        <f t="shared" si="4"/>
        <v>38</v>
      </c>
      <c r="C41">
        <v>2</v>
      </c>
      <c r="D41" s="25">
        <v>46588</v>
      </c>
      <c r="G41" s="27"/>
    </row>
    <row r="42" spans="1:7">
      <c r="A42">
        <v>2000</v>
      </c>
      <c r="B42">
        <f t="shared" si="4"/>
        <v>39</v>
      </c>
      <c r="C42">
        <v>3</v>
      </c>
      <c r="D42" s="25">
        <v>46181</v>
      </c>
      <c r="G42" s="27"/>
    </row>
    <row r="43" spans="1:7">
      <c r="A43">
        <v>2000</v>
      </c>
      <c r="B43">
        <f t="shared" si="4"/>
        <v>40</v>
      </c>
      <c r="C43">
        <v>4</v>
      </c>
      <c r="D43" s="25">
        <v>57079</v>
      </c>
      <c r="G43" s="27"/>
    </row>
    <row r="44" spans="1:7">
      <c r="A44">
        <v>2001</v>
      </c>
      <c r="B44">
        <f t="shared" si="4"/>
        <v>41</v>
      </c>
      <c r="C44">
        <v>1</v>
      </c>
      <c r="D44" s="25">
        <v>48565</v>
      </c>
      <c r="G44" s="27"/>
    </row>
    <row r="45" spans="1:7">
      <c r="A45">
        <v>2001</v>
      </c>
      <c r="B45">
        <f t="shared" si="4"/>
        <v>42</v>
      </c>
      <c r="C45">
        <v>2</v>
      </c>
      <c r="D45" s="25">
        <v>53187</v>
      </c>
      <c r="G45" s="27"/>
    </row>
    <row r="46" spans="1:7">
      <c r="A46">
        <v>2001</v>
      </c>
      <c r="B46">
        <f t="shared" si="4"/>
        <v>43</v>
      </c>
      <c r="C46">
        <v>3</v>
      </c>
      <c r="D46" s="25">
        <v>53185</v>
      </c>
      <c r="G46" s="27"/>
    </row>
    <row r="47" spans="1:7">
      <c r="A47">
        <v>2001</v>
      </c>
      <c r="B47">
        <f t="shared" si="4"/>
        <v>44</v>
      </c>
      <c r="C47">
        <v>4</v>
      </c>
      <c r="D47" s="25">
        <v>64735</v>
      </c>
      <c r="G47" s="27"/>
    </row>
    <row r="48" spans="1:7">
      <c r="A48">
        <v>2002</v>
      </c>
      <c r="B48">
        <f t="shared" si="4"/>
        <v>45</v>
      </c>
      <c r="C48">
        <v>1</v>
      </c>
      <c r="D48" s="25">
        <v>52126</v>
      </c>
      <c r="G48" s="27"/>
    </row>
    <row r="49" spans="1:7">
      <c r="A49">
        <v>2002</v>
      </c>
      <c r="B49">
        <f t="shared" si="4"/>
        <v>46</v>
      </c>
      <c r="C49">
        <v>2</v>
      </c>
      <c r="D49" s="25">
        <v>56781</v>
      </c>
      <c r="G49" s="27"/>
    </row>
    <row r="50" spans="1:7">
      <c r="A50">
        <v>2002</v>
      </c>
      <c r="B50">
        <f t="shared" si="4"/>
        <v>47</v>
      </c>
      <c r="C50">
        <v>3</v>
      </c>
      <c r="D50" s="25">
        <v>55765</v>
      </c>
      <c r="G50" s="27"/>
    </row>
    <row r="51" spans="1:7">
      <c r="A51">
        <v>2002</v>
      </c>
      <c r="B51">
        <f t="shared" si="4"/>
        <v>48</v>
      </c>
      <c r="C51">
        <v>4</v>
      </c>
      <c r="D51" s="25">
        <v>66905</v>
      </c>
      <c r="G51" s="27"/>
    </row>
    <row r="52" spans="1:7">
      <c r="A52">
        <v>2003</v>
      </c>
      <c r="B52">
        <f t="shared" si="4"/>
        <v>49</v>
      </c>
      <c r="C52">
        <v>1</v>
      </c>
      <c r="D52" s="25">
        <v>57224</v>
      </c>
      <c r="G52" s="27"/>
    </row>
    <row r="53" spans="1:7">
      <c r="A53">
        <v>2003</v>
      </c>
      <c r="B53">
        <f t="shared" si="4"/>
        <v>50</v>
      </c>
      <c r="C53">
        <v>2</v>
      </c>
      <c r="D53" s="25">
        <v>63231</v>
      </c>
      <c r="G53" s="27"/>
    </row>
    <row r="54" spans="1:7">
      <c r="A54">
        <v>2003</v>
      </c>
      <c r="B54">
        <f t="shared" si="4"/>
        <v>51</v>
      </c>
      <c r="C54">
        <v>3</v>
      </c>
      <c r="D54" s="25">
        <v>63036</v>
      </c>
      <c r="G54" s="27"/>
    </row>
    <row r="55" spans="1:7">
      <c r="A55">
        <v>2003</v>
      </c>
      <c r="B55">
        <f t="shared" si="4"/>
        <v>52</v>
      </c>
      <c r="C55">
        <v>4</v>
      </c>
      <c r="D55" s="25">
        <v>75190</v>
      </c>
      <c r="G55" s="27"/>
    </row>
    <row r="56" spans="1:7">
      <c r="A56">
        <v>2004</v>
      </c>
      <c r="B56">
        <f t="shared" si="4"/>
        <v>53</v>
      </c>
      <c r="C56">
        <v>1</v>
      </c>
      <c r="D56" s="25">
        <v>65443</v>
      </c>
      <c r="G56" s="27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3"/>
  <sheetViews>
    <sheetView workbookViewId="0">
      <selection activeCell="E19" sqref="E19"/>
    </sheetView>
  </sheetViews>
  <sheetFormatPr baseColWidth="10" defaultRowHeight="16"/>
  <cols>
    <col min="1" max="1" width="10.83203125" customWidth="1"/>
    <col min="4" max="4" width="12.6640625" bestFit="1" customWidth="1"/>
    <col min="9" max="9" width="8.33203125" bestFit="1" customWidth="1"/>
    <col min="10" max="10" width="14.6640625" bestFit="1" customWidth="1"/>
    <col min="11" max="11" width="17.1640625" bestFit="1" customWidth="1"/>
    <col min="14" max="14" width="12.6640625" customWidth="1"/>
  </cols>
  <sheetData>
    <row r="1" spans="1:18" ht="17" thickBot="1"/>
    <row r="2" spans="1:18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1:18">
      <c r="A3" s="32" t="s">
        <v>33</v>
      </c>
      <c r="B3" s="33" t="s">
        <v>40</v>
      </c>
      <c r="C3" s="33" t="s">
        <v>34</v>
      </c>
      <c r="D3" s="33" t="s">
        <v>35</v>
      </c>
      <c r="E3" s="33" t="s">
        <v>27</v>
      </c>
      <c r="F3" s="33" t="s">
        <v>1</v>
      </c>
      <c r="G3" s="33" t="s">
        <v>2</v>
      </c>
      <c r="H3" s="33" t="s">
        <v>41</v>
      </c>
      <c r="I3" s="33"/>
      <c r="J3" s="33"/>
      <c r="K3" s="33" t="s">
        <v>38</v>
      </c>
      <c r="L3" s="35">
        <v>9416.2812443394232</v>
      </c>
      <c r="M3" s="33"/>
      <c r="N3" s="33" t="s">
        <v>7</v>
      </c>
      <c r="O3" s="33">
        <v>32696.183543169063</v>
      </c>
      <c r="P3" s="34"/>
    </row>
    <row r="4" spans="1:18">
      <c r="A4" s="32">
        <v>1991</v>
      </c>
      <c r="B4" s="33">
        <v>1</v>
      </c>
      <c r="C4" s="33">
        <v>1</v>
      </c>
      <c r="D4" s="39">
        <v>9281</v>
      </c>
      <c r="E4" s="33">
        <f t="shared" ref="E4:E11" si="0">Base1*(Trend1^B4)*VLOOKUP(C4,Seasonality_Factors1,2)</f>
        <v>9241.9578192737208</v>
      </c>
      <c r="F4" s="39">
        <f>D4-E4</f>
        <v>39.042180726279184</v>
      </c>
      <c r="G4" s="39">
        <f>F4^2</f>
        <v>1524.2918758634457</v>
      </c>
      <c r="H4" s="33">
        <f>ABS(D4-E4)/D4</f>
        <v>4.2066782379354796E-3</v>
      </c>
      <c r="I4" s="33"/>
      <c r="J4" s="33"/>
      <c r="K4" s="33" t="s">
        <v>39</v>
      </c>
      <c r="L4" s="35">
        <v>1.0602734661565079</v>
      </c>
      <c r="M4" s="33"/>
      <c r="N4" s="33" t="s">
        <v>9</v>
      </c>
      <c r="O4" s="33">
        <v>68.343335014681514</v>
      </c>
      <c r="P4" s="34"/>
    </row>
    <row r="5" spans="1:18">
      <c r="A5" s="32">
        <v>1991</v>
      </c>
      <c r="B5" s="33">
        <f>B4+1</f>
        <v>2</v>
      </c>
      <c r="C5" s="33">
        <v>2</v>
      </c>
      <c r="D5" s="39">
        <v>10340</v>
      </c>
      <c r="E5" s="33">
        <f t="shared" si="0"/>
        <v>10320.742665740019</v>
      </c>
      <c r="F5" s="39">
        <f t="shared" ref="F5:F11" si="1">D5-E5</f>
        <v>19.25733425998078</v>
      </c>
      <c r="G5" s="39">
        <f t="shared" ref="G5:G11" si="2">F5^2</f>
        <v>370.84492280062949</v>
      </c>
      <c r="H5" s="33">
        <f t="shared" ref="H5:H11" si="3">ABS(D5-E5)/D5</f>
        <v>1.8624114371354719E-3</v>
      </c>
      <c r="I5" s="33"/>
      <c r="J5" s="33"/>
      <c r="K5" s="33"/>
      <c r="L5" s="33"/>
      <c r="M5" s="33"/>
      <c r="N5" s="33"/>
      <c r="O5" s="33"/>
      <c r="P5" s="34"/>
    </row>
    <row r="6" spans="1:18">
      <c r="A6" s="32">
        <v>1991</v>
      </c>
      <c r="B6" s="33">
        <f t="shared" ref="B6:B11" si="4">B5+1</f>
        <v>3</v>
      </c>
      <c r="C6" s="33">
        <v>3</v>
      </c>
      <c r="D6" s="39">
        <v>10628</v>
      </c>
      <c r="E6" s="33">
        <f t="shared" si="0"/>
        <v>10750.992223119621</v>
      </c>
      <c r="F6" s="39">
        <f t="shared" si="1"/>
        <v>-122.99222311962149</v>
      </c>
      <c r="G6" s="39">
        <f t="shared" si="2"/>
        <v>15127.086947906753</v>
      </c>
      <c r="H6" s="33">
        <f t="shared" si="3"/>
        <v>1.1572471125293703E-2</v>
      </c>
      <c r="I6" s="33"/>
      <c r="J6" s="33"/>
      <c r="K6" s="33" t="s">
        <v>5</v>
      </c>
      <c r="L6" s="33"/>
      <c r="M6" s="33"/>
      <c r="N6" s="33"/>
      <c r="O6" s="33"/>
      <c r="P6" s="34"/>
    </row>
    <row r="7" spans="1:18">
      <c r="A7" s="32">
        <v>1991</v>
      </c>
      <c r="B7" s="33">
        <f t="shared" si="4"/>
        <v>4</v>
      </c>
      <c r="C7" s="33">
        <v>4</v>
      </c>
      <c r="D7" s="39">
        <v>13639</v>
      </c>
      <c r="E7" s="33">
        <f t="shared" si="0"/>
        <v>13583.238464873801</v>
      </c>
      <c r="F7" s="39">
        <f t="shared" si="1"/>
        <v>55.761535126199306</v>
      </c>
      <c r="G7" s="39">
        <f t="shared" si="2"/>
        <v>3109.3487996303588</v>
      </c>
      <c r="H7" s="33">
        <f t="shared" si="3"/>
        <v>4.0883888207492707E-3</v>
      </c>
      <c r="I7" s="33"/>
      <c r="J7" s="33"/>
      <c r="K7" s="33">
        <v>1</v>
      </c>
      <c r="L7" s="35">
        <v>0.9256923345392869</v>
      </c>
      <c r="M7" s="33"/>
      <c r="N7" s="33"/>
      <c r="O7" s="33"/>
      <c r="P7" s="34"/>
    </row>
    <row r="8" spans="1:18">
      <c r="A8" s="32">
        <v>1992</v>
      </c>
      <c r="B8" s="33">
        <f t="shared" si="4"/>
        <v>5</v>
      </c>
      <c r="C8" s="33">
        <v>1</v>
      </c>
      <c r="D8" s="39">
        <v>11649</v>
      </c>
      <c r="E8" s="33">
        <f t="shared" si="0"/>
        <v>11679.803989945922</v>
      </c>
      <c r="F8" s="39">
        <f t="shared" si="1"/>
        <v>-30.803989945921785</v>
      </c>
      <c r="G8" s="39">
        <f t="shared" si="2"/>
        <v>948.88579658845038</v>
      </c>
      <c r="H8" s="33">
        <f t="shared" si="3"/>
        <v>2.6443462911770782E-3</v>
      </c>
      <c r="I8" s="33"/>
      <c r="J8" s="33"/>
      <c r="K8" s="33">
        <v>2</v>
      </c>
      <c r="L8" s="35">
        <v>0.97498007833913347</v>
      </c>
      <c r="M8" s="33"/>
      <c r="N8" s="33"/>
      <c r="O8" s="33"/>
      <c r="P8" s="34"/>
    </row>
    <row r="9" spans="1:18">
      <c r="A9" s="32">
        <v>1992</v>
      </c>
      <c r="B9" s="33">
        <f t="shared" si="4"/>
        <v>6</v>
      </c>
      <c r="C9" s="33">
        <v>2</v>
      </c>
      <c r="D9" s="39">
        <v>13028</v>
      </c>
      <c r="E9" s="33">
        <f t="shared" si="0"/>
        <v>13043.15099936134</v>
      </c>
      <c r="F9" s="39">
        <f t="shared" si="1"/>
        <v>-15.150999361339927</v>
      </c>
      <c r="G9" s="39">
        <f t="shared" si="2"/>
        <v>229.55278164732289</v>
      </c>
      <c r="H9" s="33">
        <f t="shared" si="3"/>
        <v>1.1629566596054596E-3</v>
      </c>
      <c r="I9" s="33"/>
      <c r="J9" s="33"/>
      <c r="K9" s="33">
        <v>3</v>
      </c>
      <c r="L9" s="35">
        <v>0.95788957530491714</v>
      </c>
      <c r="M9" s="33"/>
      <c r="N9" s="33"/>
      <c r="O9" s="33"/>
      <c r="P9" s="34"/>
    </row>
    <row r="10" spans="1:18">
      <c r="A10" s="32">
        <v>1992</v>
      </c>
      <c r="B10" s="33">
        <f t="shared" si="4"/>
        <v>7</v>
      </c>
      <c r="C10" s="33">
        <v>3</v>
      </c>
      <c r="D10" s="39">
        <v>13684</v>
      </c>
      <c r="E10" s="33">
        <f t="shared" si="0"/>
        <v>13586.891903098731</v>
      </c>
      <c r="F10" s="39">
        <f t="shared" si="1"/>
        <v>97.108096901269164</v>
      </c>
      <c r="G10" s="39">
        <f t="shared" si="2"/>
        <v>9429.9824837862816</v>
      </c>
      <c r="H10" s="33">
        <f t="shared" si="3"/>
        <v>7.0964701038635754E-3</v>
      </c>
      <c r="I10" s="33"/>
      <c r="J10" s="33"/>
      <c r="K10" s="33">
        <v>4</v>
      </c>
      <c r="L10" s="35">
        <v>1.1414380118166625</v>
      </c>
      <c r="M10" s="33"/>
      <c r="N10" s="33"/>
      <c r="O10" s="33"/>
      <c r="P10" s="34"/>
    </row>
    <row r="11" spans="1:18">
      <c r="A11" s="32">
        <v>1992</v>
      </c>
      <c r="B11" s="33">
        <f t="shared" si="4"/>
        <v>8</v>
      </c>
      <c r="C11" s="33">
        <v>4</v>
      </c>
      <c r="D11" s="39">
        <v>17122</v>
      </c>
      <c r="E11" s="33">
        <f t="shared" si="0"/>
        <v>17166.228836011654</v>
      </c>
      <c r="F11" s="39">
        <f t="shared" si="1"/>
        <v>-44.228836011654494</v>
      </c>
      <c r="G11" s="39">
        <f t="shared" si="2"/>
        <v>1956.1899349458254</v>
      </c>
      <c r="H11" s="33">
        <f t="shared" si="3"/>
        <v>2.5831582765830216E-3</v>
      </c>
      <c r="I11" s="33"/>
      <c r="J11" s="33"/>
      <c r="K11" s="33" t="s">
        <v>6</v>
      </c>
      <c r="L11" s="33">
        <v>1</v>
      </c>
      <c r="M11" s="33"/>
      <c r="N11" s="33"/>
      <c r="O11" s="33"/>
      <c r="P11" s="34"/>
    </row>
    <row r="12" spans="1:18" ht="17" thickBot="1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</row>
    <row r="13" spans="1:18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8" ht="24">
      <c r="G14" t="s">
        <v>43</v>
      </c>
      <c r="N14" s="40" t="s">
        <v>16</v>
      </c>
      <c r="O14" s="41"/>
      <c r="P14" s="41"/>
      <c r="Q14" s="12"/>
      <c r="R14" s="13"/>
    </row>
    <row r="15" spans="1:18" ht="24">
      <c r="G15" s="5">
        <f>L7</f>
        <v>0.9256923345392869</v>
      </c>
      <c r="I15" s="45">
        <f>AVERAGE(I19:I63)</f>
        <v>3.5175240156067801E-2</v>
      </c>
      <c r="J15" s="5" t="s">
        <v>42</v>
      </c>
      <c r="N15" s="40" t="s">
        <v>17</v>
      </c>
      <c r="O15" s="41"/>
      <c r="P15" s="41"/>
      <c r="Q15" s="12"/>
      <c r="R15" s="13"/>
    </row>
    <row r="16" spans="1:18" ht="24">
      <c r="G16" s="5">
        <f>L8</f>
        <v>0.97498007833913347</v>
      </c>
      <c r="H16" t="s">
        <v>27</v>
      </c>
      <c r="J16" s="25"/>
      <c r="N16" s="40" t="s">
        <v>18</v>
      </c>
      <c r="O16" s="41"/>
      <c r="P16" s="41"/>
      <c r="Q16" s="12"/>
      <c r="R16" s="13"/>
    </row>
    <row r="17" spans="1:18" ht="19">
      <c r="A17" t="s">
        <v>33</v>
      </c>
      <c r="B17" t="s">
        <v>40</v>
      </c>
      <c r="C17" t="s">
        <v>34</v>
      </c>
      <c r="D17" t="s">
        <v>51</v>
      </c>
      <c r="E17" t="s">
        <v>3</v>
      </c>
      <c r="F17" t="s">
        <v>4</v>
      </c>
      <c r="G17" s="5">
        <f>L9</f>
        <v>0.95788957530491714</v>
      </c>
      <c r="H17" t="s">
        <v>48</v>
      </c>
      <c r="I17" t="s">
        <v>41</v>
      </c>
      <c r="J17" t="s">
        <v>47</v>
      </c>
      <c r="K17" t="s">
        <v>49</v>
      </c>
      <c r="L17" t="s">
        <v>50</v>
      </c>
      <c r="N17" s="40" t="s">
        <v>23</v>
      </c>
      <c r="O17" s="41"/>
      <c r="P17" s="41"/>
      <c r="Q17" s="13"/>
      <c r="R17" s="13"/>
    </row>
    <row r="18" spans="1:18">
      <c r="A18">
        <v>1992</v>
      </c>
      <c r="B18">
        <v>1</v>
      </c>
      <c r="C18">
        <v>4</v>
      </c>
      <c r="D18" s="39">
        <v>17122</v>
      </c>
      <c r="E18">
        <f>D18/G18</f>
        <v>15000.376562498894</v>
      </c>
      <c r="F18">
        <f>L4</f>
        <v>1.0602734661565079</v>
      </c>
      <c r="G18" s="5">
        <f>L10</f>
        <v>1.1414380118166625</v>
      </c>
      <c r="N18" s="15"/>
      <c r="O18" s="13"/>
      <c r="P18" s="13"/>
      <c r="Q18" s="13"/>
      <c r="R18" s="13"/>
    </row>
    <row r="19" spans="1:18">
      <c r="A19">
        <v>1993</v>
      </c>
      <c r="B19">
        <f>B18+1</f>
        <v>2</v>
      </c>
      <c r="C19">
        <v>1</v>
      </c>
      <c r="D19" s="25">
        <v>13920</v>
      </c>
      <c r="E19">
        <f t="shared" ref="E19:E63" si="5">alpha1*D19/G15+(1-alpha1)*E18*F18</f>
        <v>15271.533902830355</v>
      </c>
      <c r="F19">
        <f t="shared" ref="F19:F63" si="6">beta1*E19/E18+(1-beta1)*F18</f>
        <v>1.0180767022215533</v>
      </c>
      <c r="G19" s="11">
        <f t="shared" ref="G19:G63" si="7">gamma1*D19/E19+(1-gamma1)*G15</f>
        <v>0.92025089843593366</v>
      </c>
      <c r="H19" s="44">
        <f>E19*F19*G15</f>
        <v>14392.287543683016</v>
      </c>
      <c r="I19" s="43">
        <f>ABS(H19-D19)/D19</f>
        <v>3.3928702850791401E-2</v>
      </c>
      <c r="J19" s="25">
        <f>E19*F19^2*G16</f>
        <v>15432.610695450308</v>
      </c>
      <c r="K19" s="44">
        <f>E19*F19^3*G17</f>
        <v>15436.171848350054</v>
      </c>
      <c r="L19" s="44">
        <f>E19*F19^4*G18</f>
        <v>18726.516099824446</v>
      </c>
      <c r="N19" s="15" t="s">
        <v>24</v>
      </c>
      <c r="O19" s="13"/>
      <c r="P19" s="13"/>
      <c r="Q19" s="13"/>
      <c r="R19" s="13"/>
    </row>
    <row r="20" spans="1:18">
      <c r="A20">
        <v>1993</v>
      </c>
      <c r="B20">
        <f t="shared" ref="B20:B63" si="8">B19+1</f>
        <v>3</v>
      </c>
      <c r="C20">
        <v>2</v>
      </c>
      <c r="D20" s="25">
        <v>16237</v>
      </c>
      <c r="E20">
        <f t="shared" si="5"/>
        <v>16355.004733858568</v>
      </c>
      <c r="F20">
        <f t="shared" si="6"/>
        <v>1.0709470861225936</v>
      </c>
      <c r="G20" s="11">
        <f t="shared" si="7"/>
        <v>0.98180642613655023</v>
      </c>
      <c r="H20" s="44">
        <f t="shared" ref="H20:H63" si="9">E20*F20*G16</f>
        <v>17077.112111909541</v>
      </c>
      <c r="I20" s="43">
        <f t="shared" ref="I20:I63" si="10">ABS(H20-D20)/D20</f>
        <v>5.1740599366233944E-2</v>
      </c>
      <c r="J20" s="25">
        <f t="shared" ref="J20:J63" si="11">E20*F20^2*G17</f>
        <v>17968.099674457058</v>
      </c>
      <c r="K20" s="44">
        <f t="shared" ref="K20:K63" si="12">E20*F20^3*G18</f>
        <v>22930.157931434554</v>
      </c>
      <c r="L20" s="44">
        <f t="shared" ref="L20:L63" si="13">E20*F20^4*G19</f>
        <v>19798.349126894307</v>
      </c>
      <c r="N20" s="15" t="s">
        <v>25</v>
      </c>
      <c r="O20" s="13"/>
      <c r="P20" s="13"/>
      <c r="Q20" s="13"/>
      <c r="R20" s="13"/>
    </row>
    <row r="21" spans="1:18">
      <c r="A21">
        <v>1993</v>
      </c>
      <c r="B21">
        <f t="shared" si="8"/>
        <v>4</v>
      </c>
      <c r="C21">
        <v>3</v>
      </c>
      <c r="D21" s="25">
        <v>16827</v>
      </c>
      <c r="E21">
        <f t="shared" si="5"/>
        <v>17552.864197134142</v>
      </c>
      <c r="F21">
        <f t="shared" si="6"/>
        <v>1.0732411566225801</v>
      </c>
      <c r="G21" s="11">
        <f t="shared" si="7"/>
        <v>0.95817995958868452</v>
      </c>
      <c r="H21" s="44">
        <f t="shared" si="9"/>
        <v>18045.16087871675</v>
      </c>
      <c r="I21" s="43">
        <f t="shared" si="10"/>
        <v>7.2393229851830374E-2</v>
      </c>
      <c r="J21" s="25">
        <f t="shared" si="11"/>
        <v>23077.829543303556</v>
      </c>
      <c r="K21" s="44">
        <f t="shared" si="12"/>
        <v>19968.534768746678</v>
      </c>
      <c r="L21" s="44">
        <f t="shared" si="13"/>
        <v>22864.575231506729</v>
      </c>
    </row>
    <row r="22" spans="1:18">
      <c r="A22">
        <v>1993</v>
      </c>
      <c r="B22">
        <f t="shared" si="8"/>
        <v>5</v>
      </c>
      <c r="C22">
        <v>4</v>
      </c>
      <c r="D22" s="25">
        <v>20361</v>
      </c>
      <c r="E22">
        <f t="shared" si="5"/>
        <v>18108.166067898801</v>
      </c>
      <c r="F22">
        <f t="shared" si="6"/>
        <v>1.0316359691801935</v>
      </c>
      <c r="G22" s="11">
        <f t="shared" si="7"/>
        <v>1.1349093893160158</v>
      </c>
      <c r="H22" s="44">
        <f t="shared" si="9"/>
        <v>21323.243964474041</v>
      </c>
      <c r="I22" s="43">
        <f t="shared" si="10"/>
        <v>4.725917020156381E-2</v>
      </c>
      <c r="J22" s="25">
        <f t="shared" si="11"/>
        <v>17735.101185975851</v>
      </c>
      <c r="K22" s="44">
        <f t="shared" si="12"/>
        <v>19519.997906701596</v>
      </c>
      <c r="L22" s="44">
        <f t="shared" si="13"/>
        <v>19652.936714316747</v>
      </c>
      <c r="N22" s="42" t="s">
        <v>44</v>
      </c>
      <c r="O22" s="5">
        <v>0.7299755201900664</v>
      </c>
    </row>
    <row r="23" spans="1:18">
      <c r="A23">
        <v>1994</v>
      </c>
      <c r="B23">
        <f t="shared" si="8"/>
        <v>6</v>
      </c>
      <c r="C23">
        <v>1</v>
      </c>
      <c r="D23" s="25">
        <v>17686</v>
      </c>
      <c r="E23">
        <f t="shared" si="5"/>
        <v>19073.496832058983</v>
      </c>
      <c r="F23">
        <f t="shared" si="6"/>
        <v>1.0533091402266004</v>
      </c>
      <c r="G23" s="11">
        <f t="shared" si="7"/>
        <v>0.92293637319628274</v>
      </c>
      <c r="H23" s="44">
        <f t="shared" si="9"/>
        <v>18488.106087322041</v>
      </c>
      <c r="I23" s="43">
        <f t="shared" si="10"/>
        <v>4.5352600210451274E-2</v>
      </c>
      <c r="J23" s="25">
        <f t="shared" si="11"/>
        <v>20776.285165092606</v>
      </c>
      <c r="K23" s="44">
        <f t="shared" si="12"/>
        <v>21357.231904656383</v>
      </c>
      <c r="L23" s="44">
        <f t="shared" si="13"/>
        <v>26644.950758338589</v>
      </c>
      <c r="N23" s="42" t="s">
        <v>45</v>
      </c>
      <c r="O23" s="5">
        <v>1</v>
      </c>
    </row>
    <row r="24" spans="1:18">
      <c r="A24">
        <v>1994</v>
      </c>
      <c r="B24">
        <f t="shared" si="8"/>
        <v>7</v>
      </c>
      <c r="C24">
        <v>2</v>
      </c>
      <c r="D24" s="25">
        <v>19942</v>
      </c>
      <c r="E24">
        <f t="shared" si="5"/>
        <v>20251.796322795381</v>
      </c>
      <c r="F24">
        <f t="shared" si="6"/>
        <v>1.0617767943189051</v>
      </c>
      <c r="G24" s="11">
        <f t="shared" si="7"/>
        <v>0.98291688881964179</v>
      </c>
      <c r="H24" s="44">
        <f t="shared" si="9"/>
        <v>21111.67300901312</v>
      </c>
      <c r="I24" s="43">
        <f t="shared" si="10"/>
        <v>5.8653746314969432E-2</v>
      </c>
      <c r="J24" s="25">
        <f t="shared" si="11"/>
        <v>21876.462328222053</v>
      </c>
      <c r="K24" s="44">
        <f t="shared" si="12"/>
        <v>27512.143502925865</v>
      </c>
      <c r="L24" s="44">
        <f t="shared" si="13"/>
        <v>23755.72178755272</v>
      </c>
      <c r="N24" s="42" t="s">
        <v>46</v>
      </c>
      <c r="O24" s="5">
        <v>0.38340112013474065</v>
      </c>
    </row>
    <row r="25" spans="1:18">
      <c r="A25">
        <v>1994</v>
      </c>
      <c r="B25">
        <f t="shared" si="8"/>
        <v>8</v>
      </c>
      <c r="C25">
        <v>3</v>
      </c>
      <c r="D25" s="25">
        <v>20418</v>
      </c>
      <c r="E25">
        <f t="shared" si="5"/>
        <v>21361.463464782395</v>
      </c>
      <c r="F25">
        <f t="shared" si="6"/>
        <v>1.0547935167972224</v>
      </c>
      <c r="G25" s="11">
        <f t="shared" si="7"/>
        <v>0.95728028148164768</v>
      </c>
      <c r="H25" s="44">
        <f t="shared" si="9"/>
        <v>21589.646816157059</v>
      </c>
      <c r="I25" s="43">
        <f t="shared" si="10"/>
        <v>5.7383035368648215E-2</v>
      </c>
      <c r="J25" s="25">
        <f t="shared" si="11"/>
        <v>26972.866027650638</v>
      </c>
      <c r="K25" s="44">
        <f t="shared" si="12"/>
        <v>23136.897363153854</v>
      </c>
      <c r="L25" s="44">
        <f t="shared" si="13"/>
        <v>25990.677901700241</v>
      </c>
    </row>
    <row r="26" spans="1:18">
      <c r="A26">
        <v>1994</v>
      </c>
      <c r="B26">
        <f t="shared" si="8"/>
        <v>9</v>
      </c>
      <c r="C26">
        <v>4</v>
      </c>
      <c r="D26" s="25">
        <v>24448</v>
      </c>
      <c r="E26">
        <f t="shared" si="5"/>
        <v>21809.165930277159</v>
      </c>
      <c r="F26">
        <f t="shared" si="6"/>
        <v>1.0209584173028627</v>
      </c>
      <c r="G26" s="11">
        <f t="shared" si="7"/>
        <v>1.129575195247841</v>
      </c>
      <c r="H26" s="44">
        <f t="shared" si="9"/>
        <v>25270.17792725793</v>
      </c>
      <c r="I26" s="43">
        <f t="shared" si="10"/>
        <v>3.3629659982735996E-2</v>
      </c>
      <c r="J26" s="25">
        <f t="shared" si="11"/>
        <v>20981.035896371475</v>
      </c>
      <c r="K26" s="44">
        <f t="shared" si="12"/>
        <v>22812.874755061577</v>
      </c>
      <c r="L26" s="44">
        <f t="shared" si="13"/>
        <v>22683.516727610175</v>
      </c>
    </row>
    <row r="27" spans="1:18">
      <c r="A27">
        <v>1995</v>
      </c>
      <c r="B27">
        <f t="shared" si="8"/>
        <v>10</v>
      </c>
      <c r="C27">
        <v>1</v>
      </c>
      <c r="D27" s="25">
        <v>20440</v>
      </c>
      <c r="E27">
        <f t="shared" si="5"/>
        <v>22178.985813341984</v>
      </c>
      <c r="F27">
        <f t="shared" si="6"/>
        <v>1.0169570851194916</v>
      </c>
      <c r="G27" s="11">
        <f t="shared" si="7"/>
        <v>0.9224213557251224</v>
      </c>
      <c r="H27" s="44">
        <f t="shared" si="9"/>
        <v>20816.900745400257</v>
      </c>
      <c r="I27" s="43">
        <f t="shared" si="10"/>
        <v>1.8439371105687705E-2</v>
      </c>
      <c r="J27" s="25">
        <f t="shared" si="11"/>
        <v>22545.700486707705</v>
      </c>
      <c r="K27" s="44">
        <f t="shared" si="12"/>
        <v>22329.997552859295</v>
      </c>
      <c r="L27" s="44">
        <f t="shared" si="13"/>
        <v>26795.837514949199</v>
      </c>
    </row>
    <row r="28" spans="1:18">
      <c r="A28">
        <v>1995</v>
      </c>
      <c r="B28">
        <f t="shared" si="8"/>
        <v>11</v>
      </c>
      <c r="C28">
        <v>2</v>
      </c>
      <c r="D28" s="25">
        <v>22723</v>
      </c>
      <c r="E28">
        <f t="shared" si="5"/>
        <v>22965.943002094595</v>
      </c>
      <c r="F28">
        <f t="shared" si="6"/>
        <v>1.03548210884734</v>
      </c>
      <c r="G28" s="11">
        <f t="shared" si="7"/>
        <v>0.98541080119303559</v>
      </c>
      <c r="H28" s="44">
        <f t="shared" si="9"/>
        <v>23374.572646644596</v>
      </c>
      <c r="I28" s="43">
        <f t="shared" si="10"/>
        <v>2.8674587274769871E-2</v>
      </c>
      <c r="J28" s="25">
        <f t="shared" si="11"/>
        <v>23572.660144651953</v>
      </c>
      <c r="K28" s="44">
        <f t="shared" si="12"/>
        <v>28802.303883186756</v>
      </c>
      <c r="L28" s="44">
        <f t="shared" si="13"/>
        <v>24354.769845324987</v>
      </c>
    </row>
    <row r="29" spans="1:18">
      <c r="A29">
        <v>1995</v>
      </c>
      <c r="B29">
        <f t="shared" si="8"/>
        <v>12</v>
      </c>
      <c r="C29">
        <v>3</v>
      </c>
      <c r="D29" s="25">
        <v>22914</v>
      </c>
      <c r="E29">
        <f t="shared" si="5"/>
        <v>23894.509590390706</v>
      </c>
      <c r="F29">
        <f t="shared" si="6"/>
        <v>1.0404323300903178</v>
      </c>
      <c r="G29" s="11">
        <f t="shared" si="7"/>
        <v>0.95792623029251511</v>
      </c>
      <c r="H29" s="44">
        <f t="shared" si="9"/>
        <v>23798.581588536756</v>
      </c>
      <c r="I29" s="43">
        <f t="shared" si="10"/>
        <v>3.8604416013649105E-2</v>
      </c>
      <c r="J29" s="25">
        <f t="shared" si="11"/>
        <v>29217.358285853123</v>
      </c>
      <c r="K29" s="44">
        <f t="shared" si="12"/>
        <v>24823.841363987107</v>
      </c>
      <c r="L29" s="44">
        <f t="shared" si="13"/>
        <v>27591.213089800429</v>
      </c>
    </row>
    <row r="30" spans="1:18">
      <c r="A30">
        <v>1995</v>
      </c>
      <c r="B30">
        <f t="shared" si="8"/>
        <v>13</v>
      </c>
      <c r="C30">
        <v>4</v>
      </c>
      <c r="D30" s="25">
        <v>27550</v>
      </c>
      <c r="E30">
        <f t="shared" si="5"/>
        <v>24516.859916029229</v>
      </c>
      <c r="F30">
        <f t="shared" si="6"/>
        <v>1.026045745918502</v>
      </c>
      <c r="G30" s="11">
        <f t="shared" si="7"/>
        <v>1.1273289646797267</v>
      </c>
      <c r="H30" s="44">
        <f t="shared" si="9"/>
        <v>28414.9382548553</v>
      </c>
      <c r="I30" s="43">
        <f t="shared" si="10"/>
        <v>3.139521796207987E-2</v>
      </c>
      <c r="J30" s="25">
        <f t="shared" si="11"/>
        <v>23808.25924567943</v>
      </c>
      <c r="K30" s="44">
        <f t="shared" si="12"/>
        <v>26096.504294170438</v>
      </c>
      <c r="L30" s="44">
        <f t="shared" si="13"/>
        <v>26029.379023799927</v>
      </c>
    </row>
    <row r="31" spans="1:18">
      <c r="A31">
        <v>1996</v>
      </c>
      <c r="B31">
        <f t="shared" si="8"/>
        <v>14</v>
      </c>
      <c r="C31">
        <v>1</v>
      </c>
      <c r="D31" s="25">
        <v>22772</v>
      </c>
      <c r="E31">
        <f t="shared" si="5"/>
        <v>24813.630423174902</v>
      </c>
      <c r="F31">
        <f t="shared" si="6"/>
        <v>1.0121047519201936</v>
      </c>
      <c r="G31" s="11">
        <f t="shared" si="7"/>
        <v>0.92061939282740879</v>
      </c>
      <c r="H31" s="44">
        <f t="shared" si="9"/>
        <v>23165.683713961571</v>
      </c>
      <c r="I31" s="43">
        <f t="shared" si="10"/>
        <v>1.7288060511223034E-2</v>
      </c>
      <c r="J31" s="25">
        <f t="shared" si="11"/>
        <v>25047.163784447173</v>
      </c>
      <c r="K31" s="44">
        <f t="shared" si="12"/>
        <v>24643.294476059469</v>
      </c>
      <c r="L31" s="44">
        <f t="shared" si="13"/>
        <v>29352.346849002017</v>
      </c>
    </row>
    <row r="32" spans="1:18">
      <c r="A32">
        <v>1996</v>
      </c>
      <c r="B32">
        <f t="shared" si="8"/>
        <v>15</v>
      </c>
      <c r="C32">
        <v>2</v>
      </c>
      <c r="D32" s="25">
        <v>25587</v>
      </c>
      <c r="E32">
        <f t="shared" si="5"/>
        <v>25735.806306561004</v>
      </c>
      <c r="F32">
        <f t="shared" si="6"/>
        <v>1.0371640855311857</v>
      </c>
      <c r="G32" s="11">
        <f t="shared" si="7"/>
        <v>0.98878746315542221</v>
      </c>
      <c r="H32" s="44">
        <f t="shared" si="9"/>
        <v>26302.835412945278</v>
      </c>
      <c r="I32" s="43">
        <f t="shared" si="10"/>
        <v>2.7976527648621498E-2</v>
      </c>
      <c r="J32" s="25">
        <f t="shared" si="11"/>
        <v>26519.466582274697</v>
      </c>
      <c r="K32" s="44">
        <f t="shared" si="12"/>
        <v>32369.117137719826</v>
      </c>
      <c r="L32" s="44">
        <f t="shared" si="13"/>
        <v>27416.232697843127</v>
      </c>
    </row>
    <row r="33" spans="1:12">
      <c r="A33">
        <v>1996</v>
      </c>
      <c r="B33">
        <f t="shared" si="8"/>
        <v>16</v>
      </c>
      <c r="C33">
        <v>3</v>
      </c>
      <c r="D33" s="25">
        <v>25644</v>
      </c>
      <c r="E33">
        <f t="shared" si="5"/>
        <v>26749.246581224219</v>
      </c>
      <c r="F33">
        <f t="shared" si="6"/>
        <v>1.0393786098088891</v>
      </c>
      <c r="G33" s="11">
        <f t="shared" si="7"/>
        <v>0.95821568922462941</v>
      </c>
      <c r="H33" s="44">
        <f t="shared" si="9"/>
        <v>26632.834757296645</v>
      </c>
      <c r="I33" s="43">
        <f t="shared" si="10"/>
        <v>3.8560082564991612E-2</v>
      </c>
      <c r="J33" s="25">
        <f t="shared" si="11"/>
        <v>32576.901111942607</v>
      </c>
      <c r="K33" s="44">
        <f t="shared" si="12"/>
        <v>27651.137252376455</v>
      </c>
      <c r="L33" s="44">
        <f t="shared" si="13"/>
        <v>30868.079146286487</v>
      </c>
    </row>
    <row r="34" spans="1:12">
      <c r="A34">
        <v>1996</v>
      </c>
      <c r="B34">
        <f t="shared" si="8"/>
        <v>17</v>
      </c>
      <c r="C34">
        <v>4</v>
      </c>
      <c r="D34" s="25">
        <v>30856</v>
      </c>
      <c r="E34">
        <f t="shared" si="5"/>
        <v>27487.462730659176</v>
      </c>
      <c r="F34">
        <f t="shared" si="6"/>
        <v>1.0275976426922291</v>
      </c>
      <c r="G34" s="11">
        <f t="shared" si="7"/>
        <v>1.1254959888880296</v>
      </c>
      <c r="H34" s="44">
        <f t="shared" si="9"/>
        <v>31842.59245104776</v>
      </c>
      <c r="I34" s="43">
        <f t="shared" si="10"/>
        <v>3.1974087731648941E-2</v>
      </c>
      <c r="J34" s="25">
        <f t="shared" si="11"/>
        <v>26721.508479092168</v>
      </c>
      <c r="K34" s="44">
        <f t="shared" si="12"/>
        <v>29492.181832099555</v>
      </c>
      <c r="L34" s="44">
        <f t="shared" si="13"/>
        <v>29369.079053761816</v>
      </c>
    </row>
    <row r="35" spans="1:12">
      <c r="A35">
        <v>1997</v>
      </c>
      <c r="B35">
        <f t="shared" si="8"/>
        <v>18</v>
      </c>
      <c r="C35">
        <v>1</v>
      </c>
      <c r="D35" s="25">
        <v>25409</v>
      </c>
      <c r="E35">
        <f t="shared" si="5"/>
        <v>27774.374310636391</v>
      </c>
      <c r="F35">
        <f t="shared" si="6"/>
        <v>1.0104379070119556</v>
      </c>
      <c r="G35" s="11">
        <f t="shared" si="7"/>
        <v>0.91840206809307734</v>
      </c>
      <c r="H35" s="44">
        <f t="shared" si="9"/>
        <v>25836.52100938472</v>
      </c>
      <c r="I35" s="43">
        <f t="shared" si="10"/>
        <v>1.6825573984994291E-2</v>
      </c>
      <c r="J35" s="25">
        <f t="shared" si="11"/>
        <v>28039.256703198833</v>
      </c>
      <c r="K35" s="44">
        <f t="shared" si="12"/>
        <v>27455.948614335302</v>
      </c>
      <c r="L35" s="44">
        <f t="shared" si="13"/>
        <v>32585.677731912405</v>
      </c>
    </row>
    <row r="36" spans="1:12">
      <c r="A36">
        <v>1997</v>
      </c>
      <c r="B36">
        <f t="shared" si="8"/>
        <v>19</v>
      </c>
      <c r="C36">
        <v>2</v>
      </c>
      <c r="D36" s="25">
        <v>28386</v>
      </c>
      <c r="E36">
        <f t="shared" si="5"/>
        <v>28534.098445294105</v>
      </c>
      <c r="F36">
        <f t="shared" si="6"/>
        <v>1.0273534203204993</v>
      </c>
      <c r="G36" s="11">
        <f t="shared" si="7"/>
        <v>0.99109642353429317</v>
      </c>
      <c r="H36" s="44">
        <f t="shared" si="9"/>
        <v>28985.912560209537</v>
      </c>
      <c r="I36" s="43">
        <f t="shared" si="10"/>
        <v>2.1134099915787265E-2</v>
      </c>
      <c r="J36" s="25">
        <f t="shared" si="11"/>
        <v>28858.062854846168</v>
      </c>
      <c r="K36" s="44">
        <f t="shared" si="12"/>
        <v>34823.12327571986</v>
      </c>
      <c r="L36" s="44">
        <f t="shared" si="13"/>
        <v>29192.849804315039</v>
      </c>
    </row>
    <row r="37" spans="1:12">
      <c r="A37">
        <v>1997</v>
      </c>
      <c r="B37">
        <f t="shared" si="8"/>
        <v>20</v>
      </c>
      <c r="C37">
        <v>3</v>
      </c>
      <c r="D37" s="25">
        <v>28777</v>
      </c>
      <c r="E37">
        <f t="shared" si="5"/>
        <v>29838.18365805328</v>
      </c>
      <c r="F37">
        <f t="shared" si="6"/>
        <v>1.0457026955051474</v>
      </c>
      <c r="G37" s="11">
        <f t="shared" si="7"/>
        <v>0.9606003257020721</v>
      </c>
      <c r="H37" s="44">
        <f t="shared" si="9"/>
        <v>29898.120485784286</v>
      </c>
      <c r="I37" s="43">
        <f t="shared" si="10"/>
        <v>3.8958907661823187E-2</v>
      </c>
      <c r="J37" s="25">
        <f t="shared" si="11"/>
        <v>36722.546492440539</v>
      </c>
      <c r="K37" s="44">
        <f t="shared" si="12"/>
        <v>31335.015818905958</v>
      </c>
      <c r="L37" s="44">
        <f t="shared" si="13"/>
        <v>35360.728334388819</v>
      </c>
    </row>
    <row r="38" spans="1:12">
      <c r="A38">
        <v>1997</v>
      </c>
      <c r="B38">
        <f t="shared" si="8"/>
        <v>21</v>
      </c>
      <c r="C38">
        <v>4</v>
      </c>
      <c r="D38" s="25">
        <v>35386</v>
      </c>
      <c r="E38">
        <f t="shared" si="5"/>
        <v>31375.962217144868</v>
      </c>
      <c r="F38">
        <f t="shared" si="6"/>
        <v>1.0515372710589421</v>
      </c>
      <c r="G38" s="11">
        <f t="shared" si="7"/>
        <v>1.1263816687462604</v>
      </c>
      <c r="H38" s="44">
        <f t="shared" si="9"/>
        <v>37133.482055749526</v>
      </c>
      <c r="I38" s="43">
        <f t="shared" si="10"/>
        <v>4.9383430050006387E-2</v>
      </c>
      <c r="J38" s="25">
        <f t="shared" si="11"/>
        <v>31862.455910743727</v>
      </c>
      <c r="K38" s="44">
        <f t="shared" si="12"/>
        <v>36156.549162843912</v>
      </c>
      <c r="L38" s="44">
        <f t="shared" si="13"/>
        <v>36850.082562566568</v>
      </c>
    </row>
    <row r="39" spans="1:12">
      <c r="A39">
        <v>1998</v>
      </c>
      <c r="B39">
        <f t="shared" si="8"/>
        <v>22</v>
      </c>
      <c r="C39">
        <v>1</v>
      </c>
      <c r="D39" s="25">
        <v>29819</v>
      </c>
      <c r="E39">
        <f t="shared" si="5"/>
        <v>32610.016807423584</v>
      </c>
      <c r="F39">
        <f t="shared" si="6"/>
        <v>1.0393312109996227</v>
      </c>
      <c r="G39" s="11">
        <f t="shared" si="7"/>
        <v>0.91687238098873602</v>
      </c>
      <c r="H39" s="44">
        <f t="shared" si="9"/>
        <v>31127.041518297221</v>
      </c>
      <c r="I39" s="43">
        <f t="shared" si="10"/>
        <v>4.3866042399048295E-2</v>
      </c>
      <c r="J39" s="25">
        <f t="shared" si="11"/>
        <v>34912.011356918505</v>
      </c>
      <c r="K39" s="44">
        <f t="shared" si="12"/>
        <v>35168.64696172862</v>
      </c>
      <c r="L39" s="44">
        <f t="shared" si="13"/>
        <v>42860.03030460851</v>
      </c>
    </row>
    <row r="40" spans="1:12">
      <c r="A40">
        <v>1998</v>
      </c>
      <c r="B40">
        <f t="shared" si="8"/>
        <v>23</v>
      </c>
      <c r="C40">
        <v>2</v>
      </c>
      <c r="D40" s="25">
        <v>33521</v>
      </c>
      <c r="E40">
        <f t="shared" si="5"/>
        <v>33841.166689122882</v>
      </c>
      <c r="F40">
        <f t="shared" si="6"/>
        <v>1.0377537334301228</v>
      </c>
      <c r="G40" s="11">
        <f t="shared" si="7"/>
        <v>0.99088275871673526</v>
      </c>
      <c r="H40" s="44">
        <f t="shared" si="9"/>
        <v>34806.114180125085</v>
      </c>
      <c r="I40" s="43">
        <f t="shared" si="10"/>
        <v>3.8337584801321115E-2</v>
      </c>
      <c r="J40" s="25">
        <f t="shared" si="11"/>
        <v>35008.754935066499</v>
      </c>
      <c r="K40" s="44">
        <f t="shared" si="12"/>
        <v>42600.413489731684</v>
      </c>
      <c r="L40" s="44">
        <f t="shared" si="13"/>
        <v>35985.822681486679</v>
      </c>
    </row>
    <row r="41" spans="1:12">
      <c r="A41">
        <v>1998</v>
      </c>
      <c r="B41">
        <f t="shared" si="8"/>
        <v>24</v>
      </c>
      <c r="C41">
        <v>3</v>
      </c>
      <c r="D41" s="25">
        <v>33509</v>
      </c>
      <c r="E41">
        <f t="shared" si="5"/>
        <v>34946.958868039357</v>
      </c>
      <c r="F41">
        <f t="shared" si="6"/>
        <v>1.0326759472885401</v>
      </c>
      <c r="G41" s="11">
        <f t="shared" si="7"/>
        <v>0.95993043909818798</v>
      </c>
      <c r="H41" s="44">
        <f t="shared" si="9"/>
        <v>34666.993584286538</v>
      </c>
      <c r="I41" s="43">
        <f t="shared" si="10"/>
        <v>3.4557688510147663E-2</v>
      </c>
      <c r="J41" s="25">
        <f t="shared" si="11"/>
        <v>41978.129810312945</v>
      </c>
      <c r="K41" s="44">
        <f t="shared" si="12"/>
        <v>35286.65282698979</v>
      </c>
      <c r="L41" s="44">
        <f t="shared" si="13"/>
        <v>39381.105866157268</v>
      </c>
    </row>
    <row r="42" spans="1:12">
      <c r="A42">
        <v>1998</v>
      </c>
      <c r="B42">
        <f t="shared" si="8"/>
        <v>25</v>
      </c>
      <c r="C42">
        <v>4</v>
      </c>
      <c r="D42" s="25">
        <v>40785</v>
      </c>
      <c r="E42">
        <f t="shared" si="5"/>
        <v>36176.465998506108</v>
      </c>
      <c r="F42">
        <f t="shared" si="6"/>
        <v>1.0351820922418287</v>
      </c>
      <c r="G42" s="11">
        <f t="shared" si="7"/>
        <v>1.1267684124297588</v>
      </c>
      <c r="H42" s="44">
        <f t="shared" si="9"/>
        <v>42182.125912864067</v>
      </c>
      <c r="I42" s="43">
        <f t="shared" si="10"/>
        <v>3.4255876250191657E-2</v>
      </c>
      <c r="J42" s="25">
        <f t="shared" si="11"/>
        <v>35544.182563510178</v>
      </c>
      <c r="K42" s="44">
        <f t="shared" si="12"/>
        <v>39764.787182650689</v>
      </c>
      <c r="L42" s="44">
        <f t="shared" si="13"/>
        <v>39877.957337744367</v>
      </c>
    </row>
    <row r="43" spans="1:12">
      <c r="A43">
        <v>1999</v>
      </c>
      <c r="B43">
        <f t="shared" si="8"/>
        <v>26</v>
      </c>
      <c r="C43">
        <v>1</v>
      </c>
      <c r="D43" s="25">
        <v>35129</v>
      </c>
      <c r="E43">
        <f t="shared" si="5"/>
        <v>38080.452328194369</v>
      </c>
      <c r="F43">
        <f t="shared" si="6"/>
        <v>1.0526305231076714</v>
      </c>
      <c r="G43" s="11">
        <f t="shared" si="7"/>
        <v>0.91902782887854673</v>
      </c>
      <c r="H43" s="44">
        <f t="shared" si="9"/>
        <v>36752.505235741068</v>
      </c>
      <c r="I43" s="43">
        <f t="shared" si="10"/>
        <v>4.6215526651514925E-2</v>
      </c>
      <c r="J43" s="25">
        <f t="shared" si="11"/>
        <v>41809.626548091692</v>
      </c>
      <c r="K43" s="44">
        <f t="shared" si="12"/>
        <v>42635.340809554778</v>
      </c>
      <c r="L43" s="44">
        <f t="shared" si="13"/>
        <v>52679.373129695829</v>
      </c>
    </row>
    <row r="44" spans="1:12">
      <c r="A44">
        <v>1999</v>
      </c>
      <c r="B44">
        <f t="shared" si="8"/>
        <v>27</v>
      </c>
      <c r="C44">
        <v>2</v>
      </c>
      <c r="D44" s="25">
        <v>38913</v>
      </c>
      <c r="E44">
        <f t="shared" si="5"/>
        <v>39490.736272759284</v>
      </c>
      <c r="F44">
        <f t="shared" si="6"/>
        <v>1.037034327544496</v>
      </c>
      <c r="G44" s="11">
        <f t="shared" si="7"/>
        <v>0.98876928899310945</v>
      </c>
      <c r="H44" s="44">
        <f t="shared" si="9"/>
        <v>40579.8684811618</v>
      </c>
      <c r="I44" s="43">
        <f t="shared" si="10"/>
        <v>4.2835774192732518E-2</v>
      </c>
      <c r="J44" s="25">
        <f t="shared" si="11"/>
        <v>40768.173923941235</v>
      </c>
      <c r="K44" s="44">
        <f t="shared" si="12"/>
        <v>49626.002366713699</v>
      </c>
      <c r="L44" s="44">
        <f t="shared" si="13"/>
        <v>41975.55269177982</v>
      </c>
    </row>
    <row r="45" spans="1:12">
      <c r="A45">
        <v>1999</v>
      </c>
      <c r="B45">
        <f t="shared" si="8"/>
        <v>28</v>
      </c>
      <c r="C45">
        <v>3</v>
      </c>
      <c r="D45" s="25">
        <v>40899</v>
      </c>
      <c r="E45">
        <f t="shared" si="5"/>
        <v>42159.871719249481</v>
      </c>
      <c r="F45">
        <f t="shared" si="6"/>
        <v>1.0675889005475789</v>
      </c>
      <c r="G45" s="11">
        <f t="shared" si="7"/>
        <v>0.96382680874467974</v>
      </c>
      <c r="H45" s="44">
        <f t="shared" si="9"/>
        <v>43205.903756915432</v>
      </c>
      <c r="I45" s="43">
        <f t="shared" si="10"/>
        <v>5.6404893931769277E-2</v>
      </c>
      <c r="J45" s="25">
        <f t="shared" si="11"/>
        <v>54142.9661237662</v>
      </c>
      <c r="K45" s="44">
        <f t="shared" si="12"/>
        <v>47145.48336947646</v>
      </c>
      <c r="L45" s="44">
        <f t="shared" si="13"/>
        <v>54151.494769668352</v>
      </c>
    </row>
    <row r="46" spans="1:12">
      <c r="A46">
        <v>1999</v>
      </c>
      <c r="B46">
        <f t="shared" si="8"/>
        <v>29</v>
      </c>
      <c r="C46">
        <v>4</v>
      </c>
      <c r="D46" s="25">
        <v>51868</v>
      </c>
      <c r="E46">
        <f t="shared" si="5"/>
        <v>45756.262365421637</v>
      </c>
      <c r="F46">
        <f t="shared" si="6"/>
        <v>1.0853036430025498</v>
      </c>
      <c r="G46" s="11">
        <f t="shared" si="7"/>
        <v>1.1293767660225393</v>
      </c>
      <c r="H46" s="44">
        <f t="shared" si="9"/>
        <v>55954.686382624408</v>
      </c>
      <c r="I46" s="43">
        <f t="shared" si="10"/>
        <v>7.879012845346664E-2</v>
      </c>
      <c r="J46" s="25">
        <f t="shared" si="11"/>
        <v>49531.527972229058</v>
      </c>
      <c r="K46" s="44">
        <f t="shared" si="12"/>
        <v>57836.138996936883</v>
      </c>
      <c r="L46" s="44">
        <f t="shared" si="13"/>
        <v>61186.35564813613</v>
      </c>
    </row>
    <row r="47" spans="1:12">
      <c r="A47">
        <v>2000</v>
      </c>
      <c r="B47">
        <f t="shared" si="8"/>
        <v>30</v>
      </c>
      <c r="C47">
        <v>1</v>
      </c>
      <c r="D47" s="25">
        <v>43447</v>
      </c>
      <c r="E47">
        <f t="shared" si="5"/>
        <v>47918.82443780316</v>
      </c>
      <c r="F47">
        <f t="shared" si="6"/>
        <v>1.047262646916191</v>
      </c>
      <c r="G47" s="11">
        <f t="shared" si="7"/>
        <v>0.91429333948323843</v>
      </c>
      <c r="H47" s="44">
        <f t="shared" si="9"/>
        <v>46120.120282668475</v>
      </c>
      <c r="I47" s="43">
        <f t="shared" si="10"/>
        <v>6.1526003698033807E-2</v>
      </c>
      <c r="J47" s="25">
        <f t="shared" si="11"/>
        <v>51965.169886256394</v>
      </c>
      <c r="K47" s="44">
        <f t="shared" si="12"/>
        <v>53048.364410849594</v>
      </c>
      <c r="L47" s="44">
        <f t="shared" si="13"/>
        <v>65097.971967165358</v>
      </c>
    </row>
    <row r="48" spans="1:12">
      <c r="A48">
        <v>2000</v>
      </c>
      <c r="B48">
        <f t="shared" si="8"/>
        <v>31</v>
      </c>
      <c r="C48">
        <v>2</v>
      </c>
      <c r="D48" s="25">
        <v>46588</v>
      </c>
      <c r="E48">
        <f t="shared" si="5"/>
        <v>47945.171908430901</v>
      </c>
      <c r="F48">
        <f t="shared" si="6"/>
        <v>1.0005498354965268</v>
      </c>
      <c r="G48" s="11">
        <f t="shared" si="7"/>
        <v>0.98222231720730224</v>
      </c>
      <c r="H48" s="44">
        <f t="shared" si="9"/>
        <v>47432.779432428797</v>
      </c>
      <c r="I48" s="43">
        <f t="shared" si="10"/>
        <v>1.8132983438413262E-2</v>
      </c>
      <c r="J48" s="25">
        <f t="shared" si="11"/>
        <v>46261.672728187674</v>
      </c>
      <c r="K48" s="44">
        <f t="shared" si="12"/>
        <v>54237.530061997968</v>
      </c>
      <c r="L48" s="44">
        <f t="shared" si="13"/>
        <v>43932.441128347782</v>
      </c>
    </row>
    <row r="49" spans="1:12">
      <c r="A49">
        <v>2000</v>
      </c>
      <c r="B49">
        <f t="shared" si="8"/>
        <v>32</v>
      </c>
      <c r="C49">
        <v>3</v>
      </c>
      <c r="D49" s="25">
        <v>46181</v>
      </c>
      <c r="E49">
        <f t="shared" si="5"/>
        <v>47929.688757816904</v>
      </c>
      <c r="F49">
        <f t="shared" si="6"/>
        <v>0.99967706548964785</v>
      </c>
      <c r="G49" s="11">
        <f t="shared" si="7"/>
        <v>0.96370746839510613</v>
      </c>
      <c r="H49" s="44">
        <f t="shared" si="9"/>
        <v>46181.000703102945</v>
      </c>
      <c r="I49" s="43">
        <f t="shared" si="10"/>
        <v>1.5224939810924799E-8</v>
      </c>
      <c r="J49" s="25">
        <f t="shared" si="11"/>
        <v>54095.721203609392</v>
      </c>
      <c r="K49" s="44">
        <f t="shared" si="12"/>
        <v>43779.354193469851</v>
      </c>
      <c r="L49" s="44">
        <f t="shared" si="13"/>
        <v>47016.827466120158</v>
      </c>
    </row>
    <row r="50" spans="1:12">
      <c r="A50">
        <v>2000</v>
      </c>
      <c r="B50">
        <f t="shared" si="8"/>
        <v>33</v>
      </c>
      <c r="C50">
        <v>4</v>
      </c>
      <c r="D50" s="25">
        <v>57079</v>
      </c>
      <c r="E50">
        <f t="shared" si="5"/>
        <v>49831.165356681777</v>
      </c>
      <c r="F50">
        <f t="shared" si="6"/>
        <v>1.0396722083565535</v>
      </c>
      <c r="G50" s="11">
        <f t="shared" si="7"/>
        <v>1.1355384282283953</v>
      </c>
      <c r="H50" s="44">
        <f t="shared" si="9"/>
        <v>58510.839282089866</v>
      </c>
      <c r="I50" s="43">
        <f t="shared" si="10"/>
        <v>2.5085220170112759E-2</v>
      </c>
      <c r="J50" s="25">
        <f t="shared" si="11"/>
        <v>49246.964854678532</v>
      </c>
      <c r="K50" s="44">
        <f t="shared" si="12"/>
        <v>55004.743792449037</v>
      </c>
      <c r="L50" s="44">
        <f t="shared" si="13"/>
        <v>56108.932756360366</v>
      </c>
    </row>
    <row r="51" spans="1:12">
      <c r="A51">
        <v>2001</v>
      </c>
      <c r="B51">
        <f t="shared" si="8"/>
        <v>34</v>
      </c>
      <c r="C51">
        <v>1</v>
      </c>
      <c r="D51" s="25">
        <v>48565</v>
      </c>
      <c r="E51">
        <f t="shared" si="5"/>
        <v>52763.942727490452</v>
      </c>
      <c r="F51">
        <f t="shared" si="6"/>
        <v>1.0588542802444298</v>
      </c>
      <c r="G51" s="11">
        <f t="shared" si="7"/>
        <v>0.91664239398354708</v>
      </c>
      <c r="H51" s="44">
        <f t="shared" si="9"/>
        <v>51080.953191405351</v>
      </c>
      <c r="I51" s="43">
        <f t="shared" si="10"/>
        <v>5.1805892955942581E-2</v>
      </c>
      <c r="J51" s="25">
        <f t="shared" si="11"/>
        <v>58105.792768223597</v>
      </c>
      <c r="K51" s="44">
        <f t="shared" si="12"/>
        <v>60365.813057046624</v>
      </c>
      <c r="L51" s="44">
        <f t="shared" si="13"/>
        <v>75315.413060372768</v>
      </c>
    </row>
    <row r="52" spans="1:12">
      <c r="A52">
        <v>2001</v>
      </c>
      <c r="B52">
        <f t="shared" si="8"/>
        <v>35</v>
      </c>
      <c r="C52">
        <v>2</v>
      </c>
      <c r="D52" s="25">
        <v>53187</v>
      </c>
      <c r="E52">
        <f t="shared" si="5"/>
        <v>54614.008718905941</v>
      </c>
      <c r="F52">
        <f t="shared" si="6"/>
        <v>1.0350630732993269</v>
      </c>
      <c r="G52" s="11">
        <f t="shared" si="7"/>
        <v>0.97902041785423366</v>
      </c>
      <c r="H52" s="44">
        <f t="shared" si="9"/>
        <v>55523.990079908159</v>
      </c>
      <c r="I52" s="43">
        <f t="shared" si="10"/>
        <v>4.393912196416716E-2</v>
      </c>
      <c r="J52" s="25">
        <f t="shared" si="11"/>
        <v>56387.50908394852</v>
      </c>
      <c r="K52" s="44">
        <f t="shared" si="12"/>
        <v>68771.157872719486</v>
      </c>
      <c r="L52" s="44">
        <f t="shared" si="13"/>
        <v>57460.745294887907</v>
      </c>
    </row>
    <row r="53" spans="1:12">
      <c r="A53">
        <v>2001</v>
      </c>
      <c r="B53">
        <f t="shared" si="8"/>
        <v>36</v>
      </c>
      <c r="C53">
        <v>3</v>
      </c>
      <c r="D53" s="25">
        <v>53185</v>
      </c>
      <c r="E53">
        <f t="shared" si="5"/>
        <v>55550.021148099448</v>
      </c>
      <c r="F53">
        <f t="shared" si="6"/>
        <v>1.0171386875116801</v>
      </c>
      <c r="G53" s="11">
        <f t="shared" si="7"/>
        <v>0.96129890793101591</v>
      </c>
      <c r="H53" s="44">
        <f t="shared" si="9"/>
        <v>54451.472237302653</v>
      </c>
      <c r="I53" s="43">
        <f t="shared" si="10"/>
        <v>2.3812583196439831E-2</v>
      </c>
      <c r="J53" s="25">
        <f t="shared" si="11"/>
        <v>65259.901077907496</v>
      </c>
      <c r="K53" s="44">
        <f t="shared" si="12"/>
        <v>53582.711594517386</v>
      </c>
      <c r="L53" s="44">
        <f t="shared" si="13"/>
        <v>58209.875586617381</v>
      </c>
    </row>
    <row r="54" spans="1:12">
      <c r="A54">
        <v>2001</v>
      </c>
      <c r="B54">
        <f t="shared" si="8"/>
        <v>37</v>
      </c>
      <c r="C54">
        <v>4</v>
      </c>
      <c r="D54" s="25">
        <v>64735</v>
      </c>
      <c r="E54">
        <f t="shared" si="5"/>
        <v>56871.532850030031</v>
      </c>
      <c r="F54">
        <f t="shared" si="6"/>
        <v>1.0237895805369248</v>
      </c>
      <c r="G54" s="11">
        <f t="shared" si="7"/>
        <v>1.1365846393019368</v>
      </c>
      <c r="H54" s="44">
        <f t="shared" si="9"/>
        <v>66116.137638864704</v>
      </c>
      <c r="I54" s="43">
        <f t="shared" si="10"/>
        <v>2.133525355471853E-2</v>
      </c>
      <c r="J54" s="25">
        <f t="shared" si="11"/>
        <v>54640.703665593406</v>
      </c>
      <c r="K54" s="44">
        <f t="shared" si="12"/>
        <v>59747.370825713348</v>
      </c>
      <c r="L54" s="44">
        <f t="shared" si="13"/>
        <v>60061.504102270927</v>
      </c>
    </row>
    <row r="55" spans="1:12">
      <c r="A55">
        <v>2002</v>
      </c>
      <c r="B55">
        <f t="shared" si="8"/>
        <v>38</v>
      </c>
      <c r="C55">
        <v>1</v>
      </c>
      <c r="D55" s="25">
        <v>52126</v>
      </c>
      <c r="E55">
        <f t="shared" si="5"/>
        <v>57232.993721847844</v>
      </c>
      <c r="F55">
        <f t="shared" si="6"/>
        <v>1.0063557434397097</v>
      </c>
      <c r="G55" s="11">
        <f t="shared" si="7"/>
        <v>0.91439028391378518</v>
      </c>
      <c r="H55" s="44">
        <f t="shared" si="9"/>
        <v>52795.624589669183</v>
      </c>
      <c r="I55" s="43">
        <f t="shared" si="10"/>
        <v>1.2846268458527097E-2</v>
      </c>
      <c r="J55" s="25">
        <f t="shared" si="11"/>
        <v>56746.786336398589</v>
      </c>
      <c r="K55" s="44">
        <f t="shared" si="12"/>
        <v>56073.737075906756</v>
      </c>
      <c r="L55" s="44">
        <f t="shared" si="13"/>
        <v>66719.742865488064</v>
      </c>
    </row>
    <row r="56" spans="1:12">
      <c r="A56">
        <v>2002</v>
      </c>
      <c r="B56">
        <f t="shared" si="8"/>
        <v>39</v>
      </c>
      <c r="C56">
        <v>2</v>
      </c>
      <c r="D56" s="25">
        <v>56781</v>
      </c>
      <c r="E56">
        <f t="shared" si="5"/>
        <v>57889.484548095585</v>
      </c>
      <c r="F56">
        <f t="shared" si="6"/>
        <v>1.011470496012113</v>
      </c>
      <c r="G56" s="11">
        <f t="shared" si="7"/>
        <v>0.97972253791016284</v>
      </c>
      <c r="H56" s="44">
        <f t="shared" si="9"/>
        <v>57325.077568046312</v>
      </c>
      <c r="I56" s="43">
        <f t="shared" si="10"/>
        <v>9.5820356817652406E-3</v>
      </c>
      <c r="J56" s="25">
        <f t="shared" si="11"/>
        <v>56933.065675167971</v>
      </c>
      <c r="K56" s="44">
        <f t="shared" si="12"/>
        <v>68086.517674078423</v>
      </c>
      <c r="L56" s="44">
        <f t="shared" si="13"/>
        <v>55404.388004069973</v>
      </c>
    </row>
    <row r="57" spans="1:12">
      <c r="A57">
        <v>2002</v>
      </c>
      <c r="B57">
        <f t="shared" si="8"/>
        <v>40</v>
      </c>
      <c r="C57">
        <v>3</v>
      </c>
      <c r="D57" s="25">
        <v>55765</v>
      </c>
      <c r="E57">
        <f t="shared" si="5"/>
        <v>58156.798065010451</v>
      </c>
      <c r="F57">
        <f t="shared" si="6"/>
        <v>1.0046176523940678</v>
      </c>
      <c r="G57" s="11">
        <f t="shared" si="7"/>
        <v>0.96036892134480589</v>
      </c>
      <c r="H57" s="44">
        <f t="shared" si="9"/>
        <v>56164.22125033108</v>
      </c>
      <c r="I57" s="43">
        <f t="shared" si="10"/>
        <v>7.158993101965036E-3</v>
      </c>
      <c r="J57" s="25">
        <f t="shared" si="11"/>
        <v>66711.987571362857</v>
      </c>
      <c r="K57" s="44">
        <f t="shared" si="12"/>
        <v>53918.090739364074</v>
      </c>
      <c r="L57" s="44">
        <f t="shared" si="13"/>
        <v>58037.247389529701</v>
      </c>
    </row>
    <row r="58" spans="1:12">
      <c r="A58">
        <v>2002</v>
      </c>
      <c r="B58">
        <f t="shared" si="8"/>
        <v>41</v>
      </c>
      <c r="C58">
        <v>4</v>
      </c>
      <c r="D58" s="25">
        <v>66905</v>
      </c>
      <c r="E58">
        <f t="shared" si="5"/>
        <v>58746.247451232302</v>
      </c>
      <c r="F58">
        <f t="shared" si="6"/>
        <v>1.0101355199363442</v>
      </c>
      <c r="G58" s="11">
        <f t="shared" si="7"/>
        <v>1.1374651641777651</v>
      </c>
      <c r="H58" s="44">
        <f t="shared" si="9"/>
        <v>67446.831971724183</v>
      </c>
      <c r="I58" s="43">
        <f t="shared" si="10"/>
        <v>8.0985273406200282E-3</v>
      </c>
      <c r="J58" s="25">
        <f t="shared" si="11"/>
        <v>54811.415572605008</v>
      </c>
      <c r="K58" s="44">
        <f t="shared" si="12"/>
        <v>59322.870479917627</v>
      </c>
      <c r="L58" s="44">
        <f t="shared" si="13"/>
        <v>58740.386322291393</v>
      </c>
    </row>
    <row r="59" spans="1:12">
      <c r="A59">
        <v>2003</v>
      </c>
      <c r="B59">
        <f t="shared" si="8"/>
        <v>42</v>
      </c>
      <c r="C59">
        <v>1</v>
      </c>
      <c r="D59" s="25">
        <v>57224</v>
      </c>
      <c r="E59">
        <f t="shared" si="5"/>
        <v>61706.734333120316</v>
      </c>
      <c r="F59">
        <f t="shared" si="6"/>
        <v>1.0503944849302185</v>
      </c>
      <c r="G59" s="11">
        <f t="shared" si="7"/>
        <v>0.91936066850946307</v>
      </c>
      <c r="H59" s="44">
        <f t="shared" si="9"/>
        <v>59267.498675388895</v>
      </c>
      <c r="I59" s="43">
        <f t="shared" si="10"/>
        <v>3.5710517883910511E-2</v>
      </c>
      <c r="J59" s="25">
        <f t="shared" si="11"/>
        <v>66702.256735438335</v>
      </c>
      <c r="K59" s="44">
        <f t="shared" si="12"/>
        <v>68679.631923698078</v>
      </c>
      <c r="L59" s="44">
        <f t="shared" si="13"/>
        <v>85443.769422911893</v>
      </c>
    </row>
    <row r="60" spans="1:12">
      <c r="A60">
        <v>2003</v>
      </c>
      <c r="B60">
        <f t="shared" si="8"/>
        <v>43</v>
      </c>
      <c r="C60">
        <v>2</v>
      </c>
      <c r="D60" s="25">
        <v>63231</v>
      </c>
      <c r="E60">
        <f t="shared" si="5"/>
        <v>64614.42038260449</v>
      </c>
      <c r="F60">
        <f t="shared" si="6"/>
        <v>1.0471210489569451</v>
      </c>
      <c r="G60" s="11">
        <f t="shared" si="7"/>
        <v>0.97928816945419428</v>
      </c>
      <c r="H60" s="44">
        <f t="shared" si="9"/>
        <v>66287.164415067993</v>
      </c>
      <c r="I60" s="43">
        <f t="shared" si="10"/>
        <v>4.8333324082617597E-2</v>
      </c>
      <c r="J60" s="25">
        <f t="shared" si="11"/>
        <v>68039.533881495983</v>
      </c>
      <c r="K60" s="44">
        <f t="shared" si="12"/>
        <v>84383.634507031282</v>
      </c>
      <c r="L60" s="44">
        <f t="shared" si="13"/>
        <v>71417.21856109098</v>
      </c>
    </row>
    <row r="61" spans="1:12">
      <c r="A61">
        <v>2003</v>
      </c>
      <c r="B61">
        <f t="shared" si="8"/>
        <v>44</v>
      </c>
      <c r="C61">
        <v>3</v>
      </c>
      <c r="D61" s="25">
        <v>63036</v>
      </c>
      <c r="E61">
        <f t="shared" si="5"/>
        <v>66183.223315903189</v>
      </c>
      <c r="F61">
        <f t="shared" si="6"/>
        <v>1.0242794553291552</v>
      </c>
      <c r="G61" s="11">
        <f t="shared" si="7"/>
        <v>0.95733157542888858</v>
      </c>
      <c r="H61" s="44">
        <f t="shared" si="9"/>
        <v>65103.520513476942</v>
      </c>
      <c r="I61" s="43">
        <f t="shared" si="10"/>
        <v>3.2799043617566824E-2</v>
      </c>
      <c r="J61" s="25">
        <f t="shared" si="11"/>
        <v>78981.057325911053</v>
      </c>
      <c r="K61" s="44">
        <f t="shared" si="12"/>
        <v>65386.670028234686</v>
      </c>
      <c r="L61" s="44">
        <f t="shared" si="13"/>
        <v>71339.862859102039</v>
      </c>
    </row>
    <row r="62" spans="1:12">
      <c r="A62">
        <v>2003</v>
      </c>
      <c r="B62">
        <f t="shared" si="8"/>
        <v>45</v>
      </c>
      <c r="C62">
        <v>4</v>
      </c>
      <c r="D62" s="25">
        <v>75190</v>
      </c>
      <c r="E62">
        <f t="shared" si="5"/>
        <v>66558.652609205717</v>
      </c>
      <c r="F62">
        <f t="shared" si="6"/>
        <v>1.005672574929005</v>
      </c>
      <c r="G62" s="11">
        <f t="shared" si="7"/>
        <v>1.1344804463247256</v>
      </c>
      <c r="H62" s="44">
        <f t="shared" si="9"/>
        <v>76137.608863917747</v>
      </c>
      <c r="I62" s="43">
        <f t="shared" si="10"/>
        <v>1.2602857612950484E-2</v>
      </c>
      <c r="J62" s="25">
        <f t="shared" si="11"/>
        <v>61887.602067998421</v>
      </c>
      <c r="K62" s="44">
        <f t="shared" si="12"/>
        <v>66295.622110860102</v>
      </c>
      <c r="L62" s="44">
        <f t="shared" si="13"/>
        <v>65176.844827423789</v>
      </c>
    </row>
    <row r="63" spans="1:12">
      <c r="A63">
        <v>2004</v>
      </c>
      <c r="B63">
        <f t="shared" si="8"/>
        <v>46</v>
      </c>
      <c r="C63">
        <v>1</v>
      </c>
      <c r="D63" s="25">
        <v>65443</v>
      </c>
      <c r="E63">
        <f t="shared" si="5"/>
        <v>70036.381888922377</v>
      </c>
      <c r="F63">
        <f t="shared" si="6"/>
        <v>1.052250596179221</v>
      </c>
      <c r="G63" s="11">
        <f t="shared" si="7"/>
        <v>0.92513226543675109</v>
      </c>
      <c r="H63" s="44">
        <f t="shared" si="9"/>
        <v>67753.042567719982</v>
      </c>
      <c r="I63" s="43">
        <f t="shared" si="10"/>
        <v>3.5298543277661201E-2</v>
      </c>
      <c r="J63" s="25">
        <f t="shared" si="11"/>
        <v>75940.345910713426</v>
      </c>
      <c r="K63" s="44">
        <f t="shared" si="12"/>
        <v>78116.652964806097</v>
      </c>
      <c r="L63" s="44">
        <f t="shared" si="13"/>
        <v>97408.630822744643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65"/>
  <sheetViews>
    <sheetView topLeftCell="A6" workbookViewId="0">
      <selection activeCell="K25" sqref="K25"/>
    </sheetView>
  </sheetViews>
  <sheetFormatPr baseColWidth="10" defaultRowHeight="16"/>
  <cols>
    <col min="7" max="7" width="12.1640625" bestFit="1" customWidth="1"/>
    <col min="11" max="11" width="13.33203125" customWidth="1"/>
  </cols>
  <sheetData>
    <row r="3" spans="1:12">
      <c r="K3" t="s">
        <v>53</v>
      </c>
      <c r="L3" s="5">
        <v>4587.0326776426573</v>
      </c>
    </row>
    <row r="4" spans="1:12">
      <c r="F4" t="s">
        <v>7</v>
      </c>
      <c r="G4">
        <f>SUM(G7:G65)</f>
        <v>122582.30641016952</v>
      </c>
      <c r="H4">
        <f>AVERAGE(H7:H14)</f>
        <v>2.0509822055096619E-2</v>
      </c>
      <c r="I4" t="s">
        <v>42</v>
      </c>
      <c r="K4" t="s">
        <v>54</v>
      </c>
      <c r="L4" s="5">
        <v>1.00128230540251</v>
      </c>
    </row>
    <row r="6" spans="1:12">
      <c r="A6" t="s">
        <v>33</v>
      </c>
      <c r="B6" t="s">
        <v>40</v>
      </c>
      <c r="C6" t="s">
        <v>34</v>
      </c>
      <c r="D6" t="s">
        <v>52</v>
      </c>
      <c r="E6" t="s">
        <v>27</v>
      </c>
      <c r="F6" t="s">
        <v>1</v>
      </c>
      <c r="G6" t="s">
        <v>2</v>
      </c>
      <c r="H6" t="s">
        <v>41</v>
      </c>
      <c r="K6" t="s">
        <v>5</v>
      </c>
    </row>
    <row r="7" spans="1:12">
      <c r="A7">
        <v>1996</v>
      </c>
      <c r="B7">
        <v>1</v>
      </c>
      <c r="C7">
        <v>1</v>
      </c>
      <c r="D7">
        <v>4194</v>
      </c>
      <c r="E7">
        <f t="shared" ref="E7:E14" si="0">Base2*Trend2^B7*VLOOKUP(C7,Seasonality_Factors2,2)</f>
        <v>4116.8432949238222</v>
      </c>
      <c r="F7">
        <f>D7-E7</f>
        <v>77.156705076177786</v>
      </c>
      <c r="G7">
        <f>F7^2</f>
        <v>5953.1571382122793</v>
      </c>
      <c r="H7">
        <f>ABS(D7-E7)/D7</f>
        <v>1.8396925387739099E-2</v>
      </c>
      <c r="K7">
        <v>1</v>
      </c>
      <c r="L7" s="5">
        <v>0.89634656959192049</v>
      </c>
    </row>
    <row r="8" spans="1:12">
      <c r="A8">
        <v>1996</v>
      </c>
      <c r="B8">
        <v>2</v>
      </c>
      <c r="C8">
        <v>2</v>
      </c>
      <c r="D8">
        <v>5253</v>
      </c>
      <c r="E8">
        <f t="shared" si="0"/>
        <v>5087.7483108257993</v>
      </c>
      <c r="F8">
        <f t="shared" ref="F8:F14" si="1">D8-E8</f>
        <v>165.25168917420069</v>
      </c>
      <c r="G8">
        <f t="shared" ref="G8:G14" si="2">F8^2</f>
        <v>27308.12077492664</v>
      </c>
      <c r="H8">
        <f t="shared" ref="H8:H14" si="3">ABS(D8-E8)/D8</f>
        <v>3.1458535917418748E-2</v>
      </c>
      <c r="K8">
        <v>2</v>
      </c>
      <c r="L8" s="5">
        <v>1.1063198428670966</v>
      </c>
    </row>
    <row r="9" spans="1:12">
      <c r="A9">
        <v>1996</v>
      </c>
      <c r="B9">
        <v>3</v>
      </c>
      <c r="C9">
        <v>3</v>
      </c>
      <c r="D9">
        <v>4656</v>
      </c>
      <c r="E9">
        <f t="shared" si="0"/>
        <v>4722.3643070971202</v>
      </c>
      <c r="F9">
        <f t="shared" si="1"/>
        <v>-66.364307097120218</v>
      </c>
      <c r="G9">
        <f t="shared" si="2"/>
        <v>4404.2212564808806</v>
      </c>
      <c r="H9">
        <f t="shared" si="3"/>
        <v>1.4253502383402108E-2</v>
      </c>
      <c r="K9">
        <v>3</v>
      </c>
      <c r="L9" s="5">
        <v>1.0255528112888974</v>
      </c>
    </row>
    <row r="10" spans="1:12">
      <c r="A10">
        <v>1996</v>
      </c>
      <c r="B10">
        <v>4</v>
      </c>
      <c r="C10">
        <v>4</v>
      </c>
      <c r="D10">
        <v>4443</v>
      </c>
      <c r="E10">
        <f t="shared" si="0"/>
        <v>4480.498173020439</v>
      </c>
      <c r="F10">
        <f t="shared" si="1"/>
        <v>-37.498173020439026</v>
      </c>
      <c r="G10">
        <f t="shared" si="2"/>
        <v>1406.1129798707814</v>
      </c>
      <c r="H10">
        <f t="shared" si="3"/>
        <v>8.4398318749581425E-3</v>
      </c>
      <c r="K10">
        <v>4</v>
      </c>
      <c r="L10" s="5">
        <v>0.9717807791790638</v>
      </c>
    </row>
    <row r="11" spans="1:12">
      <c r="A11">
        <v>1997</v>
      </c>
      <c r="B11">
        <v>5</v>
      </c>
      <c r="C11">
        <v>1</v>
      </c>
      <c r="D11">
        <v>4138</v>
      </c>
      <c r="E11">
        <f t="shared" si="0"/>
        <v>4138.0001473790217</v>
      </c>
      <c r="F11">
        <f t="shared" si="1"/>
        <v>-1.4737902165506966E-4</v>
      </c>
      <c r="G11">
        <f t="shared" si="2"/>
        <v>2.1720576024005493E-8</v>
      </c>
      <c r="H11">
        <f t="shared" si="3"/>
        <v>3.5616003299920169E-8</v>
      </c>
    </row>
    <row r="12" spans="1:12">
      <c r="A12">
        <v>1997</v>
      </c>
      <c r="B12">
        <v>6</v>
      </c>
      <c r="C12">
        <v>2</v>
      </c>
      <c r="D12">
        <v>5075</v>
      </c>
      <c r="E12">
        <f t="shared" si="0"/>
        <v>5113.894737257443</v>
      </c>
      <c r="F12">
        <f t="shared" si="1"/>
        <v>-38.894737257443012</v>
      </c>
      <c r="G12">
        <f t="shared" si="2"/>
        <v>1512.8005863255255</v>
      </c>
      <c r="H12">
        <f t="shared" si="3"/>
        <v>7.6639876369345838E-3</v>
      </c>
      <c r="K12" t="s">
        <v>6</v>
      </c>
      <c r="L12" s="5">
        <f>AVERAGE(L7:L10)</f>
        <v>1.0000000007317444</v>
      </c>
    </row>
    <row r="13" spans="1:12">
      <c r="A13">
        <v>1997</v>
      </c>
      <c r="B13">
        <v>7</v>
      </c>
      <c r="C13">
        <v>3</v>
      </c>
      <c r="D13">
        <v>4954</v>
      </c>
      <c r="E13">
        <f t="shared" si="0"/>
        <v>4746.6329900970641</v>
      </c>
      <c r="F13">
        <f t="shared" si="1"/>
        <v>207.36700990293593</v>
      </c>
      <c r="G13">
        <f t="shared" si="2"/>
        <v>43001.07679608433</v>
      </c>
      <c r="H13">
        <f t="shared" si="3"/>
        <v>4.1858500182264016E-2</v>
      </c>
    </row>
    <row r="14" spans="1:12">
      <c r="A14">
        <v>1997</v>
      </c>
      <c r="B14">
        <v>8</v>
      </c>
      <c r="C14">
        <v>4</v>
      </c>
      <c r="D14">
        <v>4701</v>
      </c>
      <c r="E14">
        <f t="shared" si="0"/>
        <v>4503.5238827649091</v>
      </c>
      <c r="F14">
        <f t="shared" si="1"/>
        <v>197.4761172350909</v>
      </c>
      <c r="G14">
        <f t="shared" si="2"/>
        <v>38996.816878247366</v>
      </c>
      <c r="H14">
        <f t="shared" si="3"/>
        <v>4.2007257442052942E-2</v>
      </c>
      <c r="K14" t="s">
        <v>9</v>
      </c>
      <c r="L14" s="4">
        <f>STDEV(F7:F14)</f>
        <v>113.8721163350675</v>
      </c>
    </row>
    <row r="15" spans="1:12">
      <c r="A15">
        <v>1998</v>
      </c>
      <c r="B15">
        <v>9</v>
      </c>
      <c r="C15">
        <v>1</v>
      </c>
      <c r="D15">
        <v>4457</v>
      </c>
    </row>
    <row r="16" spans="1:12">
      <c r="A16">
        <v>1998</v>
      </c>
      <c r="B16">
        <v>10</v>
      </c>
      <c r="C16">
        <v>2</v>
      </c>
      <c r="D16">
        <v>5151</v>
      </c>
    </row>
    <row r="17" spans="1:4">
      <c r="A17">
        <v>1998</v>
      </c>
      <c r="B17">
        <v>11</v>
      </c>
      <c r="C17">
        <v>3</v>
      </c>
      <c r="D17">
        <v>4747</v>
      </c>
    </row>
    <row r="18" spans="1:4">
      <c r="A18">
        <v>1998</v>
      </c>
      <c r="B18">
        <v>12</v>
      </c>
      <c r="C18">
        <v>4</v>
      </c>
      <c r="D18">
        <v>4458</v>
      </c>
    </row>
    <row r="19" spans="1:4">
      <c r="A19">
        <v>1999</v>
      </c>
      <c r="B19">
        <v>13</v>
      </c>
      <c r="C19">
        <v>1</v>
      </c>
      <c r="D19">
        <v>4428</v>
      </c>
    </row>
    <row r="20" spans="1:4">
      <c r="A20">
        <v>1999</v>
      </c>
      <c r="B20">
        <v>14</v>
      </c>
      <c r="C20">
        <v>2</v>
      </c>
      <c r="D20">
        <v>5379</v>
      </c>
    </row>
    <row r="21" spans="1:4">
      <c r="A21">
        <v>1999</v>
      </c>
      <c r="B21">
        <v>15</v>
      </c>
      <c r="C21">
        <v>3</v>
      </c>
      <c r="D21">
        <v>5195</v>
      </c>
    </row>
    <row r="22" spans="1:4">
      <c r="A22">
        <v>1999</v>
      </c>
      <c r="B22">
        <v>16</v>
      </c>
      <c r="C22">
        <v>4</v>
      </c>
      <c r="D22">
        <v>4931</v>
      </c>
    </row>
    <row r="23" spans="1:4">
      <c r="A23">
        <v>2000</v>
      </c>
      <c r="B23">
        <v>17</v>
      </c>
      <c r="C23">
        <v>1</v>
      </c>
      <c r="D23">
        <v>4391</v>
      </c>
    </row>
    <row r="24" spans="1:4">
      <c r="A24">
        <v>2000</v>
      </c>
      <c r="B24">
        <v>18</v>
      </c>
      <c r="C24">
        <v>2</v>
      </c>
      <c r="D24">
        <v>5621</v>
      </c>
    </row>
    <row r="25" spans="1:4">
      <c r="A25">
        <v>2000</v>
      </c>
      <c r="B25">
        <v>19</v>
      </c>
      <c r="C25">
        <v>3</v>
      </c>
      <c r="D25">
        <v>5543</v>
      </c>
    </row>
    <row r="26" spans="1:4">
      <c r="A26">
        <v>2000</v>
      </c>
      <c r="B26">
        <v>20</v>
      </c>
      <c r="C26">
        <v>4</v>
      </c>
      <c r="D26">
        <v>4903</v>
      </c>
    </row>
    <row r="27" spans="1:4">
      <c r="A27">
        <v>2001</v>
      </c>
      <c r="B27">
        <v>21</v>
      </c>
      <c r="C27">
        <v>1</v>
      </c>
      <c r="D27">
        <v>4479</v>
      </c>
    </row>
    <row r="28" spans="1:4">
      <c r="A28">
        <v>2001</v>
      </c>
      <c r="B28">
        <v>22</v>
      </c>
      <c r="C28">
        <v>2</v>
      </c>
      <c r="D28">
        <v>5293</v>
      </c>
    </row>
    <row r="29" spans="1:4">
      <c r="A29">
        <v>2001</v>
      </c>
      <c r="B29">
        <v>23</v>
      </c>
      <c r="C29">
        <v>3</v>
      </c>
      <c r="D29">
        <v>5397</v>
      </c>
    </row>
    <row r="30" spans="1:4">
      <c r="A30">
        <v>2001</v>
      </c>
      <c r="B30">
        <v>24</v>
      </c>
      <c r="C30">
        <v>4</v>
      </c>
      <c r="D30">
        <v>4923</v>
      </c>
    </row>
    <row r="31" spans="1:4">
      <c r="A31">
        <v>2002</v>
      </c>
      <c r="B31">
        <v>25</v>
      </c>
      <c r="C31">
        <v>1</v>
      </c>
      <c r="D31">
        <v>4079</v>
      </c>
    </row>
    <row r="32" spans="1:4">
      <c r="A32">
        <v>2002</v>
      </c>
      <c r="B32">
        <v>26</v>
      </c>
      <c r="C32">
        <v>2</v>
      </c>
      <c r="D32">
        <v>5368</v>
      </c>
    </row>
    <row r="33" spans="1:4">
      <c r="A33">
        <v>2002</v>
      </c>
      <c r="B33">
        <v>27</v>
      </c>
      <c r="C33">
        <v>3</v>
      </c>
      <c r="D33">
        <v>5322</v>
      </c>
    </row>
    <row r="34" spans="1:4">
      <c r="A34">
        <v>2002</v>
      </c>
      <c r="B34">
        <v>28</v>
      </c>
      <c r="C34">
        <v>4</v>
      </c>
      <c r="D34">
        <v>4795</v>
      </c>
    </row>
    <row r="35" spans="1:4">
      <c r="A35">
        <v>2003</v>
      </c>
      <c r="B35">
        <v>29</v>
      </c>
      <c r="C35">
        <v>1</v>
      </c>
      <c r="D35">
        <v>4502</v>
      </c>
    </row>
    <row r="36" spans="1:4">
      <c r="A36">
        <v>2003</v>
      </c>
      <c r="B36">
        <v>30</v>
      </c>
      <c r="C36">
        <v>2</v>
      </c>
      <c r="D36">
        <v>5695</v>
      </c>
    </row>
    <row r="37" spans="1:4">
      <c r="A37">
        <v>2003</v>
      </c>
      <c r="B37">
        <v>31</v>
      </c>
      <c r="C37">
        <v>3</v>
      </c>
      <c r="D37">
        <v>5671</v>
      </c>
    </row>
    <row r="38" spans="1:4">
      <c r="A38">
        <v>2003</v>
      </c>
      <c r="B38">
        <v>32</v>
      </c>
      <c r="C38">
        <v>4</v>
      </c>
      <c r="D38">
        <v>5176</v>
      </c>
    </row>
    <row r="39" spans="1:4">
      <c r="A39">
        <v>2004</v>
      </c>
      <c r="B39">
        <v>33</v>
      </c>
      <c r="C39">
        <v>1</v>
      </c>
      <c r="D39">
        <v>5078</v>
      </c>
    </row>
    <row r="40" spans="1:4">
      <c r="A40">
        <v>2004</v>
      </c>
      <c r="B40">
        <v>34</v>
      </c>
      <c r="C40">
        <v>2</v>
      </c>
      <c r="D40">
        <v>5965</v>
      </c>
    </row>
    <row r="41" spans="1:4">
      <c r="A41">
        <v>2004</v>
      </c>
      <c r="B41">
        <v>35</v>
      </c>
      <c r="C41">
        <v>3</v>
      </c>
      <c r="D41">
        <v>5862</v>
      </c>
    </row>
    <row r="42" spans="1:4">
      <c r="A42">
        <v>2004</v>
      </c>
      <c r="B42">
        <v>36</v>
      </c>
      <c r="C42">
        <v>4</v>
      </c>
      <c r="D42">
        <v>5257</v>
      </c>
    </row>
    <row r="43" spans="1:4">
      <c r="A43">
        <v>2005</v>
      </c>
      <c r="B43">
        <v>37</v>
      </c>
      <c r="C43">
        <v>1</v>
      </c>
      <c r="D43">
        <v>5206</v>
      </c>
    </row>
    <row r="44" spans="1:4">
      <c r="A44">
        <v>2005</v>
      </c>
      <c r="B44">
        <v>38</v>
      </c>
      <c r="C44">
        <v>2</v>
      </c>
      <c r="D44">
        <v>6310</v>
      </c>
    </row>
    <row r="45" spans="1:4">
      <c r="A45">
        <v>2005</v>
      </c>
      <c r="B45">
        <v>39</v>
      </c>
      <c r="C45">
        <v>3</v>
      </c>
      <c r="D45">
        <v>6037</v>
      </c>
    </row>
    <row r="46" spans="1:4">
      <c r="A46">
        <v>2005</v>
      </c>
      <c r="B46">
        <v>40</v>
      </c>
      <c r="C46">
        <v>4</v>
      </c>
      <c r="D46">
        <v>5551</v>
      </c>
    </row>
    <row r="47" spans="1:4">
      <c r="A47">
        <v>2006</v>
      </c>
      <c r="B47">
        <v>41</v>
      </c>
      <c r="C47">
        <v>1</v>
      </c>
      <c r="D47">
        <v>5226</v>
      </c>
    </row>
    <row r="48" spans="1:4">
      <c r="A48">
        <v>2006</v>
      </c>
      <c r="B48">
        <v>42</v>
      </c>
      <c r="C48">
        <v>2</v>
      </c>
      <c r="D48">
        <v>6476</v>
      </c>
    </row>
    <row r="49" spans="1:4">
      <c r="A49">
        <v>2006</v>
      </c>
      <c r="B49">
        <v>43</v>
      </c>
      <c r="C49">
        <v>3</v>
      </c>
      <c r="D49">
        <v>6454</v>
      </c>
    </row>
    <row r="50" spans="1:4">
      <c r="A50">
        <v>2006</v>
      </c>
      <c r="B50">
        <v>44</v>
      </c>
      <c r="C50">
        <v>4</v>
      </c>
      <c r="D50">
        <v>5932</v>
      </c>
    </row>
    <row r="51" spans="1:4">
      <c r="A51">
        <v>2007</v>
      </c>
      <c r="B51">
        <v>45</v>
      </c>
      <c r="C51">
        <v>1</v>
      </c>
      <c r="D51">
        <v>6103</v>
      </c>
    </row>
    <row r="52" spans="1:4">
      <c r="A52">
        <v>2007</v>
      </c>
      <c r="B52">
        <v>46</v>
      </c>
      <c r="C52">
        <v>2</v>
      </c>
      <c r="D52">
        <v>7733</v>
      </c>
    </row>
    <row r="53" spans="1:4">
      <c r="A53">
        <v>2007</v>
      </c>
      <c r="B53">
        <v>47</v>
      </c>
      <c r="C53">
        <v>3</v>
      </c>
      <c r="D53">
        <v>7690</v>
      </c>
    </row>
    <row r="54" spans="1:4">
      <c r="A54">
        <v>2007</v>
      </c>
      <c r="B54">
        <v>48</v>
      </c>
      <c r="C54">
        <v>4</v>
      </c>
      <c r="D54">
        <v>7331</v>
      </c>
    </row>
    <row r="55" spans="1:4">
      <c r="A55">
        <v>2008</v>
      </c>
      <c r="B55">
        <v>49</v>
      </c>
      <c r="C55">
        <v>1</v>
      </c>
      <c r="D55">
        <v>7379</v>
      </c>
    </row>
    <row r="56" spans="1:4">
      <c r="A56">
        <v>2008</v>
      </c>
      <c r="B56">
        <v>50</v>
      </c>
      <c r="C56">
        <v>2</v>
      </c>
      <c r="D56">
        <v>9046</v>
      </c>
    </row>
    <row r="57" spans="1:4">
      <c r="A57">
        <v>2008</v>
      </c>
      <c r="B57">
        <v>51</v>
      </c>
      <c r="C57">
        <v>3</v>
      </c>
      <c r="D57">
        <v>8393</v>
      </c>
    </row>
    <row r="58" spans="1:4">
      <c r="A58">
        <v>2008</v>
      </c>
      <c r="B58">
        <v>52</v>
      </c>
      <c r="C58">
        <v>4</v>
      </c>
      <c r="D58">
        <v>7126</v>
      </c>
    </row>
    <row r="59" spans="1:4">
      <c r="A59">
        <v>2009</v>
      </c>
      <c r="B59">
        <v>53</v>
      </c>
      <c r="C59">
        <v>1</v>
      </c>
      <c r="D59">
        <v>7169</v>
      </c>
    </row>
    <row r="60" spans="1:4">
      <c r="A60">
        <v>2009</v>
      </c>
      <c r="B60">
        <v>54</v>
      </c>
      <c r="C60">
        <v>2</v>
      </c>
      <c r="D60">
        <v>8267</v>
      </c>
    </row>
    <row r="61" spans="1:4">
      <c r="A61">
        <v>2009</v>
      </c>
      <c r="B61">
        <v>55</v>
      </c>
      <c r="C61">
        <v>3</v>
      </c>
      <c r="D61">
        <v>8044</v>
      </c>
    </row>
    <row r="62" spans="1:4">
      <c r="A62">
        <v>2009</v>
      </c>
      <c r="B62">
        <v>56</v>
      </c>
      <c r="C62">
        <v>4</v>
      </c>
      <c r="D62">
        <v>7510</v>
      </c>
    </row>
    <row r="63" spans="1:4">
      <c r="A63">
        <v>2010</v>
      </c>
      <c r="B63">
        <v>57</v>
      </c>
      <c r="C63">
        <v>1</v>
      </c>
      <c r="D63">
        <v>7525</v>
      </c>
    </row>
    <row r="64" spans="1:4">
      <c r="A64">
        <v>2010</v>
      </c>
      <c r="B64">
        <v>58</v>
      </c>
      <c r="C64">
        <v>2</v>
      </c>
      <c r="D64">
        <v>8674</v>
      </c>
    </row>
    <row r="65" spans="1:4">
      <c r="A65">
        <v>2010</v>
      </c>
      <c r="B65">
        <v>59</v>
      </c>
      <c r="C65">
        <v>3</v>
      </c>
      <c r="D65">
        <v>8426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6"/>
  <sheetViews>
    <sheetView topLeftCell="A23" workbookViewId="0">
      <selection activeCell="H26" sqref="H26"/>
    </sheetView>
  </sheetViews>
  <sheetFormatPr baseColWidth="10" defaultRowHeight="16"/>
  <cols>
    <col min="4" max="4" width="13.1640625" customWidth="1"/>
    <col min="11" max="11" width="13.5" customWidth="1"/>
    <col min="14" max="14" width="3" customWidth="1"/>
  </cols>
  <sheetData>
    <row r="1" spans="1:19" ht="17" thickBot="1"/>
    <row r="2" spans="1:19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1:19">
      <c r="A3" s="32"/>
      <c r="B3" s="33"/>
      <c r="C3" s="33"/>
      <c r="D3" s="33"/>
      <c r="E3" s="33"/>
      <c r="F3" s="33"/>
      <c r="G3" s="33"/>
      <c r="H3" s="33"/>
      <c r="I3" s="33"/>
      <c r="J3" s="33"/>
      <c r="K3" s="33" t="s">
        <v>53</v>
      </c>
      <c r="L3" s="35">
        <v>4587.0326776426573</v>
      </c>
      <c r="M3" s="34"/>
    </row>
    <row r="4" spans="1:19" ht="24">
      <c r="A4" s="32"/>
      <c r="B4" s="33"/>
      <c r="C4" s="33"/>
      <c r="D4" s="33"/>
      <c r="E4" s="33"/>
      <c r="F4" s="35" t="s">
        <v>7</v>
      </c>
      <c r="G4" s="33">
        <f>SUM(G7:G69)</f>
        <v>122630.31334009655</v>
      </c>
      <c r="H4" s="33">
        <f>AVERAGE(H7:H14)</f>
        <v>2.0509822055096619E-2</v>
      </c>
      <c r="I4" s="35" t="s">
        <v>42</v>
      </c>
      <c r="J4" s="33"/>
      <c r="K4" s="33" t="s">
        <v>54</v>
      </c>
      <c r="L4" s="35">
        <v>1.00128230540251</v>
      </c>
      <c r="M4" s="34"/>
      <c r="O4" s="40" t="s">
        <v>16</v>
      </c>
      <c r="P4" s="41"/>
      <c r="Q4" s="41"/>
      <c r="R4" s="12"/>
      <c r="S4" s="13"/>
    </row>
    <row r="5" spans="1:19" ht="24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4"/>
      <c r="O5" s="40" t="s">
        <v>17</v>
      </c>
      <c r="P5" s="41"/>
      <c r="Q5" s="41"/>
      <c r="R5" s="12"/>
      <c r="S5" s="13"/>
    </row>
    <row r="6" spans="1:19" ht="24">
      <c r="A6" s="32" t="s">
        <v>33</v>
      </c>
      <c r="B6" s="33" t="s">
        <v>40</v>
      </c>
      <c r="C6" s="33" t="s">
        <v>34</v>
      </c>
      <c r="D6" s="33" t="s">
        <v>52</v>
      </c>
      <c r="E6" s="33" t="s">
        <v>27</v>
      </c>
      <c r="F6" s="33" t="s">
        <v>1</v>
      </c>
      <c r="G6" s="33" t="s">
        <v>2</v>
      </c>
      <c r="H6" s="33" t="s">
        <v>41</v>
      </c>
      <c r="I6" s="33"/>
      <c r="J6" s="33"/>
      <c r="K6" s="33" t="s">
        <v>5</v>
      </c>
      <c r="L6" s="33"/>
      <c r="M6" s="34"/>
      <c r="O6" s="40" t="s">
        <v>18</v>
      </c>
      <c r="P6" s="41"/>
      <c r="Q6" s="41"/>
      <c r="R6" s="12"/>
      <c r="S6" s="13"/>
    </row>
    <row r="7" spans="1:19" ht="19">
      <c r="A7" s="32">
        <v>1996</v>
      </c>
      <c r="B7" s="33">
        <v>1</v>
      </c>
      <c r="C7" s="33">
        <v>1</v>
      </c>
      <c r="D7" s="33">
        <v>4194</v>
      </c>
      <c r="E7" s="33">
        <f t="shared" ref="E7:E14" si="0">Base2*Trend2^B7*VLOOKUP(C7,Seasonality_Factors2,2)</f>
        <v>4116.8432949238222</v>
      </c>
      <c r="F7" s="33">
        <f>D7-E7</f>
        <v>77.156705076177786</v>
      </c>
      <c r="G7" s="33">
        <f>F7^2</f>
        <v>5953.1571382122793</v>
      </c>
      <c r="H7" s="33">
        <f>ABS(D7-E7)/D7</f>
        <v>1.8396925387739099E-2</v>
      </c>
      <c r="I7" s="33"/>
      <c r="J7" s="33"/>
      <c r="K7" s="33">
        <v>1</v>
      </c>
      <c r="L7" s="35">
        <v>0.89634656959192049</v>
      </c>
      <c r="M7" s="34"/>
      <c r="O7" s="40" t="s">
        <v>23</v>
      </c>
      <c r="P7" s="41"/>
      <c r="Q7" s="41"/>
      <c r="R7" s="13"/>
      <c r="S7" s="13"/>
    </row>
    <row r="8" spans="1:19">
      <c r="A8" s="32">
        <v>1996</v>
      </c>
      <c r="B8" s="33">
        <v>2</v>
      </c>
      <c r="C8" s="33">
        <v>2</v>
      </c>
      <c r="D8" s="33">
        <v>5253</v>
      </c>
      <c r="E8" s="33">
        <f t="shared" si="0"/>
        <v>5087.7483108257993</v>
      </c>
      <c r="F8" s="33">
        <f t="shared" ref="F8:F14" si="1">D8-E8</f>
        <v>165.25168917420069</v>
      </c>
      <c r="G8" s="33">
        <f t="shared" ref="G8:G14" si="2">F8^2</f>
        <v>27308.12077492664</v>
      </c>
      <c r="H8" s="33">
        <f t="shared" ref="H8:H14" si="3">ABS(D8-E8)/D8</f>
        <v>3.1458535917418748E-2</v>
      </c>
      <c r="I8" s="33"/>
      <c r="J8" s="33"/>
      <c r="K8" s="33">
        <v>2</v>
      </c>
      <c r="L8" s="35">
        <v>1.1063198428670966</v>
      </c>
      <c r="M8" s="34"/>
      <c r="O8" s="15"/>
      <c r="P8" s="13"/>
      <c r="Q8" s="13"/>
      <c r="R8" s="13"/>
      <c r="S8" s="13"/>
    </row>
    <row r="9" spans="1:19">
      <c r="A9" s="32">
        <v>1996</v>
      </c>
      <c r="B9" s="33">
        <v>3</v>
      </c>
      <c r="C9" s="33">
        <v>3</v>
      </c>
      <c r="D9" s="33">
        <v>4656</v>
      </c>
      <c r="E9" s="33">
        <f t="shared" si="0"/>
        <v>4722.3643070971202</v>
      </c>
      <c r="F9" s="33">
        <f t="shared" si="1"/>
        <v>-66.364307097120218</v>
      </c>
      <c r="G9" s="33">
        <f t="shared" si="2"/>
        <v>4404.2212564808806</v>
      </c>
      <c r="H9" s="33">
        <f t="shared" si="3"/>
        <v>1.4253502383402108E-2</v>
      </c>
      <c r="I9" s="33"/>
      <c r="J9" s="33"/>
      <c r="K9" s="33">
        <v>3</v>
      </c>
      <c r="L9" s="35">
        <v>1.0255528112888974</v>
      </c>
      <c r="M9" s="34"/>
      <c r="O9" s="15" t="s">
        <v>24</v>
      </c>
      <c r="P9" s="13"/>
      <c r="Q9" s="13"/>
      <c r="R9" s="13"/>
      <c r="S9" s="13"/>
    </row>
    <row r="10" spans="1:19">
      <c r="A10" s="32">
        <v>1996</v>
      </c>
      <c r="B10" s="33">
        <v>4</v>
      </c>
      <c r="C10" s="33">
        <v>4</v>
      </c>
      <c r="D10" s="33">
        <v>4443</v>
      </c>
      <c r="E10" s="33">
        <f t="shared" si="0"/>
        <v>4480.498173020439</v>
      </c>
      <c r="F10" s="33">
        <f t="shared" si="1"/>
        <v>-37.498173020439026</v>
      </c>
      <c r="G10" s="33">
        <f t="shared" si="2"/>
        <v>1406.1129798707814</v>
      </c>
      <c r="H10" s="33">
        <f t="shared" si="3"/>
        <v>8.4398318749581425E-3</v>
      </c>
      <c r="I10" s="33"/>
      <c r="J10" s="33"/>
      <c r="K10" s="33">
        <v>4</v>
      </c>
      <c r="L10" s="35">
        <v>0.9717807791790638</v>
      </c>
      <c r="M10" s="34"/>
      <c r="O10" s="15" t="s">
        <v>25</v>
      </c>
      <c r="P10" s="13"/>
      <c r="Q10" s="13"/>
      <c r="R10" s="13"/>
      <c r="S10" s="13"/>
    </row>
    <row r="11" spans="1:19">
      <c r="A11" s="32">
        <v>1997</v>
      </c>
      <c r="B11" s="33">
        <v>5</v>
      </c>
      <c r="C11" s="33">
        <v>1</v>
      </c>
      <c r="D11" s="33">
        <v>4138</v>
      </c>
      <c r="E11" s="33">
        <f t="shared" si="0"/>
        <v>4138.0001473790217</v>
      </c>
      <c r="F11" s="33">
        <f t="shared" si="1"/>
        <v>-1.4737902165506966E-4</v>
      </c>
      <c r="G11" s="33">
        <f t="shared" si="2"/>
        <v>2.1720576024005493E-8</v>
      </c>
      <c r="H11" s="33">
        <f t="shared" si="3"/>
        <v>3.5616003299920169E-8</v>
      </c>
      <c r="I11" s="33"/>
      <c r="J11" s="33"/>
      <c r="K11" s="33"/>
      <c r="L11" s="33"/>
      <c r="M11" s="34"/>
    </row>
    <row r="12" spans="1:19">
      <c r="A12" s="32">
        <v>1997</v>
      </c>
      <c r="B12" s="33">
        <v>6</v>
      </c>
      <c r="C12" s="33">
        <v>2</v>
      </c>
      <c r="D12" s="33">
        <v>5075</v>
      </c>
      <c r="E12" s="33">
        <f t="shared" si="0"/>
        <v>5113.894737257443</v>
      </c>
      <c r="F12" s="33">
        <f t="shared" si="1"/>
        <v>-38.894737257443012</v>
      </c>
      <c r="G12" s="33">
        <f t="shared" si="2"/>
        <v>1512.8005863255255</v>
      </c>
      <c r="H12" s="33">
        <f t="shared" si="3"/>
        <v>7.6639876369345838E-3</v>
      </c>
      <c r="I12" s="33"/>
      <c r="J12" s="33"/>
      <c r="K12" s="33" t="s">
        <v>6</v>
      </c>
      <c r="L12" s="35">
        <f>AVERAGE(L7:L10)</f>
        <v>1.0000000007317444</v>
      </c>
      <c r="M12" s="34"/>
    </row>
    <row r="13" spans="1:19">
      <c r="A13" s="32">
        <v>1997</v>
      </c>
      <c r="B13" s="33">
        <v>7</v>
      </c>
      <c r="C13" s="33">
        <v>3</v>
      </c>
      <c r="D13" s="33">
        <v>4954</v>
      </c>
      <c r="E13" s="33">
        <f t="shared" si="0"/>
        <v>4746.6329900970641</v>
      </c>
      <c r="F13" s="33">
        <f t="shared" si="1"/>
        <v>207.36700990293593</v>
      </c>
      <c r="G13" s="33">
        <f t="shared" si="2"/>
        <v>43001.07679608433</v>
      </c>
      <c r="H13" s="33">
        <f t="shared" si="3"/>
        <v>4.1858500182264016E-2</v>
      </c>
      <c r="I13" s="33"/>
      <c r="J13" s="33"/>
      <c r="K13" s="33"/>
      <c r="L13" s="33"/>
      <c r="M13" s="34"/>
    </row>
    <row r="14" spans="1:19">
      <c r="A14" s="32">
        <v>1997</v>
      </c>
      <c r="B14" s="33">
        <v>8</v>
      </c>
      <c r="C14" s="33">
        <v>4</v>
      </c>
      <c r="D14" s="33">
        <v>4701</v>
      </c>
      <c r="E14" s="33">
        <f t="shared" si="0"/>
        <v>4503.5238827649091</v>
      </c>
      <c r="F14" s="33">
        <f t="shared" si="1"/>
        <v>197.4761172350909</v>
      </c>
      <c r="G14" s="33">
        <f t="shared" si="2"/>
        <v>38996.816878247366</v>
      </c>
      <c r="H14" s="33">
        <f t="shared" si="3"/>
        <v>4.2007257442052942E-2</v>
      </c>
      <c r="I14" s="33"/>
      <c r="J14" s="33"/>
      <c r="K14" s="33" t="s">
        <v>9</v>
      </c>
      <c r="L14" s="46">
        <f>STDEV(F7:F14)</f>
        <v>113.8721163350675</v>
      </c>
      <c r="M14" s="34"/>
    </row>
    <row r="15" spans="1:19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4"/>
    </row>
    <row r="16" spans="1:19" ht="17" thickBot="1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1:13">
      <c r="B18" s="42" t="s">
        <v>55</v>
      </c>
      <c r="C18" s="5">
        <v>0.98384972889248101</v>
      </c>
    </row>
    <row r="19" spans="1:13">
      <c r="B19" s="42" t="s">
        <v>56</v>
      </c>
      <c r="C19" s="5">
        <v>0</v>
      </c>
    </row>
    <row r="20" spans="1:13">
      <c r="B20" s="42" t="s">
        <v>57</v>
      </c>
      <c r="C20" s="5">
        <v>0.45525460502099147</v>
      </c>
    </row>
    <row r="21" spans="1:13">
      <c r="C21">
        <v>0</v>
      </c>
      <c r="G21" t="s">
        <v>43</v>
      </c>
    </row>
    <row r="22" spans="1:13">
      <c r="G22" s="5">
        <f>L7</f>
        <v>0.89634656959192049</v>
      </c>
      <c r="I22" s="5">
        <f>AVERAGE(I26:I76)</f>
        <v>1.1760211919699044E-3</v>
      </c>
      <c r="J22" t="s">
        <v>42</v>
      </c>
    </row>
    <row r="23" spans="1:13">
      <c r="G23" s="5">
        <f t="shared" ref="G23:G24" si="4">L8</f>
        <v>1.1063198428670966</v>
      </c>
      <c r="H23" t="s">
        <v>27</v>
      </c>
      <c r="J23" s="25"/>
    </row>
    <row r="24" spans="1:13">
      <c r="A24" t="s">
        <v>33</v>
      </c>
      <c r="B24" t="s">
        <v>40</v>
      </c>
      <c r="C24" t="s">
        <v>34</v>
      </c>
      <c r="D24" t="s">
        <v>51</v>
      </c>
      <c r="E24" t="s">
        <v>3</v>
      </c>
      <c r="F24" t="s">
        <v>4</v>
      </c>
      <c r="G24" s="5">
        <f t="shared" si="4"/>
        <v>1.0255528112888974</v>
      </c>
      <c r="H24" t="s">
        <v>48</v>
      </c>
      <c r="I24" t="s">
        <v>41</v>
      </c>
      <c r="J24" t="s">
        <v>47</v>
      </c>
      <c r="K24" t="s">
        <v>49</v>
      </c>
      <c r="L24" t="s">
        <v>50</v>
      </c>
    </row>
    <row r="25" spans="1:13">
      <c r="A25">
        <v>1997</v>
      </c>
      <c r="B25">
        <v>1</v>
      </c>
      <c r="C25">
        <v>4</v>
      </c>
      <c r="D25">
        <v>4701</v>
      </c>
      <c r="E25">
        <f>D25/G25</f>
        <v>4837.5107850674794</v>
      </c>
      <c r="F25">
        <f>L4</f>
        <v>1.00128230540251</v>
      </c>
      <c r="G25" s="5">
        <f>L10</f>
        <v>0.9717807791790638</v>
      </c>
    </row>
    <row r="26" spans="1:13">
      <c r="A26">
        <v>1998</v>
      </c>
      <c r="B26">
        <f>B25+1</f>
        <v>2</v>
      </c>
      <c r="C26">
        <v>1</v>
      </c>
      <c r="D26">
        <v>4457</v>
      </c>
      <c r="E26">
        <f t="shared" ref="E26:E57" si="5">alpha2*D26/G22+(1-alpha2)*E25*F25</f>
        <v>4970.3286195001119</v>
      </c>
      <c r="F26">
        <f t="shared" ref="F26:F57" si="6">beta2*E26/E25+(1-beta2)*F25</f>
        <v>1.00128230540251</v>
      </c>
      <c r="G26" s="11">
        <f t="shared" ref="G26:G57" si="7">gamma2*D26/E26+(1-gamma2)*G22</f>
        <v>0.89651720936805179</v>
      </c>
      <c r="H26">
        <f>E26*F26*G22</f>
        <v>4460.849854087538</v>
      </c>
      <c r="I26">
        <f>ABS(D26-H26)/D26</f>
        <v>8.6377699967197803E-4</v>
      </c>
      <c r="J26">
        <f>E26*F26^2*G22</f>
        <v>4466.5700259552204</v>
      </c>
      <c r="K26">
        <f>E26*F26^3*G22</f>
        <v>4472.2975328301909</v>
      </c>
      <c r="L26">
        <f>E26*F26^4*G22</f>
        <v>4478.0323841181716</v>
      </c>
    </row>
    <row r="27" spans="1:13">
      <c r="A27">
        <v>1998</v>
      </c>
      <c r="B27">
        <f t="shared" ref="B27:B76" si="8">B26+1</f>
        <v>3</v>
      </c>
      <c r="C27">
        <v>2</v>
      </c>
      <c r="D27">
        <v>5151</v>
      </c>
      <c r="E27">
        <f t="shared" si="5"/>
        <v>4661.1570258164547</v>
      </c>
      <c r="F27">
        <f t="shared" si="6"/>
        <v>1.00128230540251</v>
      </c>
      <c r="G27" s="11">
        <f t="shared" si="7"/>
        <v>1.1057601448533387</v>
      </c>
      <c r="H27">
        <f t="shared" ref="H27:H76" si="9">E27*F27*G23</f>
        <v>5163.3430117703074</v>
      </c>
      <c r="I27">
        <f t="shared" ref="I27:I76" si="10">ABS(D27-H27)/D27</f>
        <v>2.3962360260740409E-3</v>
      </c>
      <c r="J27">
        <f t="shared" ref="J27:J76" si="11">E27*F27^2*G23</f>
        <v>5169.9639944093124</v>
      </c>
      <c r="K27">
        <f t="shared" ref="K27:K76" si="12">E27*F27^3*G23</f>
        <v>5176.5934671701243</v>
      </c>
      <c r="L27">
        <f t="shared" ref="L27:L76" si="13">E27*F27^4*G23</f>
        <v>5183.2314409396749</v>
      </c>
    </row>
    <row r="28" spans="1:13">
      <c r="A28">
        <v>1998</v>
      </c>
      <c r="B28">
        <f t="shared" si="8"/>
        <v>4</v>
      </c>
      <c r="C28">
        <v>3</v>
      </c>
      <c r="D28">
        <v>4747</v>
      </c>
      <c r="E28">
        <f t="shared" si="5"/>
        <v>4629.3434589232456</v>
      </c>
      <c r="F28">
        <f t="shared" si="6"/>
        <v>1.00128230540251</v>
      </c>
      <c r="G28" s="11">
        <f t="shared" si="7"/>
        <v>1.0254902468237992</v>
      </c>
      <c r="H28">
        <f t="shared" si="9"/>
        <v>4753.7241182673743</v>
      </c>
      <c r="I28">
        <f t="shared" si="10"/>
        <v>1.4164984763796612E-3</v>
      </c>
      <c r="J28">
        <f t="shared" si="11"/>
        <v>4759.8198443862702</v>
      </c>
      <c r="K28">
        <f t="shared" si="12"/>
        <v>4765.9233870877006</v>
      </c>
      <c r="L28">
        <f t="shared" si="13"/>
        <v>4772.0347563949117</v>
      </c>
    </row>
    <row r="29" spans="1:13">
      <c r="A29">
        <v>1998</v>
      </c>
      <c r="B29">
        <f t="shared" si="8"/>
        <v>5</v>
      </c>
      <c r="C29">
        <v>4</v>
      </c>
      <c r="D29">
        <v>4458</v>
      </c>
      <c r="E29">
        <f t="shared" si="5"/>
        <v>4588.2267799957435</v>
      </c>
      <c r="F29">
        <f t="shared" si="6"/>
        <v>1.00128230540251</v>
      </c>
      <c r="G29" s="11">
        <f t="shared" si="7"/>
        <v>0.97170630335434471</v>
      </c>
      <c r="H29">
        <f t="shared" si="9"/>
        <v>4464.4680752913264</v>
      </c>
      <c r="I29">
        <f t="shared" si="10"/>
        <v>1.4508917207999969E-3</v>
      </c>
      <c r="J29">
        <f t="shared" si="11"/>
        <v>4470.1928868236055</v>
      </c>
      <c r="K29">
        <f t="shared" si="12"/>
        <v>4475.9250393126413</v>
      </c>
      <c r="L29">
        <f t="shared" si="13"/>
        <v>4481.6645421717812</v>
      </c>
    </row>
    <row r="30" spans="1:13">
      <c r="A30">
        <v>1999</v>
      </c>
      <c r="B30">
        <f t="shared" si="8"/>
        <v>6</v>
      </c>
      <c r="C30">
        <v>1</v>
      </c>
      <c r="D30">
        <v>4428</v>
      </c>
      <c r="E30">
        <f t="shared" si="5"/>
        <v>4933.541328295003</v>
      </c>
      <c r="F30">
        <f t="shared" si="6"/>
        <v>1.00128230540251</v>
      </c>
      <c r="G30" s="11">
        <f t="shared" si="7"/>
        <v>0.89697816254167684</v>
      </c>
      <c r="H30">
        <f t="shared" si="9"/>
        <v>4428.6763467721839</v>
      </c>
      <c r="I30">
        <f t="shared" si="10"/>
        <v>1.5274317348327313E-4</v>
      </c>
      <c r="J30">
        <f t="shared" si="11"/>
        <v>4434.3552623776177</v>
      </c>
      <c r="K30">
        <f t="shared" si="12"/>
        <v>4440.0414600872127</v>
      </c>
      <c r="L30">
        <f t="shared" si="13"/>
        <v>4445.7349492388503</v>
      </c>
    </row>
    <row r="31" spans="1:13">
      <c r="A31">
        <v>1999</v>
      </c>
      <c r="B31">
        <f t="shared" si="8"/>
        <v>7</v>
      </c>
      <c r="C31">
        <v>2</v>
      </c>
      <c r="D31">
        <v>5379</v>
      </c>
      <c r="E31">
        <f t="shared" si="5"/>
        <v>4865.7437003555797</v>
      </c>
      <c r="F31">
        <f t="shared" si="6"/>
        <v>1.00128230540251</v>
      </c>
      <c r="G31" s="11">
        <f t="shared" si="7"/>
        <v>1.1056342593959609</v>
      </c>
      <c r="H31">
        <f t="shared" si="9"/>
        <v>5387.2447049737548</v>
      </c>
      <c r="I31">
        <f t="shared" si="10"/>
        <v>1.5327579426946977E-3</v>
      </c>
      <c r="J31">
        <f t="shared" si="11"/>
        <v>5394.1527979635857</v>
      </c>
      <c r="K31">
        <f t="shared" si="12"/>
        <v>5401.0697492383779</v>
      </c>
      <c r="L31">
        <f t="shared" si="13"/>
        <v>5407.9955701571607</v>
      </c>
    </row>
    <row r="32" spans="1:13">
      <c r="A32">
        <v>1999</v>
      </c>
      <c r="B32">
        <f t="shared" si="8"/>
        <v>8</v>
      </c>
      <c r="C32">
        <v>3</v>
      </c>
      <c r="D32">
        <v>5195</v>
      </c>
      <c r="E32">
        <f t="shared" si="5"/>
        <v>5062.7384080702332</v>
      </c>
      <c r="F32">
        <f t="shared" si="6"/>
        <v>1.00128230540251</v>
      </c>
      <c r="G32" s="11">
        <f t="shared" si="7"/>
        <v>1.0257790009115693</v>
      </c>
      <c r="H32">
        <f t="shared" si="9"/>
        <v>5198.4463185997511</v>
      </c>
      <c r="I32">
        <f t="shared" si="10"/>
        <v>6.633914532725826E-4</v>
      </c>
      <c r="J32">
        <f t="shared" si="11"/>
        <v>5205.1123143987497</v>
      </c>
      <c r="K32">
        <f t="shared" si="12"/>
        <v>5211.7868580401737</v>
      </c>
      <c r="L32">
        <f t="shared" si="13"/>
        <v>5218.4699604849702</v>
      </c>
    </row>
    <row r="33" spans="1:12">
      <c r="A33">
        <v>1999</v>
      </c>
      <c r="B33">
        <f t="shared" si="8"/>
        <v>9</v>
      </c>
      <c r="C33">
        <v>4</v>
      </c>
      <c r="D33">
        <v>4931</v>
      </c>
      <c r="E33">
        <f t="shared" si="5"/>
        <v>5074.4922122327935</v>
      </c>
      <c r="F33">
        <f t="shared" si="6"/>
        <v>1.00128230540251</v>
      </c>
      <c r="G33" s="11">
        <f t="shared" si="7"/>
        <v>0.97171383317128224</v>
      </c>
      <c r="H33">
        <f t="shared" si="9"/>
        <v>4937.2390092636751</v>
      </c>
      <c r="I33">
        <f t="shared" si="10"/>
        <v>1.2652624748884897E-3</v>
      </c>
      <c r="J33">
        <f t="shared" si="11"/>
        <v>4943.5700575187375</v>
      </c>
      <c r="K33">
        <f t="shared" si="12"/>
        <v>4949.9092241111794</v>
      </c>
      <c r="L33">
        <f t="shared" si="13"/>
        <v>4956.2565194511917</v>
      </c>
    </row>
    <row r="34" spans="1:12">
      <c r="A34">
        <v>2000</v>
      </c>
      <c r="B34">
        <f t="shared" si="8"/>
        <v>10</v>
      </c>
      <c r="C34">
        <v>1</v>
      </c>
      <c r="D34">
        <v>4391</v>
      </c>
      <c r="E34">
        <f t="shared" si="5"/>
        <v>4898.3241025680991</v>
      </c>
      <c r="F34">
        <f t="shared" si="6"/>
        <v>1.00128230540251</v>
      </c>
      <c r="G34" s="11">
        <f t="shared" si="7"/>
        <v>0.89672817449697384</v>
      </c>
      <c r="H34">
        <f t="shared" si="9"/>
        <v>4399.3238051624367</v>
      </c>
      <c r="I34">
        <f t="shared" si="10"/>
        <v>1.895651369263643E-3</v>
      </c>
      <c r="J34">
        <f t="shared" si="11"/>
        <v>4404.9650818451873</v>
      </c>
      <c r="K34">
        <f t="shared" si="12"/>
        <v>4410.6135923675056</v>
      </c>
      <c r="L34">
        <f t="shared" si="13"/>
        <v>4416.2693460053815</v>
      </c>
    </row>
    <row r="35" spans="1:12">
      <c r="A35">
        <v>2000</v>
      </c>
      <c r="B35">
        <f t="shared" si="8"/>
        <v>11</v>
      </c>
      <c r="C35">
        <v>2</v>
      </c>
      <c r="D35">
        <v>5621</v>
      </c>
      <c r="E35">
        <f t="shared" si="5"/>
        <v>5081.0630612507657</v>
      </c>
      <c r="F35">
        <f t="shared" si="6"/>
        <v>1.00128230540251</v>
      </c>
      <c r="G35" s="11">
        <f t="shared" si="7"/>
        <v>1.1059212073843832</v>
      </c>
      <c r="H35">
        <f t="shared" si="9"/>
        <v>5625.001126619557</v>
      </c>
      <c r="I35">
        <f t="shared" si="10"/>
        <v>7.1181758042287828E-4</v>
      </c>
      <c r="J35">
        <f t="shared" si="11"/>
        <v>5632.2140959533453</v>
      </c>
      <c r="K35">
        <f t="shared" si="12"/>
        <v>5639.436314516679</v>
      </c>
      <c r="L35">
        <f t="shared" si="13"/>
        <v>5646.6677941698945</v>
      </c>
    </row>
    <row r="36" spans="1:12">
      <c r="A36">
        <v>2000</v>
      </c>
      <c r="B36">
        <f t="shared" si="8"/>
        <v>12</v>
      </c>
      <c r="C36">
        <v>3</v>
      </c>
      <c r="D36">
        <v>5543</v>
      </c>
      <c r="E36">
        <f t="shared" si="5"/>
        <v>5398.5926466543942</v>
      </c>
      <c r="F36">
        <f t="shared" si="6"/>
        <v>1.00128230540251</v>
      </c>
      <c r="G36" s="11">
        <f t="shared" si="7"/>
        <v>1.0262206310801323</v>
      </c>
      <c r="H36">
        <f t="shared" si="9"/>
        <v>5544.8640747897516</v>
      </c>
      <c r="I36">
        <f t="shared" si="10"/>
        <v>3.362934854323673E-4</v>
      </c>
      <c r="J36">
        <f t="shared" si="11"/>
        <v>5551.9742839490391</v>
      </c>
      <c r="K36">
        <f t="shared" si="12"/>
        <v>5559.0936105679421</v>
      </c>
      <c r="L36">
        <f t="shared" si="13"/>
        <v>5566.2220663378321</v>
      </c>
    </row>
    <row r="37" spans="1:12">
      <c r="A37">
        <v>2000</v>
      </c>
      <c r="B37">
        <f t="shared" si="8"/>
        <v>13</v>
      </c>
      <c r="C37">
        <v>4</v>
      </c>
      <c r="D37">
        <v>4903</v>
      </c>
      <c r="E37">
        <f t="shared" si="5"/>
        <v>5051.5349201135823</v>
      </c>
      <c r="F37">
        <f t="shared" si="6"/>
        <v>1.00128230540251</v>
      </c>
      <c r="G37" s="11">
        <f t="shared" si="7"/>
        <v>0.97120497166374109</v>
      </c>
      <c r="H37">
        <f t="shared" si="9"/>
        <v>4914.9407443693926</v>
      </c>
      <c r="I37">
        <f t="shared" si="10"/>
        <v>2.435395547500027E-3</v>
      </c>
      <c r="J37">
        <f t="shared" si="11"/>
        <v>4921.2431994389135</v>
      </c>
      <c r="K37">
        <f t="shared" si="12"/>
        <v>4927.5537361806191</v>
      </c>
      <c r="L37">
        <f t="shared" si="13"/>
        <v>4933.8723649576823</v>
      </c>
    </row>
    <row r="38" spans="1:12">
      <c r="A38">
        <v>2001</v>
      </c>
      <c r="B38">
        <f t="shared" si="8"/>
        <v>14</v>
      </c>
      <c r="C38">
        <v>1</v>
      </c>
      <c r="D38">
        <v>4479</v>
      </c>
      <c r="E38">
        <f t="shared" si="5"/>
        <v>4995.8451620157211</v>
      </c>
      <c r="F38">
        <f t="shared" si="6"/>
        <v>1.00128230540251</v>
      </c>
      <c r="G38" s="11">
        <f t="shared" si="7"/>
        <v>0.89664478339268139</v>
      </c>
      <c r="H38">
        <f t="shared" si="9"/>
        <v>4485.6597315550616</v>
      </c>
      <c r="I38">
        <f t="shared" si="10"/>
        <v>1.4868791147715174E-3</v>
      </c>
      <c r="J38">
        <f t="shared" si="11"/>
        <v>4491.4117172626557</v>
      </c>
      <c r="K38">
        <f t="shared" si="12"/>
        <v>4497.1710787725979</v>
      </c>
      <c r="L38">
        <f t="shared" si="13"/>
        <v>4502.9378255429192</v>
      </c>
    </row>
    <row r="39" spans="1:12">
      <c r="A39">
        <v>2001</v>
      </c>
      <c r="B39">
        <f t="shared" si="8"/>
        <v>15</v>
      </c>
      <c r="C39">
        <v>2</v>
      </c>
      <c r="D39">
        <v>5293</v>
      </c>
      <c r="E39">
        <f t="shared" si="5"/>
        <v>4789.5468751968092</v>
      </c>
      <c r="F39">
        <f t="shared" si="6"/>
        <v>1.00128230540251</v>
      </c>
      <c r="G39" s="11">
        <f t="shared" si="7"/>
        <v>1.105554168731733</v>
      </c>
      <c r="H39">
        <f t="shared" si="9"/>
        <v>5303.6536571121605</v>
      </c>
      <c r="I39">
        <f t="shared" si="10"/>
        <v>2.0127823752428766E-3</v>
      </c>
      <c r="J39">
        <f t="shared" si="11"/>
        <v>5310.4545608497174</v>
      </c>
      <c r="K39">
        <f t="shared" si="12"/>
        <v>5317.2641854228777</v>
      </c>
      <c r="L39">
        <f t="shared" si="13"/>
        <v>5324.0825420144183</v>
      </c>
    </row>
    <row r="40" spans="1:12">
      <c r="A40">
        <v>2001</v>
      </c>
      <c r="B40">
        <f t="shared" si="8"/>
        <v>16</v>
      </c>
      <c r="C40">
        <v>3</v>
      </c>
      <c r="D40">
        <v>5397</v>
      </c>
      <c r="E40">
        <f t="shared" si="5"/>
        <v>5251.6187311949489</v>
      </c>
      <c r="F40">
        <f t="shared" si="6"/>
        <v>1.00128230540251</v>
      </c>
      <c r="G40" s="11">
        <f t="shared" si="7"/>
        <v>1.0268864425945545</v>
      </c>
      <c r="H40">
        <f t="shared" si="9"/>
        <v>5396.2302420151036</v>
      </c>
      <c r="I40">
        <f t="shared" si="10"/>
        <v>1.4262701220981783E-4</v>
      </c>
      <c r="J40">
        <f t="shared" si="11"/>
        <v>5403.1498572076271</v>
      </c>
      <c r="K40">
        <f t="shared" si="12"/>
        <v>5410.0783454600951</v>
      </c>
      <c r="L40">
        <f t="shared" si="13"/>
        <v>5417.0157181504819</v>
      </c>
    </row>
    <row r="41" spans="1:12">
      <c r="A41">
        <v>2001</v>
      </c>
      <c r="B41">
        <f t="shared" si="8"/>
        <v>17</v>
      </c>
      <c r="C41">
        <v>4</v>
      </c>
      <c r="D41">
        <v>4923</v>
      </c>
      <c r="E41">
        <f t="shared" si="5"/>
        <v>5072.019604707506</v>
      </c>
      <c r="F41">
        <f t="shared" si="6"/>
        <v>1.00128230540251</v>
      </c>
      <c r="G41" s="11">
        <f t="shared" si="7"/>
        <v>0.97093833132274399</v>
      </c>
      <c r="H41">
        <f t="shared" si="9"/>
        <v>4932.2872552532872</v>
      </c>
      <c r="I41">
        <f t="shared" si="10"/>
        <v>1.8865031999364585E-3</v>
      </c>
      <c r="J41">
        <f t="shared" si="11"/>
        <v>4938.6119538474295</v>
      </c>
      <c r="K41">
        <f t="shared" si="12"/>
        <v>4944.9447626367473</v>
      </c>
      <c r="L41">
        <f t="shared" si="13"/>
        <v>4951.2856920209906</v>
      </c>
    </row>
    <row r="42" spans="1:12">
      <c r="A42">
        <v>2002</v>
      </c>
      <c r="B42">
        <f t="shared" si="8"/>
        <v>18</v>
      </c>
      <c r="C42">
        <v>1</v>
      </c>
      <c r="D42">
        <v>4079</v>
      </c>
      <c r="E42">
        <f t="shared" si="5"/>
        <v>4557.7306693997916</v>
      </c>
      <c r="F42">
        <f t="shared" si="6"/>
        <v>1.00128230540251</v>
      </c>
      <c r="G42" s="11">
        <f t="shared" si="7"/>
        <v>0.89587911248632479</v>
      </c>
      <c r="H42">
        <f t="shared" si="9"/>
        <v>4091.9057819837913</v>
      </c>
      <c r="I42">
        <f t="shared" si="10"/>
        <v>3.1639573385121985E-3</v>
      </c>
      <c r="J42">
        <f t="shared" si="11"/>
        <v>4097.152854874591</v>
      </c>
      <c r="K42">
        <f t="shared" si="12"/>
        <v>4102.4066561153059</v>
      </c>
      <c r="L42">
        <f t="shared" si="13"/>
        <v>4107.6671943337351</v>
      </c>
    </row>
    <row r="43" spans="1:12">
      <c r="A43">
        <v>2002</v>
      </c>
      <c r="B43">
        <f t="shared" si="8"/>
        <v>19</v>
      </c>
      <c r="C43">
        <v>2</v>
      </c>
      <c r="D43">
        <v>5368</v>
      </c>
      <c r="E43">
        <f t="shared" si="5"/>
        <v>4850.7690778287879</v>
      </c>
      <c r="F43">
        <f t="shared" si="6"/>
        <v>1.00128230540251</v>
      </c>
      <c r="G43" s="11">
        <f t="shared" si="7"/>
        <v>1.1060433278928703</v>
      </c>
      <c r="H43">
        <f t="shared" si="9"/>
        <v>5369.6647075421624</v>
      </c>
      <c r="I43">
        <f t="shared" si="10"/>
        <v>3.1011690427765133E-4</v>
      </c>
      <c r="J43">
        <f t="shared" si="11"/>
        <v>5376.5502576063109</v>
      </c>
      <c r="K43">
        <f t="shared" si="12"/>
        <v>5383.4446370485057</v>
      </c>
      <c r="L43">
        <f t="shared" si="13"/>
        <v>5390.3478571907053</v>
      </c>
    </row>
    <row r="44" spans="1:12">
      <c r="A44">
        <v>2002</v>
      </c>
      <c r="B44">
        <f t="shared" si="8"/>
        <v>20</v>
      </c>
      <c r="C44">
        <v>3</v>
      </c>
      <c r="D44">
        <v>5322</v>
      </c>
      <c r="E44">
        <f t="shared" si="5"/>
        <v>5177.3971763492518</v>
      </c>
      <c r="F44">
        <f t="shared" si="6"/>
        <v>1.00128230540251</v>
      </c>
      <c r="G44" s="11">
        <f t="shared" si="7"/>
        <v>1.0273613616436947</v>
      </c>
      <c r="H44">
        <f t="shared" si="9"/>
        <v>5323.4164719004302</v>
      </c>
      <c r="I44">
        <f t="shared" si="10"/>
        <v>2.6615405870541607E-4</v>
      </c>
      <c r="J44">
        <f t="shared" si="11"/>
        <v>5330.2427176021592</v>
      </c>
      <c r="K44">
        <f t="shared" si="12"/>
        <v>5337.0777166356302</v>
      </c>
      <c r="L44">
        <f t="shared" si="13"/>
        <v>5343.9214802252873</v>
      </c>
    </row>
    <row r="45" spans="1:12">
      <c r="A45">
        <v>2002</v>
      </c>
      <c r="B45">
        <f t="shared" si="8"/>
        <v>21</v>
      </c>
      <c r="C45">
        <v>4</v>
      </c>
      <c r="D45">
        <v>4795</v>
      </c>
      <c r="E45">
        <f t="shared" si="5"/>
        <v>4942.4868065779501</v>
      </c>
      <c r="F45">
        <f t="shared" si="6"/>
        <v>1.00128230540251</v>
      </c>
      <c r="G45" s="11">
        <f t="shared" si="7"/>
        <v>0.97058371604769167</v>
      </c>
      <c r="H45">
        <f t="shared" si="9"/>
        <v>4805.0034837065414</v>
      </c>
      <c r="I45">
        <f t="shared" si="10"/>
        <v>2.0862322641379298E-3</v>
      </c>
      <c r="J45">
        <f t="shared" si="11"/>
        <v>4811.1649656327772</v>
      </c>
      <c r="K45">
        <f t="shared" si="12"/>
        <v>4817.3343484605748</v>
      </c>
      <c r="L45">
        <f t="shared" si="13"/>
        <v>4823.5116423213021</v>
      </c>
    </row>
    <row r="46" spans="1:12">
      <c r="A46">
        <v>2003</v>
      </c>
      <c r="B46">
        <f t="shared" si="8"/>
        <v>22</v>
      </c>
      <c r="C46">
        <v>1</v>
      </c>
      <c r="D46">
        <v>4502</v>
      </c>
      <c r="E46">
        <f t="shared" si="5"/>
        <v>5023.9975775946923</v>
      </c>
      <c r="F46">
        <f t="shared" si="6"/>
        <v>1.00128230540251</v>
      </c>
      <c r="G46" s="11">
        <f t="shared" si="7"/>
        <v>0.89597928930341053</v>
      </c>
      <c r="H46">
        <f t="shared" si="9"/>
        <v>4506.6660122708499</v>
      </c>
      <c r="I46">
        <f t="shared" si="10"/>
        <v>1.036430979753428E-3</v>
      </c>
      <c r="J46">
        <f t="shared" si="11"/>
        <v>4512.4449344456925</v>
      </c>
      <c r="K46">
        <f t="shared" si="12"/>
        <v>4518.2312669636603</v>
      </c>
      <c r="L46">
        <f t="shared" si="13"/>
        <v>4524.0250193270776</v>
      </c>
    </row>
    <row r="47" spans="1:12">
      <c r="A47">
        <v>2003</v>
      </c>
      <c r="B47">
        <f t="shared" si="8"/>
        <v>23</v>
      </c>
      <c r="C47">
        <v>2</v>
      </c>
      <c r="D47">
        <v>5695</v>
      </c>
      <c r="E47">
        <f t="shared" si="5"/>
        <v>5147.0700152069194</v>
      </c>
      <c r="F47">
        <f t="shared" si="6"/>
        <v>1.00128230540251</v>
      </c>
      <c r="G47" s="11">
        <f t="shared" si="7"/>
        <v>1.1062306237837607</v>
      </c>
      <c r="H47">
        <f t="shared" si="9"/>
        <v>5700.1824624366545</v>
      </c>
      <c r="I47">
        <f t="shared" si="10"/>
        <v>9.1000218378481693E-4</v>
      </c>
      <c r="J47">
        <f t="shared" si="11"/>
        <v>5707.4918372035299</v>
      </c>
      <c r="K47">
        <f t="shared" si="12"/>
        <v>5714.810584821158</v>
      </c>
      <c r="L47">
        <f t="shared" si="13"/>
        <v>5722.1387173083949</v>
      </c>
    </row>
    <row r="48" spans="1:12">
      <c r="A48">
        <v>2003</v>
      </c>
      <c r="B48">
        <f t="shared" si="8"/>
        <v>24</v>
      </c>
      <c r="C48">
        <v>3</v>
      </c>
      <c r="D48">
        <v>5671</v>
      </c>
      <c r="E48">
        <f t="shared" si="5"/>
        <v>5514.0504273574279</v>
      </c>
      <c r="F48">
        <f t="shared" si="6"/>
        <v>1.00128230540251</v>
      </c>
      <c r="G48" s="11">
        <f t="shared" si="7"/>
        <v>1.0278631480907634</v>
      </c>
      <c r="H48">
        <f t="shared" si="9"/>
        <v>5672.1865157628254</v>
      </c>
      <c r="I48">
        <f t="shared" si="10"/>
        <v>2.0922513892177139E-4</v>
      </c>
      <c r="J48">
        <f t="shared" si="11"/>
        <v>5679.4599911760315</v>
      </c>
      <c r="K48">
        <f t="shared" si="12"/>
        <v>5686.7427934060552</v>
      </c>
      <c r="L48">
        <f t="shared" si="13"/>
        <v>5694.0349344127244</v>
      </c>
    </row>
    <row r="49" spans="1:12">
      <c r="A49">
        <v>2003</v>
      </c>
      <c r="B49">
        <f t="shared" si="8"/>
        <v>25</v>
      </c>
      <c r="C49">
        <v>4</v>
      </c>
      <c r="D49">
        <v>5176</v>
      </c>
      <c r="E49">
        <f t="shared" si="5"/>
        <v>5335.9135688764209</v>
      </c>
      <c r="F49">
        <f t="shared" si="6"/>
        <v>1.00128230540251</v>
      </c>
      <c r="G49" s="11">
        <f t="shared" si="7"/>
        <v>0.97033195513318993</v>
      </c>
      <c r="H49">
        <f t="shared" si="9"/>
        <v>5185.5918168054395</v>
      </c>
      <c r="I49">
        <f t="shared" si="10"/>
        <v>1.8531330767850697E-3</v>
      </c>
      <c r="J49">
        <f t="shared" si="11"/>
        <v>5192.2413292073406</v>
      </c>
      <c r="K49">
        <f t="shared" si="12"/>
        <v>5198.8993683149174</v>
      </c>
      <c r="L49">
        <f t="shared" si="13"/>
        <v>5205.5659450620142</v>
      </c>
    </row>
    <row r="50" spans="1:12">
      <c r="A50">
        <v>2004</v>
      </c>
      <c r="B50">
        <f t="shared" si="8"/>
        <v>26</v>
      </c>
      <c r="C50">
        <v>1</v>
      </c>
      <c r="D50">
        <v>5078</v>
      </c>
      <c r="E50">
        <f t="shared" si="5"/>
        <v>5662.2963373640896</v>
      </c>
      <c r="F50">
        <f t="shared" si="6"/>
        <v>1.00128230540251</v>
      </c>
      <c r="G50" s="11">
        <f t="shared" si="7"/>
        <v>0.8963571543130282</v>
      </c>
      <c r="H50">
        <f t="shared" si="9"/>
        <v>5079.8057684935729</v>
      </c>
      <c r="I50">
        <f t="shared" si="10"/>
        <v>3.5560624134953547E-4</v>
      </c>
      <c r="J50">
        <f t="shared" si="11"/>
        <v>5086.3196308742145</v>
      </c>
      <c r="K50">
        <f t="shared" si="12"/>
        <v>5092.8418460157764</v>
      </c>
      <c r="L50">
        <f t="shared" si="13"/>
        <v>5099.3724246290512</v>
      </c>
    </row>
    <row r="51" spans="1:12">
      <c r="A51">
        <v>2004</v>
      </c>
      <c r="B51">
        <f t="shared" si="8"/>
        <v>27</v>
      </c>
      <c r="C51">
        <v>2</v>
      </c>
      <c r="D51">
        <v>5965</v>
      </c>
      <c r="E51">
        <f t="shared" si="5"/>
        <v>5396.6644784811269</v>
      </c>
      <c r="F51">
        <f t="shared" si="6"/>
        <v>1.00128230540251</v>
      </c>
      <c r="G51" s="11">
        <f t="shared" si="7"/>
        <v>1.1058125841148008</v>
      </c>
      <c r="H51">
        <f t="shared" si="9"/>
        <v>5977.6108185881121</v>
      </c>
      <c r="I51">
        <f t="shared" si="10"/>
        <v>2.1141355554253351E-3</v>
      </c>
      <c r="J51">
        <f t="shared" si="11"/>
        <v>5985.2759412348896</v>
      </c>
      <c r="K51">
        <f t="shared" si="12"/>
        <v>5992.9508929098474</v>
      </c>
      <c r="L51">
        <f t="shared" si="13"/>
        <v>6000.6356862168032</v>
      </c>
    </row>
    <row r="52" spans="1:12">
      <c r="A52">
        <v>2004</v>
      </c>
      <c r="B52">
        <f t="shared" si="8"/>
        <v>28</v>
      </c>
      <c r="C52">
        <v>3</v>
      </c>
      <c r="D52">
        <v>5862</v>
      </c>
      <c r="E52">
        <f t="shared" si="5"/>
        <v>5698.2566966473087</v>
      </c>
      <c r="F52">
        <f t="shared" si="6"/>
        <v>1.00128230540251</v>
      </c>
      <c r="G52" s="11">
        <f t="shared" si="7"/>
        <v>1.0282603740468916</v>
      </c>
      <c r="H52">
        <f t="shared" si="9"/>
        <v>5864.5385655779446</v>
      </c>
      <c r="I52">
        <f t="shared" si="10"/>
        <v>4.3305451687898492E-4</v>
      </c>
      <c r="J52">
        <f t="shared" si="11"/>
        <v>5872.0586950638135</v>
      </c>
      <c r="K52">
        <f t="shared" si="12"/>
        <v>5879.5884676523492</v>
      </c>
      <c r="L52">
        <f t="shared" si="13"/>
        <v>5887.1278957089553</v>
      </c>
    </row>
    <row r="53" spans="1:12">
      <c r="A53">
        <v>2004</v>
      </c>
      <c r="B53">
        <f t="shared" si="8"/>
        <v>29</v>
      </c>
      <c r="C53">
        <v>4</v>
      </c>
      <c r="D53">
        <v>5257</v>
      </c>
      <c r="E53">
        <f t="shared" si="5"/>
        <v>5422.3820955781212</v>
      </c>
      <c r="F53">
        <f t="shared" si="6"/>
        <v>1.00128230540251</v>
      </c>
      <c r="G53" s="11">
        <f t="shared" si="7"/>
        <v>0.9699532506047247</v>
      </c>
      <c r="H53">
        <f t="shared" si="9"/>
        <v>5268.2574837752727</v>
      </c>
      <c r="I53">
        <f t="shared" si="10"/>
        <v>2.1414273873450072E-3</v>
      </c>
      <c r="J53">
        <f t="shared" si="11"/>
        <v>5275.0129988085309</v>
      </c>
      <c r="K53">
        <f t="shared" si="12"/>
        <v>5281.7771764752133</v>
      </c>
      <c r="L53">
        <f t="shared" si="13"/>
        <v>5288.5500278834616</v>
      </c>
    </row>
    <row r="54" spans="1:12">
      <c r="A54">
        <v>2005</v>
      </c>
      <c r="B54">
        <f t="shared" si="8"/>
        <v>30</v>
      </c>
      <c r="C54">
        <v>1</v>
      </c>
      <c r="D54">
        <v>5206</v>
      </c>
      <c r="E54">
        <f t="shared" si="5"/>
        <v>5801.8379753417275</v>
      </c>
      <c r="F54">
        <f t="shared" si="6"/>
        <v>1.00128230540251</v>
      </c>
      <c r="G54" s="11">
        <f t="shared" si="7"/>
        <v>0.89678723540224836</v>
      </c>
      <c r="H54">
        <f t="shared" si="9"/>
        <v>5207.1876309431</v>
      </c>
      <c r="I54">
        <f t="shared" si="10"/>
        <v>2.2812734212446703E-4</v>
      </c>
      <c r="J54">
        <f t="shared" si="11"/>
        <v>5213.8648357741413</v>
      </c>
      <c r="K54">
        <f t="shared" si="12"/>
        <v>5220.5506028210111</v>
      </c>
      <c r="L54">
        <f t="shared" si="13"/>
        <v>5227.244943063085</v>
      </c>
    </row>
    <row r="55" spans="1:12">
      <c r="A55">
        <v>2005</v>
      </c>
      <c r="B55">
        <f t="shared" si="8"/>
        <v>31</v>
      </c>
      <c r="C55">
        <v>2</v>
      </c>
      <c r="D55">
        <v>6310</v>
      </c>
      <c r="E55">
        <f t="shared" si="5"/>
        <v>5707.8756162252466</v>
      </c>
      <c r="F55">
        <f t="shared" si="6"/>
        <v>1.00128230540251</v>
      </c>
      <c r="G55" s="11">
        <f t="shared" si="7"/>
        <v>1.1056657728715895</v>
      </c>
      <c r="H55">
        <f t="shared" si="9"/>
        <v>6319.9343923940378</v>
      </c>
      <c r="I55">
        <f t="shared" si="10"/>
        <v>1.5743886519869708E-3</v>
      </c>
      <c r="J55">
        <f t="shared" si="11"/>
        <v>6328.0384784089129</v>
      </c>
      <c r="K55">
        <f t="shared" si="12"/>
        <v>6336.1529563370668</v>
      </c>
      <c r="L55">
        <f t="shared" si="13"/>
        <v>6344.2778395041087</v>
      </c>
    </row>
    <row r="56" spans="1:12">
      <c r="A56">
        <v>2005</v>
      </c>
      <c r="B56">
        <f t="shared" si="8"/>
        <v>32</v>
      </c>
      <c r="C56">
        <v>3</v>
      </c>
      <c r="D56">
        <v>6037</v>
      </c>
      <c r="E56">
        <f t="shared" si="5"/>
        <v>5868.5634490220382</v>
      </c>
      <c r="F56">
        <f t="shared" si="6"/>
        <v>1.00128230540251</v>
      </c>
      <c r="G56" s="11">
        <f t="shared" si="7"/>
        <v>1.0284611968955253</v>
      </c>
      <c r="H56">
        <f t="shared" si="9"/>
        <v>6042.1492053525808</v>
      </c>
      <c r="I56">
        <f t="shared" si="10"/>
        <v>8.5294108871638121E-4</v>
      </c>
      <c r="J56">
        <f t="shared" si="11"/>
        <v>6049.8970859213759</v>
      </c>
      <c r="K56">
        <f t="shared" si="12"/>
        <v>6057.6549016392819</v>
      </c>
      <c r="L56">
        <f t="shared" si="13"/>
        <v>6065.4226652461948</v>
      </c>
    </row>
    <row r="57" spans="1:12">
      <c r="A57">
        <v>2005</v>
      </c>
      <c r="B57">
        <f t="shared" si="8"/>
        <v>33</v>
      </c>
      <c r="C57">
        <v>4</v>
      </c>
      <c r="D57">
        <v>5551</v>
      </c>
      <c r="E57">
        <f t="shared" si="5"/>
        <v>5725.4293632125009</v>
      </c>
      <c r="F57">
        <f t="shared" si="6"/>
        <v>1.00128230540251</v>
      </c>
      <c r="G57" s="11">
        <f t="shared" si="7"/>
        <v>0.96976250949647236</v>
      </c>
      <c r="H57">
        <f t="shared" si="9"/>
        <v>5560.5199752673907</v>
      </c>
      <c r="I57">
        <f t="shared" si="10"/>
        <v>1.7150018496470351E-3</v>
      </c>
      <c r="J57">
        <f t="shared" si="11"/>
        <v>5567.6502600724407</v>
      </c>
      <c r="K57">
        <f t="shared" si="12"/>
        <v>5574.7896880802164</v>
      </c>
      <c r="L57">
        <f t="shared" si="13"/>
        <v>5581.9382710150994</v>
      </c>
    </row>
    <row r="58" spans="1:12">
      <c r="A58">
        <v>2006</v>
      </c>
      <c r="B58">
        <f t="shared" si="8"/>
        <v>34</v>
      </c>
      <c r="C58">
        <v>1</v>
      </c>
      <c r="D58">
        <v>5226</v>
      </c>
      <c r="E58">
        <f t="shared" ref="E58:E76" si="14">alpha2*D58/G54+(1-alpha2)*E57*F57</f>
        <v>5825.9398076035432</v>
      </c>
      <c r="F58">
        <f t="shared" ref="F58:F76" si="15">beta2*E58/E57+(1-beta2)*F57</f>
        <v>1.00128230540251</v>
      </c>
      <c r="G58" s="11">
        <f t="shared" ref="G58:G76" si="16">gamma2*D58/E58+(1-gamma2)*G54</f>
        <v>0.8968944117203167</v>
      </c>
      <c r="H58">
        <f t="shared" si="9"/>
        <v>5231.3280229729498</v>
      </c>
      <c r="I58">
        <f t="shared" si="10"/>
        <v>1.0195221915326902E-3</v>
      </c>
      <c r="J58">
        <f t="shared" si="11"/>
        <v>5238.0361831591108</v>
      </c>
      <c r="K58">
        <f t="shared" si="12"/>
        <v>5244.7529452553181</v>
      </c>
      <c r="L58">
        <f t="shared" si="13"/>
        <v>5251.4783202918488</v>
      </c>
    </row>
    <row r="59" spans="1:12">
      <c r="A59">
        <v>2006</v>
      </c>
      <c r="B59">
        <f t="shared" si="8"/>
        <v>35</v>
      </c>
      <c r="C59">
        <v>2</v>
      </c>
      <c r="D59">
        <v>6476</v>
      </c>
      <c r="E59">
        <f t="shared" si="14"/>
        <v>5856.7218578640141</v>
      </c>
      <c r="F59">
        <f t="shared" si="15"/>
        <v>1.00128230540251</v>
      </c>
      <c r="G59" s="11">
        <f t="shared" si="16"/>
        <v>1.1056986613149427</v>
      </c>
      <c r="H59">
        <f t="shared" si="9"/>
        <v>6483.880566711704</v>
      </c>
      <c r="I59">
        <f t="shared" si="10"/>
        <v>1.2168880036602806E-3</v>
      </c>
      <c r="J59">
        <f t="shared" si="11"/>
        <v>6492.1948817916282</v>
      </c>
      <c r="K59">
        <f t="shared" si="12"/>
        <v>6500.5198583626971</v>
      </c>
      <c r="L59">
        <f t="shared" si="13"/>
        <v>6508.8555100961985</v>
      </c>
    </row>
    <row r="60" spans="1:12">
      <c r="A60">
        <v>2006</v>
      </c>
      <c r="B60">
        <f t="shared" si="8"/>
        <v>36</v>
      </c>
      <c r="C60">
        <v>3</v>
      </c>
      <c r="D60">
        <v>6454</v>
      </c>
      <c r="E60">
        <f t="shared" si="14"/>
        <v>6268.7543637671051</v>
      </c>
      <c r="F60">
        <f t="shared" si="15"/>
        <v>1.00128230540251</v>
      </c>
      <c r="G60" s="11">
        <f t="shared" si="16"/>
        <v>1.028957166004097</v>
      </c>
      <c r="H60">
        <f t="shared" si="9"/>
        <v>6455.4378577157686</v>
      </c>
      <c r="I60">
        <f t="shared" si="10"/>
        <v>2.2278551530346868E-4</v>
      </c>
      <c r="J60">
        <f t="shared" si="11"/>
        <v>6463.7157005562858</v>
      </c>
      <c r="K60">
        <f t="shared" si="12"/>
        <v>6472.0041581193973</v>
      </c>
      <c r="L60">
        <f t="shared" si="13"/>
        <v>6480.3032440164206</v>
      </c>
    </row>
    <row r="61" spans="1:12">
      <c r="A61">
        <v>2006</v>
      </c>
      <c r="B61">
        <f t="shared" si="8"/>
        <v>37</v>
      </c>
      <c r="C61">
        <v>4</v>
      </c>
      <c r="D61">
        <v>5932</v>
      </c>
      <c r="E61">
        <f t="shared" si="14"/>
        <v>6119.5428853861404</v>
      </c>
      <c r="F61">
        <f t="shared" si="15"/>
        <v>1.00128230540251</v>
      </c>
      <c r="G61" s="11">
        <f t="shared" si="16"/>
        <v>0.96957628265415208</v>
      </c>
      <c r="H61">
        <f t="shared" si="9"/>
        <v>5942.1131111019149</v>
      </c>
      <c r="I61">
        <f t="shared" si="10"/>
        <v>1.704840037409796E-3</v>
      </c>
      <c r="J61">
        <f t="shared" si="11"/>
        <v>5949.7327148466065</v>
      </c>
      <c r="K61">
        <f t="shared" si="12"/>
        <v>5957.3620892503432</v>
      </c>
      <c r="L61">
        <f t="shared" si="13"/>
        <v>5965.0012468420973</v>
      </c>
    </row>
    <row r="62" spans="1:12">
      <c r="A62">
        <v>2007</v>
      </c>
      <c r="B62">
        <f t="shared" si="8"/>
        <v>38</v>
      </c>
      <c r="C62">
        <v>1</v>
      </c>
      <c r="D62">
        <v>6103</v>
      </c>
      <c r="E62">
        <f t="shared" si="14"/>
        <v>6793.6544131614728</v>
      </c>
      <c r="F62">
        <f t="shared" si="15"/>
        <v>1.00128230540251</v>
      </c>
      <c r="G62" s="11">
        <f t="shared" si="16"/>
        <v>0.89755175143672394</v>
      </c>
      <c r="H62">
        <f t="shared" si="9"/>
        <v>6101.0040096489302</v>
      </c>
      <c r="I62">
        <f t="shared" si="10"/>
        <v>3.2705068836143692E-4</v>
      </c>
      <c r="J62">
        <f t="shared" si="11"/>
        <v>6108.8273600512375</v>
      </c>
      <c r="K62">
        <f t="shared" si="12"/>
        <v>6116.6607423780324</v>
      </c>
      <c r="L62">
        <f t="shared" si="13"/>
        <v>6124.5041694933043</v>
      </c>
    </row>
    <row r="63" spans="1:12">
      <c r="A63">
        <v>2007</v>
      </c>
      <c r="B63">
        <f t="shared" si="8"/>
        <v>39</v>
      </c>
      <c r="C63">
        <v>2</v>
      </c>
      <c r="D63">
        <v>7733</v>
      </c>
      <c r="E63">
        <f t="shared" si="14"/>
        <v>6990.6768805509701</v>
      </c>
      <c r="F63">
        <f t="shared" si="15"/>
        <v>1.00128230540251</v>
      </c>
      <c r="G63" s="11">
        <f t="shared" si="16"/>
        <v>1.1059212476362412</v>
      </c>
      <c r="H63">
        <f t="shared" si="9"/>
        <v>7739.4937533561215</v>
      </c>
      <c r="I63">
        <f t="shared" si="10"/>
        <v>8.3974568163991826E-4</v>
      </c>
      <c r="J63">
        <f t="shared" si="11"/>
        <v>7749.4181480087427</v>
      </c>
      <c r="K63">
        <f t="shared" si="12"/>
        <v>7759.3552687662423</v>
      </c>
      <c r="L63">
        <f t="shared" si="13"/>
        <v>7769.3051319473761</v>
      </c>
    </row>
    <row r="64" spans="1:12">
      <c r="A64">
        <v>2007</v>
      </c>
      <c r="B64">
        <f t="shared" si="8"/>
        <v>40</v>
      </c>
      <c r="C64">
        <v>3</v>
      </c>
      <c r="D64">
        <v>7690</v>
      </c>
      <c r="E64">
        <f t="shared" si="14"/>
        <v>7465.9317846547683</v>
      </c>
      <c r="F64">
        <f t="shared" si="15"/>
        <v>1.00128230540251</v>
      </c>
      <c r="G64" s="11">
        <f t="shared" si="16"/>
        <v>1.0294374249313174</v>
      </c>
      <c r="H64">
        <f t="shared" si="9"/>
        <v>7691.9748398399761</v>
      </c>
      <c r="I64">
        <f t="shared" si="10"/>
        <v>2.5680622106320994E-4</v>
      </c>
      <c r="J64">
        <f t="shared" si="11"/>
        <v>7701.838300733074</v>
      </c>
      <c r="K64">
        <f t="shared" si="12"/>
        <v>7711.7144095953618</v>
      </c>
      <c r="L64">
        <f t="shared" si="13"/>
        <v>7721.6031826454</v>
      </c>
    </row>
    <row r="65" spans="1:12">
      <c r="A65">
        <v>2007</v>
      </c>
      <c r="B65">
        <f t="shared" si="8"/>
        <v>41</v>
      </c>
      <c r="C65">
        <v>4</v>
      </c>
      <c r="D65">
        <v>7331</v>
      </c>
      <c r="E65">
        <f t="shared" si="14"/>
        <v>7559.6534622150966</v>
      </c>
      <c r="F65">
        <f t="shared" si="15"/>
        <v>1.00128230540251</v>
      </c>
      <c r="G65" s="11">
        <f t="shared" si="16"/>
        <v>0.96965693735124137</v>
      </c>
      <c r="H65">
        <f t="shared" si="9"/>
        <v>7339.0595655649049</v>
      </c>
      <c r="I65">
        <f t="shared" si="10"/>
        <v>1.0993814711369411E-3</v>
      </c>
      <c r="J65">
        <f t="shared" si="11"/>
        <v>7348.4704812951713</v>
      </c>
      <c r="K65">
        <f t="shared" si="12"/>
        <v>7357.8934646935204</v>
      </c>
      <c r="L65">
        <f t="shared" si="13"/>
        <v>7367.3285312343905</v>
      </c>
    </row>
    <row r="66" spans="1:12">
      <c r="A66">
        <v>2008</v>
      </c>
      <c r="B66">
        <f t="shared" si="8"/>
        <v>42</v>
      </c>
      <c r="C66">
        <v>1</v>
      </c>
      <c r="D66">
        <v>7379</v>
      </c>
      <c r="E66">
        <f t="shared" si="14"/>
        <v>8210.7245133899378</v>
      </c>
      <c r="F66">
        <f t="shared" si="15"/>
        <v>1.00128230540251</v>
      </c>
      <c r="G66" s="11">
        <f t="shared" si="16"/>
        <v>0.89807571003855891</v>
      </c>
      <c r="H66">
        <f t="shared" si="9"/>
        <v>7379.0001815515088</v>
      </c>
      <c r="I66">
        <f t="shared" si="10"/>
        <v>2.4603809300858501E-8</v>
      </c>
      <c r="J66">
        <f t="shared" si="11"/>
        <v>7388.4623133494342</v>
      </c>
      <c r="K66">
        <f t="shared" si="12"/>
        <v>7397.9365784900838</v>
      </c>
      <c r="L66">
        <f t="shared" si="13"/>
        <v>7407.4229925321079</v>
      </c>
    </row>
    <row r="67" spans="1:12">
      <c r="A67">
        <v>2008</v>
      </c>
      <c r="B67">
        <f t="shared" si="8"/>
        <v>43</v>
      </c>
      <c r="C67">
        <v>2</v>
      </c>
      <c r="D67">
        <v>9046</v>
      </c>
      <c r="E67">
        <f t="shared" si="14"/>
        <v>8180.2785484139522</v>
      </c>
      <c r="F67">
        <f t="shared" si="15"/>
        <v>1.00128230540251</v>
      </c>
      <c r="G67" s="11">
        <f t="shared" si="16"/>
        <v>1.1058798499133289</v>
      </c>
      <c r="H67">
        <f t="shared" si="9"/>
        <v>9058.3445467985275</v>
      </c>
      <c r="I67">
        <f t="shared" si="10"/>
        <v>1.3646414767330883E-3</v>
      </c>
      <c r="J67">
        <f t="shared" si="11"/>
        <v>9069.960110948683</v>
      </c>
      <c r="K67">
        <f t="shared" si="12"/>
        <v>9081.5905697995004</v>
      </c>
      <c r="L67">
        <f t="shared" si="13"/>
        <v>9093.2359424505394</v>
      </c>
    </row>
    <row r="68" spans="1:12">
      <c r="A68">
        <v>2008</v>
      </c>
      <c r="B68">
        <f t="shared" si="8"/>
        <v>44</v>
      </c>
      <c r="C68">
        <v>3</v>
      </c>
      <c r="D68">
        <v>8393</v>
      </c>
      <c r="E68">
        <f t="shared" si="14"/>
        <v>8153.6067878846034</v>
      </c>
      <c r="F68">
        <f t="shared" si="15"/>
        <v>1.00128230540251</v>
      </c>
      <c r="G68" s="11">
        <f t="shared" si="16"/>
        <v>1.029402362068784</v>
      </c>
      <c r="H68">
        <f t="shared" si="9"/>
        <v>8404.3911701222351</v>
      </c>
      <c r="I68">
        <f t="shared" si="10"/>
        <v>1.3572227001352381E-3</v>
      </c>
      <c r="J68">
        <f t="shared" si="11"/>
        <v>8415.1681663244908</v>
      </c>
      <c r="K68">
        <f t="shared" si="12"/>
        <v>8425.9589819271969</v>
      </c>
      <c r="L68">
        <f t="shared" si="13"/>
        <v>8436.7636346510499</v>
      </c>
    </row>
    <row r="69" spans="1:12">
      <c r="A69">
        <v>2008</v>
      </c>
      <c r="B69">
        <f t="shared" si="8"/>
        <v>45</v>
      </c>
      <c r="C69">
        <v>4</v>
      </c>
      <c r="D69">
        <v>7126</v>
      </c>
      <c r="E69">
        <f t="shared" si="14"/>
        <v>7362.1545136542245</v>
      </c>
      <c r="F69">
        <f t="shared" si="15"/>
        <v>1.00128230540251</v>
      </c>
      <c r="G69" s="11">
        <f t="shared" si="16"/>
        <v>0.96886763580701718</v>
      </c>
      <c r="H69">
        <f t="shared" si="9"/>
        <v>7147.9182739149346</v>
      </c>
      <c r="I69">
        <f t="shared" si="10"/>
        <v>3.0758172768642457E-3</v>
      </c>
      <c r="J69">
        <f t="shared" si="11"/>
        <v>7157.0840881342756</v>
      </c>
      <c r="K69">
        <f t="shared" si="12"/>
        <v>7166.2616557267074</v>
      </c>
      <c r="L69">
        <f t="shared" si="13"/>
        <v>7175.450991763646</v>
      </c>
    </row>
    <row r="70" spans="1:12">
      <c r="A70">
        <v>2009</v>
      </c>
      <c r="B70">
        <f t="shared" si="8"/>
        <v>46</v>
      </c>
      <c r="C70">
        <v>1</v>
      </c>
      <c r="D70">
        <v>7169</v>
      </c>
      <c r="E70">
        <f t="shared" si="14"/>
        <v>7972.7549314799862</v>
      </c>
      <c r="F70">
        <f t="shared" si="15"/>
        <v>1.00128230540251</v>
      </c>
      <c r="G70" s="11">
        <f t="shared" si="16"/>
        <v>0.89858176760663255</v>
      </c>
      <c r="H70">
        <f t="shared" si="9"/>
        <v>7169.3190291103274</v>
      </c>
      <c r="I70">
        <f t="shared" si="10"/>
        <v>4.4501201049991928E-5</v>
      </c>
      <c r="J70">
        <f t="shared" si="11"/>
        <v>7178.5122856336739</v>
      </c>
      <c r="K70">
        <f t="shared" si="12"/>
        <v>7187.7173307195253</v>
      </c>
      <c r="L70">
        <f t="shared" si="13"/>
        <v>7196.9341794844213</v>
      </c>
    </row>
    <row r="71" spans="1:12">
      <c r="A71">
        <v>2009</v>
      </c>
      <c r="B71">
        <f t="shared" si="8"/>
        <v>47</v>
      </c>
      <c r="C71">
        <v>2</v>
      </c>
      <c r="D71">
        <v>8267</v>
      </c>
      <c r="E71">
        <f t="shared" si="14"/>
        <v>7483.6916279841653</v>
      </c>
      <c r="F71">
        <f t="shared" si="15"/>
        <v>1.00128230540251</v>
      </c>
      <c r="G71" s="11">
        <f t="shared" si="16"/>
        <v>1.1053284743064644</v>
      </c>
      <c r="H71">
        <f t="shared" si="9"/>
        <v>8286.6762156421337</v>
      </c>
      <c r="I71">
        <f t="shared" si="10"/>
        <v>2.3800914046369524E-3</v>
      </c>
      <c r="J71">
        <f t="shared" si="11"/>
        <v>8297.3022653223034</v>
      </c>
      <c r="K71">
        <f t="shared" si="12"/>
        <v>8307.9419408433841</v>
      </c>
      <c r="L71">
        <f t="shared" si="13"/>
        <v>8318.5952596778661</v>
      </c>
    </row>
    <row r="72" spans="1:12">
      <c r="A72">
        <v>2009</v>
      </c>
      <c r="B72">
        <f t="shared" si="8"/>
        <v>48</v>
      </c>
      <c r="C72">
        <v>3</v>
      </c>
      <c r="D72">
        <v>8044</v>
      </c>
      <c r="E72">
        <f t="shared" si="14"/>
        <v>7809.0592967950879</v>
      </c>
      <c r="F72">
        <f t="shared" si="15"/>
        <v>1.00128230540251</v>
      </c>
      <c r="G72" s="11">
        <f t="shared" si="16"/>
        <v>1.0297134366149938</v>
      </c>
      <c r="H72">
        <f t="shared" si="9"/>
        <v>8048.9721080420604</v>
      </c>
      <c r="I72">
        <f t="shared" si="10"/>
        <v>6.1811387892347425E-4</v>
      </c>
      <c r="J72">
        <f t="shared" si="11"/>
        <v>8059.2933484608548</v>
      </c>
      <c r="K72">
        <f t="shared" si="12"/>
        <v>8069.627823861998</v>
      </c>
      <c r="L72">
        <f t="shared" si="13"/>
        <v>8079.9755512167812</v>
      </c>
    </row>
    <row r="73" spans="1:12">
      <c r="A73">
        <v>2009</v>
      </c>
      <c r="B73">
        <f t="shared" si="8"/>
        <v>49</v>
      </c>
      <c r="C73">
        <v>4</v>
      </c>
      <c r="D73">
        <v>7510</v>
      </c>
      <c r="E73">
        <f t="shared" si="14"/>
        <v>7752.4110971798946</v>
      </c>
      <c r="F73">
        <f t="shared" si="15"/>
        <v>1.00128230540251</v>
      </c>
      <c r="G73" s="11">
        <f t="shared" si="16"/>
        <v>0.96880537566952984</v>
      </c>
      <c r="H73">
        <f t="shared" si="9"/>
        <v>7520.6916846165896</v>
      </c>
      <c r="I73">
        <f t="shared" si="10"/>
        <v>1.4236597358974108E-3</v>
      </c>
      <c r="J73">
        <f t="shared" si="11"/>
        <v>7530.3355081943855</v>
      </c>
      <c r="K73">
        <f t="shared" si="12"/>
        <v>7539.9916980992548</v>
      </c>
      <c r="L73">
        <f t="shared" si="13"/>
        <v>7549.6602701886086</v>
      </c>
    </row>
    <row r="74" spans="1:12">
      <c r="A74">
        <v>2010</v>
      </c>
      <c r="B74">
        <f t="shared" si="8"/>
        <v>50</v>
      </c>
      <c r="C74">
        <v>1</v>
      </c>
      <c r="D74">
        <v>7525</v>
      </c>
      <c r="E74">
        <f t="shared" si="14"/>
        <v>8364.4242144390555</v>
      </c>
      <c r="F74">
        <f t="shared" si="15"/>
        <v>1.00128230540251</v>
      </c>
      <c r="G74" s="11">
        <f t="shared" si="16"/>
        <v>0.89906513292993717</v>
      </c>
      <c r="H74">
        <f t="shared" si="9"/>
        <v>7525.7570557445897</v>
      </c>
      <c r="I74">
        <f t="shared" si="10"/>
        <v>1.0060541456341616E-4</v>
      </c>
      <c r="J74">
        <f t="shared" si="11"/>
        <v>7535.4073746751492</v>
      </c>
      <c r="K74">
        <f t="shared" si="12"/>
        <v>7545.070068261808</v>
      </c>
      <c r="L74">
        <f t="shared" si="13"/>
        <v>7554.7451523726568</v>
      </c>
    </row>
    <row r="75" spans="1:12">
      <c r="A75">
        <v>2010</v>
      </c>
      <c r="B75">
        <f t="shared" si="8"/>
        <v>51</v>
      </c>
      <c r="C75">
        <v>2</v>
      </c>
      <c r="D75">
        <v>8674</v>
      </c>
      <c r="E75">
        <f t="shared" si="14"/>
        <v>7855.9636536953521</v>
      </c>
      <c r="F75">
        <f t="shared" si="15"/>
        <v>1.00128230540251</v>
      </c>
      <c r="G75" s="11">
        <f t="shared" si="16"/>
        <v>1.1047825649765346</v>
      </c>
      <c r="H75">
        <f t="shared" si="9"/>
        <v>8694.5551163341388</v>
      </c>
      <c r="I75">
        <f t="shared" si="10"/>
        <v>2.3697390286071939E-3</v>
      </c>
      <c r="J75">
        <f t="shared" si="11"/>
        <v>8705.7041913322355</v>
      </c>
      <c r="K75">
        <f t="shared" si="12"/>
        <v>8716.8675628494348</v>
      </c>
      <c r="L75">
        <f t="shared" si="13"/>
        <v>8728.0452492182394</v>
      </c>
    </row>
    <row r="76" spans="1:12">
      <c r="A76">
        <v>2010</v>
      </c>
      <c r="B76">
        <f t="shared" si="8"/>
        <v>52</v>
      </c>
      <c r="C76">
        <v>3</v>
      </c>
      <c r="D76">
        <v>8426</v>
      </c>
      <c r="E76">
        <f t="shared" si="14"/>
        <v>8177.7423768778926</v>
      </c>
      <c r="F76">
        <f t="shared" si="15"/>
        <v>1.00128230540251</v>
      </c>
      <c r="G76" s="11">
        <f t="shared" si="16"/>
        <v>1.0300067501392298</v>
      </c>
      <c r="H76">
        <f t="shared" si="9"/>
        <v>8431.5291557663695</v>
      </c>
      <c r="I76">
        <f t="shared" si="10"/>
        <v>6.5620172874074453E-4</v>
      </c>
      <c r="J76">
        <f t="shared" si="11"/>
        <v>8442.3409511542304</v>
      </c>
      <c r="K76">
        <f t="shared" si="12"/>
        <v>8453.1666105657241</v>
      </c>
      <c r="L76">
        <f t="shared" si="13"/>
        <v>8464.0061517787708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K44"/>
  <sheetViews>
    <sheetView workbookViewId="0">
      <selection activeCell="A6" sqref="A6:D44"/>
    </sheetView>
  </sheetViews>
  <sheetFormatPr baseColWidth="10" defaultRowHeight="16"/>
  <cols>
    <col min="2" max="2" width="11.33203125" bestFit="1" customWidth="1"/>
    <col min="3" max="3" width="11.33203125" customWidth="1"/>
    <col min="4" max="4" width="16.5" bestFit="1" customWidth="1"/>
    <col min="10" max="10" width="12.83203125" customWidth="1"/>
    <col min="11" max="11" width="13.5" customWidth="1"/>
  </cols>
  <sheetData>
    <row r="6" spans="1:11">
      <c r="A6" s="47" t="s">
        <v>40</v>
      </c>
      <c r="B6" s="48" t="s">
        <v>34</v>
      </c>
      <c r="C6" s="48" t="s">
        <v>34</v>
      </c>
      <c r="D6" s="48" t="s">
        <v>58</v>
      </c>
      <c r="E6" t="s">
        <v>27</v>
      </c>
      <c r="F6" t="s">
        <v>1</v>
      </c>
      <c r="G6" t="s">
        <v>2</v>
      </c>
      <c r="H6" t="s">
        <v>41</v>
      </c>
    </row>
    <row r="7" spans="1:11">
      <c r="A7">
        <v>1</v>
      </c>
      <c r="B7" s="49">
        <v>35155</v>
      </c>
      <c r="C7" s="51">
        <f>MONTH(B7)/3</f>
        <v>1</v>
      </c>
      <c r="D7" s="50">
        <v>0.875</v>
      </c>
      <c r="E7" s="52">
        <f t="shared" ref="E7:E14" si="0">Base5*(Trend5^A7)*VLOOKUP(C7,Seasonality_Factors5,2)</f>
        <v>0.87496795054494114</v>
      </c>
      <c r="F7" s="25">
        <f>D7-E7</f>
        <v>3.2049455058857923E-5</v>
      </c>
      <c r="G7" s="25">
        <f>F7^2</f>
        <v>1.0271675695697538E-9</v>
      </c>
      <c r="H7">
        <f>ABS(D7-E7)/D7</f>
        <v>3.6627948638694772E-5</v>
      </c>
      <c r="J7" t="s">
        <v>59</v>
      </c>
      <c r="K7" s="5">
        <v>0.49604582406455439</v>
      </c>
    </row>
    <row r="8" spans="1:11">
      <c r="A8">
        <v>2</v>
      </c>
      <c r="B8" s="49">
        <v>35246</v>
      </c>
      <c r="C8" s="51">
        <f t="shared" ref="C8:C44" si="1">MONTH(B8)/3</f>
        <v>2</v>
      </c>
      <c r="D8" s="50">
        <v>2.23</v>
      </c>
      <c r="E8" s="52">
        <f t="shared" si="0"/>
        <v>2.2299907705581465</v>
      </c>
      <c r="F8" s="25">
        <f t="shared" ref="F8:F14" si="2">D8-E8</f>
        <v>9.2294418534422107E-6</v>
      </c>
      <c r="G8" s="25">
        <f t="shared" ref="G8:G14" si="3">F8^2</f>
        <v>8.5182596926070788E-11</v>
      </c>
      <c r="H8">
        <f t="shared" ref="H8:H14" si="4">ABS(D8-E8)/D8</f>
        <v>4.1387631629785696E-6</v>
      </c>
      <c r="J8" t="s">
        <v>60</v>
      </c>
      <c r="K8" s="5">
        <v>1.8781821847284894</v>
      </c>
    </row>
    <row r="9" spans="1:11">
      <c r="A9">
        <v>3</v>
      </c>
      <c r="B9" s="49">
        <v>35338</v>
      </c>
      <c r="C9" s="51">
        <f t="shared" si="1"/>
        <v>3</v>
      </c>
      <c r="D9" s="50">
        <v>4.2</v>
      </c>
      <c r="E9" s="52">
        <f t="shared" si="0"/>
        <v>3.0455508526325494</v>
      </c>
      <c r="F9" s="25">
        <f t="shared" si="2"/>
        <v>1.1544491473674507</v>
      </c>
      <c r="G9" s="25">
        <f t="shared" si="3"/>
        <v>1.3327528338574339</v>
      </c>
      <c r="H9">
        <f t="shared" si="4"/>
        <v>0.27486884461129779</v>
      </c>
    </row>
    <row r="10" spans="1:11">
      <c r="A10">
        <v>4</v>
      </c>
      <c r="B10" s="49">
        <v>35430</v>
      </c>
      <c r="C10" s="51">
        <f t="shared" si="1"/>
        <v>4</v>
      </c>
      <c r="D10" s="50">
        <v>8.5</v>
      </c>
      <c r="E10" s="52">
        <f t="shared" si="0"/>
        <v>5.3070868955232591</v>
      </c>
      <c r="F10" s="25">
        <f t="shared" si="2"/>
        <v>3.1929131044767409</v>
      </c>
      <c r="G10" s="25">
        <f t="shared" si="3"/>
        <v>10.194694092739299</v>
      </c>
      <c r="H10">
        <f t="shared" si="4"/>
        <v>0.37563683582079305</v>
      </c>
      <c r="J10" t="s">
        <v>5</v>
      </c>
    </row>
    <row r="11" spans="1:11">
      <c r="A11">
        <v>5</v>
      </c>
      <c r="B11" s="49">
        <v>35520</v>
      </c>
      <c r="C11" s="51">
        <f t="shared" si="1"/>
        <v>1</v>
      </c>
      <c r="D11" s="50">
        <v>16.004999999999999</v>
      </c>
      <c r="E11" s="52">
        <f t="shared" si="0"/>
        <v>10.887872149725608</v>
      </c>
      <c r="F11" s="25">
        <f t="shared" si="2"/>
        <v>5.1171278502743913</v>
      </c>
      <c r="G11" s="25">
        <f t="shared" si="3"/>
        <v>26.184997436053813</v>
      </c>
      <c r="H11">
        <f t="shared" si="4"/>
        <v>0.31972057796153652</v>
      </c>
      <c r="J11">
        <v>1</v>
      </c>
      <c r="K11" s="5">
        <v>0.93914495689352739</v>
      </c>
    </row>
    <row r="12" spans="1:11">
      <c r="A12">
        <v>6</v>
      </c>
      <c r="B12" s="49">
        <v>35611</v>
      </c>
      <c r="C12" s="51">
        <f t="shared" si="1"/>
        <v>2</v>
      </c>
      <c r="D12" s="50">
        <v>27.855</v>
      </c>
      <c r="E12" s="52">
        <f t="shared" si="0"/>
        <v>27.749421438560564</v>
      </c>
      <c r="F12" s="25">
        <f t="shared" si="2"/>
        <v>0.10557856143943667</v>
      </c>
      <c r="G12" s="25">
        <f t="shared" si="3"/>
        <v>1.1146832635620904E-2</v>
      </c>
      <c r="H12">
        <f t="shared" si="4"/>
        <v>3.7902912022773887E-3</v>
      </c>
      <c r="J12">
        <v>2</v>
      </c>
      <c r="K12" s="5">
        <v>1.2744002093550861</v>
      </c>
    </row>
    <row r="13" spans="1:11">
      <c r="A13">
        <v>7</v>
      </c>
      <c r="B13" s="49">
        <v>35703</v>
      </c>
      <c r="C13" s="51">
        <f t="shared" si="1"/>
        <v>3</v>
      </c>
      <c r="D13" s="50">
        <v>37.9</v>
      </c>
      <c r="E13" s="52">
        <f t="shared" si="0"/>
        <v>37.898037623319581</v>
      </c>
      <c r="F13" s="25">
        <f t="shared" si="2"/>
        <v>1.9623766804173215E-3</v>
      </c>
      <c r="G13" s="25">
        <f t="shared" si="3"/>
        <v>3.8509222358457066E-6</v>
      </c>
      <c r="H13">
        <f t="shared" si="4"/>
        <v>5.1777748823676029E-5</v>
      </c>
      <c r="J13">
        <v>3</v>
      </c>
      <c r="K13" s="5">
        <v>0.92668238388947599</v>
      </c>
    </row>
    <row r="14" spans="1:11">
      <c r="A14">
        <v>8</v>
      </c>
      <c r="B14" s="49">
        <v>35795</v>
      </c>
      <c r="C14" s="51">
        <f t="shared" si="1"/>
        <v>4</v>
      </c>
      <c r="D14" s="50">
        <v>66.040000000000006</v>
      </c>
      <c r="E14" s="52">
        <f t="shared" si="0"/>
        <v>66.040000173667522</v>
      </c>
      <c r="F14" s="25">
        <f t="shared" si="2"/>
        <v>-1.7366751592362561E-7</v>
      </c>
      <c r="G14" s="25">
        <f t="shared" si="3"/>
        <v>3.0160406087082757E-14</v>
      </c>
      <c r="H14">
        <f t="shared" si="4"/>
        <v>2.629732221738728E-9</v>
      </c>
      <c r="J14">
        <v>4</v>
      </c>
      <c r="K14" s="5">
        <v>0.85977246747082914</v>
      </c>
    </row>
    <row r="15" spans="1:11">
      <c r="A15">
        <v>9</v>
      </c>
      <c r="B15" s="49">
        <v>35885</v>
      </c>
      <c r="C15" s="51">
        <f t="shared" si="1"/>
        <v>1</v>
      </c>
      <c r="D15" s="50">
        <v>87.394999999999996</v>
      </c>
      <c r="E15" s="52"/>
      <c r="F15" s="25"/>
      <c r="G15" s="25"/>
    </row>
    <row r="16" spans="1:11">
      <c r="A16">
        <v>10</v>
      </c>
      <c r="B16" s="49">
        <v>35976</v>
      </c>
      <c r="C16" s="51">
        <f t="shared" si="1"/>
        <v>2</v>
      </c>
      <c r="D16" s="50">
        <v>116.01</v>
      </c>
      <c r="E16" s="52"/>
      <c r="F16" s="25"/>
      <c r="G16" s="27" t="s">
        <v>42</v>
      </c>
      <c r="H16" s="24">
        <f>AVERAGE(H7:H7:H14)</f>
        <v>0.12176363708578279</v>
      </c>
      <c r="J16" t="s">
        <v>6</v>
      </c>
      <c r="K16" s="5">
        <f>AVERAGE(K11:K14)</f>
        <v>1.0000000044022297</v>
      </c>
    </row>
    <row r="17" spans="1:11">
      <c r="A17">
        <v>11</v>
      </c>
      <c r="B17" s="49">
        <v>36068</v>
      </c>
      <c r="C17" s="51">
        <f t="shared" si="1"/>
        <v>3</v>
      </c>
      <c r="D17" s="50">
        <v>153.69999999999999</v>
      </c>
      <c r="E17" s="52"/>
      <c r="F17" s="25"/>
      <c r="G17" s="25"/>
    </row>
    <row r="18" spans="1:11">
      <c r="A18">
        <v>12</v>
      </c>
      <c r="B18" s="49">
        <v>36160</v>
      </c>
      <c r="C18" s="51">
        <f t="shared" si="1"/>
        <v>4</v>
      </c>
      <c r="D18" s="50">
        <v>252.9</v>
      </c>
      <c r="E18" s="52"/>
      <c r="F18" s="25"/>
      <c r="G18" s="25"/>
      <c r="J18" t="s">
        <v>7</v>
      </c>
      <c r="K18" s="4">
        <f>SUM(G7:G14)</f>
        <v>37.723595047320778</v>
      </c>
    </row>
    <row r="19" spans="1:11">
      <c r="A19">
        <v>13</v>
      </c>
      <c r="B19" s="49">
        <v>36250</v>
      </c>
      <c r="C19" s="51">
        <f t="shared" si="1"/>
        <v>1</v>
      </c>
      <c r="D19" s="50">
        <v>293.60000000000002</v>
      </c>
      <c r="E19" s="52"/>
      <c r="F19" s="25"/>
      <c r="G19" s="25"/>
      <c r="J19" t="s">
        <v>9</v>
      </c>
      <c r="K19" s="5">
        <f>STDEV(F7:F30)</f>
        <v>1.9372485791734049</v>
      </c>
    </row>
    <row r="20" spans="1:11">
      <c r="A20">
        <v>14</v>
      </c>
      <c r="B20" s="49">
        <v>36341</v>
      </c>
      <c r="C20" s="51">
        <f t="shared" si="1"/>
        <v>2</v>
      </c>
      <c r="D20" s="50">
        <v>314.39999999999998</v>
      </c>
      <c r="E20" s="52"/>
      <c r="F20" s="25"/>
      <c r="G20" s="25"/>
    </row>
    <row r="21" spans="1:11">
      <c r="A21">
        <v>15</v>
      </c>
      <c r="B21" s="49">
        <v>36433</v>
      </c>
      <c r="C21" s="51">
        <f t="shared" si="1"/>
        <v>3</v>
      </c>
      <c r="D21" s="50">
        <v>355.8</v>
      </c>
      <c r="E21" s="52"/>
      <c r="F21" s="25"/>
      <c r="G21" s="25"/>
    </row>
    <row r="22" spans="1:11">
      <c r="A22">
        <v>16</v>
      </c>
      <c r="B22" s="49">
        <v>36525</v>
      </c>
      <c r="C22" s="51">
        <f t="shared" si="1"/>
        <v>4</v>
      </c>
      <c r="D22" s="50">
        <v>676</v>
      </c>
      <c r="E22" s="52"/>
      <c r="F22" s="25"/>
      <c r="G22" s="25"/>
    </row>
    <row r="23" spans="1:11">
      <c r="A23">
        <v>17</v>
      </c>
      <c r="B23" s="49">
        <v>36616</v>
      </c>
      <c r="C23" s="51">
        <f t="shared" si="1"/>
        <v>1</v>
      </c>
      <c r="D23" s="50">
        <v>573.9</v>
      </c>
    </row>
    <row r="24" spans="1:11">
      <c r="A24">
        <v>18</v>
      </c>
      <c r="B24" s="49">
        <v>36707</v>
      </c>
      <c r="C24" s="51">
        <f t="shared" si="1"/>
        <v>2</v>
      </c>
      <c r="D24" s="50">
        <v>577.9</v>
      </c>
    </row>
    <row r="25" spans="1:11">
      <c r="A25">
        <v>19</v>
      </c>
      <c r="B25" s="49">
        <v>36799</v>
      </c>
      <c r="C25" s="51">
        <f t="shared" si="1"/>
        <v>3</v>
      </c>
      <c r="D25" s="50">
        <v>637.9</v>
      </c>
    </row>
    <row r="26" spans="1:11">
      <c r="A26">
        <v>20</v>
      </c>
      <c r="B26" s="49">
        <v>36891</v>
      </c>
      <c r="C26" s="51">
        <f t="shared" si="1"/>
        <v>4</v>
      </c>
      <c r="D26" s="50">
        <v>972.36</v>
      </c>
    </row>
    <row r="27" spans="1:11">
      <c r="A27">
        <v>21</v>
      </c>
      <c r="B27" s="49">
        <v>36981</v>
      </c>
      <c r="C27" s="51">
        <f t="shared" si="1"/>
        <v>1</v>
      </c>
      <c r="D27" s="50">
        <v>701</v>
      </c>
    </row>
    <row r="28" spans="1:11">
      <c r="A28">
        <v>22</v>
      </c>
      <c r="B28" s="49">
        <v>37072</v>
      </c>
      <c r="C28" s="51">
        <f t="shared" si="1"/>
        <v>2</v>
      </c>
      <c r="D28" s="50">
        <v>668</v>
      </c>
    </row>
    <row r="29" spans="1:11">
      <c r="A29">
        <v>23</v>
      </c>
      <c r="B29" s="49">
        <v>37164</v>
      </c>
      <c r="C29" s="51">
        <f t="shared" si="1"/>
        <v>3</v>
      </c>
      <c r="D29" s="50">
        <v>639</v>
      </c>
    </row>
    <row r="30" spans="1:11">
      <c r="A30">
        <v>24</v>
      </c>
      <c r="B30" s="49">
        <v>37256</v>
      </c>
      <c r="C30" s="51">
        <f t="shared" si="1"/>
        <v>4</v>
      </c>
      <c r="D30" s="50">
        <v>1115</v>
      </c>
    </row>
    <row r="31" spans="1:11">
      <c r="A31">
        <v>25</v>
      </c>
      <c r="B31" s="49">
        <v>37346</v>
      </c>
      <c r="C31" s="51">
        <f t="shared" si="1"/>
        <v>1</v>
      </c>
      <c r="D31" s="50">
        <v>847</v>
      </c>
    </row>
    <row r="32" spans="1:11">
      <c r="A32">
        <v>26</v>
      </c>
      <c r="B32" s="49">
        <v>37437</v>
      </c>
      <c r="C32" s="51">
        <f t="shared" si="1"/>
        <v>2</v>
      </c>
      <c r="D32" s="50">
        <v>806</v>
      </c>
    </row>
    <row r="33" spans="1:4">
      <c r="A33">
        <v>27</v>
      </c>
      <c r="B33" s="49">
        <v>37529</v>
      </c>
      <c r="C33" s="51">
        <f t="shared" si="1"/>
        <v>3</v>
      </c>
      <c r="D33" s="50">
        <v>851</v>
      </c>
    </row>
    <row r="34" spans="1:4">
      <c r="A34">
        <v>28</v>
      </c>
      <c r="B34" s="49">
        <v>37621</v>
      </c>
      <c r="C34" s="51">
        <f t="shared" si="1"/>
        <v>4</v>
      </c>
      <c r="D34" s="50">
        <v>1429</v>
      </c>
    </row>
    <row r="35" spans="1:4">
      <c r="A35">
        <v>29</v>
      </c>
      <c r="B35" s="49">
        <v>37711</v>
      </c>
      <c r="C35" s="51">
        <f t="shared" si="1"/>
        <v>1</v>
      </c>
      <c r="D35" s="50">
        <v>1084</v>
      </c>
    </row>
    <row r="36" spans="1:4">
      <c r="A36">
        <v>30</v>
      </c>
      <c r="B36" s="49">
        <v>37802</v>
      </c>
      <c r="C36" s="51">
        <f t="shared" si="1"/>
        <v>2</v>
      </c>
      <c r="D36" s="50">
        <v>1100</v>
      </c>
    </row>
    <row r="37" spans="1:4">
      <c r="A37">
        <v>31</v>
      </c>
      <c r="B37" s="49">
        <v>37894</v>
      </c>
      <c r="C37" s="51">
        <f t="shared" si="1"/>
        <v>3</v>
      </c>
      <c r="D37" s="50">
        <v>1134</v>
      </c>
    </row>
    <row r="38" spans="1:4">
      <c r="A38">
        <v>32</v>
      </c>
      <c r="B38" s="49">
        <v>37986</v>
      </c>
      <c r="C38" s="51">
        <f t="shared" si="1"/>
        <v>4</v>
      </c>
      <c r="D38" s="50">
        <v>1946</v>
      </c>
    </row>
    <row r="39" spans="1:4">
      <c r="A39">
        <v>33</v>
      </c>
      <c r="B39" s="49">
        <v>38077</v>
      </c>
      <c r="C39" s="51">
        <f t="shared" si="1"/>
        <v>1</v>
      </c>
      <c r="D39" s="50">
        <v>1530</v>
      </c>
    </row>
    <row r="40" spans="1:4">
      <c r="A40">
        <v>34</v>
      </c>
      <c r="B40" s="49">
        <v>38168</v>
      </c>
      <c r="C40" s="51">
        <f t="shared" si="1"/>
        <v>2</v>
      </c>
      <c r="D40" s="50">
        <v>1387</v>
      </c>
    </row>
    <row r="41" spans="1:4">
      <c r="A41">
        <v>35</v>
      </c>
      <c r="B41" s="49">
        <v>38260</v>
      </c>
      <c r="C41" s="51">
        <f t="shared" si="1"/>
        <v>3</v>
      </c>
      <c r="D41" s="50">
        <v>1463</v>
      </c>
    </row>
    <row r="42" spans="1:4">
      <c r="A42">
        <v>36</v>
      </c>
      <c r="B42" s="49">
        <v>38352</v>
      </c>
      <c r="C42" s="51">
        <f t="shared" si="1"/>
        <v>4</v>
      </c>
      <c r="D42" s="50">
        <v>2541</v>
      </c>
    </row>
    <row r="43" spans="1:4">
      <c r="A43">
        <v>37</v>
      </c>
      <c r="B43" s="49">
        <v>38442</v>
      </c>
      <c r="C43" s="51">
        <f t="shared" si="1"/>
        <v>1</v>
      </c>
      <c r="D43" s="50">
        <v>1902</v>
      </c>
    </row>
    <row r="44" spans="1:4">
      <c r="A44">
        <v>38</v>
      </c>
      <c r="B44" s="49">
        <v>38533</v>
      </c>
      <c r="C44" s="51">
        <f t="shared" si="1"/>
        <v>2</v>
      </c>
      <c r="D44" s="50">
        <v>1753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4"/>
  <sheetViews>
    <sheetView tabSelected="1" workbookViewId="0">
      <selection activeCell="E24" sqref="E24"/>
    </sheetView>
  </sheetViews>
  <sheetFormatPr baseColWidth="10" defaultRowHeight="16"/>
  <cols>
    <col min="2" max="2" width="11.33203125" bestFit="1" customWidth="1"/>
    <col min="4" max="4" width="8.1640625" customWidth="1"/>
    <col min="10" max="10" width="13.6640625" customWidth="1"/>
  </cols>
  <sheetData>
    <row r="1" spans="1:18" ht="17" thickBot="1"/>
    <row r="2" spans="1:18" ht="24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  <c r="N2" s="40" t="s">
        <v>16</v>
      </c>
      <c r="O2" s="41"/>
      <c r="P2" s="41"/>
      <c r="Q2" s="12"/>
      <c r="R2" s="13"/>
    </row>
    <row r="3" spans="1:18" ht="24">
      <c r="A3" s="53" t="s">
        <v>40</v>
      </c>
      <c r="B3" s="54" t="s">
        <v>34</v>
      </c>
      <c r="C3" s="54" t="s">
        <v>34</v>
      </c>
      <c r="D3" s="54" t="s">
        <v>61</v>
      </c>
      <c r="E3" s="33" t="s">
        <v>27</v>
      </c>
      <c r="F3" s="33" t="s">
        <v>1</v>
      </c>
      <c r="G3" s="33" t="s">
        <v>2</v>
      </c>
      <c r="H3" s="33" t="s">
        <v>41</v>
      </c>
      <c r="I3" s="33"/>
      <c r="J3" s="33"/>
      <c r="K3" s="33"/>
      <c r="L3" s="34"/>
      <c r="N3" s="40" t="s">
        <v>17</v>
      </c>
      <c r="O3" s="41"/>
      <c r="P3" s="41"/>
      <c r="Q3" s="12"/>
      <c r="R3" s="13"/>
    </row>
    <row r="4" spans="1:18" ht="24">
      <c r="A4" s="32">
        <v>1</v>
      </c>
      <c r="B4" s="55">
        <v>35155</v>
      </c>
      <c r="C4" s="56">
        <f>MONTH(B4)/3</f>
        <v>1</v>
      </c>
      <c r="D4" s="57">
        <v>0.875</v>
      </c>
      <c r="E4" s="58">
        <f t="shared" ref="E4:E11" si="0">Base5*(Trend5^A4)*VLOOKUP(C4,Seasonality_Factors5,2)</f>
        <v>0.87496795054494114</v>
      </c>
      <c r="F4" s="67">
        <f>D4-E4</f>
        <v>3.2049455058857923E-5</v>
      </c>
      <c r="G4" s="67">
        <f>F4^2</f>
        <v>1.0271675695697538E-9</v>
      </c>
      <c r="H4" s="33">
        <f>ABS(D4-E4)/D4</f>
        <v>3.6627948638694772E-5</v>
      </c>
      <c r="I4" s="33"/>
      <c r="J4" s="33" t="s">
        <v>59</v>
      </c>
      <c r="K4" s="35">
        <v>0.49604582406455439</v>
      </c>
      <c r="L4" s="34"/>
      <c r="N4" s="40" t="s">
        <v>18</v>
      </c>
      <c r="O4" s="41"/>
      <c r="P4" s="41"/>
      <c r="Q4" s="12"/>
      <c r="R4" s="13"/>
    </row>
    <row r="5" spans="1:18" ht="19">
      <c r="A5" s="32">
        <v>2</v>
      </c>
      <c r="B5" s="55">
        <v>35246</v>
      </c>
      <c r="C5" s="56">
        <f t="shared" ref="C5:C12" si="1">MONTH(B5)/3</f>
        <v>2</v>
      </c>
      <c r="D5" s="57">
        <v>2.23</v>
      </c>
      <c r="E5" s="58">
        <f t="shared" si="0"/>
        <v>2.2299907705581465</v>
      </c>
      <c r="F5" s="67">
        <f t="shared" ref="F5:F11" si="2">D5-E5</f>
        <v>9.2294418534422107E-6</v>
      </c>
      <c r="G5" s="67">
        <f t="shared" ref="G5:G11" si="3">F5^2</f>
        <v>8.5182596926070788E-11</v>
      </c>
      <c r="H5" s="33">
        <f t="shared" ref="H5:H11" si="4">ABS(D5-E5)/D5</f>
        <v>4.1387631629785696E-6</v>
      </c>
      <c r="I5" s="33"/>
      <c r="J5" s="33" t="s">
        <v>60</v>
      </c>
      <c r="K5" s="35">
        <v>1.8781821847284894</v>
      </c>
      <c r="L5" s="34"/>
      <c r="N5" s="40" t="s">
        <v>23</v>
      </c>
      <c r="O5" s="41"/>
      <c r="P5" s="41"/>
      <c r="Q5" s="13"/>
      <c r="R5" s="13"/>
    </row>
    <row r="6" spans="1:18">
      <c r="A6" s="32">
        <v>3</v>
      </c>
      <c r="B6" s="55">
        <v>35338</v>
      </c>
      <c r="C6" s="56">
        <f t="shared" si="1"/>
        <v>3</v>
      </c>
      <c r="D6" s="57">
        <v>4.2</v>
      </c>
      <c r="E6" s="58">
        <f t="shared" si="0"/>
        <v>3.0455508526325494</v>
      </c>
      <c r="F6" s="67">
        <f t="shared" si="2"/>
        <v>1.1544491473674507</v>
      </c>
      <c r="G6" s="67">
        <f t="shared" si="3"/>
        <v>1.3327528338574339</v>
      </c>
      <c r="H6" s="33">
        <f t="shared" si="4"/>
        <v>0.27486884461129779</v>
      </c>
      <c r="I6" s="33"/>
      <c r="J6" s="33"/>
      <c r="K6" s="33"/>
      <c r="L6" s="34"/>
      <c r="N6" s="15"/>
      <c r="O6" s="13"/>
      <c r="P6" s="13"/>
      <c r="Q6" s="13"/>
      <c r="R6" s="13"/>
    </row>
    <row r="7" spans="1:18">
      <c r="A7" s="32">
        <v>4</v>
      </c>
      <c r="B7" s="55">
        <v>35430</v>
      </c>
      <c r="C7" s="56">
        <f t="shared" si="1"/>
        <v>4</v>
      </c>
      <c r="D7" s="57">
        <v>8.5</v>
      </c>
      <c r="E7" s="58">
        <f t="shared" si="0"/>
        <v>5.3070868955232591</v>
      </c>
      <c r="F7" s="67">
        <f t="shared" si="2"/>
        <v>3.1929131044767409</v>
      </c>
      <c r="G7" s="67">
        <f t="shared" si="3"/>
        <v>10.194694092739299</v>
      </c>
      <c r="H7" s="33">
        <f t="shared" si="4"/>
        <v>0.37563683582079305</v>
      </c>
      <c r="I7" s="33"/>
      <c r="J7" s="33" t="s">
        <v>5</v>
      </c>
      <c r="K7" s="33"/>
      <c r="L7" s="34"/>
      <c r="N7" s="15" t="s">
        <v>24</v>
      </c>
      <c r="O7" s="13"/>
      <c r="P7" s="13"/>
      <c r="Q7" s="13"/>
      <c r="R7" s="13"/>
    </row>
    <row r="8" spans="1:18">
      <c r="A8" s="32">
        <v>5</v>
      </c>
      <c r="B8" s="55">
        <v>35520</v>
      </c>
      <c r="C8" s="56">
        <f t="shared" si="1"/>
        <v>1</v>
      </c>
      <c r="D8" s="57">
        <v>16.004999999999999</v>
      </c>
      <c r="E8" s="58">
        <f t="shared" si="0"/>
        <v>10.887872149725608</v>
      </c>
      <c r="F8" s="67">
        <f t="shared" si="2"/>
        <v>5.1171278502743913</v>
      </c>
      <c r="G8" s="67">
        <f t="shared" si="3"/>
        <v>26.184997436053813</v>
      </c>
      <c r="H8" s="33">
        <f t="shared" si="4"/>
        <v>0.31972057796153652</v>
      </c>
      <c r="I8" s="33"/>
      <c r="J8" s="33">
        <v>1</v>
      </c>
      <c r="K8" s="35">
        <v>0.93914495689352739</v>
      </c>
      <c r="L8" s="34"/>
      <c r="N8" s="15" t="s">
        <v>25</v>
      </c>
      <c r="O8" s="13"/>
      <c r="P8" s="13"/>
      <c r="Q8" s="13"/>
      <c r="R8" s="13"/>
    </row>
    <row r="9" spans="1:18">
      <c r="A9" s="32">
        <v>6</v>
      </c>
      <c r="B9" s="55">
        <v>35611</v>
      </c>
      <c r="C9" s="56">
        <f t="shared" si="1"/>
        <v>2</v>
      </c>
      <c r="D9" s="57">
        <v>27.855</v>
      </c>
      <c r="E9" s="58">
        <f t="shared" si="0"/>
        <v>27.749421438560564</v>
      </c>
      <c r="F9" s="67">
        <f t="shared" si="2"/>
        <v>0.10557856143943667</v>
      </c>
      <c r="G9" s="67">
        <f t="shared" si="3"/>
        <v>1.1146832635620904E-2</v>
      </c>
      <c r="H9" s="33">
        <f t="shared" si="4"/>
        <v>3.7902912022773887E-3</v>
      </c>
      <c r="I9" s="33"/>
      <c r="J9" s="33">
        <v>2</v>
      </c>
      <c r="K9" s="35">
        <v>1.2744002093550861</v>
      </c>
      <c r="L9" s="34"/>
    </row>
    <row r="10" spans="1:18">
      <c r="A10" s="32">
        <v>7</v>
      </c>
      <c r="B10" s="55">
        <v>35703</v>
      </c>
      <c r="C10" s="56">
        <f t="shared" si="1"/>
        <v>3</v>
      </c>
      <c r="D10" s="57">
        <v>37.9</v>
      </c>
      <c r="E10" s="58">
        <f t="shared" si="0"/>
        <v>37.898037623319581</v>
      </c>
      <c r="F10" s="67">
        <f t="shared" si="2"/>
        <v>1.9623766804173215E-3</v>
      </c>
      <c r="G10" s="67">
        <f t="shared" si="3"/>
        <v>3.8509222358457066E-6</v>
      </c>
      <c r="H10" s="33">
        <f t="shared" si="4"/>
        <v>5.1777748823676029E-5</v>
      </c>
      <c r="I10" s="33"/>
      <c r="J10" s="33">
        <v>3</v>
      </c>
      <c r="K10" s="35">
        <v>0.92668238388947599</v>
      </c>
      <c r="L10" s="34"/>
    </row>
    <row r="11" spans="1:18">
      <c r="A11" s="32">
        <v>8</v>
      </c>
      <c r="B11" s="55">
        <v>35795</v>
      </c>
      <c r="C11" s="56">
        <f t="shared" si="1"/>
        <v>4</v>
      </c>
      <c r="D11" s="57">
        <v>66.040000000000006</v>
      </c>
      <c r="E11" s="58">
        <f t="shared" si="0"/>
        <v>66.040000173667522</v>
      </c>
      <c r="F11" s="67">
        <f t="shared" si="2"/>
        <v>-1.7366751592362561E-7</v>
      </c>
      <c r="G11" s="67">
        <f t="shared" si="3"/>
        <v>3.0160406087082757E-14</v>
      </c>
      <c r="H11" s="33">
        <f t="shared" si="4"/>
        <v>2.629732221738728E-9</v>
      </c>
      <c r="I11" s="33"/>
      <c r="J11" s="33">
        <v>4</v>
      </c>
      <c r="K11" s="35">
        <v>0.85977246747082914</v>
      </c>
      <c r="L11" s="34"/>
    </row>
    <row r="12" spans="1:18">
      <c r="A12" s="32">
        <v>9</v>
      </c>
      <c r="B12" s="55">
        <v>35885</v>
      </c>
      <c r="C12" s="56">
        <f t="shared" si="1"/>
        <v>1</v>
      </c>
      <c r="D12" s="57">
        <v>87.394999999999996</v>
      </c>
      <c r="E12" s="58"/>
      <c r="F12" s="39"/>
      <c r="G12" s="39"/>
      <c r="H12" s="33"/>
      <c r="I12" s="33"/>
      <c r="J12" s="33"/>
      <c r="K12" s="33"/>
      <c r="L12" s="34"/>
    </row>
    <row r="13" spans="1:18">
      <c r="A13" s="32"/>
      <c r="B13" s="55"/>
      <c r="C13" s="56"/>
      <c r="D13" s="57"/>
      <c r="E13" s="58"/>
      <c r="F13" s="39"/>
      <c r="G13" s="59" t="s">
        <v>42</v>
      </c>
      <c r="H13" s="68">
        <f>AVERAGE(H4:H4:H11)</f>
        <v>0.12176363708578279</v>
      </c>
      <c r="I13" s="33"/>
      <c r="J13" s="33" t="s">
        <v>6</v>
      </c>
      <c r="K13" s="35">
        <f>AVERAGE(K8:K11)</f>
        <v>1.0000000044022297</v>
      </c>
      <c r="L13" s="34"/>
    </row>
    <row r="14" spans="1:18">
      <c r="A14" s="32"/>
      <c r="B14" s="55"/>
      <c r="C14" s="56"/>
      <c r="D14" s="57"/>
      <c r="E14" s="58"/>
      <c r="F14" s="39"/>
      <c r="G14" s="39"/>
      <c r="H14" s="33"/>
      <c r="I14" s="33"/>
      <c r="J14" s="33"/>
      <c r="K14" s="33"/>
      <c r="L14" s="34"/>
    </row>
    <row r="15" spans="1:18">
      <c r="A15" s="32"/>
      <c r="B15" s="55"/>
      <c r="C15" s="56"/>
      <c r="D15" s="57"/>
      <c r="E15" s="58"/>
      <c r="F15" s="39"/>
      <c r="G15" s="39"/>
      <c r="H15" s="33"/>
      <c r="I15" s="33"/>
      <c r="J15" s="33" t="s">
        <v>7</v>
      </c>
      <c r="K15" s="65">
        <f>SUM(G4:G11)</f>
        <v>37.723595047320778</v>
      </c>
      <c r="L15" s="34"/>
    </row>
    <row r="16" spans="1:18">
      <c r="A16" s="32"/>
      <c r="B16" s="55"/>
      <c r="C16" s="56"/>
      <c r="D16" s="57"/>
      <c r="E16" s="58"/>
      <c r="F16" s="39"/>
      <c r="G16" s="39"/>
      <c r="H16" s="33"/>
      <c r="I16" s="33"/>
      <c r="J16" s="33" t="s">
        <v>9</v>
      </c>
      <c r="K16" s="66">
        <f>STDEV(F4:F27)</f>
        <v>1.5600387366371111</v>
      </c>
      <c r="L16" s="34"/>
    </row>
    <row r="17" spans="1:12" ht="17" thickBot="1">
      <c r="A17" s="36"/>
      <c r="B17" s="60"/>
      <c r="C17" s="61"/>
      <c r="D17" s="62"/>
      <c r="E17" s="63"/>
      <c r="F17" s="64"/>
      <c r="G17" s="64"/>
      <c r="H17" s="37"/>
      <c r="I17" s="37"/>
      <c r="J17" s="37"/>
      <c r="K17" s="37"/>
      <c r="L17" s="38"/>
    </row>
    <row r="19" spans="1:12">
      <c r="C19" t="s">
        <v>63</v>
      </c>
      <c r="D19" s="5">
        <v>0.54991371266712374</v>
      </c>
    </row>
    <row r="20" spans="1:12">
      <c r="C20" t="s">
        <v>64</v>
      </c>
      <c r="D20" s="5">
        <v>1</v>
      </c>
      <c r="G20" t="s">
        <v>43</v>
      </c>
      <c r="I20" s="5">
        <f>AVERAGE(I25:I54)</f>
        <v>0.17301464595297533</v>
      </c>
      <c r="J20" t="s">
        <v>42</v>
      </c>
    </row>
    <row r="21" spans="1:12">
      <c r="C21" t="s">
        <v>65</v>
      </c>
      <c r="D21" s="5">
        <v>0.80548199439462187</v>
      </c>
      <c r="G21" s="5">
        <f>K8</f>
        <v>0.93914495689352739</v>
      </c>
    </row>
    <row r="22" spans="1:12">
      <c r="G22" s="5">
        <f t="shared" ref="G22:G24" si="5">K9</f>
        <v>1.2744002093550861</v>
      </c>
      <c r="H22" t="s">
        <v>27</v>
      </c>
      <c r="J22" s="25"/>
    </row>
    <row r="23" spans="1:12">
      <c r="A23" s="53" t="s">
        <v>40</v>
      </c>
      <c r="B23" s="54" t="s">
        <v>34</v>
      </c>
      <c r="C23" s="54" t="s">
        <v>34</v>
      </c>
      <c r="D23" s="54" t="s">
        <v>62</v>
      </c>
      <c r="E23" s="33" t="s">
        <v>3</v>
      </c>
      <c r="F23" s="69" t="s">
        <v>4</v>
      </c>
      <c r="G23" s="5">
        <f t="shared" si="5"/>
        <v>0.92668238388947599</v>
      </c>
      <c r="H23" t="s">
        <v>48</v>
      </c>
      <c r="I23" t="s">
        <v>41</v>
      </c>
      <c r="J23" t="s">
        <v>47</v>
      </c>
      <c r="K23" t="s">
        <v>49</v>
      </c>
      <c r="L23" t="s">
        <v>50</v>
      </c>
    </row>
    <row r="24" spans="1:12">
      <c r="A24">
        <v>1</v>
      </c>
      <c r="B24" s="49">
        <v>35795</v>
      </c>
      <c r="C24" s="51">
        <f t="shared" ref="C24:C54" si="6">MONTH(B24)/3</f>
        <v>4</v>
      </c>
      <c r="D24" s="50">
        <v>66.040000000000006</v>
      </c>
      <c r="E24">
        <f>D24/G24</f>
        <v>76.81101977395042</v>
      </c>
      <c r="F24">
        <f>K5</f>
        <v>1.8781821847284894</v>
      </c>
      <c r="G24" s="5">
        <f t="shared" si="5"/>
        <v>0.85977246747082914</v>
      </c>
    </row>
    <row r="25" spans="1:12">
      <c r="A25">
        <v>2</v>
      </c>
      <c r="B25" s="49">
        <v>35885</v>
      </c>
      <c r="C25" s="51">
        <f t="shared" si="6"/>
        <v>1</v>
      </c>
      <c r="D25" s="50">
        <v>87.394999999999996</v>
      </c>
      <c r="E25">
        <f t="shared" ref="E25:E54" si="7">alpha5*D25/G21+(1-alpha5)*E24*F24</f>
        <v>116.10563700016138</v>
      </c>
      <c r="F25">
        <f t="shared" ref="F25:F54" si="8">beta5*E25/E24+(1-beta5)*F24</f>
        <v>1.5115752575848145</v>
      </c>
      <c r="G25" s="11">
        <f t="shared" ref="G25:G54" si="9">gamma5*D25/E25+(1-gamma5)*G21</f>
        <v>0.7889827674236003</v>
      </c>
      <c r="H25">
        <f>E25*F25*G21</f>
        <v>164.82220154197108</v>
      </c>
      <c r="I25">
        <f>ABS(D25-H25)/D25</f>
        <v>0.88594543786224711</v>
      </c>
      <c r="J25">
        <f>E25*F25^2*G21</f>
        <v>249.1411617515011</v>
      </c>
      <c r="K25">
        <f>E25*F25^3*G21</f>
        <v>376.59561574950516</v>
      </c>
      <c r="L25">
        <f>E25*F25^4*G21</f>
        <v>569.25261488187016</v>
      </c>
    </row>
    <row r="26" spans="1:12">
      <c r="A26">
        <v>3</v>
      </c>
      <c r="B26" s="49">
        <v>35976</v>
      </c>
      <c r="C26" s="51">
        <f t="shared" si="6"/>
        <v>2</v>
      </c>
      <c r="D26" s="50">
        <v>116.01</v>
      </c>
      <c r="E26">
        <f t="shared" si="7"/>
        <v>129.05045464806392</v>
      </c>
      <c r="F26">
        <f t="shared" si="8"/>
        <v>1.1114917241088351</v>
      </c>
      <c r="G26" s="11">
        <f t="shared" si="9"/>
        <v>0.97198241135376262</v>
      </c>
      <c r="H26">
        <f t="shared" ref="H26:H54" si="10">E26*F26*G22</f>
        <v>182.79807014778396</v>
      </c>
      <c r="I26">
        <f t="shared" ref="I26:I54" si="11">ABS(D26-H26)/D26</f>
        <v>0.57570959527440702</v>
      </c>
      <c r="J26">
        <f t="shared" ref="J26:J54" si="12">E26*F26^2*G22</f>
        <v>203.17854215232816</v>
      </c>
      <c r="K26">
        <f t="shared" ref="K26:K54" si="13">E26*F26^3*G22</f>
        <v>225.83126811881084</v>
      </c>
      <c r="L26">
        <f t="shared" ref="L26:L54" si="14">E26*F26^4*G22</f>
        <v>251.00958555906169</v>
      </c>
    </row>
    <row r="27" spans="1:12">
      <c r="A27">
        <v>4</v>
      </c>
      <c r="B27" s="49">
        <v>36068</v>
      </c>
      <c r="C27" s="51">
        <f t="shared" si="6"/>
        <v>3</v>
      </c>
      <c r="D27" s="50">
        <v>153.69999999999999</v>
      </c>
      <c r="E27">
        <f t="shared" si="7"/>
        <v>155.76866872007952</v>
      </c>
      <c r="F27">
        <f t="shared" si="8"/>
        <v>1.2070369619764563</v>
      </c>
      <c r="G27" s="11">
        <f t="shared" si="9"/>
        <v>0.97504128825792269</v>
      </c>
      <c r="H27">
        <f t="shared" si="10"/>
        <v>174.23346947701091</v>
      </c>
      <c r="I27">
        <f t="shared" si="11"/>
        <v>0.13359446634359745</v>
      </c>
      <c r="J27">
        <f t="shared" si="12"/>
        <v>210.30623767214888</v>
      </c>
      <c r="K27">
        <f t="shared" si="13"/>
        <v>253.84740220448907</v>
      </c>
      <c r="L27">
        <f t="shared" si="14"/>
        <v>306.40319716252213</v>
      </c>
    </row>
    <row r="28" spans="1:12">
      <c r="A28">
        <v>5</v>
      </c>
      <c r="B28" s="49">
        <v>36160</v>
      </c>
      <c r="C28" s="51">
        <f t="shared" si="6"/>
        <v>4</v>
      </c>
      <c r="D28" s="50">
        <v>252.9</v>
      </c>
      <c r="E28">
        <f t="shared" si="7"/>
        <v>246.38036068231304</v>
      </c>
      <c r="F28">
        <f t="shared" si="8"/>
        <v>1.5817067880644544</v>
      </c>
      <c r="G28" s="11">
        <f t="shared" si="9"/>
        <v>0.99403763027205461</v>
      </c>
      <c r="H28">
        <f t="shared" si="10"/>
        <v>335.054610720406</v>
      </c>
      <c r="I28">
        <f t="shared" si="11"/>
        <v>0.32485018078452349</v>
      </c>
      <c r="J28">
        <f t="shared" si="12"/>
        <v>529.95815214875961</v>
      </c>
      <c r="K28">
        <f t="shared" si="13"/>
        <v>838.23840664378793</v>
      </c>
      <c r="L28">
        <f t="shared" si="14"/>
        <v>1325.8473778048119</v>
      </c>
    </row>
    <row r="29" spans="1:12">
      <c r="A29">
        <v>6</v>
      </c>
      <c r="B29" s="49">
        <v>36250</v>
      </c>
      <c r="C29" s="51">
        <f t="shared" si="6"/>
        <v>1</v>
      </c>
      <c r="D29" s="50">
        <v>293.60000000000002</v>
      </c>
      <c r="E29">
        <f t="shared" si="7"/>
        <v>380.03578865967972</v>
      </c>
      <c r="F29">
        <f t="shared" si="8"/>
        <v>1.5424759814752615</v>
      </c>
      <c r="G29" s="11">
        <f t="shared" si="9"/>
        <v>0.77575357255448718</v>
      </c>
      <c r="H29">
        <f t="shared" si="10"/>
        <v>462.49860238099063</v>
      </c>
      <c r="I29">
        <f t="shared" si="11"/>
        <v>0.57526771928130316</v>
      </c>
      <c r="J29">
        <f t="shared" si="12"/>
        <v>713.39298563855539</v>
      </c>
      <c r="K29">
        <f t="shared" si="13"/>
        <v>1100.391545700398</v>
      </c>
      <c r="L29">
        <f t="shared" si="14"/>
        <v>1697.3275294613015</v>
      </c>
    </row>
    <row r="30" spans="1:12">
      <c r="A30">
        <v>7</v>
      </c>
      <c r="B30" s="49">
        <v>36341</v>
      </c>
      <c r="C30" s="51">
        <f t="shared" si="6"/>
        <v>2</v>
      </c>
      <c r="D30" s="50">
        <v>314.39999999999998</v>
      </c>
      <c r="E30">
        <f t="shared" si="7"/>
        <v>441.71535862107328</v>
      </c>
      <c r="F30">
        <f t="shared" si="8"/>
        <v>1.1622993723273449</v>
      </c>
      <c r="G30" s="11">
        <f t="shared" si="9"/>
        <v>0.76238647193930464</v>
      </c>
      <c r="H30">
        <f t="shared" si="10"/>
        <v>499.02110041115247</v>
      </c>
      <c r="I30">
        <f t="shared" si="11"/>
        <v>0.58721724049348767</v>
      </c>
      <c r="J30">
        <f t="shared" si="12"/>
        <v>580.01191178598344</v>
      </c>
      <c r="K30">
        <f t="shared" si="13"/>
        <v>674.147481011232</v>
      </c>
      <c r="L30">
        <f t="shared" si="14"/>
        <v>783.56119403541561</v>
      </c>
    </row>
    <row r="31" spans="1:12">
      <c r="A31">
        <v>8</v>
      </c>
      <c r="B31" s="49">
        <v>36433</v>
      </c>
      <c r="C31" s="51">
        <f t="shared" si="6"/>
        <v>3</v>
      </c>
      <c r="D31" s="50">
        <v>355.8</v>
      </c>
      <c r="E31">
        <f t="shared" si="7"/>
        <v>431.74447462970613</v>
      </c>
      <c r="F31">
        <f t="shared" si="8"/>
        <v>0.9774269021967138</v>
      </c>
      <c r="G31" s="11">
        <f t="shared" si="9"/>
        <v>0.8534596387779706</v>
      </c>
      <c r="H31">
        <f t="shared" si="10"/>
        <v>411.46612135811267</v>
      </c>
      <c r="I31">
        <f t="shared" si="11"/>
        <v>0.1564534046040266</v>
      </c>
      <c r="J31">
        <f t="shared" si="12"/>
        <v>402.17805635795719</v>
      </c>
      <c r="K31">
        <f t="shared" si="13"/>
        <v>393.0996517574535</v>
      </c>
      <c r="L31">
        <f t="shared" si="14"/>
        <v>384.22617487189473</v>
      </c>
    </row>
    <row r="32" spans="1:12">
      <c r="A32">
        <v>9</v>
      </c>
      <c r="B32" s="49">
        <v>36525</v>
      </c>
      <c r="C32" s="51">
        <f t="shared" si="6"/>
        <v>4</v>
      </c>
      <c r="D32" s="50">
        <v>676</v>
      </c>
      <c r="E32">
        <f t="shared" si="7"/>
        <v>563.90723777977416</v>
      </c>
      <c r="F32">
        <f t="shared" si="8"/>
        <v>1.3061133863112433</v>
      </c>
      <c r="G32" s="11">
        <f t="shared" si="9"/>
        <v>1.1589528962681035</v>
      </c>
      <c r="H32">
        <f t="shared" si="10"/>
        <v>732.13534685410332</v>
      </c>
      <c r="I32">
        <f t="shared" si="11"/>
        <v>8.3040453926188335E-2</v>
      </c>
      <c r="J32">
        <f t="shared" si="12"/>
        <v>956.25177711776962</v>
      </c>
      <c r="K32">
        <f t="shared" si="13"/>
        <v>1248.9732467774343</v>
      </c>
      <c r="L32">
        <f t="shared" si="14"/>
        <v>1631.3006767606232</v>
      </c>
    </row>
    <row r="33" spans="1:12">
      <c r="A33">
        <v>10</v>
      </c>
      <c r="B33" s="49">
        <v>36616</v>
      </c>
      <c r="C33" s="51">
        <f t="shared" si="6"/>
        <v>1</v>
      </c>
      <c r="D33" s="50">
        <v>573.9</v>
      </c>
      <c r="E33">
        <f t="shared" si="7"/>
        <v>738.32500670676268</v>
      </c>
      <c r="F33">
        <f t="shared" si="8"/>
        <v>1.3093022349096091</v>
      </c>
      <c r="G33" s="11">
        <f t="shared" si="9"/>
        <v>0.77699916178356876</v>
      </c>
      <c r="H33">
        <f t="shared" si="10"/>
        <v>749.91367205318511</v>
      </c>
      <c r="I33">
        <f t="shared" si="11"/>
        <v>0.3066974595803888</v>
      </c>
      <c r="J33">
        <f t="shared" si="12"/>
        <v>981.86364680850681</v>
      </c>
      <c r="K33">
        <f t="shared" si="13"/>
        <v>1285.5562671428772</v>
      </c>
      <c r="L33">
        <f t="shared" si="14"/>
        <v>1683.1816936722234</v>
      </c>
    </row>
    <row r="34" spans="1:12">
      <c r="A34">
        <v>11</v>
      </c>
      <c r="B34" s="49">
        <v>36707</v>
      </c>
      <c r="C34" s="51">
        <f t="shared" si="6"/>
        <v>2</v>
      </c>
      <c r="D34" s="50">
        <v>577.9</v>
      </c>
      <c r="E34">
        <f t="shared" si="7"/>
        <v>851.93674247856609</v>
      </c>
      <c r="F34">
        <f t="shared" si="8"/>
        <v>1.1538776754678257</v>
      </c>
      <c r="G34" s="11">
        <f t="shared" si="9"/>
        <v>0.69468593324472205</v>
      </c>
      <c r="H34">
        <f t="shared" si="10"/>
        <v>749.44937431433766</v>
      </c>
      <c r="I34">
        <f t="shared" si="11"/>
        <v>0.2968495835167636</v>
      </c>
      <c r="J34">
        <f t="shared" si="12"/>
        <v>864.77290191464454</v>
      </c>
      <c r="K34">
        <f t="shared" si="13"/>
        <v>997.84214586883593</v>
      </c>
      <c r="L34">
        <f t="shared" si="14"/>
        <v>1151.3877757589598</v>
      </c>
    </row>
    <row r="35" spans="1:12">
      <c r="A35">
        <v>12</v>
      </c>
      <c r="B35" s="49">
        <v>36799</v>
      </c>
      <c r="C35" s="51">
        <f t="shared" si="6"/>
        <v>3</v>
      </c>
      <c r="D35" s="50">
        <v>637.9</v>
      </c>
      <c r="E35">
        <f t="shared" si="7"/>
        <v>853.46982199052582</v>
      </c>
      <c r="F35">
        <f t="shared" si="8"/>
        <v>1.0017995227057581</v>
      </c>
      <c r="G35" s="11">
        <f t="shared" si="9"/>
        <v>0.76804622799571876</v>
      </c>
      <c r="H35">
        <f t="shared" si="10"/>
        <v>729.71282200460178</v>
      </c>
      <c r="I35">
        <f t="shared" si="11"/>
        <v>0.14392980405173508</v>
      </c>
      <c r="J35">
        <f t="shared" si="12"/>
        <v>731.02595679648186</v>
      </c>
      <c r="K35">
        <f t="shared" si="13"/>
        <v>732.34145460423588</v>
      </c>
      <c r="L35">
        <f t="shared" si="14"/>
        <v>733.659319680164</v>
      </c>
    </row>
    <row r="36" spans="1:12">
      <c r="A36">
        <v>13</v>
      </c>
      <c r="B36" s="49">
        <v>36891</v>
      </c>
      <c r="C36" s="51">
        <f t="shared" si="6"/>
        <v>4</v>
      </c>
      <c r="D36" s="50">
        <v>972.36</v>
      </c>
      <c r="E36">
        <f t="shared" si="7"/>
        <v>846.203225993773</v>
      </c>
      <c r="F36">
        <f t="shared" si="8"/>
        <v>0.9914858196394043</v>
      </c>
      <c r="G36" s="11">
        <f t="shared" si="9"/>
        <v>1.1510050223204886</v>
      </c>
      <c r="H36">
        <f t="shared" si="10"/>
        <v>972.35974050342577</v>
      </c>
      <c r="I36">
        <f t="shared" si="11"/>
        <v>2.6687294237177794E-7</v>
      </c>
      <c r="J36">
        <f t="shared" si="12"/>
        <v>964.08089429739755</v>
      </c>
      <c r="K36">
        <f t="shared" si="13"/>
        <v>955.872535681145</v>
      </c>
      <c r="L36">
        <f t="shared" si="14"/>
        <v>947.73406451061601</v>
      </c>
    </row>
    <row r="37" spans="1:12">
      <c r="A37">
        <v>14</v>
      </c>
      <c r="B37" s="49">
        <v>36981</v>
      </c>
      <c r="C37" s="51">
        <f t="shared" si="6"/>
        <v>1</v>
      </c>
      <c r="D37" s="50">
        <v>701</v>
      </c>
      <c r="E37">
        <f t="shared" si="7"/>
        <v>873.74775356959719</v>
      </c>
      <c r="F37">
        <f t="shared" si="8"/>
        <v>1.0325507239037952</v>
      </c>
      <c r="G37" s="11">
        <f t="shared" si="9"/>
        <v>0.79737131990642229</v>
      </c>
      <c r="H37">
        <f t="shared" si="10"/>
        <v>701.00000000101761</v>
      </c>
      <c r="I37">
        <f t="shared" si="11"/>
        <v>1.4516560405794365E-12</v>
      </c>
      <c r="J37">
        <f t="shared" si="12"/>
        <v>723.81805745761108</v>
      </c>
      <c r="K37">
        <f t="shared" si="13"/>
        <v>747.37885920249528</v>
      </c>
      <c r="L37">
        <f t="shared" si="14"/>
        <v>771.70658209992928</v>
      </c>
    </row>
    <row r="38" spans="1:12">
      <c r="A38">
        <v>15</v>
      </c>
      <c r="B38" s="49">
        <v>37072</v>
      </c>
      <c r="C38" s="51">
        <f t="shared" si="6"/>
        <v>2</v>
      </c>
      <c r="D38" s="50">
        <v>668</v>
      </c>
      <c r="E38">
        <f t="shared" si="7"/>
        <v>934.8519567418524</v>
      </c>
      <c r="F38">
        <f t="shared" si="8"/>
        <v>1.0699334595398053</v>
      </c>
      <c r="G38" s="11">
        <f t="shared" si="9"/>
        <v>0.71068740333537761</v>
      </c>
      <c r="H38">
        <f t="shared" si="10"/>
        <v>694.84528602438843</v>
      </c>
      <c r="I38">
        <f t="shared" si="11"/>
        <v>4.0187553928725195E-2</v>
      </c>
      <c r="J38">
        <f t="shared" si="12"/>
        <v>743.43822072099942</v>
      </c>
      <c r="K38">
        <f t="shared" si="13"/>
        <v>795.42942745013625</v>
      </c>
      <c r="L38">
        <f t="shared" si="14"/>
        <v>851.0565591314911</v>
      </c>
    </row>
    <row r="39" spans="1:12">
      <c r="A39">
        <v>16</v>
      </c>
      <c r="B39" s="49">
        <v>37164</v>
      </c>
      <c r="C39" s="51">
        <f t="shared" si="6"/>
        <v>3</v>
      </c>
      <c r="D39" s="50">
        <v>639</v>
      </c>
      <c r="E39">
        <f t="shared" si="7"/>
        <v>907.70738633798487</v>
      </c>
      <c r="F39">
        <f t="shared" si="8"/>
        <v>0.97096377644812148</v>
      </c>
      <c r="G39" s="11">
        <f t="shared" si="9"/>
        <v>0.71643507265471496</v>
      </c>
      <c r="H39">
        <f t="shared" si="10"/>
        <v>676.91830475278562</v>
      </c>
      <c r="I39">
        <f t="shared" si="11"/>
        <v>5.9340070035658242E-2</v>
      </c>
      <c r="J39">
        <f t="shared" si="12"/>
        <v>657.26315352962513</v>
      </c>
      <c r="K39">
        <f t="shared" si="13"/>
        <v>638.17871367132625</v>
      </c>
      <c r="L39">
        <f t="shared" si="14"/>
        <v>619.64841387511535</v>
      </c>
    </row>
    <row r="40" spans="1:12">
      <c r="A40">
        <v>17</v>
      </c>
      <c r="B40" s="49">
        <v>37256</v>
      </c>
      <c r="C40" s="51">
        <f t="shared" si="6"/>
        <v>4</v>
      </c>
      <c r="D40" s="50">
        <v>1115</v>
      </c>
      <c r="E40">
        <f t="shared" si="7"/>
        <v>929.39565007919964</v>
      </c>
      <c r="F40">
        <f t="shared" si="8"/>
        <v>1.0238934529647412</v>
      </c>
      <c r="G40" s="11">
        <f t="shared" si="9"/>
        <v>1.1902314502038176</v>
      </c>
      <c r="H40">
        <f t="shared" si="10"/>
        <v>1095.2988209016635</v>
      </c>
      <c r="I40">
        <f t="shared" si="11"/>
        <v>1.766921892227491E-2</v>
      </c>
      <c r="J40">
        <f t="shared" si="12"/>
        <v>1121.4692917612138</v>
      </c>
      <c r="K40">
        <f t="shared" si="13"/>
        <v>1148.2650655353118</v>
      </c>
      <c r="L40">
        <f t="shared" si="14"/>
        <v>1175.7010828697357</v>
      </c>
    </row>
    <row r="41" spans="1:12">
      <c r="A41">
        <v>18</v>
      </c>
      <c r="B41" s="49">
        <v>37346</v>
      </c>
      <c r="C41" s="51">
        <f t="shared" si="6"/>
        <v>1</v>
      </c>
      <c r="D41" s="50">
        <v>847</v>
      </c>
      <c r="E41">
        <f t="shared" si="7"/>
        <v>1012.4436073606176</v>
      </c>
      <c r="F41">
        <f t="shared" si="8"/>
        <v>1.0893569463923582</v>
      </c>
      <c r="G41" s="11">
        <f t="shared" si="9"/>
        <v>0.82896110345272478</v>
      </c>
      <c r="H41">
        <f t="shared" si="10"/>
        <v>879.43077713510365</v>
      </c>
      <c r="I41">
        <f t="shared" si="11"/>
        <v>3.8288993075683182E-2</v>
      </c>
      <c r="J41">
        <f t="shared" si="12"/>
        <v>958.01402594335514</v>
      </c>
      <c r="K41">
        <f t="shared" si="13"/>
        <v>1043.6192339027027</v>
      </c>
      <c r="L41">
        <f t="shared" si="14"/>
        <v>1136.8738618405805</v>
      </c>
    </row>
    <row r="42" spans="1:12">
      <c r="A42">
        <v>19</v>
      </c>
      <c r="B42" s="49">
        <v>37437</v>
      </c>
      <c r="C42" s="51">
        <f t="shared" si="6"/>
        <v>2</v>
      </c>
      <c r="D42" s="50">
        <v>806</v>
      </c>
      <c r="E42">
        <f t="shared" si="7"/>
        <v>1120.070209132009</v>
      </c>
      <c r="F42">
        <f t="shared" si="8"/>
        <v>1.1063037990352547</v>
      </c>
      <c r="G42" s="11">
        <f t="shared" si="9"/>
        <v>0.7178645254594983</v>
      </c>
      <c r="H42">
        <f t="shared" si="10"/>
        <v>880.63971610414717</v>
      </c>
      <c r="I42">
        <f t="shared" si="11"/>
        <v>9.2605106828966707E-2</v>
      </c>
      <c r="J42">
        <f t="shared" si="12"/>
        <v>974.25506350734634</v>
      </c>
      <c r="K42">
        <f t="shared" si="13"/>
        <v>1077.8220779875105</v>
      </c>
      <c r="L42">
        <f t="shared" si="14"/>
        <v>1192.3986595616552</v>
      </c>
    </row>
    <row r="43" spans="1:12">
      <c r="A43">
        <v>20</v>
      </c>
      <c r="B43" s="49">
        <v>37529</v>
      </c>
      <c r="C43" s="51">
        <f t="shared" si="6"/>
        <v>3</v>
      </c>
      <c r="D43" s="50">
        <v>851</v>
      </c>
      <c r="E43">
        <f t="shared" si="7"/>
        <v>1210.9206363779772</v>
      </c>
      <c r="F43">
        <f t="shared" si="8"/>
        <v>1.0811113682921467</v>
      </c>
      <c r="G43" s="11">
        <f t="shared" si="9"/>
        <v>0.70542897032379126</v>
      </c>
      <c r="H43">
        <f t="shared" si="10"/>
        <v>937.91385836280551</v>
      </c>
      <c r="I43">
        <f t="shared" si="11"/>
        <v>0.10213144343455408</v>
      </c>
      <c r="J43">
        <f t="shared" si="12"/>
        <v>1013.9893347547794</v>
      </c>
      <c r="K43">
        <f t="shared" si="13"/>
        <v>1096.235397130383</v>
      </c>
      <c r="L43">
        <f t="shared" si="14"/>
        <v>1185.1525501619133</v>
      </c>
    </row>
    <row r="44" spans="1:12">
      <c r="A44">
        <v>21</v>
      </c>
      <c r="B44" s="49">
        <v>37621</v>
      </c>
      <c r="C44" s="51">
        <f t="shared" si="6"/>
        <v>4</v>
      </c>
      <c r="D44" s="50">
        <v>1429</v>
      </c>
      <c r="E44">
        <f t="shared" si="7"/>
        <v>1249.4561474040631</v>
      </c>
      <c r="F44">
        <f t="shared" si="8"/>
        <v>1.0318233167958477</v>
      </c>
      <c r="G44" s="11">
        <f t="shared" si="9"/>
        <v>1.1527492736099434</v>
      </c>
      <c r="H44">
        <f t="shared" si="10"/>
        <v>1534.4677933501248</v>
      </c>
      <c r="I44">
        <f t="shared" si="11"/>
        <v>7.3805313750962068E-2</v>
      </c>
      <c r="J44">
        <f t="shared" si="12"/>
        <v>1583.299648050931</v>
      </c>
      <c r="K44">
        <f t="shared" si="13"/>
        <v>1633.6854943336102</v>
      </c>
      <c r="L44">
        <f t="shared" si="14"/>
        <v>1685.6747853645697</v>
      </c>
    </row>
    <row r="45" spans="1:12">
      <c r="A45">
        <v>22</v>
      </c>
      <c r="B45" s="49">
        <v>37711</v>
      </c>
      <c r="C45" s="51">
        <f t="shared" si="6"/>
        <v>1</v>
      </c>
      <c r="D45" s="50">
        <v>1084</v>
      </c>
      <c r="E45">
        <f t="shared" si="7"/>
        <v>1299.3599824063094</v>
      </c>
      <c r="F45">
        <f t="shared" si="8"/>
        <v>1.0399404453737164</v>
      </c>
      <c r="G45" s="11">
        <f t="shared" si="9"/>
        <v>0.83322675305848271</v>
      </c>
      <c r="H45">
        <f t="shared" si="10"/>
        <v>1120.1394927771141</v>
      </c>
      <c r="I45">
        <f t="shared" si="11"/>
        <v>3.3339015477042551E-2</v>
      </c>
      <c r="J45">
        <f t="shared" si="12"/>
        <v>1164.8783629993209</v>
      </c>
      <c r="K45">
        <f t="shared" si="13"/>
        <v>1211.4041236237194</v>
      </c>
      <c r="L45">
        <f t="shared" si="14"/>
        <v>1259.7881438488073</v>
      </c>
    </row>
    <row r="46" spans="1:12">
      <c r="A46">
        <v>23</v>
      </c>
      <c r="B46" s="49">
        <v>37802</v>
      </c>
      <c r="C46" s="51">
        <f t="shared" si="6"/>
        <v>2</v>
      </c>
      <c r="D46" s="50">
        <v>1100</v>
      </c>
      <c r="E46">
        <f t="shared" si="7"/>
        <v>1450.8274281401989</v>
      </c>
      <c r="F46">
        <f t="shared" si="8"/>
        <v>1.1165708100794238</v>
      </c>
      <c r="G46" s="11">
        <f t="shared" si="9"/>
        <v>0.75034438808528614</v>
      </c>
      <c r="H46">
        <f t="shared" si="10"/>
        <v>1162.9057555350132</v>
      </c>
      <c r="I46">
        <f t="shared" si="11"/>
        <v>5.7187050486375651E-2</v>
      </c>
      <c r="J46">
        <f t="shared" si="12"/>
        <v>1298.4666215037541</v>
      </c>
      <c r="K46">
        <f t="shared" si="13"/>
        <v>1449.8299274335393</v>
      </c>
      <c r="L46">
        <f t="shared" si="14"/>
        <v>1618.8377765518594</v>
      </c>
    </row>
    <row r="47" spans="1:12">
      <c r="A47">
        <v>24</v>
      </c>
      <c r="B47" s="49">
        <v>37894</v>
      </c>
      <c r="C47" s="51">
        <f t="shared" si="6"/>
        <v>3</v>
      </c>
      <c r="D47" s="50">
        <v>1134</v>
      </c>
      <c r="E47">
        <f t="shared" si="7"/>
        <v>1613.1221500664635</v>
      </c>
      <c r="F47">
        <f t="shared" si="8"/>
        <v>1.1118635605988705</v>
      </c>
      <c r="G47" s="11">
        <f t="shared" si="9"/>
        <v>0.70346005935221578</v>
      </c>
      <c r="H47">
        <f t="shared" si="10"/>
        <v>1265.2374639538898</v>
      </c>
      <c r="I47">
        <f t="shared" si="11"/>
        <v>0.11572968602635784</v>
      </c>
      <c r="J47">
        <f t="shared" si="12"/>
        <v>1406.7714316748572</v>
      </c>
      <c r="K47">
        <f t="shared" si="13"/>
        <v>1564.1378929707773</v>
      </c>
      <c r="L47">
        <f t="shared" si="14"/>
        <v>1739.1079269461036</v>
      </c>
    </row>
    <row r="48" spans="1:12">
      <c r="A48">
        <v>25</v>
      </c>
      <c r="B48" s="49">
        <v>37986</v>
      </c>
      <c r="C48" s="51">
        <f t="shared" si="6"/>
        <v>4</v>
      </c>
      <c r="D48" s="50">
        <v>1946</v>
      </c>
      <c r="E48">
        <f t="shared" si="7"/>
        <v>1735.5923494550261</v>
      </c>
      <c r="F48">
        <f t="shared" si="8"/>
        <v>1.0759212186030156</v>
      </c>
      <c r="G48" s="11">
        <f t="shared" si="9"/>
        <v>1.1273618969826533</v>
      </c>
      <c r="H48">
        <f t="shared" si="10"/>
        <v>2152.5986162830486</v>
      </c>
      <c r="I48">
        <f t="shared" si="11"/>
        <v>0.10616578431811337</v>
      </c>
      <c r="J48">
        <f t="shared" si="12"/>
        <v>2316.0265263944225</v>
      </c>
      <c r="K48">
        <f t="shared" si="13"/>
        <v>2491.8620825951962</v>
      </c>
      <c r="L48">
        <f t="shared" si="14"/>
        <v>2681.047288496472</v>
      </c>
    </row>
    <row r="49" spans="1:12">
      <c r="A49">
        <v>26</v>
      </c>
      <c r="B49" s="49">
        <v>38077</v>
      </c>
      <c r="C49" s="51">
        <f t="shared" si="6"/>
        <v>1</v>
      </c>
      <c r="D49" s="50">
        <v>1530</v>
      </c>
      <c r="E49">
        <f t="shared" si="7"/>
        <v>1850.2441380256391</v>
      </c>
      <c r="F49">
        <f t="shared" si="8"/>
        <v>1.066059169139927</v>
      </c>
      <c r="G49" s="11">
        <f t="shared" si="9"/>
        <v>0.82814508677556287</v>
      </c>
      <c r="H49">
        <f t="shared" si="10"/>
        <v>1643.5145473755642</v>
      </c>
      <c r="I49">
        <f t="shared" si="11"/>
        <v>7.4192514624551786E-2</v>
      </c>
      <c r="J49">
        <f t="shared" si="12"/>
        <v>1752.0837528445772</v>
      </c>
      <c r="K49">
        <f t="shared" si="13"/>
        <v>1867.8249498210555</v>
      </c>
      <c r="L49">
        <f t="shared" si="14"/>
        <v>1991.2119141050603</v>
      </c>
    </row>
    <row r="50" spans="1:12">
      <c r="A50">
        <v>27</v>
      </c>
      <c r="B50" s="49">
        <v>38168</v>
      </c>
      <c r="C50" s="51">
        <f t="shared" si="6"/>
        <v>2</v>
      </c>
      <c r="D50" s="50">
        <v>1387</v>
      </c>
      <c r="E50">
        <f t="shared" si="7"/>
        <v>1904.2885724010055</v>
      </c>
      <c r="F50">
        <f t="shared" si="8"/>
        <v>1.0292093531143605</v>
      </c>
      <c r="G50" s="11">
        <f t="shared" si="9"/>
        <v>0.73263313424995624</v>
      </c>
      <c r="H50">
        <f t="shared" si="10"/>
        <v>1470.6086775145407</v>
      </c>
      <c r="I50">
        <f t="shared" si="11"/>
        <v>6.0280228921802924E-2</v>
      </c>
      <c r="J50">
        <f t="shared" si="12"/>
        <v>1513.5642056691056</v>
      </c>
      <c r="K50">
        <f t="shared" si="13"/>
        <v>1557.7744370137509</v>
      </c>
      <c r="L50">
        <f t="shared" si="14"/>
        <v>1603.2760206170099</v>
      </c>
    </row>
    <row r="51" spans="1:12">
      <c r="A51">
        <v>28</v>
      </c>
      <c r="B51" s="49">
        <v>38260</v>
      </c>
      <c r="C51" s="51">
        <f t="shared" si="6"/>
        <v>3</v>
      </c>
      <c r="D51" s="50">
        <v>1463</v>
      </c>
      <c r="E51">
        <f t="shared" si="7"/>
        <v>2025.7959219005777</v>
      </c>
      <c r="F51">
        <f t="shared" si="8"/>
        <v>1.063807214547515</v>
      </c>
      <c r="G51" s="11">
        <f t="shared" si="9"/>
        <v>0.71854288938107713</v>
      </c>
      <c r="H51">
        <f t="shared" si="10"/>
        <v>1515.9960446070447</v>
      </c>
      <c r="I51">
        <f t="shared" si="11"/>
        <v>3.6224227345895234E-2</v>
      </c>
      <c r="J51">
        <f t="shared" si="12"/>
        <v>1612.7275294784706</v>
      </c>
      <c r="K51">
        <f t="shared" si="13"/>
        <v>1715.6311809585873</v>
      </c>
      <c r="L51">
        <f t="shared" si="14"/>
        <v>1825.1008278064185</v>
      </c>
    </row>
    <row r="52" spans="1:12">
      <c r="A52">
        <v>29</v>
      </c>
      <c r="B52" s="49">
        <v>38352</v>
      </c>
      <c r="C52" s="51">
        <f t="shared" si="6"/>
        <v>4</v>
      </c>
      <c r="D52" s="50">
        <v>2541</v>
      </c>
      <c r="E52">
        <f t="shared" si="7"/>
        <v>2209.4308473377741</v>
      </c>
      <c r="F52">
        <f t="shared" si="8"/>
        <v>1.090648284682552</v>
      </c>
      <c r="G52" s="11">
        <f t="shared" si="9"/>
        <v>1.1456528160203032</v>
      </c>
      <c r="H52">
        <f t="shared" si="10"/>
        <v>2716.6174506616694</v>
      </c>
      <c r="I52">
        <f t="shared" si="11"/>
        <v>6.9113518560279183E-2</v>
      </c>
      <c r="J52">
        <f t="shared" si="12"/>
        <v>2962.8741627028367</v>
      </c>
      <c r="K52">
        <f t="shared" si="13"/>
        <v>3231.4536232821015</v>
      </c>
      <c r="L52">
        <f t="shared" si="14"/>
        <v>3524.3793512638426</v>
      </c>
    </row>
    <row r="53" spans="1:12">
      <c r="A53">
        <v>30</v>
      </c>
      <c r="B53" s="49">
        <v>38442</v>
      </c>
      <c r="C53" s="51">
        <f t="shared" si="6"/>
        <v>1</v>
      </c>
      <c r="D53" s="50">
        <v>1902</v>
      </c>
      <c r="E53">
        <f t="shared" si="7"/>
        <v>2347.5645901644375</v>
      </c>
      <c r="F53">
        <f t="shared" si="8"/>
        <v>1.0625200571419131</v>
      </c>
      <c r="G53" s="11">
        <f t="shared" si="9"/>
        <v>0.81369172983461735</v>
      </c>
      <c r="H53">
        <f t="shared" si="10"/>
        <v>2065.6708298826211</v>
      </c>
      <c r="I53">
        <f t="shared" si="11"/>
        <v>8.6051961031872293E-2</v>
      </c>
      <c r="J53">
        <f t="shared" si="12"/>
        <v>2194.816688203266</v>
      </c>
      <c r="K53">
        <f t="shared" si="13"/>
        <v>2332.0367529657583</v>
      </c>
      <c r="L53">
        <f t="shared" si="14"/>
        <v>2477.8358240182188</v>
      </c>
    </row>
    <row r="54" spans="1:12">
      <c r="A54">
        <v>31</v>
      </c>
      <c r="B54" s="49">
        <v>38533</v>
      </c>
      <c r="C54" s="51">
        <f t="shared" si="6"/>
        <v>2</v>
      </c>
      <c r="D54" s="50">
        <v>1753</v>
      </c>
      <c r="E54">
        <f t="shared" si="7"/>
        <v>2438.4658198371117</v>
      </c>
      <c r="F54">
        <f t="shared" si="8"/>
        <v>1.038721503149912</v>
      </c>
      <c r="G54" s="11">
        <f t="shared" si="9"/>
        <v>0.72156702195667721</v>
      </c>
      <c r="H54">
        <f t="shared" si="10"/>
        <v>1855.6768548850771</v>
      </c>
      <c r="I54">
        <f t="shared" si="11"/>
        <v>5.8572079227083337E-2</v>
      </c>
      <c r="J54">
        <f t="shared" si="12"/>
        <v>1927.531452066728</v>
      </c>
      <c r="K54">
        <f t="shared" si="13"/>
        <v>2002.1683672594843</v>
      </c>
      <c r="L54">
        <f t="shared" si="14"/>
        <v>2079.6953359989761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40"/>
  <sheetViews>
    <sheetView topLeftCell="A22" workbookViewId="0">
      <selection activeCell="H3" sqref="H3"/>
    </sheetView>
  </sheetViews>
  <sheetFormatPr baseColWidth="10" defaultRowHeight="16"/>
  <cols>
    <col min="1" max="1" width="11.33203125" bestFit="1" customWidth="1"/>
    <col min="7" max="7" width="16.5" bestFit="1" customWidth="1"/>
    <col min="10" max="10" width="17.83203125" bestFit="1" customWidth="1"/>
  </cols>
  <sheetData>
    <row r="2" spans="1:15">
      <c r="A2" s="48" t="s">
        <v>34</v>
      </c>
      <c r="B2" s="48" t="s">
        <v>34</v>
      </c>
      <c r="C2" s="47" t="s">
        <v>40</v>
      </c>
      <c r="D2" s="48" t="s">
        <v>66</v>
      </c>
      <c r="E2" s="48" t="s">
        <v>67</v>
      </c>
      <c r="F2" s="48" t="s">
        <v>68</v>
      </c>
      <c r="G2" s="48" t="s">
        <v>58</v>
      </c>
      <c r="H2" s="48" t="s">
        <v>27</v>
      </c>
      <c r="J2" t="s">
        <v>69</v>
      </c>
    </row>
    <row r="3" spans="1:15" ht="17" thickBot="1">
      <c r="A3" s="49">
        <v>35155</v>
      </c>
      <c r="B3" s="51">
        <f>MONTH(A3)/3</f>
        <v>1</v>
      </c>
      <c r="C3">
        <v>1</v>
      </c>
      <c r="D3" s="51">
        <f>IF(B3=2,1,0)</f>
        <v>0</v>
      </c>
      <c r="E3" s="51">
        <f>IF(B3=3,1,0)</f>
        <v>0</v>
      </c>
      <c r="F3" s="51">
        <f>IF(B3=4,1,0)</f>
        <v>0</v>
      </c>
      <c r="G3" s="50">
        <v>0.875</v>
      </c>
      <c r="H3" s="74">
        <f t="shared" ref="H3:H40" si="0">Intercept+Period*C3+Quarter2*D3+Quarter3*E3*Quarter4*F3</f>
        <v>-282.94068421052594</v>
      </c>
    </row>
    <row r="4" spans="1:15">
      <c r="A4" s="49">
        <v>35246</v>
      </c>
      <c r="B4" s="51">
        <f t="shared" ref="B4:B40" si="1">MONTH(A4)/3</f>
        <v>2</v>
      </c>
      <c r="C4">
        <v>2</v>
      </c>
      <c r="D4" s="51">
        <f t="shared" ref="D4:D40" si="2">IF(B4=2,1,0)</f>
        <v>1</v>
      </c>
      <c r="E4" s="51">
        <f t="shared" ref="E4:E40" si="3">IF(B4=3,1,0)</f>
        <v>0</v>
      </c>
      <c r="F4" s="51">
        <f t="shared" ref="F4:F40" si="4">IF(B4=4,1,0)</f>
        <v>0</v>
      </c>
      <c r="G4" s="50">
        <v>2.23</v>
      </c>
      <c r="H4" s="74">
        <f t="shared" si="0"/>
        <v>-311.27868421052591</v>
      </c>
      <c r="J4" s="73" t="s">
        <v>70</v>
      </c>
      <c r="K4" s="73"/>
    </row>
    <row r="5" spans="1:15">
      <c r="A5" s="49">
        <v>35338</v>
      </c>
      <c r="B5" s="51">
        <f t="shared" si="1"/>
        <v>3</v>
      </c>
      <c r="C5">
        <v>3</v>
      </c>
      <c r="D5" s="51">
        <f t="shared" si="2"/>
        <v>0</v>
      </c>
      <c r="E5" s="51">
        <f t="shared" si="3"/>
        <v>1</v>
      </c>
      <c r="F5" s="51">
        <f t="shared" si="4"/>
        <v>0</v>
      </c>
      <c r="G5" s="50">
        <v>4.2</v>
      </c>
      <c r="H5" s="74">
        <f t="shared" si="0"/>
        <v>-173.32755263157858</v>
      </c>
      <c r="J5" s="70" t="s">
        <v>71</v>
      </c>
      <c r="K5" s="70">
        <v>0.95762115654629432</v>
      </c>
    </row>
    <row r="6" spans="1:15">
      <c r="A6" s="49">
        <v>35430</v>
      </c>
      <c r="B6" s="51">
        <f t="shared" si="1"/>
        <v>4</v>
      </c>
      <c r="C6">
        <v>4</v>
      </c>
      <c r="D6" s="51">
        <f t="shared" si="2"/>
        <v>0</v>
      </c>
      <c r="E6" s="51">
        <f t="shared" si="3"/>
        <v>0</v>
      </c>
      <c r="F6" s="51">
        <f t="shared" si="4"/>
        <v>1</v>
      </c>
      <c r="G6" s="50">
        <v>8.5</v>
      </c>
      <c r="H6" s="74">
        <f t="shared" si="0"/>
        <v>-118.52098684210492</v>
      </c>
      <c r="J6" s="70" t="s">
        <v>72</v>
      </c>
      <c r="K6" s="70">
        <v>0.91703827946506233</v>
      </c>
    </row>
    <row r="7" spans="1:15">
      <c r="A7" s="49">
        <v>35520</v>
      </c>
      <c r="B7" s="51">
        <f t="shared" si="1"/>
        <v>1</v>
      </c>
      <c r="C7">
        <v>5</v>
      </c>
      <c r="D7" s="51">
        <f t="shared" si="2"/>
        <v>0</v>
      </c>
      <c r="E7" s="51">
        <f t="shared" si="3"/>
        <v>0</v>
      </c>
      <c r="F7" s="51">
        <f t="shared" si="4"/>
        <v>0</v>
      </c>
      <c r="G7" s="50">
        <v>16.004999999999999</v>
      </c>
      <c r="H7" s="74">
        <f t="shared" si="0"/>
        <v>-63.714421052631224</v>
      </c>
      <c r="J7" s="70" t="s">
        <v>73</v>
      </c>
      <c r="K7" s="70">
        <v>0.90698231333961543</v>
      </c>
    </row>
    <row r="8" spans="1:15">
      <c r="A8" s="49">
        <v>35611</v>
      </c>
      <c r="B8" s="51">
        <f t="shared" si="1"/>
        <v>2</v>
      </c>
      <c r="C8">
        <v>6</v>
      </c>
      <c r="D8" s="51">
        <f t="shared" si="2"/>
        <v>1</v>
      </c>
      <c r="E8" s="51">
        <f t="shared" si="3"/>
        <v>0</v>
      </c>
      <c r="F8" s="51">
        <f t="shared" si="4"/>
        <v>0</v>
      </c>
      <c r="G8" s="50">
        <v>27.855</v>
      </c>
      <c r="H8" s="74">
        <f t="shared" si="0"/>
        <v>-92.052421052631203</v>
      </c>
      <c r="J8" s="70" t="s">
        <v>9</v>
      </c>
      <c r="K8" s="70">
        <v>199.90368782756829</v>
      </c>
    </row>
    <row r="9" spans="1:15" ht="17" thickBot="1">
      <c r="A9" s="49">
        <v>35703</v>
      </c>
      <c r="B9" s="51">
        <f t="shared" si="1"/>
        <v>3</v>
      </c>
      <c r="C9">
        <v>7</v>
      </c>
      <c r="D9" s="51">
        <f t="shared" si="2"/>
        <v>0</v>
      </c>
      <c r="E9" s="51">
        <f t="shared" si="3"/>
        <v>1</v>
      </c>
      <c r="F9" s="51">
        <f t="shared" si="4"/>
        <v>0</v>
      </c>
      <c r="G9" s="50">
        <v>37.9</v>
      </c>
      <c r="H9" s="74">
        <f t="shared" si="0"/>
        <v>45.898710526316108</v>
      </c>
      <c r="J9" s="71" t="s">
        <v>74</v>
      </c>
      <c r="K9" s="71">
        <v>38</v>
      </c>
    </row>
    <row r="10" spans="1:15">
      <c r="A10" s="49">
        <v>35795</v>
      </c>
      <c r="B10" s="51">
        <f t="shared" si="1"/>
        <v>4</v>
      </c>
      <c r="C10">
        <v>8</v>
      </c>
      <c r="D10" s="51">
        <f t="shared" si="2"/>
        <v>0</v>
      </c>
      <c r="E10" s="51">
        <f t="shared" si="3"/>
        <v>0</v>
      </c>
      <c r="F10" s="51">
        <f t="shared" si="4"/>
        <v>1</v>
      </c>
      <c r="G10" s="50">
        <v>66.040000000000006</v>
      </c>
      <c r="H10" s="74">
        <f t="shared" si="0"/>
        <v>100.70527631578977</v>
      </c>
    </row>
    <row r="11" spans="1:15" ht="17" thickBot="1">
      <c r="A11" s="49">
        <v>35885</v>
      </c>
      <c r="B11" s="51">
        <f t="shared" si="1"/>
        <v>1</v>
      </c>
      <c r="C11">
        <v>9</v>
      </c>
      <c r="D11" s="51">
        <f t="shared" si="2"/>
        <v>0</v>
      </c>
      <c r="E11" s="51">
        <f t="shared" si="3"/>
        <v>0</v>
      </c>
      <c r="F11" s="51">
        <f t="shared" si="4"/>
        <v>0</v>
      </c>
      <c r="G11" s="50">
        <v>87.394999999999996</v>
      </c>
      <c r="H11" s="74">
        <f t="shared" si="0"/>
        <v>155.51184210526344</v>
      </c>
      <c r="J11" t="s">
        <v>75</v>
      </c>
    </row>
    <row r="12" spans="1:15">
      <c r="A12" s="49">
        <v>35976</v>
      </c>
      <c r="B12" s="51">
        <f t="shared" si="1"/>
        <v>2</v>
      </c>
      <c r="C12">
        <v>10</v>
      </c>
      <c r="D12" s="51">
        <f t="shared" si="2"/>
        <v>1</v>
      </c>
      <c r="E12" s="51">
        <f t="shared" si="3"/>
        <v>0</v>
      </c>
      <c r="F12" s="51">
        <f t="shared" si="4"/>
        <v>0</v>
      </c>
      <c r="G12" s="50">
        <v>116.01</v>
      </c>
      <c r="H12" s="74">
        <f t="shared" si="0"/>
        <v>127.17384210526352</v>
      </c>
      <c r="J12" s="72"/>
      <c r="K12" s="72" t="s">
        <v>80</v>
      </c>
      <c r="L12" s="72" t="s">
        <v>81</v>
      </c>
      <c r="M12" s="72" t="s">
        <v>82</v>
      </c>
      <c r="N12" s="72" t="s">
        <v>83</v>
      </c>
      <c r="O12" s="72" t="s">
        <v>84</v>
      </c>
    </row>
    <row r="13" spans="1:15">
      <c r="A13" s="49">
        <v>36068</v>
      </c>
      <c r="B13" s="51">
        <f t="shared" si="1"/>
        <v>3</v>
      </c>
      <c r="C13">
        <v>11</v>
      </c>
      <c r="D13" s="51">
        <f t="shared" si="2"/>
        <v>0</v>
      </c>
      <c r="E13" s="51">
        <f t="shared" si="3"/>
        <v>1</v>
      </c>
      <c r="F13" s="51">
        <f t="shared" si="4"/>
        <v>0</v>
      </c>
      <c r="G13" s="50">
        <v>153.69999999999999</v>
      </c>
      <c r="H13" s="74">
        <f t="shared" si="0"/>
        <v>265.12497368421083</v>
      </c>
      <c r="J13" s="70" t="s">
        <v>76</v>
      </c>
      <c r="K13" s="70">
        <v>4</v>
      </c>
      <c r="L13" s="70">
        <v>14576903.083548535</v>
      </c>
      <c r="M13" s="70">
        <v>3644225.7708871337</v>
      </c>
      <c r="N13" s="70">
        <v>91.193453520538824</v>
      </c>
      <c r="O13" s="70">
        <v>2.3396328683075765E-17</v>
      </c>
    </row>
    <row r="14" spans="1:15">
      <c r="A14" s="49">
        <v>36160</v>
      </c>
      <c r="B14" s="51">
        <f t="shared" si="1"/>
        <v>4</v>
      </c>
      <c r="C14">
        <v>12</v>
      </c>
      <c r="D14" s="51">
        <f t="shared" si="2"/>
        <v>0</v>
      </c>
      <c r="E14" s="51">
        <f t="shared" si="3"/>
        <v>0</v>
      </c>
      <c r="F14" s="51">
        <f t="shared" si="4"/>
        <v>1</v>
      </c>
      <c r="G14" s="50">
        <v>252.9</v>
      </c>
      <c r="H14" s="74">
        <f t="shared" si="0"/>
        <v>319.9315394736845</v>
      </c>
      <c r="J14" s="70" t="s">
        <v>77</v>
      </c>
      <c r="K14" s="70">
        <v>33</v>
      </c>
      <c r="L14" s="70">
        <v>1318728.9854330418</v>
      </c>
      <c r="M14" s="70">
        <v>39961.484407061871</v>
      </c>
      <c r="N14" s="70"/>
      <c r="O14" s="70"/>
    </row>
    <row r="15" spans="1:15" ht="17" thickBot="1">
      <c r="A15" s="49">
        <v>36250</v>
      </c>
      <c r="B15" s="51">
        <f t="shared" si="1"/>
        <v>1</v>
      </c>
      <c r="C15">
        <v>13</v>
      </c>
      <c r="D15" s="51">
        <f t="shared" si="2"/>
        <v>0</v>
      </c>
      <c r="E15" s="51">
        <f t="shared" si="3"/>
        <v>0</v>
      </c>
      <c r="F15" s="51">
        <f t="shared" si="4"/>
        <v>0</v>
      </c>
      <c r="G15" s="50">
        <v>293.60000000000002</v>
      </c>
      <c r="H15" s="74">
        <f t="shared" si="0"/>
        <v>374.73810526315816</v>
      </c>
      <c r="J15" s="71" t="s">
        <v>78</v>
      </c>
      <c r="K15" s="71">
        <v>37</v>
      </c>
      <c r="L15" s="71">
        <v>15895632.068981577</v>
      </c>
      <c r="M15" s="71"/>
      <c r="N15" s="71"/>
      <c r="O15" s="71"/>
    </row>
    <row r="16" spans="1:15" ht="17" thickBot="1">
      <c r="A16" s="49">
        <v>36341</v>
      </c>
      <c r="B16" s="51">
        <f t="shared" si="1"/>
        <v>2</v>
      </c>
      <c r="C16">
        <v>14</v>
      </c>
      <c r="D16" s="51">
        <f t="shared" si="2"/>
        <v>1</v>
      </c>
      <c r="E16" s="51">
        <f t="shared" si="3"/>
        <v>0</v>
      </c>
      <c r="F16" s="51">
        <f t="shared" si="4"/>
        <v>0</v>
      </c>
      <c r="G16" s="50">
        <v>314.39999999999998</v>
      </c>
      <c r="H16" s="74">
        <f t="shared" si="0"/>
        <v>346.4001052631582</v>
      </c>
    </row>
    <row r="17" spans="1:18">
      <c r="A17" s="49">
        <v>36433</v>
      </c>
      <c r="B17" s="51">
        <f t="shared" si="1"/>
        <v>3</v>
      </c>
      <c r="C17">
        <v>15</v>
      </c>
      <c r="D17" s="51">
        <f t="shared" si="2"/>
        <v>0</v>
      </c>
      <c r="E17" s="51">
        <f t="shared" si="3"/>
        <v>1</v>
      </c>
      <c r="F17" s="51">
        <f t="shared" si="4"/>
        <v>0</v>
      </c>
      <c r="G17" s="50">
        <v>355.8</v>
      </c>
      <c r="H17" s="74">
        <f t="shared" si="0"/>
        <v>484.35123684210549</v>
      </c>
      <c r="J17" s="72"/>
      <c r="K17" s="72" t="s">
        <v>85</v>
      </c>
      <c r="L17" s="72" t="s">
        <v>9</v>
      </c>
      <c r="M17" s="72" t="s">
        <v>86</v>
      </c>
      <c r="N17" s="72" t="s">
        <v>87</v>
      </c>
      <c r="O17" s="72" t="s">
        <v>88</v>
      </c>
      <c r="P17" s="72" t="s">
        <v>89</v>
      </c>
      <c r="Q17" s="72" t="s">
        <v>90</v>
      </c>
      <c r="R17" s="72" t="s">
        <v>91</v>
      </c>
    </row>
    <row r="18" spans="1:18">
      <c r="A18" s="49">
        <v>36525</v>
      </c>
      <c r="B18" s="51">
        <f t="shared" si="1"/>
        <v>4</v>
      </c>
      <c r="C18">
        <v>16</v>
      </c>
      <c r="D18" s="51">
        <f t="shared" si="2"/>
        <v>0</v>
      </c>
      <c r="E18" s="51">
        <f t="shared" si="3"/>
        <v>0</v>
      </c>
      <c r="F18" s="51">
        <f t="shared" si="4"/>
        <v>1</v>
      </c>
      <c r="G18" s="50">
        <v>676</v>
      </c>
      <c r="H18" s="74">
        <f t="shared" si="0"/>
        <v>539.15780263157922</v>
      </c>
      <c r="J18" s="70" t="s">
        <v>79</v>
      </c>
      <c r="K18" s="70">
        <v>-337.74724999999961</v>
      </c>
      <c r="L18" s="70">
        <v>84.615400231076435</v>
      </c>
      <c r="M18" s="70">
        <v>-3.9915576724525876</v>
      </c>
      <c r="N18" s="70">
        <v>3.446151199989223E-4</v>
      </c>
      <c r="O18" s="70">
        <v>-509.89857616992299</v>
      </c>
      <c r="P18" s="70">
        <v>-165.5959238300762</v>
      </c>
      <c r="Q18" s="70">
        <v>-509.89857616992299</v>
      </c>
      <c r="R18" s="70">
        <v>-165.5959238300762</v>
      </c>
    </row>
    <row r="19" spans="1:18">
      <c r="A19" s="49">
        <v>36616</v>
      </c>
      <c r="B19" s="51">
        <f t="shared" si="1"/>
        <v>1</v>
      </c>
      <c r="C19">
        <v>17</v>
      </c>
      <c r="D19" s="51">
        <f t="shared" si="2"/>
        <v>0</v>
      </c>
      <c r="E19" s="51">
        <f t="shared" si="3"/>
        <v>0</v>
      </c>
      <c r="F19" s="51">
        <f t="shared" si="4"/>
        <v>0</v>
      </c>
      <c r="G19" s="50">
        <v>573.9</v>
      </c>
      <c r="H19" s="74">
        <f t="shared" si="0"/>
        <v>593.96436842105277</v>
      </c>
      <c r="J19" s="70" t="s">
        <v>40</v>
      </c>
      <c r="K19" s="70">
        <v>54.806565789473673</v>
      </c>
      <c r="L19" s="70">
        <v>2.9603181286141003</v>
      </c>
      <c r="M19" s="70">
        <v>18.513741904871509</v>
      </c>
      <c r="N19" s="70">
        <v>5.3413204487105067E-19</v>
      </c>
      <c r="O19" s="70">
        <v>48.783753271491683</v>
      </c>
      <c r="P19" s="70">
        <v>60.829378307455663</v>
      </c>
      <c r="Q19" s="70">
        <v>48.783753271491683</v>
      </c>
      <c r="R19" s="70">
        <v>60.829378307455663</v>
      </c>
    </row>
    <row r="20" spans="1:18">
      <c r="A20" s="49">
        <v>36707</v>
      </c>
      <c r="B20" s="51">
        <f t="shared" si="1"/>
        <v>2</v>
      </c>
      <c r="C20">
        <v>18</v>
      </c>
      <c r="D20" s="51">
        <f t="shared" si="2"/>
        <v>1</v>
      </c>
      <c r="E20" s="51">
        <f t="shared" si="3"/>
        <v>0</v>
      </c>
      <c r="F20" s="51">
        <f t="shared" si="4"/>
        <v>0</v>
      </c>
      <c r="G20" s="50">
        <v>577.9</v>
      </c>
      <c r="H20" s="74">
        <f t="shared" si="0"/>
        <v>565.62636842105292</v>
      </c>
      <c r="J20" s="70" t="s">
        <v>66</v>
      </c>
      <c r="K20" s="70">
        <v>-83.144565789473646</v>
      </c>
      <c r="L20" s="70">
        <v>89.448646523214506</v>
      </c>
      <c r="M20" s="70">
        <v>-0.92952290527834014</v>
      </c>
      <c r="N20" s="70">
        <v>0.35936814563805308</v>
      </c>
      <c r="O20" s="70">
        <v>-265.12920547709223</v>
      </c>
      <c r="P20" s="70">
        <v>98.840073898144951</v>
      </c>
      <c r="Q20" s="70">
        <v>-265.12920547709223</v>
      </c>
      <c r="R20" s="70">
        <v>98.840073898144951</v>
      </c>
    </row>
    <row r="21" spans="1:18">
      <c r="A21" s="49">
        <v>36799</v>
      </c>
      <c r="B21" s="51">
        <f t="shared" si="1"/>
        <v>3</v>
      </c>
      <c r="C21">
        <v>19</v>
      </c>
      <c r="D21" s="51">
        <f t="shared" si="2"/>
        <v>0</v>
      </c>
      <c r="E21" s="51">
        <f t="shared" si="3"/>
        <v>1</v>
      </c>
      <c r="F21" s="51">
        <f t="shared" si="4"/>
        <v>0</v>
      </c>
      <c r="G21" s="50">
        <v>637.9</v>
      </c>
      <c r="H21" s="74">
        <f t="shared" si="0"/>
        <v>703.5775000000001</v>
      </c>
      <c r="J21" s="70" t="s">
        <v>67</v>
      </c>
      <c r="K21" s="70">
        <v>-117.29972222222234</v>
      </c>
      <c r="L21" s="70">
        <v>91.849405957927544</v>
      </c>
      <c r="M21" s="70">
        <v>-1.2770874345769045</v>
      </c>
      <c r="N21" s="70">
        <v>0.21048432037635226</v>
      </c>
      <c r="O21" s="70">
        <v>-304.16874370526045</v>
      </c>
      <c r="P21" s="70">
        <v>69.569299260815754</v>
      </c>
      <c r="Q21" s="70">
        <v>-304.16874370526045</v>
      </c>
      <c r="R21" s="70">
        <v>69.569299260815754</v>
      </c>
    </row>
    <row r="22" spans="1:18" ht="17" thickBot="1">
      <c r="A22" s="49">
        <v>36891</v>
      </c>
      <c r="B22" s="51">
        <f t="shared" si="1"/>
        <v>4</v>
      </c>
      <c r="C22">
        <v>20</v>
      </c>
      <c r="D22" s="51">
        <f t="shared" si="2"/>
        <v>0</v>
      </c>
      <c r="E22" s="51">
        <f t="shared" si="3"/>
        <v>0</v>
      </c>
      <c r="F22" s="51">
        <f t="shared" si="4"/>
        <v>1</v>
      </c>
      <c r="G22" s="50">
        <v>972.36</v>
      </c>
      <c r="H22" s="74">
        <f t="shared" si="0"/>
        <v>758.38406578947388</v>
      </c>
      <c r="J22" s="71" t="s">
        <v>68</v>
      </c>
      <c r="K22" s="71">
        <v>242.37148976608194</v>
      </c>
      <c r="L22" s="71">
        <v>91.897099291799037</v>
      </c>
      <c r="M22" s="71">
        <v>2.6374226350331749</v>
      </c>
      <c r="N22" s="71">
        <v>1.2641693834791879E-2</v>
      </c>
      <c r="O22" s="71">
        <v>55.405435465695916</v>
      </c>
      <c r="P22" s="71">
        <v>429.33754406646796</v>
      </c>
      <c r="Q22" s="71">
        <v>55.405435465695916</v>
      </c>
      <c r="R22" s="71">
        <v>429.33754406646796</v>
      </c>
    </row>
    <row r="23" spans="1:18">
      <c r="A23" s="49">
        <v>36981</v>
      </c>
      <c r="B23" s="51">
        <f t="shared" si="1"/>
        <v>1</v>
      </c>
      <c r="C23">
        <v>21</v>
      </c>
      <c r="D23" s="51">
        <f t="shared" si="2"/>
        <v>0</v>
      </c>
      <c r="E23" s="51">
        <f t="shared" si="3"/>
        <v>0</v>
      </c>
      <c r="F23" s="51">
        <f t="shared" si="4"/>
        <v>0</v>
      </c>
      <c r="G23" s="50">
        <v>701</v>
      </c>
      <c r="H23" s="74">
        <f t="shared" si="0"/>
        <v>813.19063157894743</v>
      </c>
    </row>
    <row r="24" spans="1:18">
      <c r="A24" s="49">
        <v>37072</v>
      </c>
      <c r="B24" s="51">
        <f t="shared" si="1"/>
        <v>2</v>
      </c>
      <c r="C24">
        <v>22</v>
      </c>
      <c r="D24" s="51">
        <f t="shared" si="2"/>
        <v>1</v>
      </c>
      <c r="E24" s="51">
        <f t="shared" si="3"/>
        <v>0</v>
      </c>
      <c r="F24" s="51">
        <f t="shared" si="4"/>
        <v>0</v>
      </c>
      <c r="G24" s="50">
        <v>668</v>
      </c>
      <c r="H24" s="74">
        <f t="shared" si="0"/>
        <v>784.85263157894758</v>
      </c>
    </row>
    <row r="25" spans="1:18">
      <c r="A25" s="49">
        <v>37164</v>
      </c>
      <c r="B25" s="51">
        <f t="shared" si="1"/>
        <v>3</v>
      </c>
      <c r="C25">
        <v>23</v>
      </c>
      <c r="D25" s="51">
        <f t="shared" si="2"/>
        <v>0</v>
      </c>
      <c r="E25" s="51">
        <f t="shared" si="3"/>
        <v>1</v>
      </c>
      <c r="F25" s="51">
        <f t="shared" si="4"/>
        <v>0</v>
      </c>
      <c r="G25" s="50">
        <v>639</v>
      </c>
      <c r="H25" s="74">
        <f t="shared" si="0"/>
        <v>922.80376315789476</v>
      </c>
    </row>
    <row r="26" spans="1:18">
      <c r="A26" s="49">
        <v>37256</v>
      </c>
      <c r="B26" s="51">
        <f t="shared" si="1"/>
        <v>4</v>
      </c>
      <c r="C26">
        <v>24</v>
      </c>
      <c r="D26" s="51">
        <f t="shared" si="2"/>
        <v>0</v>
      </c>
      <c r="E26" s="51">
        <f t="shared" si="3"/>
        <v>0</v>
      </c>
      <c r="F26" s="51">
        <f t="shared" si="4"/>
        <v>1</v>
      </c>
      <c r="G26" s="50">
        <v>1115</v>
      </c>
      <c r="H26" s="74">
        <f t="shared" si="0"/>
        <v>977.61032894736854</v>
      </c>
    </row>
    <row r="27" spans="1:18">
      <c r="A27" s="49">
        <v>37346</v>
      </c>
      <c r="B27" s="51">
        <f t="shared" si="1"/>
        <v>1</v>
      </c>
      <c r="C27">
        <v>25</v>
      </c>
      <c r="D27" s="51">
        <f t="shared" si="2"/>
        <v>0</v>
      </c>
      <c r="E27" s="51">
        <f t="shared" si="3"/>
        <v>0</v>
      </c>
      <c r="F27" s="51">
        <f t="shared" si="4"/>
        <v>0</v>
      </c>
      <c r="G27" s="50">
        <v>847</v>
      </c>
      <c r="H27" s="74">
        <f t="shared" si="0"/>
        <v>1032.4168947368421</v>
      </c>
    </row>
    <row r="28" spans="1:18">
      <c r="A28" s="49">
        <v>37437</v>
      </c>
      <c r="B28" s="51">
        <f t="shared" si="1"/>
        <v>2</v>
      </c>
      <c r="C28">
        <v>26</v>
      </c>
      <c r="D28" s="51">
        <f t="shared" si="2"/>
        <v>1</v>
      </c>
      <c r="E28" s="51">
        <f t="shared" si="3"/>
        <v>0</v>
      </c>
      <c r="F28" s="51">
        <f t="shared" si="4"/>
        <v>0</v>
      </c>
      <c r="G28" s="50">
        <v>806</v>
      </c>
      <c r="H28" s="74">
        <f t="shared" si="0"/>
        <v>1004.0788947368422</v>
      </c>
    </row>
    <row r="29" spans="1:18">
      <c r="A29" s="49">
        <v>37529</v>
      </c>
      <c r="B29" s="51">
        <f t="shared" si="1"/>
        <v>3</v>
      </c>
      <c r="C29">
        <v>27</v>
      </c>
      <c r="D29" s="51">
        <f t="shared" si="2"/>
        <v>0</v>
      </c>
      <c r="E29" s="51">
        <f t="shared" si="3"/>
        <v>1</v>
      </c>
      <c r="F29" s="51">
        <f t="shared" si="4"/>
        <v>0</v>
      </c>
      <c r="G29" s="50">
        <v>851</v>
      </c>
      <c r="H29" s="74">
        <f t="shared" si="0"/>
        <v>1142.0300263157894</v>
      </c>
    </row>
    <row r="30" spans="1:18">
      <c r="A30" s="49">
        <v>37621</v>
      </c>
      <c r="B30" s="51">
        <f t="shared" si="1"/>
        <v>4</v>
      </c>
      <c r="C30">
        <v>28</v>
      </c>
      <c r="D30" s="51">
        <f t="shared" si="2"/>
        <v>0</v>
      </c>
      <c r="E30" s="51">
        <f t="shared" si="3"/>
        <v>0</v>
      </c>
      <c r="F30" s="51">
        <f t="shared" si="4"/>
        <v>1</v>
      </c>
      <c r="G30" s="50">
        <v>1429</v>
      </c>
      <c r="H30" s="74">
        <f t="shared" si="0"/>
        <v>1196.8365921052632</v>
      </c>
    </row>
    <row r="31" spans="1:18">
      <c r="A31" s="49">
        <v>37711</v>
      </c>
      <c r="B31" s="51">
        <f t="shared" si="1"/>
        <v>1</v>
      </c>
      <c r="C31">
        <v>29</v>
      </c>
      <c r="D31" s="51">
        <f t="shared" si="2"/>
        <v>0</v>
      </c>
      <c r="E31" s="51">
        <f t="shared" si="3"/>
        <v>0</v>
      </c>
      <c r="F31" s="51">
        <f t="shared" si="4"/>
        <v>0</v>
      </c>
      <c r="G31" s="50">
        <v>1084</v>
      </c>
      <c r="H31" s="74">
        <f t="shared" si="0"/>
        <v>1251.6431578947368</v>
      </c>
    </row>
    <row r="32" spans="1:18">
      <c r="A32" s="49">
        <v>37802</v>
      </c>
      <c r="B32" s="51">
        <f t="shared" si="1"/>
        <v>2</v>
      </c>
      <c r="C32">
        <v>30</v>
      </c>
      <c r="D32" s="51">
        <f t="shared" si="2"/>
        <v>1</v>
      </c>
      <c r="E32" s="51">
        <f t="shared" si="3"/>
        <v>0</v>
      </c>
      <c r="F32" s="51">
        <f t="shared" si="4"/>
        <v>0</v>
      </c>
      <c r="G32" s="50">
        <v>1100</v>
      </c>
      <c r="H32" s="74">
        <f t="shared" si="0"/>
        <v>1223.3051578947368</v>
      </c>
    </row>
    <row r="33" spans="1:8">
      <c r="A33" s="49">
        <v>37894</v>
      </c>
      <c r="B33" s="51">
        <f t="shared" si="1"/>
        <v>3</v>
      </c>
      <c r="C33">
        <v>31</v>
      </c>
      <c r="D33" s="51">
        <f t="shared" si="2"/>
        <v>0</v>
      </c>
      <c r="E33" s="51">
        <f t="shared" si="3"/>
        <v>1</v>
      </c>
      <c r="F33" s="51">
        <f t="shared" si="4"/>
        <v>0</v>
      </c>
      <c r="G33" s="50">
        <v>1134</v>
      </c>
      <c r="H33" s="74">
        <f t="shared" si="0"/>
        <v>1361.2562894736841</v>
      </c>
    </row>
    <row r="34" spans="1:8">
      <c r="A34" s="49">
        <v>37986</v>
      </c>
      <c r="B34" s="51">
        <f t="shared" si="1"/>
        <v>4</v>
      </c>
      <c r="C34">
        <v>32</v>
      </c>
      <c r="D34" s="51">
        <f t="shared" si="2"/>
        <v>0</v>
      </c>
      <c r="E34" s="51">
        <f t="shared" si="3"/>
        <v>0</v>
      </c>
      <c r="F34" s="51">
        <f t="shared" si="4"/>
        <v>1</v>
      </c>
      <c r="G34" s="50">
        <v>1946</v>
      </c>
      <c r="H34" s="74">
        <f t="shared" si="0"/>
        <v>1416.0628552631579</v>
      </c>
    </row>
    <row r="35" spans="1:8">
      <c r="A35" s="49">
        <v>38077</v>
      </c>
      <c r="B35" s="51">
        <f t="shared" si="1"/>
        <v>1</v>
      </c>
      <c r="C35">
        <v>33</v>
      </c>
      <c r="D35" s="51">
        <f t="shared" si="2"/>
        <v>0</v>
      </c>
      <c r="E35" s="51">
        <f t="shared" si="3"/>
        <v>0</v>
      </c>
      <c r="F35" s="51">
        <f t="shared" si="4"/>
        <v>0</v>
      </c>
      <c r="G35" s="50">
        <v>1530</v>
      </c>
      <c r="H35" s="74">
        <f t="shared" si="0"/>
        <v>1470.8694210526317</v>
      </c>
    </row>
    <row r="36" spans="1:8">
      <c r="A36" s="49">
        <v>38168</v>
      </c>
      <c r="B36" s="51">
        <f t="shared" si="1"/>
        <v>2</v>
      </c>
      <c r="C36">
        <v>34</v>
      </c>
      <c r="D36" s="51">
        <f t="shared" si="2"/>
        <v>1</v>
      </c>
      <c r="E36" s="51">
        <f t="shared" si="3"/>
        <v>0</v>
      </c>
      <c r="F36" s="51">
        <f t="shared" si="4"/>
        <v>0</v>
      </c>
      <c r="G36" s="50">
        <v>1387</v>
      </c>
      <c r="H36" s="74">
        <f t="shared" si="0"/>
        <v>1442.5314210526315</v>
      </c>
    </row>
    <row r="37" spans="1:8">
      <c r="A37" s="49">
        <v>38260</v>
      </c>
      <c r="B37" s="51">
        <f t="shared" si="1"/>
        <v>3</v>
      </c>
      <c r="C37">
        <v>35</v>
      </c>
      <c r="D37" s="51">
        <f t="shared" si="2"/>
        <v>0</v>
      </c>
      <c r="E37" s="51">
        <f t="shared" si="3"/>
        <v>1</v>
      </c>
      <c r="F37" s="51">
        <f t="shared" si="4"/>
        <v>0</v>
      </c>
      <c r="G37" s="50">
        <v>1463</v>
      </c>
      <c r="H37" s="74">
        <f t="shared" si="0"/>
        <v>1580.482552631579</v>
      </c>
    </row>
    <row r="38" spans="1:8">
      <c r="A38" s="49">
        <v>38352</v>
      </c>
      <c r="B38" s="51">
        <f t="shared" si="1"/>
        <v>4</v>
      </c>
      <c r="C38">
        <v>36</v>
      </c>
      <c r="D38" s="51">
        <f t="shared" si="2"/>
        <v>0</v>
      </c>
      <c r="E38" s="51">
        <f t="shared" si="3"/>
        <v>0</v>
      </c>
      <c r="F38" s="51">
        <f t="shared" si="4"/>
        <v>1</v>
      </c>
      <c r="G38" s="50">
        <v>2541</v>
      </c>
      <c r="H38" s="74">
        <f t="shared" si="0"/>
        <v>1635.2891184210525</v>
      </c>
    </row>
    <row r="39" spans="1:8">
      <c r="A39" s="49">
        <v>38442</v>
      </c>
      <c r="B39" s="51">
        <f t="shared" si="1"/>
        <v>1</v>
      </c>
      <c r="C39">
        <v>37</v>
      </c>
      <c r="D39" s="51">
        <f t="shared" si="2"/>
        <v>0</v>
      </c>
      <c r="E39" s="51">
        <f t="shared" si="3"/>
        <v>0</v>
      </c>
      <c r="F39" s="51">
        <f t="shared" si="4"/>
        <v>0</v>
      </c>
      <c r="G39" s="50">
        <v>1902</v>
      </c>
      <c r="H39" s="74">
        <f t="shared" si="0"/>
        <v>1690.0956842105263</v>
      </c>
    </row>
    <row r="40" spans="1:8">
      <c r="A40" s="49">
        <v>38533</v>
      </c>
      <c r="B40" s="51">
        <f t="shared" si="1"/>
        <v>2</v>
      </c>
      <c r="C40">
        <v>38</v>
      </c>
      <c r="D40" s="51">
        <f t="shared" si="2"/>
        <v>1</v>
      </c>
      <c r="E40" s="51">
        <f t="shared" si="3"/>
        <v>0</v>
      </c>
      <c r="F40" s="51">
        <f t="shared" si="4"/>
        <v>0</v>
      </c>
      <c r="G40" s="50">
        <v>1753</v>
      </c>
      <c r="H40" s="74">
        <f t="shared" si="0"/>
        <v>1661.7576842105261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32</vt:i4>
      </vt:variant>
    </vt:vector>
  </HeadingPairs>
  <TitlesOfParts>
    <vt:vector size="41" baseType="lpstr">
      <vt:lpstr>Multiplicative Method</vt:lpstr>
      <vt:lpstr>Winter's Method</vt:lpstr>
      <vt:lpstr>Problem 14.1 Initialization</vt:lpstr>
      <vt:lpstr>Problem 14.1 Winter's Method</vt:lpstr>
      <vt:lpstr>Problem 14.2 Initialization</vt:lpstr>
      <vt:lpstr>Problem 14.2 Winter's Method</vt:lpstr>
      <vt:lpstr>Problem 14.5 Initialization</vt:lpstr>
      <vt:lpstr>Problem 14.5 Winter's Method</vt:lpstr>
      <vt:lpstr>Problem 14.5 Mult Regression</vt:lpstr>
      <vt:lpstr>alpha</vt:lpstr>
      <vt:lpstr>alpha1</vt:lpstr>
      <vt:lpstr>alpha2</vt:lpstr>
      <vt:lpstr>alpha5</vt:lpstr>
      <vt:lpstr>'Winter''s Method'!Base</vt:lpstr>
      <vt:lpstr>Base</vt:lpstr>
      <vt:lpstr>Base1</vt:lpstr>
      <vt:lpstr>Base2</vt:lpstr>
      <vt:lpstr>Base5</vt:lpstr>
      <vt:lpstr>beta</vt:lpstr>
      <vt:lpstr>beta1</vt:lpstr>
      <vt:lpstr>beta2</vt:lpstr>
      <vt:lpstr>beta5</vt:lpstr>
      <vt:lpstr>gamma</vt:lpstr>
      <vt:lpstr>gamma1</vt:lpstr>
      <vt:lpstr>gamma2</vt:lpstr>
      <vt:lpstr>gamma5</vt:lpstr>
      <vt:lpstr>Intercept</vt:lpstr>
      <vt:lpstr>Period</vt:lpstr>
      <vt:lpstr>Quarter2</vt:lpstr>
      <vt:lpstr>Quarter3</vt:lpstr>
      <vt:lpstr>Quarter4</vt:lpstr>
      <vt:lpstr>'Winter''s Method'!Seasonality_Factors</vt:lpstr>
      <vt:lpstr>Seasonality_Factors</vt:lpstr>
      <vt:lpstr>Seasonality_Factors1</vt:lpstr>
      <vt:lpstr>Seasonality_Factors2</vt:lpstr>
      <vt:lpstr>Seasonality_Factors5</vt:lpstr>
      <vt:lpstr>'Winter''s Method'!Trend</vt:lpstr>
      <vt:lpstr>Trend</vt:lpstr>
      <vt:lpstr>Trend1</vt:lpstr>
      <vt:lpstr>Trend2</vt:lpstr>
      <vt:lpstr>Trend5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2018-02-27T14:47:28Z</dcterms:created>
  <dcterms:modified xsi:type="dcterms:W3CDTF">2018-04-30T18:37:53Z</dcterms:modified>
</cp:coreProperties>
</file>